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Mi unidad\CENACVAL\CENAC 2026\EVALUACIONES ECONÓMICAS\SASIE-053-CENACVAL-2026 KIT DE INCORPORACIÓN\ADJUDICACIÓN\"/>
    </mc:Choice>
  </mc:AlternateContent>
  <xr:revisionPtr revIDLastSave="0" documentId="13_ncr:1_{95219372-1D7D-4B7A-AC97-89F3CA835E20}" xr6:coauthVersionLast="47" xr6:coauthVersionMax="47" xr10:uidLastSave="{00000000-0000-0000-0000-000000000000}"/>
  <workbookProtection workbookAlgorithmName="SHA-512" workbookHashValue="pIpDVHK4WdrXQ/FDZ3zNiRtFK+oxKXkemj7PjDyt9DtoMrp4FHZ8CarObkB++bPxtbHwvXZHne0I4dvda9ODkw==" workbookSaltValue="+0T+TZQlHAH+GT3t2acB8w==" workbookSpinCount="100000" lockStructure="1"/>
  <bookViews>
    <workbookView xWindow="-120" yWindow="-120" windowWidth="20730" windowHeight="11190" firstSheet="6" activeTab="6" xr2:uid="{00000000-000D-0000-FFFF-FFFF00000000}"/>
  </bookViews>
  <sheets>
    <sheet name="PLAN DE NECESIDADES" sheetId="13" state="hidden" r:id="rId1"/>
    <sheet name="PRESUPUESTO CONSOLIDADO" sheetId="7" state="hidden" r:id="rId2"/>
    <sheet name="PRESUPUESTO" sheetId="2" state="hidden" r:id="rId3"/>
    <sheet name="OFICIO" sheetId="14" state="hidden" r:id="rId4"/>
    <sheet name="DÉFICIT POR CONTINGENTE" sheetId="15" state="hidden" r:id="rId5"/>
    <sheet name="MÍNIMAS (2)" sheetId="16" state="hidden" r:id="rId6"/>
    <sheet name="CANTIDADES ADJUDICACIÓN" sheetId="3" r:id="rId7"/>
    <sheet name="LIMITANTES" sheetId="4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P82" i="16" l="1"/>
  <c r="HO84" i="16"/>
  <c r="HO81" i="16"/>
  <c r="HO83" i="16"/>
  <c r="HO73" i="16"/>
  <c r="HO70" i="16"/>
  <c r="HP61" i="16"/>
  <c r="HO62" i="16"/>
  <c r="HP60" i="16"/>
  <c r="HJ63" i="16"/>
  <c r="HJ64" i="16"/>
  <c r="HJ65" i="16"/>
  <c r="HP51" i="16"/>
  <c r="HO37" i="16"/>
  <c r="HO36" i="16"/>
  <c r="HP26" i="16"/>
  <c r="HO24" i="16"/>
  <c r="HH84" i="16"/>
  <c r="HP84" i="16" s="1"/>
  <c r="HP83" i="16"/>
  <c r="HH83" i="16"/>
  <c r="HH82" i="16"/>
  <c r="HH81" i="16"/>
  <c r="HH73" i="16"/>
  <c r="HP73" i="16" s="1"/>
  <c r="HP72" i="16"/>
  <c r="HO72" i="16"/>
  <c r="HH72" i="16"/>
  <c r="HP71" i="16"/>
  <c r="HO71" i="16"/>
  <c r="HH71" i="16"/>
  <c r="HH70" i="16"/>
  <c r="HH62" i="16"/>
  <c r="HP62" i="16" s="1"/>
  <c r="HO61" i="16"/>
  <c r="HH61" i="16"/>
  <c r="HO60" i="16"/>
  <c r="HH60" i="16"/>
  <c r="HO52" i="16"/>
  <c r="HH52" i="16"/>
  <c r="HP52" i="16" s="1"/>
  <c r="HO51" i="16"/>
  <c r="HH51" i="16"/>
  <c r="HO49" i="16"/>
  <c r="HH49" i="16"/>
  <c r="HP49" i="16" s="1"/>
  <c r="HP48" i="16"/>
  <c r="HO48" i="16"/>
  <c r="HH48" i="16"/>
  <c r="HP47" i="16"/>
  <c r="HO47" i="16"/>
  <c r="HH47" i="16"/>
  <c r="HO46" i="16"/>
  <c r="HH46" i="16"/>
  <c r="HH37" i="16"/>
  <c r="HP37" i="16" s="1"/>
  <c r="HP36" i="16"/>
  <c r="HH36" i="16"/>
  <c r="HO26" i="16"/>
  <c r="HH26" i="16"/>
  <c r="HP25" i="16"/>
  <c r="HO25" i="16"/>
  <c r="HH25" i="16"/>
  <c r="HH24" i="16"/>
  <c r="HP24" i="16" s="1"/>
  <c r="HO15" i="16"/>
  <c r="HH15" i="16"/>
  <c r="HP15" i="16" s="1"/>
  <c r="HP14" i="16"/>
  <c r="HO14" i="16"/>
  <c r="HH14" i="16"/>
  <c r="HH13" i="16"/>
  <c r="HO12" i="16"/>
  <c r="HH12" i="16"/>
  <c r="HP12" i="16" s="1"/>
  <c r="HO11" i="16"/>
  <c r="HH11" i="16"/>
  <c r="HP11" i="16" s="1"/>
  <c r="HP10" i="16"/>
  <c r="HO10" i="16"/>
  <c r="HH10" i="16"/>
  <c r="HH9" i="16"/>
  <c r="HO8" i="16"/>
  <c r="HH8" i="16"/>
  <c r="HP8" i="16" s="1"/>
  <c r="HO7" i="16"/>
  <c r="HH7" i="16"/>
  <c r="HP7" i="16" s="1"/>
  <c r="HP6" i="16"/>
  <c r="HO6" i="16"/>
  <c r="HH6" i="16"/>
  <c r="HH5" i="16"/>
  <c r="HB81" i="16"/>
  <c r="HB70" i="16"/>
  <c r="HB60" i="16"/>
  <c r="GY63" i="16"/>
  <c r="GY64" i="16"/>
  <c r="GY65" i="16"/>
  <c r="HB51" i="16"/>
  <c r="HB37" i="16"/>
  <c r="HB36" i="16"/>
  <c r="HC25" i="16"/>
  <c r="HB13" i="16"/>
  <c r="HB84" i="16"/>
  <c r="GU84" i="16"/>
  <c r="HC84" i="16" s="1"/>
  <c r="HC83" i="16"/>
  <c r="HB83" i="16"/>
  <c r="GU83" i="16"/>
  <c r="HB82" i="16"/>
  <c r="GU82" i="16"/>
  <c r="HC82" i="16" s="1"/>
  <c r="GU81" i="16"/>
  <c r="HC81" i="16" s="1"/>
  <c r="GU73" i="16"/>
  <c r="HC72" i="16"/>
  <c r="HB72" i="16"/>
  <c r="GU72" i="16"/>
  <c r="HB71" i="16"/>
  <c r="GU71" i="16"/>
  <c r="HC71" i="16" s="1"/>
  <c r="GU70" i="16"/>
  <c r="GU62" i="16"/>
  <c r="HC62" i="16" s="1"/>
  <c r="HC61" i="16"/>
  <c r="HB61" i="16"/>
  <c r="GU61" i="16"/>
  <c r="GU60" i="16"/>
  <c r="HB52" i="16"/>
  <c r="GU52" i="16"/>
  <c r="HC51" i="16"/>
  <c r="GU51" i="16"/>
  <c r="HB49" i="16"/>
  <c r="GU49" i="16"/>
  <c r="HC49" i="16" s="1"/>
  <c r="HC48" i="16"/>
  <c r="HB48" i="16"/>
  <c r="GU48" i="16"/>
  <c r="HB47" i="16"/>
  <c r="GU47" i="16"/>
  <c r="HC47" i="16" s="1"/>
  <c r="GU46" i="16"/>
  <c r="HC46" i="16" s="1"/>
  <c r="GU37" i="16"/>
  <c r="HC36" i="16"/>
  <c r="GU36" i="16"/>
  <c r="HB26" i="16"/>
  <c r="GU26" i="16"/>
  <c r="HC26" i="16" s="1"/>
  <c r="HB25" i="16"/>
  <c r="GU25" i="16"/>
  <c r="HB24" i="16"/>
  <c r="GU24" i="16"/>
  <c r="HC24" i="16" s="1"/>
  <c r="HB15" i="16"/>
  <c r="GU15" i="16"/>
  <c r="HC15" i="16" s="1"/>
  <c r="HC14" i="16"/>
  <c r="HB14" i="16"/>
  <c r="GU14" i="16"/>
  <c r="GU13" i="16"/>
  <c r="GU12" i="16"/>
  <c r="HB11" i="16"/>
  <c r="GU11" i="16"/>
  <c r="HC11" i="16" s="1"/>
  <c r="HC10" i="16"/>
  <c r="HB10" i="16"/>
  <c r="GU10" i="16"/>
  <c r="GU9" i="16"/>
  <c r="HB8" i="16"/>
  <c r="GU8" i="16"/>
  <c r="HB7" i="16"/>
  <c r="GU7" i="16"/>
  <c r="HC7" i="16" s="1"/>
  <c r="HC6" i="16"/>
  <c r="HB6" i="16"/>
  <c r="GU6" i="16"/>
  <c r="GU5" i="16"/>
  <c r="GN82" i="16"/>
  <c r="GO82" i="16" s="1"/>
  <c r="GJ85" i="16"/>
  <c r="GJ86" i="16"/>
  <c r="GJ87" i="16"/>
  <c r="GP72" i="16"/>
  <c r="GO73" i="16"/>
  <c r="GJ74" i="16"/>
  <c r="GJ75" i="16"/>
  <c r="GJ76" i="16"/>
  <c r="GO70" i="16"/>
  <c r="GO62" i="16"/>
  <c r="GO60" i="16"/>
  <c r="GO37" i="16"/>
  <c r="GO26" i="16"/>
  <c r="GO24" i="16"/>
  <c r="GO25" i="16"/>
  <c r="GO7" i="16"/>
  <c r="GO11" i="16"/>
  <c r="GO15" i="16"/>
  <c r="GH84" i="16"/>
  <c r="GH83" i="16"/>
  <c r="GH82" i="16"/>
  <c r="GH81" i="16"/>
  <c r="GH73" i="16"/>
  <c r="GO72" i="16"/>
  <c r="GH72" i="16"/>
  <c r="GO71" i="16"/>
  <c r="GH71" i="16"/>
  <c r="GP71" i="16" s="1"/>
  <c r="GH70" i="16"/>
  <c r="GP70" i="16" s="1"/>
  <c r="GH62" i="16"/>
  <c r="GO61" i="16"/>
  <c r="GH61" i="16"/>
  <c r="GH60" i="16"/>
  <c r="GH52" i="16"/>
  <c r="GP52" i="16" s="1"/>
  <c r="GP51" i="16"/>
  <c r="GO51" i="16"/>
  <c r="GH51" i="16"/>
  <c r="GO49" i="16"/>
  <c r="GH49" i="16"/>
  <c r="GP49" i="16" s="1"/>
  <c r="GP48" i="16"/>
  <c r="GO48" i="16"/>
  <c r="GH48" i="16"/>
  <c r="GO47" i="16"/>
  <c r="GH47" i="16"/>
  <c r="GP47" i="16" s="1"/>
  <c r="GH46" i="16"/>
  <c r="GH37" i="16"/>
  <c r="GH36" i="16"/>
  <c r="GH26" i="16"/>
  <c r="GP26" i="16" s="1"/>
  <c r="GP25" i="16"/>
  <c r="GH25" i="16"/>
  <c r="GH24" i="16"/>
  <c r="GH6" i="16"/>
  <c r="GH7" i="16"/>
  <c r="GH8" i="16"/>
  <c r="GH9" i="16"/>
  <c r="GH10" i="16"/>
  <c r="GH11" i="16"/>
  <c r="GH12" i="16"/>
  <c r="GP12" i="16" s="1"/>
  <c r="GH13" i="16"/>
  <c r="GH14" i="16"/>
  <c r="GH15" i="16"/>
  <c r="GH5" i="16"/>
  <c r="GP8" i="16"/>
  <c r="GP15" i="16"/>
  <c r="GP14" i="16"/>
  <c r="GO14" i="16"/>
  <c r="GO12" i="16"/>
  <c r="GP11" i="16"/>
  <c r="GP10" i="16"/>
  <c r="GO10" i="16"/>
  <c r="GO8" i="16"/>
  <c r="GP7" i="16"/>
  <c r="GP6" i="16"/>
  <c r="GO6" i="16"/>
  <c r="GB81" i="16"/>
  <c r="GB83" i="16"/>
  <c r="GC61" i="16"/>
  <c r="GB62" i="16"/>
  <c r="GB60" i="16"/>
  <c r="GC36" i="16"/>
  <c r="GB25" i="16"/>
  <c r="GB24" i="16"/>
  <c r="GB9" i="16"/>
  <c r="GB13" i="16"/>
  <c r="GB8" i="16"/>
  <c r="GB12" i="16"/>
  <c r="FU81" i="16"/>
  <c r="GB84" i="16"/>
  <c r="FU84" i="16"/>
  <c r="GC84" i="16" s="1"/>
  <c r="GC83" i="16"/>
  <c r="FU83" i="16"/>
  <c r="GB82" i="16"/>
  <c r="FU82" i="16"/>
  <c r="GC82" i="16" s="1"/>
  <c r="GC81" i="16"/>
  <c r="GB73" i="16"/>
  <c r="FU73" i="16"/>
  <c r="GC73" i="16" s="1"/>
  <c r="GC72" i="16"/>
  <c r="GB72" i="16"/>
  <c r="FU72" i="16"/>
  <c r="GB71" i="16"/>
  <c r="FU71" i="16"/>
  <c r="GC71" i="16" s="1"/>
  <c r="GB70" i="16"/>
  <c r="FU70" i="16"/>
  <c r="FU62" i="16"/>
  <c r="GC62" i="16" s="1"/>
  <c r="GB61" i="16"/>
  <c r="FU61" i="16"/>
  <c r="GC60" i="16"/>
  <c r="FU60" i="16"/>
  <c r="GB52" i="16"/>
  <c r="FU52" i="16"/>
  <c r="GC52" i="16" s="1"/>
  <c r="GC51" i="16"/>
  <c r="GB51" i="16"/>
  <c r="FU51" i="16"/>
  <c r="GB49" i="16"/>
  <c r="FU49" i="16"/>
  <c r="GC48" i="16"/>
  <c r="GB48" i="16"/>
  <c r="FU48" i="16"/>
  <c r="GB47" i="16"/>
  <c r="FU47" i="16"/>
  <c r="GC47" i="16" s="1"/>
  <c r="GB46" i="16"/>
  <c r="FU46" i="16"/>
  <c r="GC46" i="16" s="1"/>
  <c r="GB37" i="16"/>
  <c r="FU37" i="16"/>
  <c r="GC37" i="16" s="1"/>
  <c r="GB36" i="16"/>
  <c r="FU36" i="16"/>
  <c r="FU6" i="16"/>
  <c r="FU7" i="16"/>
  <c r="FU8" i="16"/>
  <c r="FU9" i="16"/>
  <c r="FU10" i="16"/>
  <c r="FU11" i="16"/>
  <c r="FU12" i="16"/>
  <c r="FU13" i="16"/>
  <c r="FU14" i="16"/>
  <c r="FU15" i="16"/>
  <c r="FU5" i="16"/>
  <c r="GB26" i="16"/>
  <c r="FU26" i="16"/>
  <c r="GC26" i="16" s="1"/>
  <c r="GC25" i="16"/>
  <c r="FU25" i="16"/>
  <c r="FU24" i="16"/>
  <c r="GC24" i="16" s="1"/>
  <c r="GB15" i="16"/>
  <c r="GC15" i="16"/>
  <c r="GC14" i="16"/>
  <c r="GB14" i="16"/>
  <c r="GB11" i="16"/>
  <c r="GC11" i="16"/>
  <c r="GC10" i="16"/>
  <c r="GB10" i="16"/>
  <c r="GC9" i="16"/>
  <c r="GB7" i="16"/>
  <c r="GC7" i="16"/>
  <c r="GC6" i="16"/>
  <c r="GB6" i="16"/>
  <c r="FO84" i="16"/>
  <c r="FO81" i="16"/>
  <c r="FO73" i="16"/>
  <c r="FO62" i="16"/>
  <c r="FO51" i="16"/>
  <c r="FO37" i="16"/>
  <c r="FO25" i="16"/>
  <c r="FH84" i="16"/>
  <c r="FP83" i="16"/>
  <c r="FO83" i="16"/>
  <c r="FH83" i="16"/>
  <c r="FO82" i="16"/>
  <c r="FH82" i="16"/>
  <c r="FP82" i="16" s="1"/>
  <c r="FH81" i="16"/>
  <c r="FH73" i="16"/>
  <c r="FP73" i="16" s="1"/>
  <c r="FP72" i="16"/>
  <c r="FO72" i="16"/>
  <c r="FH72" i="16"/>
  <c r="FO71" i="16"/>
  <c r="FH71" i="16"/>
  <c r="FP71" i="16" s="1"/>
  <c r="FH70" i="16"/>
  <c r="FH62" i="16"/>
  <c r="FP62" i="16" s="1"/>
  <c r="FO61" i="16"/>
  <c r="FH61" i="16"/>
  <c r="FO60" i="16"/>
  <c r="FH60" i="16"/>
  <c r="FO52" i="16"/>
  <c r="FH52" i="16"/>
  <c r="FP51" i="16"/>
  <c r="FH51" i="16"/>
  <c r="FO49" i="16"/>
  <c r="FH49" i="16"/>
  <c r="FP49" i="16" s="1"/>
  <c r="FP48" i="16"/>
  <c r="FO48" i="16"/>
  <c r="FH48" i="16"/>
  <c r="FO47" i="16"/>
  <c r="FH47" i="16"/>
  <c r="FP47" i="16" s="1"/>
  <c r="FO46" i="16"/>
  <c r="FH46" i="16"/>
  <c r="FH37" i="16"/>
  <c r="FP37" i="16" s="1"/>
  <c r="FP36" i="16"/>
  <c r="FO36" i="16"/>
  <c r="FH36" i="16"/>
  <c r="FO26" i="16"/>
  <c r="FH26" i="16"/>
  <c r="FP25" i="16"/>
  <c r="FH25" i="16"/>
  <c r="FH24" i="16"/>
  <c r="FO15" i="16"/>
  <c r="FH15" i="16"/>
  <c r="FP15" i="16" s="1"/>
  <c r="FP14" i="16"/>
  <c r="FO14" i="16"/>
  <c r="FH14" i="16"/>
  <c r="FH13" i="16"/>
  <c r="FO12" i="16"/>
  <c r="FH12" i="16"/>
  <c r="FP12" i="16" s="1"/>
  <c r="FO11" i="16"/>
  <c r="FH11" i="16"/>
  <c r="FP11" i="16" s="1"/>
  <c r="FP10" i="16"/>
  <c r="FO10" i="16"/>
  <c r="FH10" i="16"/>
  <c r="FH9" i="16"/>
  <c r="FO8" i="16"/>
  <c r="FH8" i="16"/>
  <c r="FP8" i="16" s="1"/>
  <c r="FO7" i="16"/>
  <c r="FH7" i="16"/>
  <c r="FP7" i="16" s="1"/>
  <c r="FP6" i="16"/>
  <c r="FO6" i="16"/>
  <c r="FH6" i="16"/>
  <c r="FH5" i="16"/>
  <c r="FB61" i="16"/>
  <c r="FB62" i="16"/>
  <c r="FB60" i="16"/>
  <c r="FB70" i="16"/>
  <c r="FC61" i="16"/>
  <c r="FB52" i="16"/>
  <c r="FB37" i="16"/>
  <c r="FB26" i="16"/>
  <c r="FB11" i="16"/>
  <c r="FB15" i="16"/>
  <c r="FB84" i="16"/>
  <c r="EU84" i="16"/>
  <c r="FC84" i="16" s="1"/>
  <c r="FC83" i="16"/>
  <c r="FB83" i="16"/>
  <c r="EU83" i="16"/>
  <c r="FB82" i="16"/>
  <c r="EU82" i="16"/>
  <c r="FC82" i="16" s="1"/>
  <c r="FB81" i="16"/>
  <c r="EU81" i="16"/>
  <c r="FB73" i="16"/>
  <c r="EU73" i="16"/>
  <c r="FC73" i="16" s="1"/>
  <c r="FC72" i="16"/>
  <c r="FB72" i="16"/>
  <c r="EU72" i="16"/>
  <c r="FB71" i="16"/>
  <c r="EU71" i="16"/>
  <c r="FC71" i="16" s="1"/>
  <c r="EU70" i="16"/>
  <c r="EU62" i="16"/>
  <c r="FC62" i="16" s="1"/>
  <c r="EU61" i="16"/>
  <c r="EU60" i="16"/>
  <c r="FC60" i="16" s="1"/>
  <c r="EU52" i="16"/>
  <c r="FC52" i="16" s="1"/>
  <c r="FC51" i="16"/>
  <c r="FB51" i="16"/>
  <c r="EU51" i="16"/>
  <c r="FB49" i="16"/>
  <c r="EU49" i="16"/>
  <c r="FC49" i="16" s="1"/>
  <c r="FC48" i="16"/>
  <c r="FB48" i="16"/>
  <c r="EU48" i="16"/>
  <c r="FB47" i="16"/>
  <c r="EU47" i="16"/>
  <c r="FC47" i="16" s="1"/>
  <c r="EU46" i="16"/>
  <c r="EU37" i="16"/>
  <c r="FC37" i="16" s="1"/>
  <c r="FC36" i="16"/>
  <c r="FB36" i="16"/>
  <c r="EU36" i="16"/>
  <c r="EU24" i="16"/>
  <c r="EU26" i="16"/>
  <c r="FC26" i="16" s="1"/>
  <c r="FC25" i="16"/>
  <c r="FB25" i="16"/>
  <c r="EU25" i="16"/>
  <c r="EU15" i="16"/>
  <c r="FC15" i="16" s="1"/>
  <c r="FC14" i="16"/>
  <c r="FB14" i="16"/>
  <c r="EU14" i="16"/>
  <c r="EU13" i="16"/>
  <c r="FB12" i="16"/>
  <c r="EU12" i="16"/>
  <c r="FC12" i="16" s="1"/>
  <c r="EU11" i="16"/>
  <c r="FC10" i="16"/>
  <c r="FB10" i="16"/>
  <c r="EU10" i="16"/>
  <c r="EU9" i="16"/>
  <c r="FB8" i="16"/>
  <c r="EU8" i="16"/>
  <c r="FC8" i="16" s="1"/>
  <c r="FB7" i="16"/>
  <c r="EU7" i="16"/>
  <c r="FC7" i="16" s="1"/>
  <c r="FC6" i="16"/>
  <c r="FB6" i="16"/>
  <c r="EU6" i="16"/>
  <c r="EU5" i="16"/>
  <c r="EL84" i="16"/>
  <c r="EL83" i="16"/>
  <c r="EL82" i="16"/>
  <c r="EL81" i="16"/>
  <c r="EO81" i="16" s="1"/>
  <c r="EL73" i="16"/>
  <c r="EL72" i="16"/>
  <c r="EL71" i="16"/>
  <c r="EO71" i="16" s="1"/>
  <c r="EL70" i="16"/>
  <c r="EO70" i="16" s="1"/>
  <c r="EL62" i="16"/>
  <c r="EL61" i="16"/>
  <c r="EL60" i="16"/>
  <c r="EL52" i="16"/>
  <c r="EL51" i="16"/>
  <c r="EP51" i="16" s="1"/>
  <c r="EL49" i="16"/>
  <c r="EL48" i="16"/>
  <c r="EL47" i="16"/>
  <c r="EL46" i="16"/>
  <c r="EO46" i="16" s="1"/>
  <c r="EL37" i="16"/>
  <c r="EL36" i="16"/>
  <c r="EP36" i="16" s="1"/>
  <c r="EL26" i="16"/>
  <c r="EL25" i="16"/>
  <c r="EL24" i="16"/>
  <c r="EL6" i="16"/>
  <c r="EL7" i="16"/>
  <c r="EL8" i="16"/>
  <c r="EL9" i="16"/>
  <c r="EO9" i="16" s="1"/>
  <c r="EL10" i="16"/>
  <c r="EL11" i="16"/>
  <c r="EL12" i="16"/>
  <c r="EL13" i="16"/>
  <c r="EO13" i="16" s="1"/>
  <c r="EL14" i="16"/>
  <c r="EL15" i="16"/>
  <c r="EL5" i="16"/>
  <c r="EO84" i="16"/>
  <c r="EH84" i="16"/>
  <c r="EP84" i="16" s="1"/>
  <c r="EP83" i="16"/>
  <c r="EO83" i="16"/>
  <c r="EH83" i="16"/>
  <c r="EO82" i="16"/>
  <c r="EH82" i="16"/>
  <c r="EP82" i="16" s="1"/>
  <c r="EH81" i="16"/>
  <c r="EO73" i="16"/>
  <c r="EH73" i="16"/>
  <c r="EP73" i="16" s="1"/>
  <c r="EP72" i="16"/>
  <c r="EO72" i="16"/>
  <c r="EH72" i="16"/>
  <c r="EP71" i="16"/>
  <c r="EH71" i="16"/>
  <c r="EH70" i="16"/>
  <c r="EP70" i="16" s="1"/>
  <c r="EO62" i="16"/>
  <c r="EH62" i="16"/>
  <c r="EP62" i="16" s="1"/>
  <c r="EP61" i="16"/>
  <c r="EO61" i="16"/>
  <c r="EH61" i="16"/>
  <c r="EO60" i="16"/>
  <c r="EH60" i="16"/>
  <c r="EP60" i="16" s="1"/>
  <c r="EO52" i="16"/>
  <c r="EH52" i="16"/>
  <c r="EP52" i="16" s="1"/>
  <c r="EO51" i="16"/>
  <c r="EH51" i="16"/>
  <c r="EO49" i="16"/>
  <c r="EH49" i="16"/>
  <c r="EP49" i="16" s="1"/>
  <c r="EP48" i="16"/>
  <c r="EO48" i="16"/>
  <c r="EH48" i="16"/>
  <c r="EO47" i="16"/>
  <c r="EH47" i="16"/>
  <c r="EP47" i="16" s="1"/>
  <c r="EH46" i="16"/>
  <c r="EP46" i="16" s="1"/>
  <c r="EO37" i="16"/>
  <c r="EH37" i="16"/>
  <c r="EP37" i="16" s="1"/>
  <c r="EO36" i="16"/>
  <c r="EH36" i="16"/>
  <c r="EO26" i="16"/>
  <c r="EH26" i="16"/>
  <c r="EP26" i="16" s="1"/>
  <c r="EP25" i="16"/>
  <c r="EO25" i="16"/>
  <c r="EH25" i="16"/>
  <c r="EO24" i="16"/>
  <c r="EH24" i="16"/>
  <c r="EP24" i="16" s="1"/>
  <c r="EO15" i="16"/>
  <c r="EH15" i="16"/>
  <c r="EP15" i="16" s="1"/>
  <c r="EP14" i="16"/>
  <c r="EO14" i="16"/>
  <c r="EH14" i="16"/>
  <c r="EH13" i="16"/>
  <c r="EO12" i="16"/>
  <c r="EH12" i="16"/>
  <c r="EP12" i="16" s="1"/>
  <c r="EO11" i="16"/>
  <c r="EH11" i="16"/>
  <c r="EP11" i="16" s="1"/>
  <c r="EP10" i="16"/>
  <c r="EO10" i="16"/>
  <c r="EH10" i="16"/>
  <c r="EH9" i="16"/>
  <c r="EO8" i="16"/>
  <c r="EH8" i="16"/>
  <c r="EP8" i="16" s="1"/>
  <c r="EO7" i="16"/>
  <c r="EH7" i="16"/>
  <c r="EP7" i="16" s="1"/>
  <c r="EP6" i="16"/>
  <c r="EO6" i="16"/>
  <c r="EH6" i="16"/>
  <c r="EH5" i="16"/>
  <c r="EB82" i="16"/>
  <c r="EB83" i="16"/>
  <c r="EB62" i="16"/>
  <c r="EB61" i="16"/>
  <c r="EB50" i="16"/>
  <c r="DY39" i="16"/>
  <c r="DY40" i="16"/>
  <c r="DY41" i="16"/>
  <c r="EB36" i="16"/>
  <c r="EB27" i="16"/>
  <c r="EB28" i="16"/>
  <c r="DY29" i="16"/>
  <c r="DY30" i="16"/>
  <c r="DY31" i="16"/>
  <c r="EB9" i="16"/>
  <c r="EB84" i="16"/>
  <c r="EB52" i="16"/>
  <c r="EB51" i="16"/>
  <c r="EB49" i="16"/>
  <c r="EB48" i="16"/>
  <c r="EB47" i="16"/>
  <c r="EB46" i="16"/>
  <c r="EB38" i="16"/>
  <c r="EB26" i="16"/>
  <c r="EB25" i="16"/>
  <c r="EB24" i="16"/>
  <c r="EB16" i="16"/>
  <c r="EB15" i="16"/>
  <c r="EB14" i="16"/>
  <c r="EB13" i="16"/>
  <c r="EB12" i="16"/>
  <c r="EB11" i="16"/>
  <c r="EB10" i="16"/>
  <c r="EB8" i="16"/>
  <c r="EB7" i="16"/>
  <c r="EB6" i="16"/>
  <c r="DU17" i="16"/>
  <c r="DU18" i="16"/>
  <c r="DU19" i="16"/>
  <c r="DO84" i="16"/>
  <c r="DO83" i="16"/>
  <c r="DO82" i="16"/>
  <c r="DO81" i="16"/>
  <c r="DO73" i="16"/>
  <c r="DO72" i="16"/>
  <c r="DO71" i="16"/>
  <c r="DO70" i="16"/>
  <c r="DO62" i="16"/>
  <c r="DO61" i="16"/>
  <c r="DO60" i="16"/>
  <c r="DO52" i="16"/>
  <c r="DO51" i="16"/>
  <c r="DO49" i="16"/>
  <c r="DO48" i="16"/>
  <c r="DO47" i="16"/>
  <c r="DO46" i="16"/>
  <c r="DO37" i="16"/>
  <c r="DO36" i="16"/>
  <c r="DO25" i="16"/>
  <c r="DO26" i="16"/>
  <c r="DO24" i="16"/>
  <c r="DO6" i="16"/>
  <c r="DO7" i="16"/>
  <c r="DO8" i="16"/>
  <c r="DO9" i="16"/>
  <c r="DO10" i="16"/>
  <c r="DO11" i="16"/>
  <c r="DO12" i="16"/>
  <c r="DO13" i="16"/>
  <c r="DO14" i="16"/>
  <c r="DO15" i="16"/>
  <c r="DB62" i="16"/>
  <c r="CW63" i="16"/>
  <c r="CW64" i="16"/>
  <c r="CW65" i="16"/>
  <c r="DB61" i="16"/>
  <c r="DB51" i="16"/>
  <c r="DB49" i="16"/>
  <c r="DB48" i="16"/>
  <c r="DB46" i="16"/>
  <c r="DB25" i="16"/>
  <c r="DB7" i="16"/>
  <c r="DB12" i="16"/>
  <c r="DB14" i="16"/>
  <c r="DB84" i="16"/>
  <c r="DB83" i="16"/>
  <c r="DB82" i="16"/>
  <c r="DB81" i="16"/>
  <c r="DB73" i="16"/>
  <c r="DB72" i="16"/>
  <c r="DB71" i="16"/>
  <c r="DB52" i="16"/>
  <c r="DB47" i="16"/>
  <c r="DB26" i="16"/>
  <c r="DB10" i="16"/>
  <c r="DB6" i="16"/>
  <c r="HO82" i="16" l="1"/>
  <c r="HP81" i="16"/>
  <c r="HP70" i="16"/>
  <c r="HP46" i="16"/>
  <c r="HO13" i="16"/>
  <c r="HP9" i="16"/>
  <c r="HO9" i="16"/>
  <c r="HP13" i="16"/>
  <c r="HB73" i="16"/>
  <c r="HC70" i="16"/>
  <c r="HC73" i="16"/>
  <c r="HB62" i="16"/>
  <c r="HC60" i="16"/>
  <c r="HC52" i="16"/>
  <c r="HB46" i="16"/>
  <c r="HC37" i="16"/>
  <c r="HB12" i="16"/>
  <c r="HB9" i="16"/>
  <c r="HC8" i="16"/>
  <c r="HC12" i="16"/>
  <c r="HC9" i="16"/>
  <c r="HC13" i="16"/>
  <c r="GO81" i="16"/>
  <c r="GP83" i="16"/>
  <c r="GP84" i="16"/>
  <c r="GP82" i="16"/>
  <c r="GO84" i="16"/>
  <c r="GO83" i="16"/>
  <c r="GP81" i="16"/>
  <c r="GP73" i="16"/>
  <c r="GP62" i="16"/>
  <c r="GP61" i="16"/>
  <c r="GP60" i="16"/>
  <c r="GO52" i="16"/>
  <c r="GO46" i="16"/>
  <c r="GP46" i="16"/>
  <c r="GP36" i="16"/>
  <c r="GP37" i="16"/>
  <c r="GO36" i="16"/>
  <c r="GP24" i="16"/>
  <c r="GO13" i="16"/>
  <c r="GO9" i="16"/>
  <c r="GP9" i="16"/>
  <c r="GP13" i="16"/>
  <c r="GC70" i="16"/>
  <c r="GC49" i="16"/>
  <c r="GC8" i="16"/>
  <c r="GC12" i="16"/>
  <c r="GC13" i="16"/>
  <c r="FP84" i="16"/>
  <c r="FP81" i="16"/>
  <c r="FO70" i="16"/>
  <c r="FP70" i="16"/>
  <c r="FP61" i="16"/>
  <c r="FP60" i="16"/>
  <c r="FP52" i="16"/>
  <c r="FP46" i="16"/>
  <c r="FP26" i="16"/>
  <c r="FO24" i="16"/>
  <c r="FP24" i="16"/>
  <c r="FO13" i="16"/>
  <c r="FO9" i="16"/>
  <c r="FP9" i="16"/>
  <c r="FP13" i="16"/>
  <c r="FB46" i="16"/>
  <c r="FB24" i="16"/>
  <c r="FC81" i="16"/>
  <c r="FC70" i="16"/>
  <c r="FC46" i="16"/>
  <c r="FC24" i="16"/>
  <c r="FC11" i="16"/>
  <c r="FB13" i="16"/>
  <c r="FB9" i="16"/>
  <c r="FC9" i="16"/>
  <c r="FC13" i="16"/>
  <c r="EP81" i="16"/>
  <c r="EP9" i="16"/>
  <c r="EP13" i="16"/>
  <c r="EB81" i="16"/>
  <c r="EB60" i="16"/>
  <c r="EB37" i="16"/>
  <c r="DB70" i="16"/>
  <c r="DB60" i="16"/>
  <c r="DB36" i="16"/>
  <c r="DB37" i="16"/>
  <c r="DB24" i="16"/>
  <c r="DB11" i="16"/>
  <c r="DB8" i="16"/>
  <c r="DB15" i="16"/>
  <c r="DB13" i="16"/>
  <c r="DB9" i="16"/>
  <c r="HP5" i="16" l="1"/>
  <c r="HO5" i="16"/>
  <c r="HC5" i="16"/>
  <c r="HB5" i="16"/>
  <c r="GP5" i="16"/>
  <c r="GO5" i="16"/>
  <c r="GC5" i="16"/>
  <c r="GB5" i="16"/>
  <c r="FP5" i="16"/>
  <c r="FO5" i="16"/>
  <c r="FC5" i="16"/>
  <c r="FB5" i="16"/>
  <c r="EP5" i="16"/>
  <c r="EO5" i="16"/>
  <c r="EB5" i="16"/>
  <c r="DO5" i="16"/>
  <c r="DB5" i="16"/>
  <c r="CO82" i="16"/>
  <c r="CO83" i="16"/>
  <c r="CO70" i="16"/>
  <c r="CO60" i="16"/>
  <c r="CO48" i="16"/>
  <c r="CO52" i="16"/>
  <c r="CO51" i="16"/>
  <c r="CO49" i="16"/>
  <c r="CO13" i="16"/>
  <c r="CO6" i="16"/>
  <c r="CO7" i="16"/>
  <c r="CO15" i="16"/>
  <c r="CO5" i="16"/>
  <c r="CO84" i="16"/>
  <c r="CO81" i="16"/>
  <c r="CO73" i="16"/>
  <c r="CO71" i="16"/>
  <c r="CO61" i="16"/>
  <c r="CO47" i="16"/>
  <c r="CO46" i="16"/>
  <c r="CO25" i="16"/>
  <c r="CO8" i="16"/>
  <c r="CO10" i="16"/>
  <c r="CO11" i="16"/>
  <c r="CO12" i="16"/>
  <c r="CO14" i="16"/>
  <c r="CB81" i="16"/>
  <c r="CB71" i="16"/>
  <c r="CB70" i="16"/>
  <c r="CB72" i="16"/>
  <c r="CB61" i="16"/>
  <c r="CB48" i="16"/>
  <c r="CB5" i="16"/>
  <c r="CB84" i="16"/>
  <c r="CB83" i="16"/>
  <c r="CB82" i="16"/>
  <c r="CB73" i="16"/>
  <c r="CB62" i="16"/>
  <c r="CB60" i="16"/>
  <c r="CB49" i="16"/>
  <c r="CB47" i="16"/>
  <c r="CB46" i="16"/>
  <c r="CB36" i="16"/>
  <c r="CB6" i="16"/>
  <c r="CB7" i="16"/>
  <c r="CB8" i="16"/>
  <c r="CB10" i="16"/>
  <c r="CB11" i="16"/>
  <c r="CB12" i="16"/>
  <c r="CB14" i="16"/>
  <c r="CB15" i="16"/>
  <c r="BL85" i="16"/>
  <c r="BL86" i="16"/>
  <c r="BL87" i="16"/>
  <c r="BO61" i="16"/>
  <c r="BJ63" i="16"/>
  <c r="BJ64" i="16"/>
  <c r="BJ65" i="16"/>
  <c r="BO52" i="16"/>
  <c r="BO51" i="16"/>
  <c r="BO49" i="16"/>
  <c r="BO47" i="16"/>
  <c r="BO37" i="16"/>
  <c r="BO36" i="16"/>
  <c r="BO24" i="16"/>
  <c r="BO84" i="16"/>
  <c r="BO83" i="16"/>
  <c r="BO82" i="16"/>
  <c r="BO81" i="16"/>
  <c r="BO73" i="16"/>
  <c r="BO71" i="16"/>
  <c r="BO7" i="16"/>
  <c r="BO6" i="16"/>
  <c r="BO8" i="16"/>
  <c r="BO10" i="16"/>
  <c r="BO11" i="16"/>
  <c r="BO12" i="16"/>
  <c r="BO14" i="16"/>
  <c r="BO15" i="16"/>
  <c r="BB84" i="16"/>
  <c r="BB81" i="16"/>
  <c r="BB72" i="16"/>
  <c r="AW63" i="16"/>
  <c r="AW64" i="16"/>
  <c r="AW65" i="16"/>
  <c r="BB48" i="16"/>
  <c r="BB83" i="16"/>
  <c r="BB82" i="16"/>
  <c r="BB73" i="16"/>
  <c r="BB71" i="16"/>
  <c r="BB70" i="16"/>
  <c r="BB61" i="16"/>
  <c r="BB60" i="16"/>
  <c r="BB52" i="16"/>
  <c r="BB49" i="16"/>
  <c r="BB47" i="16"/>
  <c r="BB6" i="16"/>
  <c r="BB7" i="16"/>
  <c r="BB8" i="16"/>
  <c r="BB9" i="16"/>
  <c r="BB10" i="16"/>
  <c r="BB11" i="16"/>
  <c r="BB12" i="16"/>
  <c r="BB13" i="16"/>
  <c r="BB14" i="16"/>
  <c r="BB15" i="16"/>
  <c r="BB5" i="16"/>
  <c r="BB36" i="16"/>
  <c r="AO81" i="16"/>
  <c r="AO82" i="16"/>
  <c r="AO83" i="16"/>
  <c r="AO84" i="16"/>
  <c r="AO71" i="16"/>
  <c r="AO72" i="16"/>
  <c r="AO73" i="16"/>
  <c r="AO70" i="16"/>
  <c r="AO61" i="16"/>
  <c r="AO62" i="16"/>
  <c r="AO60" i="16"/>
  <c r="AO52" i="16"/>
  <c r="AO51" i="16"/>
  <c r="AO47" i="16"/>
  <c r="AO48" i="16"/>
  <c r="AO49" i="16"/>
  <c r="AO46" i="16"/>
  <c r="AO37" i="16"/>
  <c r="AO36" i="16"/>
  <c r="AO24" i="16"/>
  <c r="AO6" i="16"/>
  <c r="AO7" i="16"/>
  <c r="AO8" i="16"/>
  <c r="AO9" i="16"/>
  <c r="AO10" i="16"/>
  <c r="AO11" i="16"/>
  <c r="AO12" i="16"/>
  <c r="AO13" i="16"/>
  <c r="AO14" i="16"/>
  <c r="AO15" i="16"/>
  <c r="AO5" i="16"/>
  <c r="CO72" i="16" l="1"/>
  <c r="CO62" i="16"/>
  <c r="CO36" i="16"/>
  <c r="CO37" i="16"/>
  <c r="CO26" i="16"/>
  <c r="CO24" i="16"/>
  <c r="CO9" i="16"/>
  <c r="CB51" i="16"/>
  <c r="CB52" i="16"/>
  <c r="CB37" i="16"/>
  <c r="CB26" i="16"/>
  <c r="CB25" i="16"/>
  <c r="CB24" i="16"/>
  <c r="CB13" i="16"/>
  <c r="CB9" i="16"/>
  <c r="BO70" i="16"/>
  <c r="BO72" i="16"/>
  <c r="BO62" i="16"/>
  <c r="BO60" i="16"/>
  <c r="BO48" i="16"/>
  <c r="BO46" i="16"/>
  <c r="BO25" i="16"/>
  <c r="BO26" i="16"/>
  <c r="BO13" i="16"/>
  <c r="BO9" i="16"/>
  <c r="BO5" i="16"/>
  <c r="BB62" i="16"/>
  <c r="BB51" i="16"/>
  <c r="BB46" i="16"/>
  <c r="BB37" i="16"/>
  <c r="BB24" i="16"/>
  <c r="BB25" i="16"/>
  <c r="BB26" i="16"/>
  <c r="AO26" i="16"/>
  <c r="AO25" i="16"/>
  <c r="AE5" i="16" l="1"/>
  <c r="AH5" i="16" s="1"/>
  <c r="AP5" i="16" s="1"/>
  <c r="HD86" i="16"/>
  <c r="GQ86" i="16"/>
  <c r="GD86" i="16"/>
  <c r="FQ86" i="16"/>
  <c r="FD86" i="16"/>
  <c r="EQ86" i="16"/>
  <c r="ED86" i="16"/>
  <c r="DQ86" i="16"/>
  <c r="DD86" i="16"/>
  <c r="CQ86" i="16"/>
  <c r="CD86" i="16"/>
  <c r="BQ86" i="16"/>
  <c r="BD86" i="16"/>
  <c r="AQ86" i="16"/>
  <c r="AD86" i="16"/>
  <c r="HE84" i="16"/>
  <c r="HG84" i="16" s="1"/>
  <c r="HD84" i="16"/>
  <c r="GR84" i="16"/>
  <c r="GT84" i="16" s="1"/>
  <c r="GQ84" i="16"/>
  <c r="GE84" i="16"/>
  <c r="GG84" i="16" s="1"/>
  <c r="GD84" i="16"/>
  <c r="FR84" i="16"/>
  <c r="FT84" i="16" s="1"/>
  <c r="FQ84" i="16"/>
  <c r="FE84" i="16"/>
  <c r="FG84" i="16" s="1"/>
  <c r="FD84" i="16"/>
  <c r="ER84" i="16"/>
  <c r="ET84" i="16" s="1"/>
  <c r="EQ84" i="16"/>
  <c r="EE84" i="16"/>
  <c r="EG84" i="16" s="1"/>
  <c r="ED84" i="16"/>
  <c r="DR84" i="16"/>
  <c r="DQ84" i="16"/>
  <c r="DE84" i="16"/>
  <c r="DD84" i="16"/>
  <c r="CR84" i="16"/>
  <c r="CQ84" i="16"/>
  <c r="CE84" i="16"/>
  <c r="CD84" i="16"/>
  <c r="BR84" i="16"/>
  <c r="BU84" i="16" s="1"/>
  <c r="CC84" i="16" s="1"/>
  <c r="BQ84" i="16"/>
  <c r="BE84" i="16"/>
  <c r="BH84" i="16" s="1"/>
  <c r="BP84" i="16" s="1"/>
  <c r="BD84" i="16"/>
  <c r="AR84" i="16"/>
  <c r="AQ84" i="16"/>
  <c r="AE84" i="16"/>
  <c r="AH84" i="16" s="1"/>
  <c r="AP84" i="16" s="1"/>
  <c r="AD84" i="16"/>
  <c r="I84" i="16"/>
  <c r="H84" i="16"/>
  <c r="G84" i="16"/>
  <c r="F84" i="16"/>
  <c r="E84" i="16"/>
  <c r="D84" i="16"/>
  <c r="C84" i="16"/>
  <c r="B84" i="16"/>
  <c r="HE83" i="16"/>
  <c r="HG83" i="16" s="1"/>
  <c r="HD83" i="16"/>
  <c r="GR83" i="16"/>
  <c r="GT83" i="16" s="1"/>
  <c r="GQ83" i="16"/>
  <c r="GE83" i="16"/>
  <c r="GD83" i="16"/>
  <c r="FR83" i="16"/>
  <c r="FT83" i="16" s="1"/>
  <c r="FQ83" i="16"/>
  <c r="FE83" i="16"/>
  <c r="FG83" i="16" s="1"/>
  <c r="FD83" i="16"/>
  <c r="ER83" i="16"/>
  <c r="ET83" i="16" s="1"/>
  <c r="EQ83" i="16"/>
  <c r="EE83" i="16"/>
  <c r="EG83" i="16" s="1"/>
  <c r="ED83" i="16"/>
  <c r="DR83" i="16"/>
  <c r="DQ83" i="16"/>
  <c r="DE83" i="16"/>
  <c r="DD83" i="16"/>
  <c r="CR83" i="16"/>
  <c r="CQ83" i="16"/>
  <c r="CE83" i="16"/>
  <c r="CH83" i="16" s="1"/>
  <c r="CP83" i="16" s="1"/>
  <c r="CD83" i="16"/>
  <c r="BR83" i="16"/>
  <c r="BQ83" i="16"/>
  <c r="BE83" i="16"/>
  <c r="BD83" i="16"/>
  <c r="AR83" i="16"/>
  <c r="AQ83" i="16"/>
  <c r="AE83" i="16"/>
  <c r="AD83" i="16"/>
  <c r="I83" i="16"/>
  <c r="H83" i="16"/>
  <c r="G83" i="16"/>
  <c r="F83" i="16"/>
  <c r="E83" i="16"/>
  <c r="D83" i="16"/>
  <c r="C83" i="16"/>
  <c r="B83" i="16"/>
  <c r="HE82" i="16"/>
  <c r="HG82" i="16" s="1"/>
  <c r="HD82" i="16"/>
  <c r="GR82" i="16"/>
  <c r="GT82" i="16" s="1"/>
  <c r="GQ82" i="16"/>
  <c r="GE82" i="16"/>
  <c r="GG82" i="16" s="1"/>
  <c r="GD82" i="16"/>
  <c r="FR82" i="16"/>
  <c r="FT82" i="16" s="1"/>
  <c r="FQ82" i="16"/>
  <c r="FE82" i="16"/>
  <c r="FG82" i="16" s="1"/>
  <c r="FD82" i="16"/>
  <c r="ER82" i="16"/>
  <c r="ET82" i="16" s="1"/>
  <c r="EQ82" i="16"/>
  <c r="EE82" i="16"/>
  <c r="EG82" i="16" s="1"/>
  <c r="ED82" i="16"/>
  <c r="DR82" i="16"/>
  <c r="DQ82" i="16"/>
  <c r="DE82" i="16"/>
  <c r="DD82" i="16"/>
  <c r="CR82" i="16"/>
  <c r="CQ82" i="16"/>
  <c r="CE82" i="16"/>
  <c r="CD82" i="16"/>
  <c r="BR82" i="16"/>
  <c r="BQ82" i="16"/>
  <c r="BE82" i="16"/>
  <c r="BD82" i="16"/>
  <c r="AR82" i="16"/>
  <c r="AQ82" i="16"/>
  <c r="AE82" i="16"/>
  <c r="AH82" i="16" s="1"/>
  <c r="AP82" i="16" s="1"/>
  <c r="AD82" i="16"/>
  <c r="I82" i="16"/>
  <c r="H82" i="16"/>
  <c r="G82" i="16"/>
  <c r="F82" i="16"/>
  <c r="E82" i="16"/>
  <c r="D82" i="16"/>
  <c r="C82" i="16"/>
  <c r="B82" i="16"/>
  <c r="HE81" i="16"/>
  <c r="HG81" i="16" s="1"/>
  <c r="HD81" i="16"/>
  <c r="GR81" i="16"/>
  <c r="GT81" i="16" s="1"/>
  <c r="GQ81" i="16"/>
  <c r="GE81" i="16"/>
  <c r="GG81" i="16" s="1"/>
  <c r="GD81" i="16"/>
  <c r="FR81" i="16"/>
  <c r="FT81" i="16" s="1"/>
  <c r="FQ81" i="16"/>
  <c r="FE81" i="16"/>
  <c r="FG81" i="16" s="1"/>
  <c r="FD81" i="16"/>
  <c r="ER81" i="16"/>
  <c r="ET81" i="16" s="1"/>
  <c r="EQ81" i="16"/>
  <c r="EE81" i="16"/>
  <c r="EG81" i="16" s="1"/>
  <c r="ED81" i="16"/>
  <c r="DR81" i="16"/>
  <c r="DQ81" i="16"/>
  <c r="DE81" i="16"/>
  <c r="DD81" i="16"/>
  <c r="CR81" i="16"/>
  <c r="CQ81" i="16"/>
  <c r="CE81" i="16"/>
  <c r="CD81" i="16"/>
  <c r="BR81" i="16"/>
  <c r="BQ81" i="16"/>
  <c r="BE81" i="16"/>
  <c r="BD81" i="16"/>
  <c r="AR81" i="16"/>
  <c r="AQ81" i="16"/>
  <c r="AE81" i="16"/>
  <c r="AH81" i="16" s="1"/>
  <c r="AP81" i="16" s="1"/>
  <c r="AD81" i="16"/>
  <c r="I81" i="16"/>
  <c r="H81" i="16"/>
  <c r="G81" i="16"/>
  <c r="F81" i="16"/>
  <c r="E81" i="16"/>
  <c r="D81" i="16"/>
  <c r="C81" i="16"/>
  <c r="B81" i="16"/>
  <c r="Y79" i="16"/>
  <c r="X79" i="16"/>
  <c r="W79" i="16"/>
  <c r="V79" i="16"/>
  <c r="U79" i="16"/>
  <c r="T79" i="16"/>
  <c r="S79" i="16"/>
  <c r="R79" i="16"/>
  <c r="Q79" i="16"/>
  <c r="P79" i="16"/>
  <c r="O79" i="16"/>
  <c r="N79" i="16"/>
  <c r="M79" i="16"/>
  <c r="L79" i="16"/>
  <c r="K79" i="16"/>
  <c r="I79" i="16"/>
  <c r="H79" i="16"/>
  <c r="G79" i="16"/>
  <c r="F79" i="16"/>
  <c r="E79" i="16"/>
  <c r="D79" i="16"/>
  <c r="C79" i="16"/>
  <c r="B79" i="16"/>
  <c r="HD75" i="16"/>
  <c r="GQ75" i="16"/>
  <c r="GD75" i="16"/>
  <c r="FQ75" i="16"/>
  <c r="FD75" i="16"/>
  <c r="EQ75" i="16"/>
  <c r="ED75" i="16"/>
  <c r="DQ75" i="16"/>
  <c r="DD75" i="16"/>
  <c r="CQ75" i="16"/>
  <c r="CD75" i="16"/>
  <c r="BQ75" i="16"/>
  <c r="BD75" i="16"/>
  <c r="AQ75" i="16"/>
  <c r="AD75" i="16"/>
  <c r="HE73" i="16"/>
  <c r="HG73" i="16" s="1"/>
  <c r="HD73" i="16"/>
  <c r="GR73" i="16"/>
  <c r="GT73" i="16" s="1"/>
  <c r="GQ73" i="16"/>
  <c r="GE73" i="16"/>
  <c r="GG73" i="16" s="1"/>
  <c r="GD73" i="16"/>
  <c r="FR73" i="16"/>
  <c r="FT73" i="16" s="1"/>
  <c r="FQ73" i="16"/>
  <c r="FE73" i="16"/>
  <c r="FG73" i="16" s="1"/>
  <c r="FD73" i="16"/>
  <c r="ER73" i="16"/>
  <c r="ET73" i="16" s="1"/>
  <c r="EQ73" i="16"/>
  <c r="EE73" i="16"/>
  <c r="EG73" i="16" s="1"/>
  <c r="ED73" i="16"/>
  <c r="DR73" i="16"/>
  <c r="DQ73" i="16"/>
  <c r="DE73" i="16"/>
  <c r="DD73" i="16"/>
  <c r="CR73" i="16"/>
  <c r="CQ73" i="16"/>
  <c r="CE73" i="16"/>
  <c r="CD73" i="16"/>
  <c r="BR73" i="16"/>
  <c r="BQ73" i="16"/>
  <c r="BE73" i="16"/>
  <c r="BD73" i="16"/>
  <c r="AR73" i="16"/>
  <c r="AQ73" i="16"/>
  <c r="AE73" i="16"/>
  <c r="AH73" i="16" s="1"/>
  <c r="AP73" i="16" s="1"/>
  <c r="AD73" i="16"/>
  <c r="I73" i="16"/>
  <c r="H73" i="16"/>
  <c r="G73" i="16"/>
  <c r="F73" i="16"/>
  <c r="E73" i="16"/>
  <c r="D73" i="16"/>
  <c r="C73" i="16"/>
  <c r="B73" i="16"/>
  <c r="HE72" i="16"/>
  <c r="HG72" i="16" s="1"/>
  <c r="HD72" i="16"/>
  <c r="GR72" i="16"/>
  <c r="GT72" i="16" s="1"/>
  <c r="GQ72" i="16"/>
  <c r="GE72" i="16"/>
  <c r="GG72" i="16" s="1"/>
  <c r="GD72" i="16"/>
  <c r="FR72" i="16"/>
  <c r="FT72" i="16" s="1"/>
  <c r="FQ72" i="16"/>
  <c r="FE72" i="16"/>
  <c r="FG72" i="16" s="1"/>
  <c r="FD72" i="16"/>
  <c r="ER72" i="16"/>
  <c r="ET72" i="16" s="1"/>
  <c r="EQ72" i="16"/>
  <c r="EE72" i="16"/>
  <c r="EG72" i="16" s="1"/>
  <c r="ED72" i="16"/>
  <c r="DR72" i="16"/>
  <c r="DQ72" i="16"/>
  <c r="DE72" i="16"/>
  <c r="DD72" i="16"/>
  <c r="CR72" i="16"/>
  <c r="CQ72" i="16"/>
  <c r="CE72" i="16"/>
  <c r="CD72" i="16"/>
  <c r="BR72" i="16"/>
  <c r="BQ72" i="16"/>
  <c r="BE72" i="16"/>
  <c r="BD72" i="16"/>
  <c r="AR72" i="16"/>
  <c r="AQ72" i="16"/>
  <c r="AE72" i="16"/>
  <c r="AD72" i="16"/>
  <c r="I72" i="16"/>
  <c r="H72" i="16"/>
  <c r="G72" i="16"/>
  <c r="F72" i="16"/>
  <c r="E72" i="16"/>
  <c r="D72" i="16"/>
  <c r="C72" i="16"/>
  <c r="B72" i="16"/>
  <c r="HE71" i="16"/>
  <c r="HG71" i="16" s="1"/>
  <c r="HD71" i="16"/>
  <c r="GR71" i="16"/>
  <c r="GT71" i="16" s="1"/>
  <c r="GQ71" i="16"/>
  <c r="GE71" i="16"/>
  <c r="GG71" i="16" s="1"/>
  <c r="GD71" i="16"/>
  <c r="FR71" i="16"/>
  <c r="FT71" i="16" s="1"/>
  <c r="FQ71" i="16"/>
  <c r="FE71" i="16"/>
  <c r="FG71" i="16" s="1"/>
  <c r="FD71" i="16"/>
  <c r="ER71" i="16"/>
  <c r="ET71" i="16" s="1"/>
  <c r="EQ71" i="16"/>
  <c r="EE71" i="16"/>
  <c r="EG71" i="16" s="1"/>
  <c r="ED71" i="16"/>
  <c r="DR71" i="16"/>
  <c r="DQ71" i="16"/>
  <c r="DE71" i="16"/>
  <c r="DD71" i="16"/>
  <c r="CR71" i="16"/>
  <c r="CQ71" i="16"/>
  <c r="CE71" i="16"/>
  <c r="CD71" i="16"/>
  <c r="BR71" i="16"/>
  <c r="BQ71" i="16"/>
  <c r="BE71" i="16"/>
  <c r="BD71" i="16"/>
  <c r="AR71" i="16"/>
  <c r="AQ71" i="16"/>
  <c r="AE71" i="16"/>
  <c r="AD71" i="16"/>
  <c r="I71" i="16"/>
  <c r="H71" i="16"/>
  <c r="G71" i="16"/>
  <c r="F71" i="16"/>
  <c r="E71" i="16"/>
  <c r="D71" i="16"/>
  <c r="C71" i="16"/>
  <c r="B71" i="16"/>
  <c r="HE70" i="16"/>
  <c r="HG70" i="16" s="1"/>
  <c r="HD70" i="16"/>
  <c r="GR70" i="16"/>
  <c r="GT70" i="16" s="1"/>
  <c r="GQ70" i="16"/>
  <c r="GE70" i="16"/>
  <c r="GG70" i="16" s="1"/>
  <c r="GD70" i="16"/>
  <c r="FR70" i="16"/>
  <c r="FQ70" i="16"/>
  <c r="FE70" i="16"/>
  <c r="FG70" i="16" s="1"/>
  <c r="FD70" i="16"/>
  <c r="ER70" i="16"/>
  <c r="ET70" i="16" s="1"/>
  <c r="EQ70" i="16"/>
  <c r="EE70" i="16"/>
  <c r="ED70" i="16"/>
  <c r="DR70" i="16"/>
  <c r="DU70" i="16" s="1"/>
  <c r="DQ70" i="16"/>
  <c r="DE70" i="16"/>
  <c r="DD70" i="16"/>
  <c r="CR70" i="16"/>
  <c r="CQ70" i="16"/>
  <c r="CE70" i="16"/>
  <c r="CD70" i="16"/>
  <c r="BR70" i="16"/>
  <c r="BQ70" i="16"/>
  <c r="BE70" i="16"/>
  <c r="BD70" i="16"/>
  <c r="AR70" i="16"/>
  <c r="AQ70" i="16"/>
  <c r="AE70" i="16"/>
  <c r="AD70" i="16"/>
  <c r="I70" i="16"/>
  <c r="H70" i="16"/>
  <c r="G70" i="16"/>
  <c r="F70" i="16"/>
  <c r="E70" i="16"/>
  <c r="D70" i="16"/>
  <c r="C70" i="16"/>
  <c r="B70" i="16"/>
  <c r="Y68" i="16"/>
  <c r="X68" i="16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I68" i="16"/>
  <c r="H68" i="16"/>
  <c r="G68" i="16"/>
  <c r="F68" i="16"/>
  <c r="E68" i="16"/>
  <c r="D68" i="16"/>
  <c r="C68" i="16"/>
  <c r="B68" i="16"/>
  <c r="HD64" i="16"/>
  <c r="GQ64" i="16"/>
  <c r="GD64" i="16"/>
  <c r="FQ64" i="16"/>
  <c r="FD64" i="16"/>
  <c r="EQ64" i="16"/>
  <c r="ED64" i="16"/>
  <c r="DQ64" i="16"/>
  <c r="DD64" i="16"/>
  <c r="CQ64" i="16"/>
  <c r="CD64" i="16"/>
  <c r="BQ64" i="16"/>
  <c r="BD64" i="16"/>
  <c r="AQ64" i="16"/>
  <c r="AD64" i="16"/>
  <c r="HE62" i="16"/>
  <c r="HG62" i="16" s="1"/>
  <c r="HD62" i="16"/>
  <c r="GR62" i="16"/>
  <c r="GT62" i="16" s="1"/>
  <c r="GQ62" i="16"/>
  <c r="GE62" i="16"/>
  <c r="GG62" i="16" s="1"/>
  <c r="GD62" i="16"/>
  <c r="FR62" i="16"/>
  <c r="FT62" i="16" s="1"/>
  <c r="FQ62" i="16"/>
  <c r="FE62" i="16"/>
  <c r="FG62" i="16" s="1"/>
  <c r="FD62" i="16"/>
  <c r="ER62" i="16"/>
  <c r="ET62" i="16" s="1"/>
  <c r="EQ62" i="16"/>
  <c r="EE62" i="16"/>
  <c r="EG62" i="16" s="1"/>
  <c r="ED62" i="16"/>
  <c r="DR62" i="16"/>
  <c r="DQ62" i="16"/>
  <c r="DE62" i="16"/>
  <c r="DD62" i="16"/>
  <c r="CR62" i="16"/>
  <c r="CQ62" i="16"/>
  <c r="CE62" i="16"/>
  <c r="CD62" i="16"/>
  <c r="BR62" i="16"/>
  <c r="BQ62" i="16"/>
  <c r="BE62" i="16"/>
  <c r="BD62" i="16"/>
  <c r="AR62" i="16"/>
  <c r="AQ62" i="16"/>
  <c r="AE62" i="16"/>
  <c r="AH62" i="16" s="1"/>
  <c r="AP62" i="16" s="1"/>
  <c r="AD62" i="16"/>
  <c r="I62" i="16"/>
  <c r="H62" i="16"/>
  <c r="G62" i="16"/>
  <c r="F62" i="16"/>
  <c r="E62" i="16"/>
  <c r="D62" i="16"/>
  <c r="C62" i="16"/>
  <c r="B62" i="16"/>
  <c r="HE61" i="16"/>
  <c r="HG61" i="16" s="1"/>
  <c r="HD61" i="16"/>
  <c r="GR61" i="16"/>
  <c r="GT61" i="16" s="1"/>
  <c r="GQ61" i="16"/>
  <c r="GE61" i="16"/>
  <c r="GG61" i="16" s="1"/>
  <c r="GD61" i="16"/>
  <c r="FR61" i="16"/>
  <c r="FT61" i="16" s="1"/>
  <c r="FQ61" i="16"/>
  <c r="FE61" i="16"/>
  <c r="FG61" i="16" s="1"/>
  <c r="FD61" i="16"/>
  <c r="ER61" i="16"/>
  <c r="ET61" i="16" s="1"/>
  <c r="EQ61" i="16"/>
  <c r="EE61" i="16"/>
  <c r="EG61" i="16" s="1"/>
  <c r="ED61" i="16"/>
  <c r="DR61" i="16"/>
  <c r="DQ61" i="16"/>
  <c r="DE61" i="16"/>
  <c r="DD61" i="16"/>
  <c r="CR61" i="16"/>
  <c r="CQ61" i="16"/>
  <c r="CE61" i="16"/>
  <c r="CD61" i="16"/>
  <c r="BR61" i="16"/>
  <c r="BQ61" i="16"/>
  <c r="BE61" i="16"/>
  <c r="BD61" i="16"/>
  <c r="AR61" i="16"/>
  <c r="AQ61" i="16"/>
  <c r="AE61" i="16"/>
  <c r="AH61" i="16" s="1"/>
  <c r="AP61" i="16" s="1"/>
  <c r="AD61" i="16"/>
  <c r="I61" i="16"/>
  <c r="H61" i="16"/>
  <c r="G61" i="16"/>
  <c r="F61" i="16"/>
  <c r="E61" i="16"/>
  <c r="D61" i="16"/>
  <c r="C61" i="16"/>
  <c r="B61" i="16"/>
  <c r="HE60" i="16"/>
  <c r="HG60" i="16" s="1"/>
  <c r="HD60" i="16"/>
  <c r="GR60" i="16"/>
  <c r="GQ60" i="16"/>
  <c r="GE60" i="16"/>
  <c r="GG60" i="16" s="1"/>
  <c r="GD60" i="16"/>
  <c r="FR60" i="16"/>
  <c r="FT60" i="16" s="1"/>
  <c r="FQ60" i="16"/>
  <c r="FE60" i="16"/>
  <c r="FG60" i="16" s="1"/>
  <c r="FD60" i="16"/>
  <c r="ER60" i="16"/>
  <c r="ET60" i="16" s="1"/>
  <c r="EQ60" i="16"/>
  <c r="EE60" i="16"/>
  <c r="EG60" i="16" s="1"/>
  <c r="ED60" i="16"/>
  <c r="DR60" i="16"/>
  <c r="DQ60" i="16"/>
  <c r="DE60" i="16"/>
  <c r="DD60" i="16"/>
  <c r="CR60" i="16"/>
  <c r="CU60" i="16" s="1"/>
  <c r="DC60" i="16" s="1"/>
  <c r="CQ60" i="16"/>
  <c r="CE60" i="16"/>
  <c r="CD60" i="16"/>
  <c r="BR60" i="16"/>
  <c r="BQ60" i="16"/>
  <c r="BE60" i="16"/>
  <c r="BD60" i="16"/>
  <c r="AR60" i="16"/>
  <c r="AQ60" i="16"/>
  <c r="AE60" i="16"/>
  <c r="AD60" i="16"/>
  <c r="I60" i="16"/>
  <c r="H60" i="16"/>
  <c r="G60" i="16"/>
  <c r="F60" i="16"/>
  <c r="E60" i="16"/>
  <c r="D60" i="16"/>
  <c r="C60" i="16"/>
  <c r="B60" i="16"/>
  <c r="Y58" i="16"/>
  <c r="X58" i="16"/>
  <c r="W58" i="16"/>
  <c r="V58" i="16"/>
  <c r="U58" i="16"/>
  <c r="T58" i="16"/>
  <c r="S58" i="16"/>
  <c r="R58" i="16"/>
  <c r="Q58" i="16"/>
  <c r="P58" i="16"/>
  <c r="O58" i="16"/>
  <c r="N58" i="16"/>
  <c r="M58" i="16"/>
  <c r="L58" i="16"/>
  <c r="K58" i="16"/>
  <c r="I58" i="16"/>
  <c r="H58" i="16"/>
  <c r="G58" i="16"/>
  <c r="F58" i="16"/>
  <c r="E58" i="16"/>
  <c r="D58" i="16"/>
  <c r="C58" i="16"/>
  <c r="B58" i="16"/>
  <c r="HD54" i="16"/>
  <c r="GQ54" i="16"/>
  <c r="GD54" i="16"/>
  <c r="FQ54" i="16"/>
  <c r="FD54" i="16"/>
  <c r="EQ54" i="16"/>
  <c r="ED54" i="16"/>
  <c r="DQ54" i="16"/>
  <c r="DD54" i="16"/>
  <c r="CQ54" i="16"/>
  <c r="CD54" i="16"/>
  <c r="BQ54" i="16"/>
  <c r="BD54" i="16"/>
  <c r="AQ54" i="16"/>
  <c r="AD54" i="16"/>
  <c r="HE52" i="16"/>
  <c r="HD52" i="16"/>
  <c r="GR52" i="16"/>
  <c r="GT52" i="16" s="1"/>
  <c r="GQ52" i="16"/>
  <c r="GE52" i="16"/>
  <c r="GG52" i="16" s="1"/>
  <c r="GD52" i="16"/>
  <c r="FR52" i="16"/>
  <c r="FT52" i="16" s="1"/>
  <c r="FQ52" i="16"/>
  <c r="FE52" i="16"/>
  <c r="FD52" i="16"/>
  <c r="ER52" i="16"/>
  <c r="ET52" i="16" s="1"/>
  <c r="EQ52" i="16"/>
  <c r="EE52" i="16"/>
  <c r="EG52" i="16" s="1"/>
  <c r="ED52" i="16"/>
  <c r="DR52" i="16"/>
  <c r="DQ52" i="16"/>
  <c r="DE52" i="16"/>
  <c r="DD52" i="16"/>
  <c r="CR52" i="16"/>
  <c r="CQ52" i="16"/>
  <c r="CE52" i="16"/>
  <c r="CD52" i="16"/>
  <c r="BR52" i="16"/>
  <c r="BQ52" i="16"/>
  <c r="BE52" i="16"/>
  <c r="BD52" i="16"/>
  <c r="AR52" i="16"/>
  <c r="AQ52" i="16"/>
  <c r="AE52" i="16"/>
  <c r="AD52" i="16"/>
  <c r="I52" i="16"/>
  <c r="H52" i="16"/>
  <c r="G52" i="16"/>
  <c r="F52" i="16"/>
  <c r="E52" i="16"/>
  <c r="D52" i="16"/>
  <c r="C52" i="16"/>
  <c r="B52" i="16"/>
  <c r="HE51" i="16"/>
  <c r="HD51" i="16"/>
  <c r="GR51" i="16"/>
  <c r="GQ51" i="16"/>
  <c r="GE51" i="16"/>
  <c r="GD51" i="16"/>
  <c r="FR51" i="16"/>
  <c r="FQ51" i="16"/>
  <c r="FE51" i="16"/>
  <c r="FD51" i="16"/>
  <c r="ER51" i="16"/>
  <c r="EQ51" i="16"/>
  <c r="EE51" i="16"/>
  <c r="ED51" i="16"/>
  <c r="DR51" i="16"/>
  <c r="DU51" i="16" s="1"/>
  <c r="EC51" i="16" s="1"/>
  <c r="DQ51" i="16"/>
  <c r="DE51" i="16"/>
  <c r="DH51" i="16" s="1"/>
  <c r="DP51" i="16" s="1"/>
  <c r="DD51" i="16"/>
  <c r="CR51" i="16"/>
  <c r="CU51" i="16" s="1"/>
  <c r="DC51" i="16" s="1"/>
  <c r="CQ51" i="16"/>
  <c r="CE51" i="16"/>
  <c r="CH51" i="16" s="1"/>
  <c r="CP51" i="16" s="1"/>
  <c r="CD51" i="16"/>
  <c r="BR51" i="16"/>
  <c r="BU51" i="16" s="1"/>
  <c r="CC51" i="16" s="1"/>
  <c r="BQ51" i="16"/>
  <c r="BE51" i="16"/>
  <c r="BH51" i="16" s="1"/>
  <c r="BP51" i="16" s="1"/>
  <c r="BD51" i="16"/>
  <c r="AR51" i="16"/>
  <c r="AU51" i="16" s="1"/>
  <c r="BC51" i="16" s="1"/>
  <c r="AQ51" i="16"/>
  <c r="AE51" i="16"/>
  <c r="AH51" i="16" s="1"/>
  <c r="AP51" i="16" s="1"/>
  <c r="AD51" i="16"/>
  <c r="I51" i="16"/>
  <c r="H51" i="16"/>
  <c r="G51" i="16"/>
  <c r="F51" i="16"/>
  <c r="E51" i="16"/>
  <c r="D51" i="16"/>
  <c r="C51" i="16"/>
  <c r="B51" i="16"/>
  <c r="DR50" i="16"/>
  <c r="DQ50" i="16"/>
  <c r="I50" i="16"/>
  <c r="H50" i="16"/>
  <c r="G50" i="16"/>
  <c r="F50" i="16"/>
  <c r="E50" i="16"/>
  <c r="D50" i="16"/>
  <c r="C50" i="16"/>
  <c r="B50" i="16"/>
  <c r="HE49" i="16"/>
  <c r="HG49" i="16" s="1"/>
  <c r="HD49" i="16"/>
  <c r="GR49" i="16"/>
  <c r="GT49" i="16" s="1"/>
  <c r="GQ49" i="16"/>
  <c r="GE49" i="16"/>
  <c r="GG49" i="16" s="1"/>
  <c r="GD49" i="16"/>
  <c r="FR49" i="16"/>
  <c r="FT49" i="16" s="1"/>
  <c r="FQ49" i="16"/>
  <c r="FE49" i="16"/>
  <c r="FG49" i="16" s="1"/>
  <c r="FD49" i="16"/>
  <c r="ER49" i="16"/>
  <c r="ET49" i="16" s="1"/>
  <c r="EQ49" i="16"/>
  <c r="EE49" i="16"/>
  <c r="EG49" i="16" s="1"/>
  <c r="ED49" i="16"/>
  <c r="DR49" i="16"/>
  <c r="DQ49" i="16"/>
  <c r="DE49" i="16"/>
  <c r="DD49" i="16"/>
  <c r="CR49" i="16"/>
  <c r="CQ49" i="16"/>
  <c r="CE49" i="16"/>
  <c r="CD49" i="16"/>
  <c r="BR49" i="16"/>
  <c r="BQ49" i="16"/>
  <c r="BE49" i="16"/>
  <c r="BD49" i="16"/>
  <c r="AR49" i="16"/>
  <c r="AQ49" i="16"/>
  <c r="AE49" i="16"/>
  <c r="AH49" i="16" s="1"/>
  <c r="AP49" i="16" s="1"/>
  <c r="AD49" i="16"/>
  <c r="I49" i="16"/>
  <c r="H49" i="16"/>
  <c r="G49" i="16"/>
  <c r="F49" i="16"/>
  <c r="E49" i="16"/>
  <c r="D49" i="16"/>
  <c r="C49" i="16"/>
  <c r="B49" i="16"/>
  <c r="HE48" i="16"/>
  <c r="HG48" i="16" s="1"/>
  <c r="HD48" i="16"/>
  <c r="GR48" i="16"/>
  <c r="GT48" i="16" s="1"/>
  <c r="GQ48" i="16"/>
  <c r="GE48" i="16"/>
  <c r="GG48" i="16" s="1"/>
  <c r="GD48" i="16"/>
  <c r="FR48" i="16"/>
  <c r="FT48" i="16" s="1"/>
  <c r="FQ48" i="16"/>
  <c r="FE48" i="16"/>
  <c r="FG48" i="16" s="1"/>
  <c r="FD48" i="16"/>
  <c r="ER48" i="16"/>
  <c r="ET48" i="16" s="1"/>
  <c r="EQ48" i="16"/>
  <c r="EE48" i="16"/>
  <c r="EG48" i="16" s="1"/>
  <c r="ED48" i="16"/>
  <c r="DR48" i="16"/>
  <c r="DQ48" i="16"/>
  <c r="DE48" i="16"/>
  <c r="DD48" i="16"/>
  <c r="CR48" i="16"/>
  <c r="CQ48" i="16"/>
  <c r="CE48" i="16"/>
  <c r="CD48" i="16"/>
  <c r="BR48" i="16"/>
  <c r="BQ48" i="16"/>
  <c r="BE48" i="16"/>
  <c r="BD48" i="16"/>
  <c r="AR48" i="16"/>
  <c r="AQ48" i="16"/>
  <c r="AE48" i="16"/>
  <c r="AH48" i="16" s="1"/>
  <c r="AP48" i="16" s="1"/>
  <c r="AD48" i="16"/>
  <c r="I48" i="16"/>
  <c r="H48" i="16"/>
  <c r="G48" i="16"/>
  <c r="F48" i="16"/>
  <c r="E48" i="16"/>
  <c r="D48" i="16"/>
  <c r="C48" i="16"/>
  <c r="B48" i="16"/>
  <c r="HE47" i="16"/>
  <c r="HD47" i="16"/>
  <c r="GR47" i="16"/>
  <c r="GQ47" i="16"/>
  <c r="GE47" i="16"/>
  <c r="GD47" i="16"/>
  <c r="FR47" i="16"/>
  <c r="FQ47" i="16"/>
  <c r="FE47" i="16"/>
  <c r="FD47" i="16"/>
  <c r="ER47" i="16"/>
  <c r="EQ47" i="16"/>
  <c r="EE47" i="16"/>
  <c r="ED47" i="16"/>
  <c r="DR47" i="16"/>
  <c r="DU47" i="16" s="1"/>
  <c r="EC47" i="16" s="1"/>
  <c r="DQ47" i="16"/>
  <c r="DE47" i="16"/>
  <c r="DH47" i="16" s="1"/>
  <c r="DP47" i="16" s="1"/>
  <c r="DD47" i="16"/>
  <c r="CR47" i="16"/>
  <c r="CU47" i="16" s="1"/>
  <c r="DC47" i="16" s="1"/>
  <c r="CQ47" i="16"/>
  <c r="CE47" i="16"/>
  <c r="CH47" i="16" s="1"/>
  <c r="CP47" i="16" s="1"/>
  <c r="CD47" i="16"/>
  <c r="BR47" i="16"/>
  <c r="BU47" i="16" s="1"/>
  <c r="CC47" i="16" s="1"/>
  <c r="BQ47" i="16"/>
  <c r="BE47" i="16"/>
  <c r="BH47" i="16" s="1"/>
  <c r="BP47" i="16" s="1"/>
  <c r="BD47" i="16"/>
  <c r="AR47" i="16"/>
  <c r="AU47" i="16" s="1"/>
  <c r="BC47" i="16" s="1"/>
  <c r="AQ47" i="16"/>
  <c r="AE47" i="16"/>
  <c r="AH47" i="16" s="1"/>
  <c r="AP47" i="16" s="1"/>
  <c r="AD47" i="16"/>
  <c r="I47" i="16"/>
  <c r="H47" i="16"/>
  <c r="G47" i="16"/>
  <c r="F47" i="16"/>
  <c r="E47" i="16"/>
  <c r="D47" i="16"/>
  <c r="C47" i="16"/>
  <c r="B47" i="16"/>
  <c r="HE46" i="16"/>
  <c r="HG46" i="16" s="1"/>
  <c r="HD46" i="16"/>
  <c r="GR46" i="16"/>
  <c r="GT46" i="16" s="1"/>
  <c r="GQ46" i="16"/>
  <c r="GE46" i="16"/>
  <c r="GG46" i="16" s="1"/>
  <c r="GD46" i="16"/>
  <c r="FR46" i="16"/>
  <c r="FT46" i="16" s="1"/>
  <c r="FQ46" i="16"/>
  <c r="FE46" i="16"/>
  <c r="FG46" i="16" s="1"/>
  <c r="FD46" i="16"/>
  <c r="ER46" i="16"/>
  <c r="ET46" i="16" s="1"/>
  <c r="EQ46" i="16"/>
  <c r="EE46" i="16"/>
  <c r="EG46" i="16" s="1"/>
  <c r="ED46" i="16"/>
  <c r="DR46" i="16"/>
  <c r="DQ46" i="16"/>
  <c r="DE46" i="16"/>
  <c r="DD46" i="16"/>
  <c r="CR46" i="16"/>
  <c r="CQ46" i="16"/>
  <c r="CE46" i="16"/>
  <c r="CD46" i="16"/>
  <c r="BR46" i="16"/>
  <c r="BQ46" i="16"/>
  <c r="BE46" i="16"/>
  <c r="BD46" i="16"/>
  <c r="AR46" i="16"/>
  <c r="AQ46" i="16"/>
  <c r="AE46" i="16"/>
  <c r="AH46" i="16" s="1"/>
  <c r="AP46" i="16" s="1"/>
  <c r="AD46" i="16"/>
  <c r="I46" i="16"/>
  <c r="H46" i="16"/>
  <c r="G46" i="16"/>
  <c r="F46" i="16"/>
  <c r="E46" i="16"/>
  <c r="D46" i="16"/>
  <c r="C46" i="16"/>
  <c r="B46" i="16"/>
  <c r="Y44" i="16"/>
  <c r="X44" i="16"/>
  <c r="W44" i="16"/>
  <c r="V44" i="16"/>
  <c r="U44" i="16"/>
  <c r="T44" i="16"/>
  <c r="S44" i="16"/>
  <c r="R44" i="16"/>
  <c r="Q44" i="16"/>
  <c r="P44" i="16"/>
  <c r="O44" i="16"/>
  <c r="N44" i="16"/>
  <c r="M44" i="16"/>
  <c r="L44" i="16"/>
  <c r="K44" i="16"/>
  <c r="H44" i="16"/>
  <c r="G44" i="16"/>
  <c r="F44" i="16"/>
  <c r="E44" i="16"/>
  <c r="D44" i="16"/>
  <c r="C44" i="16"/>
  <c r="B44" i="16"/>
  <c r="HD40" i="16"/>
  <c r="GQ40" i="16"/>
  <c r="GD40" i="16"/>
  <c r="FQ40" i="16"/>
  <c r="FD40" i="16"/>
  <c r="EQ40" i="16"/>
  <c r="ED40" i="16"/>
  <c r="DQ40" i="16"/>
  <c r="DD40" i="16"/>
  <c r="CQ40" i="16"/>
  <c r="CD40" i="16"/>
  <c r="BQ40" i="16"/>
  <c r="BD40" i="16"/>
  <c r="AQ40" i="16"/>
  <c r="AD40" i="16"/>
  <c r="DR38" i="16"/>
  <c r="DQ38" i="16"/>
  <c r="Z38" i="16" s="1"/>
  <c r="I38" i="16"/>
  <c r="H38" i="16"/>
  <c r="G38" i="16"/>
  <c r="F38" i="16"/>
  <c r="E38" i="16"/>
  <c r="D38" i="16"/>
  <c r="C38" i="16"/>
  <c r="B38" i="16"/>
  <c r="HE37" i="16"/>
  <c r="HG37" i="16" s="1"/>
  <c r="HD37" i="16"/>
  <c r="GR37" i="16"/>
  <c r="GT37" i="16" s="1"/>
  <c r="GQ37" i="16"/>
  <c r="GE37" i="16"/>
  <c r="GG37" i="16" s="1"/>
  <c r="GD37" i="16"/>
  <c r="FR37" i="16"/>
  <c r="FT37" i="16" s="1"/>
  <c r="FQ37" i="16"/>
  <c r="FE37" i="16"/>
  <c r="FG37" i="16" s="1"/>
  <c r="FD37" i="16"/>
  <c r="ER37" i="16"/>
  <c r="ET37" i="16" s="1"/>
  <c r="EQ37" i="16"/>
  <c r="EE37" i="16"/>
  <c r="EG37" i="16" s="1"/>
  <c r="ED37" i="16"/>
  <c r="DR37" i="16"/>
  <c r="DQ37" i="16"/>
  <c r="DE37" i="16"/>
  <c r="DD37" i="16"/>
  <c r="CR37" i="16"/>
  <c r="CQ37" i="16"/>
  <c r="CE37" i="16"/>
  <c r="CD37" i="16"/>
  <c r="BR37" i="16"/>
  <c r="BQ37" i="16"/>
  <c r="BE37" i="16"/>
  <c r="BD37" i="16"/>
  <c r="AR37" i="16"/>
  <c r="AQ37" i="16"/>
  <c r="AE37" i="16"/>
  <c r="AD37" i="16"/>
  <c r="I37" i="16"/>
  <c r="H37" i="16"/>
  <c r="G37" i="16"/>
  <c r="F37" i="16"/>
  <c r="E37" i="16"/>
  <c r="D37" i="16"/>
  <c r="C37" i="16"/>
  <c r="B37" i="16"/>
  <c r="HE36" i="16"/>
  <c r="HG36" i="16" s="1"/>
  <c r="HD36" i="16"/>
  <c r="GR36" i="16"/>
  <c r="GQ36" i="16"/>
  <c r="GE36" i="16"/>
  <c r="GD36" i="16"/>
  <c r="FR36" i="16"/>
  <c r="FQ36" i="16"/>
  <c r="FE36" i="16"/>
  <c r="FG36" i="16" s="1"/>
  <c r="FD36" i="16"/>
  <c r="ER36" i="16"/>
  <c r="EQ36" i="16"/>
  <c r="EE36" i="16"/>
  <c r="EG36" i="16" s="1"/>
  <c r="ED36" i="16"/>
  <c r="DR36" i="16"/>
  <c r="DU36" i="16" s="1"/>
  <c r="EC36" i="16" s="1"/>
  <c r="DQ36" i="16"/>
  <c r="DE36" i="16"/>
  <c r="DD36" i="16"/>
  <c r="CR36" i="16"/>
  <c r="CU36" i="16" s="1"/>
  <c r="DC36" i="16" s="1"/>
  <c r="CQ36" i="16"/>
  <c r="CE36" i="16"/>
  <c r="CH36" i="16" s="1"/>
  <c r="CP36" i="16" s="1"/>
  <c r="CD36" i="16"/>
  <c r="BR36" i="16"/>
  <c r="BU36" i="16" s="1"/>
  <c r="CC36" i="16" s="1"/>
  <c r="BQ36" i="16"/>
  <c r="BE36" i="16"/>
  <c r="BD36" i="16"/>
  <c r="AR36" i="16"/>
  <c r="AU36" i="16" s="1"/>
  <c r="BC36" i="16" s="1"/>
  <c r="AQ36" i="16"/>
  <c r="AE36" i="16"/>
  <c r="AD36" i="16"/>
  <c r="I36" i="16"/>
  <c r="H36" i="16"/>
  <c r="G36" i="16"/>
  <c r="F36" i="16"/>
  <c r="E36" i="16"/>
  <c r="D36" i="16"/>
  <c r="C36" i="16"/>
  <c r="B36" i="16"/>
  <c r="Y34" i="16"/>
  <c r="X34" i="16"/>
  <c r="W34" i="16"/>
  <c r="V34" i="16"/>
  <c r="U34" i="16"/>
  <c r="T34" i="16"/>
  <c r="S34" i="16"/>
  <c r="R34" i="16"/>
  <c r="Q34" i="16"/>
  <c r="P34" i="16"/>
  <c r="O34" i="16"/>
  <c r="N34" i="16"/>
  <c r="M34" i="16"/>
  <c r="L34" i="16"/>
  <c r="K34" i="16"/>
  <c r="I34" i="16"/>
  <c r="H34" i="16"/>
  <c r="G34" i="16"/>
  <c r="F34" i="16"/>
  <c r="E34" i="16"/>
  <c r="D34" i="16"/>
  <c r="C34" i="16"/>
  <c r="B34" i="16"/>
  <c r="HD30" i="16"/>
  <c r="GQ30" i="16"/>
  <c r="GD30" i="16"/>
  <c r="FQ30" i="16"/>
  <c r="FD30" i="16"/>
  <c r="EQ30" i="16"/>
  <c r="ED30" i="16"/>
  <c r="DQ30" i="16"/>
  <c r="DD30" i="16"/>
  <c r="CQ30" i="16"/>
  <c r="CD30" i="16"/>
  <c r="BQ30" i="16"/>
  <c r="BD30" i="16"/>
  <c r="AQ30" i="16"/>
  <c r="AD30" i="16"/>
  <c r="DR28" i="16"/>
  <c r="DQ28" i="16"/>
  <c r="I28" i="16"/>
  <c r="H28" i="16"/>
  <c r="G28" i="16"/>
  <c r="F28" i="16"/>
  <c r="E28" i="16"/>
  <c r="D28" i="16"/>
  <c r="C28" i="16"/>
  <c r="B28" i="16"/>
  <c r="DR27" i="16"/>
  <c r="DU27" i="16" s="1"/>
  <c r="EC27" i="16" s="1"/>
  <c r="DQ27" i="16"/>
  <c r="I27" i="16"/>
  <c r="H27" i="16"/>
  <c r="G27" i="16"/>
  <c r="F27" i="16"/>
  <c r="E27" i="16"/>
  <c r="D27" i="16"/>
  <c r="C27" i="16"/>
  <c r="B27" i="16"/>
  <c r="HE26" i="16"/>
  <c r="HG26" i="16" s="1"/>
  <c r="HD26" i="16"/>
  <c r="GR26" i="16"/>
  <c r="GT26" i="16" s="1"/>
  <c r="GQ26" i="16"/>
  <c r="GE26" i="16"/>
  <c r="GG26" i="16" s="1"/>
  <c r="GD26" i="16"/>
  <c r="FR26" i="16"/>
  <c r="FT26" i="16" s="1"/>
  <c r="FQ26" i="16"/>
  <c r="FE26" i="16"/>
  <c r="FG26" i="16" s="1"/>
  <c r="FD26" i="16"/>
  <c r="ER26" i="16"/>
  <c r="ET26" i="16" s="1"/>
  <c r="EQ26" i="16"/>
  <c r="EE26" i="16"/>
  <c r="EG26" i="16" s="1"/>
  <c r="ED26" i="16"/>
  <c r="DR26" i="16"/>
  <c r="DQ26" i="16"/>
  <c r="DE26" i="16"/>
  <c r="DD26" i="16"/>
  <c r="CR26" i="16"/>
  <c r="CQ26" i="16"/>
  <c r="CE26" i="16"/>
  <c r="CD26" i="16"/>
  <c r="BR26" i="16"/>
  <c r="BQ26" i="16"/>
  <c r="BE26" i="16"/>
  <c r="BD26" i="16"/>
  <c r="AR26" i="16"/>
  <c r="AQ26" i="16"/>
  <c r="AE26" i="16"/>
  <c r="AD26" i="16"/>
  <c r="I26" i="16"/>
  <c r="H26" i="16"/>
  <c r="G26" i="16"/>
  <c r="F26" i="16"/>
  <c r="E26" i="16"/>
  <c r="D26" i="16"/>
  <c r="C26" i="16"/>
  <c r="B26" i="16"/>
  <c r="HE25" i="16"/>
  <c r="HG25" i="16" s="1"/>
  <c r="HD25" i="16"/>
  <c r="GR25" i="16"/>
  <c r="GT25" i="16" s="1"/>
  <c r="GQ25" i="16"/>
  <c r="GE25" i="16"/>
  <c r="GG25" i="16" s="1"/>
  <c r="GD25" i="16"/>
  <c r="FR25" i="16"/>
  <c r="FT25" i="16" s="1"/>
  <c r="FQ25" i="16"/>
  <c r="FE25" i="16"/>
  <c r="FG25" i="16" s="1"/>
  <c r="FD25" i="16"/>
  <c r="ER25" i="16"/>
  <c r="ET25" i="16" s="1"/>
  <c r="EQ25" i="16"/>
  <c r="EE25" i="16"/>
  <c r="EG25" i="16" s="1"/>
  <c r="ED25" i="16"/>
  <c r="DR25" i="16"/>
  <c r="DQ25" i="16"/>
  <c r="DE25" i="16"/>
  <c r="DD25" i="16"/>
  <c r="CR25" i="16"/>
  <c r="CQ25" i="16"/>
  <c r="CE25" i="16"/>
  <c r="CD25" i="16"/>
  <c r="BR25" i="16"/>
  <c r="BQ25" i="16"/>
  <c r="BE25" i="16"/>
  <c r="BD25" i="16"/>
  <c r="AR25" i="16"/>
  <c r="AQ25" i="16"/>
  <c r="AE25" i="16"/>
  <c r="AD25" i="16"/>
  <c r="I25" i="16"/>
  <c r="H25" i="16"/>
  <c r="G25" i="16"/>
  <c r="F25" i="16"/>
  <c r="E25" i="16"/>
  <c r="D25" i="16"/>
  <c r="C25" i="16"/>
  <c r="B25" i="16"/>
  <c r="HE24" i="16"/>
  <c r="HG24" i="16" s="1"/>
  <c r="HD24" i="16"/>
  <c r="GR24" i="16"/>
  <c r="GT24" i="16" s="1"/>
  <c r="GQ24" i="16"/>
  <c r="GE24" i="16"/>
  <c r="GG24" i="16" s="1"/>
  <c r="GD24" i="16"/>
  <c r="FR24" i="16"/>
  <c r="FT24" i="16" s="1"/>
  <c r="FQ24" i="16"/>
  <c r="FE24" i="16"/>
  <c r="FG24" i="16" s="1"/>
  <c r="FD24" i="16"/>
  <c r="ER24" i="16"/>
  <c r="ET24" i="16" s="1"/>
  <c r="EQ24" i="16"/>
  <c r="EE24" i="16"/>
  <c r="EG24" i="16" s="1"/>
  <c r="ED24" i="16"/>
  <c r="DR24" i="16"/>
  <c r="DQ24" i="16"/>
  <c r="DE24" i="16"/>
  <c r="DD24" i="16"/>
  <c r="CR24" i="16"/>
  <c r="CQ24" i="16"/>
  <c r="CE24" i="16"/>
  <c r="CD24" i="16"/>
  <c r="BR24" i="16"/>
  <c r="BQ24" i="16"/>
  <c r="BE24" i="16"/>
  <c r="BD24" i="16"/>
  <c r="AR24" i="16"/>
  <c r="AQ24" i="16"/>
  <c r="AE24" i="16"/>
  <c r="AH24" i="16" s="1"/>
  <c r="AP24" i="16" s="1"/>
  <c r="AD24" i="16"/>
  <c r="I24" i="16"/>
  <c r="H24" i="16"/>
  <c r="G24" i="16"/>
  <c r="F24" i="16"/>
  <c r="E24" i="16"/>
  <c r="D24" i="16"/>
  <c r="C24" i="16"/>
  <c r="B24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I22" i="16"/>
  <c r="H22" i="16"/>
  <c r="G22" i="16"/>
  <c r="F22" i="16"/>
  <c r="E22" i="16"/>
  <c r="D22" i="16"/>
  <c r="C22" i="16"/>
  <c r="B22" i="16"/>
  <c r="HD18" i="16"/>
  <c r="GQ18" i="16"/>
  <c r="GD18" i="16"/>
  <c r="FQ18" i="16"/>
  <c r="FD18" i="16"/>
  <c r="EQ18" i="16"/>
  <c r="ED18" i="16"/>
  <c r="DQ18" i="16"/>
  <c r="DD18" i="16"/>
  <c r="CQ18" i="16"/>
  <c r="CD18" i="16"/>
  <c r="BQ18" i="16"/>
  <c r="BD18" i="16"/>
  <c r="AQ18" i="16"/>
  <c r="DR16" i="16"/>
  <c r="DU16" i="16" s="1"/>
  <c r="EC16" i="16" s="1"/>
  <c r="DQ16" i="16"/>
  <c r="I16" i="16"/>
  <c r="H16" i="16"/>
  <c r="G16" i="16"/>
  <c r="F16" i="16"/>
  <c r="E16" i="16"/>
  <c r="D16" i="16"/>
  <c r="C16" i="16"/>
  <c r="B16" i="16"/>
  <c r="HE15" i="16"/>
  <c r="HG15" i="16" s="1"/>
  <c r="HD15" i="16"/>
  <c r="GR15" i="16"/>
  <c r="GT15" i="16" s="1"/>
  <c r="GQ15" i="16"/>
  <c r="GE15" i="16"/>
  <c r="GG15" i="16" s="1"/>
  <c r="GD15" i="16"/>
  <c r="FR15" i="16"/>
  <c r="FT15" i="16" s="1"/>
  <c r="FQ15" i="16"/>
  <c r="FE15" i="16"/>
  <c r="FG15" i="16" s="1"/>
  <c r="FD15" i="16"/>
  <c r="ER15" i="16"/>
  <c r="ET15" i="16" s="1"/>
  <c r="EQ15" i="16"/>
  <c r="EE15" i="16"/>
  <c r="EG15" i="16" s="1"/>
  <c r="ED15" i="16"/>
  <c r="DR15" i="16"/>
  <c r="DQ15" i="16"/>
  <c r="DE15" i="16"/>
  <c r="DD15" i="16"/>
  <c r="CR15" i="16"/>
  <c r="CQ15" i="16"/>
  <c r="CE15" i="16"/>
  <c r="CD15" i="16"/>
  <c r="BR15" i="16"/>
  <c r="BQ15" i="16"/>
  <c r="BE15" i="16"/>
  <c r="BD15" i="16"/>
  <c r="AR15" i="16"/>
  <c r="AQ15" i="16"/>
  <c r="AE15" i="16"/>
  <c r="AH15" i="16" s="1"/>
  <c r="AP15" i="16" s="1"/>
  <c r="AD15" i="16"/>
  <c r="I15" i="16"/>
  <c r="H15" i="16"/>
  <c r="G15" i="16"/>
  <c r="F15" i="16"/>
  <c r="E15" i="16"/>
  <c r="D15" i="16"/>
  <c r="C15" i="16"/>
  <c r="B15" i="16"/>
  <c r="HE14" i="16"/>
  <c r="HG14" i="16" s="1"/>
  <c r="HD14" i="16"/>
  <c r="GR14" i="16"/>
  <c r="GT14" i="16" s="1"/>
  <c r="GQ14" i="16"/>
  <c r="GE14" i="16"/>
  <c r="GG14" i="16" s="1"/>
  <c r="GD14" i="16"/>
  <c r="FR14" i="16"/>
  <c r="FT14" i="16" s="1"/>
  <c r="FQ14" i="16"/>
  <c r="FE14" i="16"/>
  <c r="FG14" i="16" s="1"/>
  <c r="FD14" i="16"/>
  <c r="ER14" i="16"/>
  <c r="ET14" i="16" s="1"/>
  <c r="EQ14" i="16"/>
  <c r="EE14" i="16"/>
  <c r="EG14" i="16" s="1"/>
  <c r="ED14" i="16"/>
  <c r="DR14" i="16"/>
  <c r="DQ14" i="16"/>
  <c r="DE14" i="16"/>
  <c r="DD14" i="16"/>
  <c r="CR14" i="16"/>
  <c r="CQ14" i="16"/>
  <c r="CE14" i="16"/>
  <c r="CD14" i="16"/>
  <c r="BR14" i="16"/>
  <c r="BQ14" i="16"/>
  <c r="BE14" i="16"/>
  <c r="BD14" i="16"/>
  <c r="AR14" i="16"/>
  <c r="AQ14" i="16"/>
  <c r="AE14" i="16"/>
  <c r="AH14" i="16" s="1"/>
  <c r="AP14" i="16" s="1"/>
  <c r="AD14" i="16"/>
  <c r="I14" i="16"/>
  <c r="H14" i="16"/>
  <c r="G14" i="16"/>
  <c r="F14" i="16"/>
  <c r="E14" i="16"/>
  <c r="D14" i="16"/>
  <c r="C14" i="16"/>
  <c r="B14" i="16"/>
  <c r="HE13" i="16"/>
  <c r="HG13" i="16" s="1"/>
  <c r="HD13" i="16"/>
  <c r="GR13" i="16"/>
  <c r="GT13" i="16" s="1"/>
  <c r="GQ13" i="16"/>
  <c r="GE13" i="16"/>
  <c r="GG13" i="16" s="1"/>
  <c r="GD13" i="16"/>
  <c r="FR13" i="16"/>
  <c r="FT13" i="16" s="1"/>
  <c r="FQ13" i="16"/>
  <c r="FE13" i="16"/>
  <c r="FG13" i="16" s="1"/>
  <c r="FD13" i="16"/>
  <c r="ER13" i="16"/>
  <c r="ET13" i="16" s="1"/>
  <c r="EQ13" i="16"/>
  <c r="EE13" i="16"/>
  <c r="EG13" i="16" s="1"/>
  <c r="ED13" i="16"/>
  <c r="DR13" i="16"/>
  <c r="DQ13" i="16"/>
  <c r="DE13" i="16"/>
  <c r="DD13" i="16"/>
  <c r="CR13" i="16"/>
  <c r="CQ13" i="16"/>
  <c r="CE13" i="16"/>
  <c r="CD13" i="16"/>
  <c r="BR13" i="16"/>
  <c r="BQ13" i="16"/>
  <c r="BE13" i="16"/>
  <c r="BD13" i="16"/>
  <c r="AR13" i="16"/>
  <c r="AQ13" i="16"/>
  <c r="AE13" i="16"/>
  <c r="AH13" i="16" s="1"/>
  <c r="AP13" i="16" s="1"/>
  <c r="AD13" i="16"/>
  <c r="I13" i="16"/>
  <c r="H13" i="16"/>
  <c r="G13" i="16"/>
  <c r="F13" i="16"/>
  <c r="E13" i="16"/>
  <c r="D13" i="16"/>
  <c r="C13" i="16"/>
  <c r="B13" i="16"/>
  <c r="HE12" i="16"/>
  <c r="HG12" i="16" s="1"/>
  <c r="HD12" i="16"/>
  <c r="GR12" i="16"/>
  <c r="GT12" i="16" s="1"/>
  <c r="GQ12" i="16"/>
  <c r="GE12" i="16"/>
  <c r="GG12" i="16" s="1"/>
  <c r="GD12" i="16"/>
  <c r="FR12" i="16"/>
  <c r="FT12" i="16" s="1"/>
  <c r="FQ12" i="16"/>
  <c r="FE12" i="16"/>
  <c r="FG12" i="16" s="1"/>
  <c r="FD12" i="16"/>
  <c r="ER12" i="16"/>
  <c r="ET12" i="16" s="1"/>
  <c r="EQ12" i="16"/>
  <c r="EE12" i="16"/>
  <c r="EG12" i="16" s="1"/>
  <c r="ED12" i="16"/>
  <c r="DR12" i="16"/>
  <c r="DQ12" i="16"/>
  <c r="DE12" i="16"/>
  <c r="DD12" i="16"/>
  <c r="CR12" i="16"/>
  <c r="CQ12" i="16"/>
  <c r="CE12" i="16"/>
  <c r="CD12" i="16"/>
  <c r="BR12" i="16"/>
  <c r="BQ12" i="16"/>
  <c r="BE12" i="16"/>
  <c r="BD12" i="16"/>
  <c r="AR12" i="16"/>
  <c r="AQ12" i="16"/>
  <c r="AE12" i="16"/>
  <c r="AH12" i="16" s="1"/>
  <c r="AP12" i="16" s="1"/>
  <c r="AD12" i="16"/>
  <c r="I12" i="16"/>
  <c r="H12" i="16"/>
  <c r="G12" i="16"/>
  <c r="F12" i="16"/>
  <c r="E12" i="16"/>
  <c r="D12" i="16"/>
  <c r="C12" i="16"/>
  <c r="B12" i="16"/>
  <c r="HE11" i="16"/>
  <c r="HG11" i="16" s="1"/>
  <c r="HD11" i="16"/>
  <c r="GR11" i="16"/>
  <c r="GT11" i="16" s="1"/>
  <c r="GQ11" i="16"/>
  <c r="GE11" i="16"/>
  <c r="GG11" i="16" s="1"/>
  <c r="GD11" i="16"/>
  <c r="FR11" i="16"/>
  <c r="FT11" i="16" s="1"/>
  <c r="FQ11" i="16"/>
  <c r="FE11" i="16"/>
  <c r="FG11" i="16" s="1"/>
  <c r="FD11" i="16"/>
  <c r="ER11" i="16"/>
  <c r="ET11" i="16" s="1"/>
  <c r="EQ11" i="16"/>
  <c r="EE11" i="16"/>
  <c r="EG11" i="16" s="1"/>
  <c r="ED11" i="16"/>
  <c r="DR11" i="16"/>
  <c r="DQ11" i="16"/>
  <c r="DE11" i="16"/>
  <c r="DD11" i="16"/>
  <c r="CR11" i="16"/>
  <c r="CQ11" i="16"/>
  <c r="CE11" i="16"/>
  <c r="CD11" i="16"/>
  <c r="BR11" i="16"/>
  <c r="BQ11" i="16"/>
  <c r="BE11" i="16"/>
  <c r="BD11" i="16"/>
  <c r="AR11" i="16"/>
  <c r="AQ11" i="16"/>
  <c r="AE11" i="16"/>
  <c r="AH11" i="16" s="1"/>
  <c r="AP11" i="16" s="1"/>
  <c r="AD11" i="16"/>
  <c r="I11" i="16"/>
  <c r="H11" i="16"/>
  <c r="G11" i="16"/>
  <c r="F11" i="16"/>
  <c r="E11" i="16"/>
  <c r="D11" i="16"/>
  <c r="C11" i="16"/>
  <c r="B11" i="16"/>
  <c r="HE10" i="16"/>
  <c r="HG10" i="16" s="1"/>
  <c r="HD10" i="16"/>
  <c r="GR10" i="16"/>
  <c r="GQ10" i="16"/>
  <c r="GE10" i="16"/>
  <c r="GG10" i="16" s="1"/>
  <c r="GD10" i="16"/>
  <c r="FR10" i="16"/>
  <c r="FQ10" i="16"/>
  <c r="FE10" i="16"/>
  <c r="FG10" i="16" s="1"/>
  <c r="FD10" i="16"/>
  <c r="ER10" i="16"/>
  <c r="EQ10" i="16"/>
  <c r="EE10" i="16"/>
  <c r="EG10" i="16" s="1"/>
  <c r="ED10" i="16"/>
  <c r="DR10" i="16"/>
  <c r="DU10" i="16" s="1"/>
  <c r="EC10" i="16" s="1"/>
  <c r="DQ10" i="16"/>
  <c r="DE10" i="16"/>
  <c r="DH10" i="16" s="1"/>
  <c r="DP10" i="16" s="1"/>
  <c r="DD10" i="16"/>
  <c r="CR10" i="16"/>
  <c r="CU10" i="16" s="1"/>
  <c r="DC10" i="16" s="1"/>
  <c r="CQ10" i="16"/>
  <c r="CE10" i="16"/>
  <c r="CD10" i="16"/>
  <c r="BR10" i="16"/>
  <c r="BU10" i="16" s="1"/>
  <c r="CC10" i="16" s="1"/>
  <c r="BQ10" i="16"/>
  <c r="BE10" i="16"/>
  <c r="BD10" i="16"/>
  <c r="AR10" i="16"/>
  <c r="AU10" i="16" s="1"/>
  <c r="BC10" i="16" s="1"/>
  <c r="AQ10" i="16"/>
  <c r="AE10" i="16"/>
  <c r="AH10" i="16" s="1"/>
  <c r="AP10" i="16" s="1"/>
  <c r="AD10" i="16"/>
  <c r="I10" i="16"/>
  <c r="H10" i="16"/>
  <c r="G10" i="16"/>
  <c r="F10" i="16"/>
  <c r="E10" i="16"/>
  <c r="D10" i="16"/>
  <c r="C10" i="16"/>
  <c r="B10" i="16"/>
  <c r="HE9" i="16"/>
  <c r="HG9" i="16" s="1"/>
  <c r="HD9" i="16"/>
  <c r="GR9" i="16"/>
  <c r="GT9" i="16" s="1"/>
  <c r="GQ9" i="16"/>
  <c r="GE9" i="16"/>
  <c r="GG9" i="16" s="1"/>
  <c r="GD9" i="16"/>
  <c r="FR9" i="16"/>
  <c r="FT9" i="16" s="1"/>
  <c r="FQ9" i="16"/>
  <c r="FE9" i="16"/>
  <c r="FG9" i="16" s="1"/>
  <c r="FD9" i="16"/>
  <c r="ER9" i="16"/>
  <c r="ET9" i="16" s="1"/>
  <c r="EQ9" i="16"/>
  <c r="EE9" i="16"/>
  <c r="EG9" i="16" s="1"/>
  <c r="ED9" i="16"/>
  <c r="DR9" i="16"/>
  <c r="DQ9" i="16"/>
  <c r="DE9" i="16"/>
  <c r="DD9" i="16"/>
  <c r="CR9" i="16"/>
  <c r="CQ9" i="16"/>
  <c r="CE9" i="16"/>
  <c r="CD9" i="16"/>
  <c r="BR9" i="16"/>
  <c r="BQ9" i="16"/>
  <c r="BE9" i="16"/>
  <c r="BD9" i="16"/>
  <c r="AR9" i="16"/>
  <c r="AQ9" i="16"/>
  <c r="AE9" i="16"/>
  <c r="AH9" i="16" s="1"/>
  <c r="AP9" i="16" s="1"/>
  <c r="AD9" i="16"/>
  <c r="I9" i="16"/>
  <c r="H9" i="16"/>
  <c r="G9" i="16"/>
  <c r="F9" i="16"/>
  <c r="E9" i="16"/>
  <c r="D9" i="16"/>
  <c r="C9" i="16"/>
  <c r="B9" i="16"/>
  <c r="HE8" i="16"/>
  <c r="HG8" i="16" s="1"/>
  <c r="HD8" i="16"/>
  <c r="GR8" i="16"/>
  <c r="GT8" i="16" s="1"/>
  <c r="GQ8" i="16"/>
  <c r="GE8" i="16"/>
  <c r="GG8" i="16" s="1"/>
  <c r="GD8" i="16"/>
  <c r="FR8" i="16"/>
  <c r="FT8" i="16" s="1"/>
  <c r="FQ8" i="16"/>
  <c r="FE8" i="16"/>
  <c r="FG8" i="16" s="1"/>
  <c r="FD8" i="16"/>
  <c r="ER8" i="16"/>
  <c r="ET8" i="16" s="1"/>
  <c r="EQ8" i="16"/>
  <c r="EE8" i="16"/>
  <c r="EG8" i="16" s="1"/>
  <c r="ED8" i="16"/>
  <c r="DR8" i="16"/>
  <c r="DQ8" i="16"/>
  <c r="DE8" i="16"/>
  <c r="DD8" i="16"/>
  <c r="CR8" i="16"/>
  <c r="CQ8" i="16"/>
  <c r="CE8" i="16"/>
  <c r="CH8" i="16" s="1"/>
  <c r="CP8" i="16" s="1"/>
  <c r="CD8" i="16"/>
  <c r="BR8" i="16"/>
  <c r="BU8" i="16" s="1"/>
  <c r="CC8" i="16" s="1"/>
  <c r="BQ8" i="16"/>
  <c r="BE8" i="16"/>
  <c r="BH8" i="16" s="1"/>
  <c r="BP8" i="16" s="1"/>
  <c r="BD8" i="16"/>
  <c r="AR8" i="16"/>
  <c r="AQ8" i="16"/>
  <c r="AE8" i="16"/>
  <c r="AH8" i="16" s="1"/>
  <c r="AP8" i="16" s="1"/>
  <c r="AD8" i="16"/>
  <c r="I8" i="16"/>
  <c r="H8" i="16"/>
  <c r="G8" i="16"/>
  <c r="F8" i="16"/>
  <c r="E8" i="16"/>
  <c r="D8" i="16"/>
  <c r="C8" i="16"/>
  <c r="B8" i="16"/>
  <c r="HE7" i="16"/>
  <c r="HG7" i="16" s="1"/>
  <c r="HD7" i="16"/>
  <c r="GR7" i="16"/>
  <c r="GT7" i="16" s="1"/>
  <c r="GQ7" i="16"/>
  <c r="GE7" i="16"/>
  <c r="GG7" i="16" s="1"/>
  <c r="GD7" i="16"/>
  <c r="FR7" i="16"/>
  <c r="FT7" i="16" s="1"/>
  <c r="FQ7" i="16"/>
  <c r="FE7" i="16"/>
  <c r="FG7" i="16" s="1"/>
  <c r="FD7" i="16"/>
  <c r="ER7" i="16"/>
  <c r="ET7" i="16" s="1"/>
  <c r="EQ7" i="16"/>
  <c r="EE7" i="16"/>
  <c r="EG7" i="16" s="1"/>
  <c r="ED7" i="16"/>
  <c r="DR7" i="16"/>
  <c r="DQ7" i="16"/>
  <c r="DE7" i="16"/>
  <c r="DD7" i="16"/>
  <c r="CR7" i="16"/>
  <c r="CQ7" i="16"/>
  <c r="CE7" i="16"/>
  <c r="CD7" i="16"/>
  <c r="BR7" i="16"/>
  <c r="BQ7" i="16"/>
  <c r="BE7" i="16"/>
  <c r="BD7" i="16"/>
  <c r="AR7" i="16"/>
  <c r="AQ7" i="16"/>
  <c r="AE7" i="16"/>
  <c r="AH7" i="16" s="1"/>
  <c r="AP7" i="16" s="1"/>
  <c r="AD7" i="16"/>
  <c r="I7" i="16"/>
  <c r="H7" i="16"/>
  <c r="G7" i="16"/>
  <c r="F7" i="16"/>
  <c r="E7" i="16"/>
  <c r="D7" i="16"/>
  <c r="C7" i="16"/>
  <c r="B7" i="16"/>
  <c r="HE6" i="16"/>
  <c r="HG6" i="16" s="1"/>
  <c r="HD6" i="16"/>
  <c r="GR6" i="16"/>
  <c r="GT6" i="16" s="1"/>
  <c r="GQ6" i="16"/>
  <c r="GE6" i="16"/>
  <c r="GG6" i="16" s="1"/>
  <c r="GD6" i="16"/>
  <c r="FR6" i="16"/>
  <c r="FT6" i="16" s="1"/>
  <c r="FQ6" i="16"/>
  <c r="FE6" i="16"/>
  <c r="FG6" i="16" s="1"/>
  <c r="FD6" i="16"/>
  <c r="ER6" i="16"/>
  <c r="ET6" i="16" s="1"/>
  <c r="EQ6" i="16"/>
  <c r="EE6" i="16"/>
  <c r="EG6" i="16" s="1"/>
  <c r="ED6" i="16"/>
  <c r="DR6" i="16"/>
  <c r="DQ6" i="16"/>
  <c r="DE6" i="16"/>
  <c r="DD6" i="16"/>
  <c r="CR6" i="16"/>
  <c r="CQ6" i="16"/>
  <c r="CE6" i="16"/>
  <c r="CD6" i="16"/>
  <c r="BR6" i="16"/>
  <c r="BQ6" i="16"/>
  <c r="BE6" i="16"/>
  <c r="BD6" i="16"/>
  <c r="AR6" i="16"/>
  <c r="AQ6" i="16"/>
  <c r="AE6" i="16"/>
  <c r="AH6" i="16" s="1"/>
  <c r="AP6" i="16" s="1"/>
  <c r="AD6" i="16"/>
  <c r="I6" i="16"/>
  <c r="H6" i="16"/>
  <c r="G6" i="16"/>
  <c r="F6" i="16"/>
  <c r="E6" i="16"/>
  <c r="D6" i="16"/>
  <c r="C6" i="16"/>
  <c r="B6" i="16"/>
  <c r="HE5" i="16"/>
  <c r="HG5" i="16" s="1"/>
  <c r="HD5" i="16"/>
  <c r="GR5" i="16"/>
  <c r="GT5" i="16" s="1"/>
  <c r="GQ5" i="16"/>
  <c r="GE5" i="16"/>
  <c r="GG5" i="16" s="1"/>
  <c r="GD5" i="16"/>
  <c r="FR5" i="16"/>
  <c r="FT5" i="16" s="1"/>
  <c r="FQ5" i="16"/>
  <c r="FE5" i="16"/>
  <c r="FG5" i="16" s="1"/>
  <c r="FD5" i="16"/>
  <c r="ER5" i="16"/>
  <c r="ET5" i="16" s="1"/>
  <c r="EQ5" i="16"/>
  <c r="EE5" i="16"/>
  <c r="EG5" i="16" s="1"/>
  <c r="ED5" i="16"/>
  <c r="DR5" i="16"/>
  <c r="DQ5" i="16"/>
  <c r="DE5" i="16"/>
  <c r="DD5" i="16"/>
  <c r="CR5" i="16"/>
  <c r="CQ5" i="16"/>
  <c r="CE5" i="16"/>
  <c r="CD5" i="16"/>
  <c r="BR5" i="16"/>
  <c r="BQ5" i="16"/>
  <c r="BE5" i="16"/>
  <c r="BD5" i="16"/>
  <c r="AR5" i="16"/>
  <c r="AQ5" i="16"/>
  <c r="AG5" i="16"/>
  <c r="AD5" i="16"/>
  <c r="I5" i="16"/>
  <c r="H5" i="16"/>
  <c r="G5" i="16"/>
  <c r="F5" i="16"/>
  <c r="E5" i="16"/>
  <c r="D5" i="16"/>
  <c r="C5" i="16"/>
  <c r="B5" i="16"/>
  <c r="AD3" i="16"/>
  <c r="AD18" i="16" s="1"/>
  <c r="Y3" i="16"/>
  <c r="X3" i="16"/>
  <c r="W3" i="16"/>
  <c r="V3" i="16"/>
  <c r="U3" i="16"/>
  <c r="T3" i="16"/>
  <c r="S3" i="16"/>
  <c r="R3" i="16"/>
  <c r="Q3" i="16"/>
  <c r="P3" i="16"/>
  <c r="O3" i="16"/>
  <c r="N3" i="16"/>
  <c r="M3" i="16"/>
  <c r="L3" i="16"/>
  <c r="I3" i="16"/>
  <c r="H3" i="16"/>
  <c r="G3" i="16"/>
  <c r="F3" i="16"/>
  <c r="E3" i="16"/>
  <c r="D3" i="16"/>
  <c r="C3" i="16"/>
  <c r="B3" i="16"/>
  <c r="J18" i="15"/>
  <c r="I18" i="15"/>
  <c r="E18" i="15"/>
  <c r="D18" i="15"/>
  <c r="C18" i="15"/>
  <c r="F18" i="15" s="1"/>
  <c r="K17" i="15"/>
  <c r="F17" i="15"/>
  <c r="K16" i="15"/>
  <c r="F16" i="15"/>
  <c r="K15" i="15"/>
  <c r="F15" i="15"/>
  <c r="K14" i="15"/>
  <c r="F14" i="15"/>
  <c r="K13" i="15"/>
  <c r="F13" i="15"/>
  <c r="K12" i="15"/>
  <c r="F12" i="15"/>
  <c r="K11" i="15"/>
  <c r="F11" i="15"/>
  <c r="K10" i="15"/>
  <c r="F10" i="15"/>
  <c r="K9" i="15"/>
  <c r="F9" i="15"/>
  <c r="K8" i="15"/>
  <c r="F8" i="15"/>
  <c r="K7" i="15"/>
  <c r="F7" i="15"/>
  <c r="K6" i="15"/>
  <c r="F6" i="15"/>
  <c r="K5" i="15"/>
  <c r="F5" i="15"/>
  <c r="K4" i="15"/>
  <c r="F4" i="15"/>
  <c r="K3" i="15"/>
  <c r="F3" i="15"/>
  <c r="C9" i="14"/>
  <c r="C8" i="14"/>
  <c r="C7" i="14"/>
  <c r="C6" i="14"/>
  <c r="C5" i="14"/>
  <c r="C4" i="14"/>
  <c r="C3" i="14"/>
  <c r="F11" i="3"/>
  <c r="B44" i="4"/>
  <c r="B39" i="4"/>
  <c r="B35" i="4"/>
  <c r="B27" i="4"/>
  <c r="B17" i="4"/>
  <c r="B4" i="4"/>
  <c r="CI81" i="3"/>
  <c r="CK81" i="3" s="1"/>
  <c r="CI82" i="3"/>
  <c r="CK82" i="3" s="1"/>
  <c r="CI83" i="3"/>
  <c r="CK83" i="3" s="1"/>
  <c r="CI84" i="3"/>
  <c r="CK84" i="3" s="1"/>
  <c r="CH84" i="3"/>
  <c r="CH83" i="3"/>
  <c r="CH82" i="3"/>
  <c r="CH81" i="3"/>
  <c r="CI70" i="3"/>
  <c r="CK70" i="3" s="1"/>
  <c r="CI71" i="3"/>
  <c r="CK71" i="3" s="1"/>
  <c r="CI72" i="3"/>
  <c r="CK72" i="3" s="1"/>
  <c r="CI73" i="3"/>
  <c r="CK73" i="3" s="1"/>
  <c r="CH73" i="3"/>
  <c r="CH72" i="3"/>
  <c r="CH71" i="3"/>
  <c r="CH70" i="3"/>
  <c r="CI61" i="3"/>
  <c r="CK61" i="3" s="1"/>
  <c r="CI62" i="3"/>
  <c r="CK62" i="3" s="1"/>
  <c r="CI60" i="3"/>
  <c r="CK60" i="3" s="1"/>
  <c r="CH62" i="3"/>
  <c r="CH61" i="3"/>
  <c r="CH60" i="3"/>
  <c r="CI47" i="3"/>
  <c r="CK47" i="3" s="1"/>
  <c r="CI52" i="3"/>
  <c r="CK52" i="3" s="1"/>
  <c r="CI51" i="3"/>
  <c r="CK51" i="3" s="1"/>
  <c r="CI48" i="3"/>
  <c r="CK48" i="3" s="1"/>
  <c r="CI49" i="3"/>
  <c r="CK49" i="3" s="1"/>
  <c r="CI46" i="3"/>
  <c r="CK46" i="3" s="1"/>
  <c r="CH52" i="3"/>
  <c r="CH51" i="3"/>
  <c r="CH49" i="3"/>
  <c r="CH48" i="3"/>
  <c r="CH47" i="3"/>
  <c r="CH46" i="3"/>
  <c r="CI37" i="3"/>
  <c r="CK37" i="3" s="1"/>
  <c r="CI36" i="3"/>
  <c r="CK36" i="3" s="1"/>
  <c r="CH37" i="3"/>
  <c r="CH36" i="3"/>
  <c r="CI24" i="3"/>
  <c r="CK24" i="3" s="1"/>
  <c r="CI25" i="3"/>
  <c r="CK25" i="3" s="1"/>
  <c r="CI26" i="3"/>
  <c r="CK26" i="3" s="1"/>
  <c r="CH26" i="3"/>
  <c r="CH25" i="3"/>
  <c r="CH24" i="3"/>
  <c r="CI11" i="3"/>
  <c r="CI6" i="3"/>
  <c r="CI7" i="3"/>
  <c r="CI8" i="3"/>
  <c r="CI9" i="3"/>
  <c r="CI10" i="3"/>
  <c r="CI12" i="3"/>
  <c r="CI13" i="3"/>
  <c r="CI14" i="3"/>
  <c r="CI15" i="3"/>
  <c r="CI5" i="3"/>
  <c r="CE82" i="3"/>
  <c r="CG82" i="3" s="1"/>
  <c r="CE83" i="3"/>
  <c r="CG83" i="3" s="1"/>
  <c r="CE81" i="3"/>
  <c r="CG81" i="3" s="1"/>
  <c r="CE84" i="3"/>
  <c r="CG84" i="3" s="1"/>
  <c r="CD84" i="3"/>
  <c r="CD83" i="3"/>
  <c r="CD82" i="3"/>
  <c r="CD81" i="3"/>
  <c r="CE70" i="3"/>
  <c r="CE71" i="3"/>
  <c r="CG71" i="3" s="1"/>
  <c r="CE72" i="3"/>
  <c r="CG72" i="3" s="1"/>
  <c r="CE73" i="3"/>
  <c r="CG73" i="3" s="1"/>
  <c r="CG70" i="3"/>
  <c r="CD73" i="3"/>
  <c r="CD72" i="3"/>
  <c r="CD71" i="3"/>
  <c r="CD70" i="3"/>
  <c r="CE61" i="3"/>
  <c r="CG61" i="3" s="1"/>
  <c r="CE62" i="3"/>
  <c r="CG62" i="3" s="1"/>
  <c r="CE60" i="3"/>
  <c r="CG60" i="3" s="1"/>
  <c r="CD62" i="3"/>
  <c r="CD61" i="3"/>
  <c r="CD60" i="3"/>
  <c r="CE48" i="3"/>
  <c r="CG48" i="3" s="1"/>
  <c r="CE52" i="3"/>
  <c r="CG52" i="3" s="1"/>
  <c r="CE51" i="3"/>
  <c r="CG51" i="3" s="1"/>
  <c r="CE47" i="3"/>
  <c r="CG47" i="3" s="1"/>
  <c r="CE49" i="3"/>
  <c r="CE46" i="3"/>
  <c r="CD52" i="3"/>
  <c r="CD51" i="3"/>
  <c r="CG49" i="3"/>
  <c r="CD49" i="3"/>
  <c r="CF49" i="3" s="1"/>
  <c r="CD48" i="3"/>
  <c r="CD47" i="3"/>
  <c r="CG46" i="3"/>
  <c r="CD46" i="3"/>
  <c r="CE36" i="3"/>
  <c r="CG36" i="3" s="1"/>
  <c r="CE37" i="3"/>
  <c r="CG37" i="3" s="1"/>
  <c r="CD37" i="3"/>
  <c r="CF37" i="3" s="1"/>
  <c r="CD36" i="3"/>
  <c r="CE24" i="3"/>
  <c r="CG24" i="3" s="1"/>
  <c r="CE25" i="3"/>
  <c r="CG25" i="3" s="1"/>
  <c r="CE26" i="3"/>
  <c r="CG26" i="3" s="1"/>
  <c r="CD26" i="3"/>
  <c r="CD25" i="3"/>
  <c r="CD24" i="3"/>
  <c r="CE11" i="3"/>
  <c r="CE6" i="3"/>
  <c r="CE7" i="3"/>
  <c r="CE8" i="3"/>
  <c r="CE9" i="3"/>
  <c r="CE10" i="3"/>
  <c r="CE12" i="3"/>
  <c r="CE13" i="3"/>
  <c r="CE14" i="3"/>
  <c r="CE15" i="3"/>
  <c r="CE5" i="3"/>
  <c r="CD5" i="3"/>
  <c r="CA83" i="3"/>
  <c r="CC83" i="3" s="1"/>
  <c r="CA81" i="3"/>
  <c r="CC81" i="3" s="1"/>
  <c r="CA82" i="3"/>
  <c r="CC82" i="3" s="1"/>
  <c r="CA73" i="3"/>
  <c r="CC73" i="3" s="1"/>
  <c r="CA62" i="3"/>
  <c r="CC62" i="3" s="1"/>
  <c r="CA61" i="3"/>
  <c r="CC61" i="3" s="1"/>
  <c r="CA60" i="3"/>
  <c r="CC60" i="3" s="1"/>
  <c r="CA84" i="3"/>
  <c r="CC84" i="3" s="1"/>
  <c r="BZ84" i="3"/>
  <c r="BZ83" i="3"/>
  <c r="BZ82" i="3"/>
  <c r="CB82" i="3" s="1"/>
  <c r="BZ81" i="3"/>
  <c r="BZ73" i="3"/>
  <c r="CA72" i="3"/>
  <c r="CC72" i="3" s="1"/>
  <c r="BZ72" i="3"/>
  <c r="CA71" i="3"/>
  <c r="CC71" i="3" s="1"/>
  <c r="BZ71" i="3"/>
  <c r="CA70" i="3"/>
  <c r="CC70" i="3" s="1"/>
  <c r="BZ70" i="3"/>
  <c r="BZ62" i="3"/>
  <c r="BZ61" i="3"/>
  <c r="BZ60" i="3"/>
  <c r="CA47" i="3"/>
  <c r="CC47" i="3" s="1"/>
  <c r="CA46" i="3"/>
  <c r="CC46" i="3" s="1"/>
  <c r="CA52" i="3"/>
  <c r="CC52" i="3" s="1"/>
  <c r="CA51" i="3"/>
  <c r="CC51" i="3" s="1"/>
  <c r="CA49" i="3"/>
  <c r="CC49" i="3" s="1"/>
  <c r="CA48" i="3"/>
  <c r="CC48" i="3" s="1"/>
  <c r="BZ52" i="3"/>
  <c r="CB52" i="3" s="1"/>
  <c r="BZ51" i="3"/>
  <c r="BZ49" i="3"/>
  <c r="BZ48" i="3"/>
  <c r="BZ47" i="3"/>
  <c r="BZ46" i="3"/>
  <c r="CA36" i="3"/>
  <c r="CC36" i="3" s="1"/>
  <c r="CA37" i="3"/>
  <c r="CC37" i="3" s="1"/>
  <c r="BZ37" i="3"/>
  <c r="BZ36" i="3"/>
  <c r="CA24" i="3"/>
  <c r="CC24" i="3" s="1"/>
  <c r="CA25" i="3"/>
  <c r="CC25" i="3" s="1"/>
  <c r="CA26" i="3"/>
  <c r="CC26" i="3" s="1"/>
  <c r="BZ26" i="3"/>
  <c r="BZ25" i="3"/>
  <c r="BZ24" i="3"/>
  <c r="CA15" i="3"/>
  <c r="CA13" i="3"/>
  <c r="CA11" i="3"/>
  <c r="CA6" i="3"/>
  <c r="CA7" i="3"/>
  <c r="CA8" i="3"/>
  <c r="CA9" i="3"/>
  <c r="CA10" i="3"/>
  <c r="CA12" i="3"/>
  <c r="CA14" i="3"/>
  <c r="CA5" i="3"/>
  <c r="BZ5" i="3"/>
  <c r="BW83" i="3"/>
  <c r="BY83" i="3" s="1"/>
  <c r="BW84" i="3"/>
  <c r="BY84" i="3" s="1"/>
  <c r="BW82" i="3"/>
  <c r="BY82" i="3" s="1"/>
  <c r="BW81" i="3"/>
  <c r="BY81" i="3" s="1"/>
  <c r="BV84" i="3"/>
  <c r="BV83" i="3"/>
  <c r="BV82" i="3"/>
  <c r="BV81" i="3"/>
  <c r="BW73" i="3"/>
  <c r="BY73" i="3" s="1"/>
  <c r="BW71" i="3"/>
  <c r="BY71" i="3" s="1"/>
  <c r="BW70" i="3"/>
  <c r="BY70" i="3" s="1"/>
  <c r="BW72" i="3"/>
  <c r="BY72" i="3" s="1"/>
  <c r="BV73" i="3"/>
  <c r="BV72" i="3"/>
  <c r="BV71" i="3"/>
  <c r="BV70" i="3"/>
  <c r="BW61" i="3"/>
  <c r="BY61" i="3" s="1"/>
  <c r="BW62" i="3"/>
  <c r="BY62" i="3" s="1"/>
  <c r="BW60" i="3"/>
  <c r="BY60" i="3" s="1"/>
  <c r="BV62" i="3"/>
  <c r="BV61" i="3"/>
  <c r="BV60" i="3"/>
  <c r="BW48" i="3"/>
  <c r="BW46" i="3"/>
  <c r="BY46" i="3" s="1"/>
  <c r="BW52" i="3"/>
  <c r="BY52" i="3" s="1"/>
  <c r="BV52" i="3"/>
  <c r="BW51" i="3"/>
  <c r="BY51" i="3" s="1"/>
  <c r="BV51" i="3"/>
  <c r="BW49" i="3"/>
  <c r="BY49" i="3" s="1"/>
  <c r="BV49" i="3"/>
  <c r="BY48" i="3"/>
  <c r="BV48" i="3"/>
  <c r="BW47" i="3"/>
  <c r="BY47" i="3" s="1"/>
  <c r="BV47" i="3"/>
  <c r="BV46" i="3"/>
  <c r="BW36" i="3"/>
  <c r="BY36" i="3" s="1"/>
  <c r="BW37" i="3"/>
  <c r="BY37" i="3" s="1"/>
  <c r="BV37" i="3"/>
  <c r="BV36" i="3"/>
  <c r="BW24" i="3"/>
  <c r="BY24" i="3" s="1"/>
  <c r="BW26" i="3"/>
  <c r="BY26" i="3" s="1"/>
  <c r="BW25" i="3"/>
  <c r="BV25" i="3"/>
  <c r="BV26" i="3"/>
  <c r="BV24" i="3"/>
  <c r="BW9" i="3"/>
  <c r="BW7" i="3"/>
  <c r="BW8" i="3"/>
  <c r="BW6" i="3"/>
  <c r="BW5" i="3"/>
  <c r="BW10" i="3"/>
  <c r="BW11" i="3"/>
  <c r="BW12" i="3"/>
  <c r="BW13" i="3"/>
  <c r="BW14" i="3"/>
  <c r="BW15" i="3"/>
  <c r="BS83" i="3"/>
  <c r="BU83" i="3" s="1"/>
  <c r="BS82" i="3"/>
  <c r="BU82" i="3" s="1"/>
  <c r="BS81" i="3"/>
  <c r="BU81" i="3" s="1"/>
  <c r="BS84" i="3"/>
  <c r="BU84" i="3" s="1"/>
  <c r="BR84" i="3"/>
  <c r="BR83" i="3"/>
  <c r="BR82" i="3"/>
  <c r="BR81" i="3"/>
  <c r="BS70" i="3"/>
  <c r="BU70" i="3" s="1"/>
  <c r="BS71" i="3"/>
  <c r="BS72" i="3"/>
  <c r="BU72" i="3" s="1"/>
  <c r="BS73" i="3"/>
  <c r="BU73" i="3" s="1"/>
  <c r="BR71" i="3"/>
  <c r="BU71" i="3"/>
  <c r="BR72" i="3"/>
  <c r="BT72" i="3" s="1"/>
  <c r="BR73" i="3"/>
  <c r="BR70" i="3"/>
  <c r="BS61" i="3"/>
  <c r="BU61" i="3" s="1"/>
  <c r="BS62" i="3"/>
  <c r="BU62" i="3" s="1"/>
  <c r="BS60" i="3"/>
  <c r="BU60" i="3" s="1"/>
  <c r="BR62" i="3"/>
  <c r="BR61" i="3"/>
  <c r="BR60" i="3"/>
  <c r="BS48" i="3"/>
  <c r="BS52" i="3"/>
  <c r="BU52" i="3" s="1"/>
  <c r="BS51" i="3"/>
  <c r="BU51" i="3" s="1"/>
  <c r="BS47" i="3"/>
  <c r="BU47" i="3" s="1"/>
  <c r="BU48" i="3"/>
  <c r="BS49" i="3"/>
  <c r="BU49" i="3" s="1"/>
  <c r="BS46" i="3"/>
  <c r="BU46" i="3" s="1"/>
  <c r="BR52" i="3"/>
  <c r="BR51" i="3"/>
  <c r="BR49" i="3"/>
  <c r="BR48" i="3"/>
  <c r="BR47" i="3"/>
  <c r="BR46" i="3"/>
  <c r="BT46" i="3" s="1"/>
  <c r="BS36" i="3"/>
  <c r="BS37" i="3"/>
  <c r="BU37" i="3" s="1"/>
  <c r="BR37" i="3"/>
  <c r="BR36" i="3"/>
  <c r="BS24" i="3"/>
  <c r="BU24" i="3" s="1"/>
  <c r="BS25" i="3"/>
  <c r="BU25" i="3" s="1"/>
  <c r="BS26" i="3"/>
  <c r="BU26" i="3" s="1"/>
  <c r="BR26" i="3"/>
  <c r="BR25" i="3"/>
  <c r="BR24" i="3"/>
  <c r="BS11" i="3"/>
  <c r="BU11" i="3" s="1"/>
  <c r="BS6" i="3"/>
  <c r="BU6" i="3" s="1"/>
  <c r="BS7" i="3"/>
  <c r="BU7" i="3" s="1"/>
  <c r="BS8" i="3"/>
  <c r="BU8" i="3" s="1"/>
  <c r="BS9" i="3"/>
  <c r="BU9" i="3" s="1"/>
  <c r="BS10" i="3"/>
  <c r="BU10" i="3" s="1"/>
  <c r="BS12" i="3"/>
  <c r="BU12" i="3" s="1"/>
  <c r="BS13" i="3"/>
  <c r="BU13" i="3" s="1"/>
  <c r="BS14" i="3"/>
  <c r="BU14" i="3" s="1"/>
  <c r="BS15" i="3"/>
  <c r="BU15" i="3" s="1"/>
  <c r="BS5" i="3"/>
  <c r="BR5" i="3"/>
  <c r="BR6" i="3"/>
  <c r="BR7" i="3"/>
  <c r="BR8" i="3"/>
  <c r="BR9" i="3"/>
  <c r="BR10" i="3"/>
  <c r="BR11" i="3"/>
  <c r="BT11" i="3" s="1"/>
  <c r="BR12" i="3"/>
  <c r="BR13" i="3"/>
  <c r="BR14" i="3"/>
  <c r="BR15" i="3"/>
  <c r="BO84" i="3"/>
  <c r="BQ84" i="3" s="1"/>
  <c r="BO82" i="3"/>
  <c r="BQ82" i="3" s="1"/>
  <c r="BO83" i="3"/>
  <c r="BQ83" i="3" s="1"/>
  <c r="BO81" i="3"/>
  <c r="BQ81" i="3" s="1"/>
  <c r="BN84" i="3"/>
  <c r="BN83" i="3"/>
  <c r="BN82" i="3"/>
  <c r="BN81" i="3"/>
  <c r="BO71" i="3"/>
  <c r="BQ71" i="3" s="1"/>
  <c r="BO70" i="3"/>
  <c r="BQ70" i="3" s="1"/>
  <c r="BO72" i="3"/>
  <c r="BQ72" i="3" s="1"/>
  <c r="BO73" i="3"/>
  <c r="BQ73" i="3" s="1"/>
  <c r="BN73" i="3"/>
  <c r="BN72" i="3"/>
  <c r="BN71" i="3"/>
  <c r="BN70" i="3"/>
  <c r="BO61" i="3"/>
  <c r="BQ61" i="3" s="1"/>
  <c r="BO62" i="3"/>
  <c r="BO60" i="3"/>
  <c r="BQ62" i="3"/>
  <c r="BN62" i="3"/>
  <c r="BN61" i="3"/>
  <c r="BQ60" i="3"/>
  <c r="BN60" i="3"/>
  <c r="BO52" i="3"/>
  <c r="BQ52" i="3" s="1"/>
  <c r="BO51" i="3"/>
  <c r="BQ51" i="3" s="1"/>
  <c r="BO47" i="3"/>
  <c r="BQ47" i="3" s="1"/>
  <c r="BO48" i="3"/>
  <c r="BQ48" i="3" s="1"/>
  <c r="BO49" i="3"/>
  <c r="BQ49" i="3" s="1"/>
  <c r="BO46" i="3"/>
  <c r="BN47" i="3"/>
  <c r="BN48" i="3"/>
  <c r="BN49" i="3"/>
  <c r="BN51" i="3"/>
  <c r="BP51" i="3" s="1"/>
  <c r="BN52" i="3"/>
  <c r="BQ46" i="3"/>
  <c r="BN46" i="3"/>
  <c r="BO36" i="3"/>
  <c r="BQ36" i="3" s="1"/>
  <c r="BO37" i="3"/>
  <c r="BQ37" i="3" s="1"/>
  <c r="BN37" i="3"/>
  <c r="BN36" i="3"/>
  <c r="BO24" i="3"/>
  <c r="BQ24" i="3" s="1"/>
  <c r="BO25" i="3"/>
  <c r="BO26" i="3"/>
  <c r="BQ26" i="3" s="1"/>
  <c r="BN24" i="3"/>
  <c r="BN25" i="3"/>
  <c r="BN26" i="3"/>
  <c r="BO13" i="3"/>
  <c r="BQ13" i="3" s="1"/>
  <c r="BO15" i="3"/>
  <c r="BQ15" i="3" s="1"/>
  <c r="BO10" i="3"/>
  <c r="BQ10" i="3" s="1"/>
  <c r="BO6" i="3"/>
  <c r="BQ6" i="3" s="1"/>
  <c r="BO7" i="3"/>
  <c r="BQ7" i="3" s="1"/>
  <c r="BO8" i="3"/>
  <c r="BQ8" i="3" s="1"/>
  <c r="BO9" i="3"/>
  <c r="BQ9" i="3" s="1"/>
  <c r="BO11" i="3"/>
  <c r="BQ11" i="3" s="1"/>
  <c r="BO12" i="3"/>
  <c r="BQ12" i="3" s="1"/>
  <c r="BO14" i="3"/>
  <c r="BQ14" i="3" s="1"/>
  <c r="BO5" i="3"/>
  <c r="BN6" i="3"/>
  <c r="BN7" i="3"/>
  <c r="BN8" i="3"/>
  <c r="BN9" i="3"/>
  <c r="BN10" i="3"/>
  <c r="BN11" i="3"/>
  <c r="BN12" i="3"/>
  <c r="BN13" i="3"/>
  <c r="BN14" i="3"/>
  <c r="BN15" i="3"/>
  <c r="BK83" i="3"/>
  <c r="BM83" i="3" s="1"/>
  <c r="BK81" i="3"/>
  <c r="BM81" i="3" s="1"/>
  <c r="BK82" i="3"/>
  <c r="BM82" i="3" s="1"/>
  <c r="BK84" i="3"/>
  <c r="BM84" i="3" s="1"/>
  <c r="BJ84" i="3"/>
  <c r="BJ83" i="3"/>
  <c r="BJ82" i="3"/>
  <c r="BJ81" i="3"/>
  <c r="BK71" i="3"/>
  <c r="BM71" i="3" s="1"/>
  <c r="BK72" i="3"/>
  <c r="BM72" i="3" s="1"/>
  <c r="BK73" i="3"/>
  <c r="BM73" i="3" s="1"/>
  <c r="BK70" i="3"/>
  <c r="BM70" i="3" s="1"/>
  <c r="BJ70" i="3"/>
  <c r="BJ73" i="3"/>
  <c r="BJ72" i="3"/>
  <c r="BJ71" i="3"/>
  <c r="BK62" i="3"/>
  <c r="BM62" i="3" s="1"/>
  <c r="BK61" i="3"/>
  <c r="BM61" i="3" s="1"/>
  <c r="BK60" i="3"/>
  <c r="BM60" i="3" s="1"/>
  <c r="BJ62" i="3"/>
  <c r="BJ61" i="3"/>
  <c r="BJ60" i="3"/>
  <c r="BK52" i="3"/>
  <c r="BM52" i="3" s="1"/>
  <c r="BK51" i="3"/>
  <c r="BM51" i="3" s="1"/>
  <c r="BK48" i="3"/>
  <c r="BM48" i="3" s="1"/>
  <c r="BK46" i="3"/>
  <c r="BM46" i="3" s="1"/>
  <c r="BJ46" i="3"/>
  <c r="BJ52" i="3"/>
  <c r="BJ51" i="3"/>
  <c r="BK49" i="3"/>
  <c r="BM49" i="3" s="1"/>
  <c r="BJ49" i="3"/>
  <c r="BJ48" i="3"/>
  <c r="BK47" i="3"/>
  <c r="BM47" i="3" s="1"/>
  <c r="BJ47" i="3"/>
  <c r="BK37" i="3"/>
  <c r="BM37" i="3" s="1"/>
  <c r="BK36" i="3"/>
  <c r="BM36" i="3" s="1"/>
  <c r="BJ37" i="3"/>
  <c r="BJ36" i="3"/>
  <c r="BK24" i="3"/>
  <c r="BM24" i="3" s="1"/>
  <c r="BK26" i="3"/>
  <c r="BM26" i="3" s="1"/>
  <c r="BK25" i="3"/>
  <c r="BM25" i="3" s="1"/>
  <c r="BJ25" i="3"/>
  <c r="BJ26" i="3"/>
  <c r="BJ24" i="3"/>
  <c r="BK13" i="3"/>
  <c r="BK6" i="3"/>
  <c r="BK7" i="3"/>
  <c r="BK8" i="3"/>
  <c r="BK9" i="3"/>
  <c r="BK10" i="3"/>
  <c r="BK11" i="3"/>
  <c r="BK12" i="3"/>
  <c r="BK14" i="3"/>
  <c r="BK15" i="3"/>
  <c r="BK5" i="3"/>
  <c r="BM5" i="3" s="1"/>
  <c r="BJ5" i="3"/>
  <c r="BG82" i="3"/>
  <c r="BI82" i="3" s="1"/>
  <c r="BG83" i="3"/>
  <c r="BG84" i="3"/>
  <c r="BI84" i="3" s="1"/>
  <c r="BG81" i="3"/>
  <c r="BI81" i="3" s="1"/>
  <c r="BF82" i="3"/>
  <c r="BH82" i="3" s="1"/>
  <c r="BF83" i="3"/>
  <c r="BF84" i="3"/>
  <c r="BH84" i="3" s="1"/>
  <c r="BF81" i="3"/>
  <c r="BG73" i="3"/>
  <c r="BI73" i="3" s="1"/>
  <c r="BG70" i="3"/>
  <c r="BI70" i="3" s="1"/>
  <c r="BG71" i="3"/>
  <c r="BI71" i="3" s="1"/>
  <c r="BG72" i="3"/>
  <c r="BI72" i="3" s="1"/>
  <c r="BF73" i="3"/>
  <c r="BF72" i="3"/>
  <c r="BF71" i="3"/>
  <c r="BF70" i="3"/>
  <c r="BG61" i="3"/>
  <c r="BI61" i="3" s="1"/>
  <c r="BG62" i="3"/>
  <c r="BI62" i="3" s="1"/>
  <c r="BG60" i="3"/>
  <c r="BI60" i="3" s="1"/>
  <c r="BF61" i="3"/>
  <c r="BF62" i="3"/>
  <c r="BF60" i="3"/>
  <c r="BF52" i="3"/>
  <c r="BG46" i="3"/>
  <c r="BI46" i="3" s="1"/>
  <c r="BG47" i="3"/>
  <c r="BI47" i="3" s="1"/>
  <c r="BG48" i="3"/>
  <c r="BI48" i="3" s="1"/>
  <c r="BG49" i="3"/>
  <c r="BI49" i="3" s="1"/>
  <c r="BG50" i="3"/>
  <c r="BI50" i="3" s="1"/>
  <c r="BG51" i="3"/>
  <c r="BI51" i="3" s="1"/>
  <c r="BG52" i="3"/>
  <c r="BI52" i="3" s="1"/>
  <c r="BF51" i="3"/>
  <c r="BF50" i="3"/>
  <c r="BF49" i="3"/>
  <c r="BF48" i="3"/>
  <c r="BF47" i="3"/>
  <c r="BF46" i="3"/>
  <c r="BG38" i="3"/>
  <c r="BI38" i="3" s="1"/>
  <c r="BG37" i="3"/>
  <c r="BI37" i="3" s="1"/>
  <c r="BG36" i="3"/>
  <c r="BI36" i="3" s="1"/>
  <c r="BF37" i="3"/>
  <c r="BF38" i="3"/>
  <c r="BF36" i="3"/>
  <c r="BG26" i="3"/>
  <c r="BG27" i="3"/>
  <c r="BI27" i="3" s="1"/>
  <c r="BG28" i="3"/>
  <c r="BI28" i="3" s="1"/>
  <c r="BG25" i="3"/>
  <c r="BI25" i="3" s="1"/>
  <c r="BI26" i="3"/>
  <c r="BG24" i="3"/>
  <c r="BI24" i="3" s="1"/>
  <c r="BF25" i="3"/>
  <c r="BF26" i="3"/>
  <c r="BF27" i="3"/>
  <c r="BF28" i="3"/>
  <c r="BF24" i="3"/>
  <c r="BG5" i="3"/>
  <c r="BG16" i="3"/>
  <c r="BI16" i="3" s="1"/>
  <c r="BG9" i="3"/>
  <c r="BG10" i="3"/>
  <c r="BG11" i="3"/>
  <c r="BG12" i="3"/>
  <c r="BG13" i="3"/>
  <c r="BG14" i="3"/>
  <c r="BG15" i="3"/>
  <c r="BG6" i="3"/>
  <c r="BG7" i="3"/>
  <c r="BG8" i="3"/>
  <c r="BI5" i="3"/>
  <c r="BF16" i="3"/>
  <c r="BH16" i="3" s="1"/>
  <c r="BF5" i="3"/>
  <c r="BC84" i="3"/>
  <c r="BE84" i="3" s="1"/>
  <c r="BC82" i="3"/>
  <c r="BE82" i="3" s="1"/>
  <c r="BC83" i="3"/>
  <c r="BE83" i="3" s="1"/>
  <c r="BC81" i="3"/>
  <c r="BE81" i="3" s="1"/>
  <c r="BB82" i="3"/>
  <c r="BB83" i="3"/>
  <c r="BB84" i="3"/>
  <c r="BB81" i="3"/>
  <c r="BC71" i="3"/>
  <c r="BE71" i="3" s="1"/>
  <c r="BC70" i="3"/>
  <c r="BE70" i="3" s="1"/>
  <c r="BC72" i="3"/>
  <c r="BE72" i="3" s="1"/>
  <c r="BC73" i="3"/>
  <c r="BE73" i="3" s="1"/>
  <c r="BB71" i="3"/>
  <c r="BB72" i="3"/>
  <c r="BB73" i="3"/>
  <c r="BB70" i="3"/>
  <c r="BC61" i="3"/>
  <c r="BE61" i="3" s="1"/>
  <c r="BC62" i="3"/>
  <c r="BE62" i="3" s="1"/>
  <c r="BC60" i="3"/>
  <c r="BE60" i="3" s="1"/>
  <c r="BB61" i="3"/>
  <c r="BB62" i="3"/>
  <c r="BB60" i="3"/>
  <c r="BC52" i="3"/>
  <c r="BE52" i="3" s="1"/>
  <c r="BC51" i="3"/>
  <c r="BE51" i="3" s="1"/>
  <c r="BC48" i="3"/>
  <c r="BC49" i="3"/>
  <c r="BE49" i="3" s="1"/>
  <c r="BC47" i="3"/>
  <c r="BC46" i="3"/>
  <c r="BE46" i="3" s="1"/>
  <c r="BB52" i="3"/>
  <c r="BB51" i="3"/>
  <c r="BB47" i="3"/>
  <c r="BB48" i="3"/>
  <c r="BE48" i="3"/>
  <c r="BB49" i="3"/>
  <c r="BD49" i="3" s="1"/>
  <c r="BB46" i="3"/>
  <c r="BC37" i="3"/>
  <c r="BE37" i="3" s="1"/>
  <c r="BC36" i="3"/>
  <c r="BE36" i="3" s="1"/>
  <c r="BB37" i="3"/>
  <c r="BB36" i="3"/>
  <c r="BC24" i="3"/>
  <c r="BE24" i="3" s="1"/>
  <c r="BC25" i="3"/>
  <c r="BE25" i="3" s="1"/>
  <c r="BC26" i="3"/>
  <c r="BE26" i="3" s="1"/>
  <c r="BB25" i="3"/>
  <c r="BB26" i="3"/>
  <c r="BB24" i="3"/>
  <c r="BC13" i="3"/>
  <c r="BC11" i="3"/>
  <c r="BE11" i="3" s="1"/>
  <c r="BC6" i="3"/>
  <c r="BE6" i="3" s="1"/>
  <c r="BC7" i="3"/>
  <c r="BE7" i="3" s="1"/>
  <c r="BC8" i="3"/>
  <c r="BC9" i="3"/>
  <c r="BE9" i="3" s="1"/>
  <c r="BC10" i="3"/>
  <c r="BE10" i="3" s="1"/>
  <c r="BC12" i="3"/>
  <c r="BE12" i="3" s="1"/>
  <c r="BE13" i="3"/>
  <c r="BC14" i="3"/>
  <c r="BE14" i="3" s="1"/>
  <c r="BC15" i="3"/>
  <c r="BE15" i="3" s="1"/>
  <c r="BC5" i="3"/>
  <c r="BE8" i="3"/>
  <c r="BB6" i="3"/>
  <c r="BB7" i="3"/>
  <c r="BB8" i="3"/>
  <c r="BB9" i="3"/>
  <c r="BB10" i="3"/>
  <c r="BB11" i="3"/>
  <c r="BB12" i="3"/>
  <c r="BB13" i="3"/>
  <c r="BB14" i="3"/>
  <c r="BB15" i="3"/>
  <c r="AY84" i="3"/>
  <c r="AY83" i="3"/>
  <c r="BA83" i="3" s="1"/>
  <c r="AY82" i="3"/>
  <c r="BA82" i="3" s="1"/>
  <c r="AY81" i="3"/>
  <c r="BA81" i="3" s="1"/>
  <c r="BA84" i="3"/>
  <c r="AX82" i="3"/>
  <c r="AX83" i="3"/>
  <c r="AX84" i="3"/>
  <c r="AX81" i="3"/>
  <c r="AY71" i="3"/>
  <c r="BA71" i="3" s="1"/>
  <c r="AY72" i="3"/>
  <c r="BA72" i="3" s="1"/>
  <c r="AY73" i="3"/>
  <c r="BA73" i="3" s="1"/>
  <c r="AY70" i="3"/>
  <c r="BA70" i="3" s="1"/>
  <c r="AX71" i="3"/>
  <c r="AX72" i="3"/>
  <c r="AX73" i="3"/>
  <c r="AX70" i="3"/>
  <c r="AY62" i="3"/>
  <c r="BA62" i="3" s="1"/>
  <c r="AY61" i="3"/>
  <c r="BA61" i="3" s="1"/>
  <c r="AY60" i="3"/>
  <c r="BA60" i="3" s="1"/>
  <c r="AX60" i="3"/>
  <c r="AX61" i="3"/>
  <c r="AX62" i="3"/>
  <c r="AX52" i="3"/>
  <c r="AX51" i="3"/>
  <c r="AX47" i="3"/>
  <c r="AX48" i="3"/>
  <c r="AX49" i="3"/>
  <c r="AX46" i="3"/>
  <c r="AY52" i="3"/>
  <c r="AY51" i="3"/>
  <c r="BA51" i="3" s="1"/>
  <c r="AY47" i="3"/>
  <c r="BA47" i="3" s="1"/>
  <c r="AY48" i="3"/>
  <c r="BA48" i="3" s="1"/>
  <c r="AY49" i="3"/>
  <c r="BA49" i="3" s="1"/>
  <c r="AY46" i="3"/>
  <c r="BA46" i="3" s="1"/>
  <c r="AY36" i="3"/>
  <c r="AY37" i="3"/>
  <c r="BA37" i="3" s="1"/>
  <c r="AX36" i="3"/>
  <c r="AX37" i="3"/>
  <c r="AY25" i="3"/>
  <c r="BA25" i="3" s="1"/>
  <c r="AY26" i="3"/>
  <c r="BA26" i="3" s="1"/>
  <c r="AY24" i="3"/>
  <c r="BA24" i="3" s="1"/>
  <c r="AX25" i="3"/>
  <c r="AX26" i="3"/>
  <c r="AX24" i="3"/>
  <c r="AY11" i="3"/>
  <c r="BA11" i="3" s="1"/>
  <c r="AY13" i="3"/>
  <c r="AY6" i="3"/>
  <c r="BA6" i="3" s="1"/>
  <c r="AY7" i="3"/>
  <c r="BA7" i="3" s="1"/>
  <c r="AY8" i="3"/>
  <c r="BA8" i="3" s="1"/>
  <c r="AY9" i="3"/>
  <c r="AY10" i="3"/>
  <c r="BA10" i="3" s="1"/>
  <c r="AY12" i="3"/>
  <c r="AY14" i="3"/>
  <c r="BA14" i="3" s="1"/>
  <c r="AY15" i="3"/>
  <c r="BA15" i="3" s="1"/>
  <c r="AY5" i="3"/>
  <c r="BA5" i="3" s="1"/>
  <c r="AX6" i="3"/>
  <c r="AX7" i="3"/>
  <c r="AX8" i="3"/>
  <c r="AX9" i="3"/>
  <c r="AX10" i="3"/>
  <c r="AX11" i="3"/>
  <c r="AX12" i="3"/>
  <c r="AX13" i="3"/>
  <c r="AX14" i="3"/>
  <c r="AX15" i="3"/>
  <c r="AX5" i="3"/>
  <c r="AU81" i="3"/>
  <c r="AU82" i="3"/>
  <c r="AU83" i="3"/>
  <c r="AU84" i="3"/>
  <c r="AU71" i="3"/>
  <c r="AU70" i="3"/>
  <c r="AU73" i="3"/>
  <c r="AU72" i="3"/>
  <c r="AU62" i="3"/>
  <c r="AU61" i="3"/>
  <c r="AU60" i="3"/>
  <c r="AU52" i="3"/>
  <c r="AU51" i="3"/>
  <c r="AU47" i="3"/>
  <c r="AU48" i="3"/>
  <c r="AU49" i="3"/>
  <c r="AU46" i="3"/>
  <c r="AU36" i="3"/>
  <c r="AU37" i="3"/>
  <c r="AU26" i="3"/>
  <c r="AU24" i="3"/>
  <c r="AU25" i="3"/>
  <c r="AU13" i="3"/>
  <c r="AU11" i="3"/>
  <c r="AU5" i="3"/>
  <c r="AU6" i="3"/>
  <c r="AU15" i="3"/>
  <c r="AU7" i="3"/>
  <c r="AU8" i="3"/>
  <c r="AU9" i="3"/>
  <c r="AU10" i="3"/>
  <c r="AU12" i="3"/>
  <c r="AU14" i="3"/>
  <c r="AQ82" i="3"/>
  <c r="AQ83" i="3"/>
  <c r="AQ84" i="3"/>
  <c r="AQ81" i="3"/>
  <c r="AQ70" i="3"/>
  <c r="AQ71" i="3"/>
  <c r="AQ72" i="3"/>
  <c r="AQ73" i="3"/>
  <c r="AQ60" i="3"/>
  <c r="AQ61" i="3"/>
  <c r="AQ62" i="3"/>
  <c r="AQ52" i="3"/>
  <c r="AQ51" i="3"/>
  <c r="AQ49" i="3"/>
  <c r="AQ48" i="3"/>
  <c r="AQ47" i="3"/>
  <c r="AQ46" i="3"/>
  <c r="AQ37" i="3"/>
  <c r="AQ36" i="3"/>
  <c r="AQ24" i="3"/>
  <c r="AQ26" i="3"/>
  <c r="AQ25" i="3"/>
  <c r="AQ13" i="3"/>
  <c r="AQ15" i="3"/>
  <c r="AQ14" i="3"/>
  <c r="AQ6" i="3"/>
  <c r="AQ7" i="3"/>
  <c r="AQ8" i="3"/>
  <c r="AQ9" i="3"/>
  <c r="AQ10" i="3"/>
  <c r="AQ11" i="3"/>
  <c r="AQ12" i="3"/>
  <c r="AQ5" i="3"/>
  <c r="AM82" i="3"/>
  <c r="AM83" i="3"/>
  <c r="AM81" i="3"/>
  <c r="AM84" i="3"/>
  <c r="AM71" i="3"/>
  <c r="AM70" i="3"/>
  <c r="AM72" i="3"/>
  <c r="AM73" i="3"/>
  <c r="AM61" i="3"/>
  <c r="AM62" i="3"/>
  <c r="AM60" i="3"/>
  <c r="AM52" i="3"/>
  <c r="AM47" i="3"/>
  <c r="AM51" i="3"/>
  <c r="AM48" i="3"/>
  <c r="AM49" i="3"/>
  <c r="AM46" i="3"/>
  <c r="AM37" i="3"/>
  <c r="AM36" i="3"/>
  <c r="AM26" i="3"/>
  <c r="AM24" i="3"/>
  <c r="AM25" i="3"/>
  <c r="AM13" i="3"/>
  <c r="AM11" i="3"/>
  <c r="AM6" i="3"/>
  <c r="AM7" i="3"/>
  <c r="AM8" i="3"/>
  <c r="AM9" i="3"/>
  <c r="AM10" i="3"/>
  <c r="AM12" i="3"/>
  <c r="AM14" i="3"/>
  <c r="AM15" i="3"/>
  <c r="AM5" i="3"/>
  <c r="AL5" i="3"/>
  <c r="AL6" i="3"/>
  <c r="AL7" i="3"/>
  <c r="AL8" i="3"/>
  <c r="AL9" i="3"/>
  <c r="AL10" i="3"/>
  <c r="AL11" i="3"/>
  <c r="AL12" i="3"/>
  <c r="AL13" i="3"/>
  <c r="AL14" i="3"/>
  <c r="AL15" i="3"/>
  <c r="AH5" i="3"/>
  <c r="AI82" i="3"/>
  <c r="AI83" i="3"/>
  <c r="AI84" i="3"/>
  <c r="AI81" i="3"/>
  <c r="AI71" i="3"/>
  <c r="AI73" i="3"/>
  <c r="AI72" i="3"/>
  <c r="AI70" i="3"/>
  <c r="AI60" i="3"/>
  <c r="AI62" i="3"/>
  <c r="AI61" i="3"/>
  <c r="AI52" i="3"/>
  <c r="AI51" i="3"/>
  <c r="AI49" i="3"/>
  <c r="AI48" i="3"/>
  <c r="AI47" i="3"/>
  <c r="AI46" i="3"/>
  <c r="AI36" i="3"/>
  <c r="AI37" i="3"/>
  <c r="AI26" i="3"/>
  <c r="AI24" i="3"/>
  <c r="AI25" i="3"/>
  <c r="AI6" i="3"/>
  <c r="AI7" i="3"/>
  <c r="AI8" i="3"/>
  <c r="AI9" i="3"/>
  <c r="AI10" i="3"/>
  <c r="AI11" i="3"/>
  <c r="AI12" i="3"/>
  <c r="AI13" i="3"/>
  <c r="AI14" i="3"/>
  <c r="AI15" i="3"/>
  <c r="DG24" i="16" l="1"/>
  <c r="DH24" i="16"/>
  <c r="DP24" i="16" s="1"/>
  <c r="CT25" i="16"/>
  <c r="CU25" i="16"/>
  <c r="DC25" i="16" s="1"/>
  <c r="DT25" i="16"/>
  <c r="DU25" i="16"/>
  <c r="EC25" i="16" s="1"/>
  <c r="DG26" i="16"/>
  <c r="DH26" i="16"/>
  <c r="DP26" i="16" s="1"/>
  <c r="AA28" i="16"/>
  <c r="DU28" i="16"/>
  <c r="EC28" i="16" s="1"/>
  <c r="CT5" i="16"/>
  <c r="CU5" i="16"/>
  <c r="DC5" i="16" s="1"/>
  <c r="DT5" i="16"/>
  <c r="DU5" i="16"/>
  <c r="EC5" i="16" s="1"/>
  <c r="DG6" i="16"/>
  <c r="DH6" i="16"/>
  <c r="DP6" i="16" s="1"/>
  <c r="CT7" i="16"/>
  <c r="CU7" i="16"/>
  <c r="DC7" i="16" s="1"/>
  <c r="DT7" i="16"/>
  <c r="DU7" i="16"/>
  <c r="EC7" i="16" s="1"/>
  <c r="DG8" i="16"/>
  <c r="DH8" i="16"/>
  <c r="DP8" i="16" s="1"/>
  <c r="CT9" i="16"/>
  <c r="CU9" i="16"/>
  <c r="DC9" i="16" s="1"/>
  <c r="DT9" i="16"/>
  <c r="DU9" i="16"/>
  <c r="EC9" i="16" s="1"/>
  <c r="CT11" i="16"/>
  <c r="CU11" i="16"/>
  <c r="DC11" i="16" s="1"/>
  <c r="DT11" i="16"/>
  <c r="DU11" i="16"/>
  <c r="EC11" i="16" s="1"/>
  <c r="DG12" i="16"/>
  <c r="DH12" i="16"/>
  <c r="DP12" i="16" s="1"/>
  <c r="CT13" i="16"/>
  <c r="CU13" i="16"/>
  <c r="DC13" i="16" s="1"/>
  <c r="DT13" i="16"/>
  <c r="DU13" i="16"/>
  <c r="EC13" i="16" s="1"/>
  <c r="DG14" i="16"/>
  <c r="DH14" i="16"/>
  <c r="DP14" i="16" s="1"/>
  <c r="CT15" i="16"/>
  <c r="CU15" i="16"/>
  <c r="DC15" i="16" s="1"/>
  <c r="DT15" i="16"/>
  <c r="DU15" i="16"/>
  <c r="EC15" i="16" s="1"/>
  <c r="CT46" i="16"/>
  <c r="CU46" i="16"/>
  <c r="DC46" i="16" s="1"/>
  <c r="DT46" i="16"/>
  <c r="DU46" i="16"/>
  <c r="EC46" i="16" s="1"/>
  <c r="CT48" i="16"/>
  <c r="CU48" i="16"/>
  <c r="DC48" i="16" s="1"/>
  <c r="DT48" i="16"/>
  <c r="DU48" i="16"/>
  <c r="EC48" i="16" s="1"/>
  <c r="DG49" i="16"/>
  <c r="DH49" i="16"/>
  <c r="DP49" i="16" s="1"/>
  <c r="CT52" i="16"/>
  <c r="CU52" i="16"/>
  <c r="DC52" i="16" s="1"/>
  <c r="DT52" i="16"/>
  <c r="DU52" i="16"/>
  <c r="EC52" i="16" s="1"/>
  <c r="DT60" i="16"/>
  <c r="DU60" i="16"/>
  <c r="EC60" i="16" s="1"/>
  <c r="DG61" i="16"/>
  <c r="DH61" i="16"/>
  <c r="DP61" i="16" s="1"/>
  <c r="CT62" i="16"/>
  <c r="CU62" i="16"/>
  <c r="DC62" i="16" s="1"/>
  <c r="DT62" i="16"/>
  <c r="DU62" i="16"/>
  <c r="EC62" i="16" s="1"/>
  <c r="CT70" i="16"/>
  <c r="CU70" i="16"/>
  <c r="DC70" i="16" s="1"/>
  <c r="DG71" i="16"/>
  <c r="DH71" i="16"/>
  <c r="DP71" i="16" s="1"/>
  <c r="CT72" i="16"/>
  <c r="CU72" i="16"/>
  <c r="DC72" i="16" s="1"/>
  <c r="DT72" i="16"/>
  <c r="DU72" i="16"/>
  <c r="DG73" i="16"/>
  <c r="DH73" i="16"/>
  <c r="DP73" i="16" s="1"/>
  <c r="DG81" i="16"/>
  <c r="DH81" i="16"/>
  <c r="DP81" i="16" s="1"/>
  <c r="CT82" i="16"/>
  <c r="CU82" i="16"/>
  <c r="DC82" i="16" s="1"/>
  <c r="DT82" i="16"/>
  <c r="DU82" i="16"/>
  <c r="EC82" i="16" s="1"/>
  <c r="DG83" i="16"/>
  <c r="DH83" i="16"/>
  <c r="DP83" i="16" s="1"/>
  <c r="CT84" i="16"/>
  <c r="CU84" i="16"/>
  <c r="DC84" i="16" s="1"/>
  <c r="DT84" i="16"/>
  <c r="DU84" i="16"/>
  <c r="EC84" i="16" s="1"/>
  <c r="DG36" i="16"/>
  <c r="DH36" i="16"/>
  <c r="DP36" i="16" s="1"/>
  <c r="CT37" i="16"/>
  <c r="CU37" i="16"/>
  <c r="DC37" i="16" s="1"/>
  <c r="DT37" i="16"/>
  <c r="DU37" i="16"/>
  <c r="EC37" i="16" s="1"/>
  <c r="AA38" i="16"/>
  <c r="DU38" i="16"/>
  <c r="EC38" i="16" s="1"/>
  <c r="CT24" i="16"/>
  <c r="CU24" i="16"/>
  <c r="DC24" i="16" s="1"/>
  <c r="DT24" i="16"/>
  <c r="DU24" i="16"/>
  <c r="EC24" i="16" s="1"/>
  <c r="DG25" i="16"/>
  <c r="DH25" i="16"/>
  <c r="DP25" i="16" s="1"/>
  <c r="CT26" i="16"/>
  <c r="CU26" i="16"/>
  <c r="DC26" i="16" s="1"/>
  <c r="DT26" i="16"/>
  <c r="DU26" i="16"/>
  <c r="EC26" i="16" s="1"/>
  <c r="DG37" i="16"/>
  <c r="DH37" i="16"/>
  <c r="DP37" i="16" s="1"/>
  <c r="DG5" i="16"/>
  <c r="DH5" i="16"/>
  <c r="DP5" i="16" s="1"/>
  <c r="CT6" i="16"/>
  <c r="CU6" i="16"/>
  <c r="DC6" i="16" s="1"/>
  <c r="DT6" i="16"/>
  <c r="DU6" i="16"/>
  <c r="EC6" i="16" s="1"/>
  <c r="DG7" i="16"/>
  <c r="DH7" i="16"/>
  <c r="DP7" i="16" s="1"/>
  <c r="CT8" i="16"/>
  <c r="CU8" i="16"/>
  <c r="DC8" i="16" s="1"/>
  <c r="DT8" i="16"/>
  <c r="DU8" i="16"/>
  <c r="EC8" i="16" s="1"/>
  <c r="DG9" i="16"/>
  <c r="DH9" i="16"/>
  <c r="DP9" i="16" s="1"/>
  <c r="DG11" i="16"/>
  <c r="DH11" i="16"/>
  <c r="DP11" i="16" s="1"/>
  <c r="CT12" i="16"/>
  <c r="CU12" i="16"/>
  <c r="DC12" i="16" s="1"/>
  <c r="DT12" i="16"/>
  <c r="DU12" i="16"/>
  <c r="EC12" i="16" s="1"/>
  <c r="DG13" i="16"/>
  <c r="DH13" i="16"/>
  <c r="DP13" i="16" s="1"/>
  <c r="CT14" i="16"/>
  <c r="CU14" i="16"/>
  <c r="DC14" i="16" s="1"/>
  <c r="DT14" i="16"/>
  <c r="DU14" i="16"/>
  <c r="EC14" i="16" s="1"/>
  <c r="DG15" i="16"/>
  <c r="DH15" i="16"/>
  <c r="DP15" i="16" s="1"/>
  <c r="DG46" i="16"/>
  <c r="DH46" i="16"/>
  <c r="DP46" i="16" s="1"/>
  <c r="DG48" i="16"/>
  <c r="DH48" i="16"/>
  <c r="DP48" i="16" s="1"/>
  <c r="CT49" i="16"/>
  <c r="CU49" i="16"/>
  <c r="DC49" i="16" s="1"/>
  <c r="DT49" i="16"/>
  <c r="DU49" i="16"/>
  <c r="EC49" i="16" s="1"/>
  <c r="DT50" i="16"/>
  <c r="DU50" i="16"/>
  <c r="EC50" i="16" s="1"/>
  <c r="DG52" i="16"/>
  <c r="DH52" i="16"/>
  <c r="DP52" i="16" s="1"/>
  <c r="DG60" i="16"/>
  <c r="DH60" i="16"/>
  <c r="DP60" i="16" s="1"/>
  <c r="CT61" i="16"/>
  <c r="CU61" i="16"/>
  <c r="DC61" i="16" s="1"/>
  <c r="DT61" i="16"/>
  <c r="DU61" i="16"/>
  <c r="EC61" i="16" s="1"/>
  <c r="DG62" i="16"/>
  <c r="DH62" i="16"/>
  <c r="DP62" i="16" s="1"/>
  <c r="DG70" i="16"/>
  <c r="DH70" i="16"/>
  <c r="DP70" i="16" s="1"/>
  <c r="CT71" i="16"/>
  <c r="CU71" i="16"/>
  <c r="DC71" i="16" s="1"/>
  <c r="DT71" i="16"/>
  <c r="DU71" i="16"/>
  <c r="DG72" i="16"/>
  <c r="DH72" i="16"/>
  <c r="DP72" i="16" s="1"/>
  <c r="CT73" i="16"/>
  <c r="CU73" i="16"/>
  <c r="DC73" i="16" s="1"/>
  <c r="DT73" i="16"/>
  <c r="DU73" i="16"/>
  <c r="CT81" i="16"/>
  <c r="CU81" i="16"/>
  <c r="DC81" i="16" s="1"/>
  <c r="DT81" i="16"/>
  <c r="DU81" i="16"/>
  <c r="EC81" i="16" s="1"/>
  <c r="DG82" i="16"/>
  <c r="DH82" i="16"/>
  <c r="DP82" i="16" s="1"/>
  <c r="CT83" i="16"/>
  <c r="CU83" i="16"/>
  <c r="DC83" i="16" s="1"/>
  <c r="DT83" i="16"/>
  <c r="DU83" i="16"/>
  <c r="EC83" i="16" s="1"/>
  <c r="DG84" i="16"/>
  <c r="DH84" i="16"/>
  <c r="DP84" i="16" s="1"/>
  <c r="CG37" i="16"/>
  <c r="CH37" i="16"/>
  <c r="CP37" i="16" s="1"/>
  <c r="CG5" i="16"/>
  <c r="CH5" i="16"/>
  <c r="CP5" i="16" s="1"/>
  <c r="CG7" i="16"/>
  <c r="CH7" i="16"/>
  <c r="CP7" i="16" s="1"/>
  <c r="CG9" i="16"/>
  <c r="CH9" i="16"/>
  <c r="CP9" i="16" s="1"/>
  <c r="CG11" i="16"/>
  <c r="CH11" i="16"/>
  <c r="CP11" i="16" s="1"/>
  <c r="CG13" i="16"/>
  <c r="CH13" i="16"/>
  <c r="CP13" i="16" s="1"/>
  <c r="CG15" i="16"/>
  <c r="CH15" i="16"/>
  <c r="CP15" i="16" s="1"/>
  <c r="CG46" i="16"/>
  <c r="CH46" i="16"/>
  <c r="CP46" i="16" s="1"/>
  <c r="CG48" i="16"/>
  <c r="CH48" i="16"/>
  <c r="CP48" i="16" s="1"/>
  <c r="CG52" i="16"/>
  <c r="CH52" i="16"/>
  <c r="CP52" i="16" s="1"/>
  <c r="CG60" i="16"/>
  <c r="CH60" i="16"/>
  <c r="CP60" i="16" s="1"/>
  <c r="CG62" i="16"/>
  <c r="CH62" i="16"/>
  <c r="CP62" i="16" s="1"/>
  <c r="CG70" i="16"/>
  <c r="CH70" i="16"/>
  <c r="CP70" i="16" s="1"/>
  <c r="CG72" i="16"/>
  <c r="CH72" i="16"/>
  <c r="CP72" i="16" s="1"/>
  <c r="CG82" i="16"/>
  <c r="CH82" i="16"/>
  <c r="CP82" i="16" s="1"/>
  <c r="CG84" i="16"/>
  <c r="CH84" i="16"/>
  <c r="CP84" i="16" s="1"/>
  <c r="CG25" i="16"/>
  <c r="CH25" i="16"/>
  <c r="CP25" i="16" s="1"/>
  <c r="CG24" i="16"/>
  <c r="CH24" i="16"/>
  <c r="CP24" i="16" s="1"/>
  <c r="CG26" i="16"/>
  <c r="CH26" i="16"/>
  <c r="CP26" i="16" s="1"/>
  <c r="CG6" i="16"/>
  <c r="CH6" i="16"/>
  <c r="CP6" i="16" s="1"/>
  <c r="CG10" i="16"/>
  <c r="CH10" i="16"/>
  <c r="CP10" i="16" s="1"/>
  <c r="CG12" i="16"/>
  <c r="CH12" i="16"/>
  <c r="CP12" i="16" s="1"/>
  <c r="CG14" i="16"/>
  <c r="CH14" i="16"/>
  <c r="CP14" i="16" s="1"/>
  <c r="CG49" i="16"/>
  <c r="CH49" i="16"/>
  <c r="CP49" i="16" s="1"/>
  <c r="CG61" i="16"/>
  <c r="CH61" i="16"/>
  <c r="CP61" i="16" s="1"/>
  <c r="CG71" i="16"/>
  <c r="CH71" i="16"/>
  <c r="CP71" i="16" s="1"/>
  <c r="CG73" i="16"/>
  <c r="CH73" i="16"/>
  <c r="CP73" i="16" s="1"/>
  <c r="CG81" i="16"/>
  <c r="CH81" i="16"/>
  <c r="CP81" i="16" s="1"/>
  <c r="BT26" i="16"/>
  <c r="BU26" i="16"/>
  <c r="CC26" i="16" s="1"/>
  <c r="BT6" i="16"/>
  <c r="BU6" i="16"/>
  <c r="CC6" i="16" s="1"/>
  <c r="BT12" i="16"/>
  <c r="BU12" i="16"/>
  <c r="CC12" i="16" s="1"/>
  <c r="BT14" i="16"/>
  <c r="BU14" i="16"/>
  <c r="CC14" i="16" s="1"/>
  <c r="BT49" i="16"/>
  <c r="BU49" i="16"/>
  <c r="CC49" i="16" s="1"/>
  <c r="BT61" i="16"/>
  <c r="BU61" i="16"/>
  <c r="CC61" i="16" s="1"/>
  <c r="BT71" i="16"/>
  <c r="BU71" i="16"/>
  <c r="CC71" i="16" s="1"/>
  <c r="BT73" i="16"/>
  <c r="BU73" i="16"/>
  <c r="CC73" i="16" s="1"/>
  <c r="BT81" i="16"/>
  <c r="BU81" i="16"/>
  <c r="CC81" i="16" s="1"/>
  <c r="BT83" i="16"/>
  <c r="BU83" i="16"/>
  <c r="CC83" i="16" s="1"/>
  <c r="BT25" i="16"/>
  <c r="BU25" i="16"/>
  <c r="CC25" i="16" s="1"/>
  <c r="BT37" i="16"/>
  <c r="BU37" i="16"/>
  <c r="CC37" i="16" s="1"/>
  <c r="BT24" i="16"/>
  <c r="BU24" i="16"/>
  <c r="CC24" i="16" s="1"/>
  <c r="BT5" i="16"/>
  <c r="BU5" i="16"/>
  <c r="CC5" i="16" s="1"/>
  <c r="BT7" i="16"/>
  <c r="BU7" i="16"/>
  <c r="CC7" i="16" s="1"/>
  <c r="BT9" i="16"/>
  <c r="BU9" i="16"/>
  <c r="CC9" i="16" s="1"/>
  <c r="BT11" i="16"/>
  <c r="BU11" i="16"/>
  <c r="CC11" i="16" s="1"/>
  <c r="BT13" i="16"/>
  <c r="BU13" i="16"/>
  <c r="CC13" i="16" s="1"/>
  <c r="BT15" i="16"/>
  <c r="BU15" i="16"/>
  <c r="CC15" i="16" s="1"/>
  <c r="BT46" i="16"/>
  <c r="BU46" i="16"/>
  <c r="CC46" i="16" s="1"/>
  <c r="BT48" i="16"/>
  <c r="BU48" i="16"/>
  <c r="CC48" i="16" s="1"/>
  <c r="BT52" i="16"/>
  <c r="BU52" i="16"/>
  <c r="CC52" i="16" s="1"/>
  <c r="BT60" i="16"/>
  <c r="BU60" i="16"/>
  <c r="CC60" i="16" s="1"/>
  <c r="BT62" i="16"/>
  <c r="BU62" i="16"/>
  <c r="CC62" i="16" s="1"/>
  <c r="BT70" i="16"/>
  <c r="BU70" i="16"/>
  <c r="CC70" i="16" s="1"/>
  <c r="BT72" i="16"/>
  <c r="BU72" i="16"/>
  <c r="CC72" i="16" s="1"/>
  <c r="BT82" i="16"/>
  <c r="BU82" i="16"/>
  <c r="CC82" i="16" s="1"/>
  <c r="BG37" i="16"/>
  <c r="BH37" i="16"/>
  <c r="BP37" i="16" s="1"/>
  <c r="BG5" i="16"/>
  <c r="BH5" i="16"/>
  <c r="BP5" i="16" s="1"/>
  <c r="BG7" i="16"/>
  <c r="BH7" i="16"/>
  <c r="BP7" i="16" s="1"/>
  <c r="BG9" i="16"/>
  <c r="BH9" i="16"/>
  <c r="BP9" i="16" s="1"/>
  <c r="BG11" i="16"/>
  <c r="BH11" i="16"/>
  <c r="BP11" i="16" s="1"/>
  <c r="BG13" i="16"/>
  <c r="BH13" i="16"/>
  <c r="BP13" i="16" s="1"/>
  <c r="BG15" i="16"/>
  <c r="BH15" i="16"/>
  <c r="BP15" i="16" s="1"/>
  <c r="BG46" i="16"/>
  <c r="BH46" i="16"/>
  <c r="BP46" i="16" s="1"/>
  <c r="BG48" i="16"/>
  <c r="BH48" i="16"/>
  <c r="BP48" i="16" s="1"/>
  <c r="BG52" i="16"/>
  <c r="BH52" i="16"/>
  <c r="BP52" i="16" s="1"/>
  <c r="BG60" i="16"/>
  <c r="BH60" i="16"/>
  <c r="BP60" i="16" s="1"/>
  <c r="BG62" i="16"/>
  <c r="BH62" i="16"/>
  <c r="BP62" i="16" s="1"/>
  <c r="BG70" i="16"/>
  <c r="BH70" i="16"/>
  <c r="BP70" i="16" s="1"/>
  <c r="BG72" i="16"/>
  <c r="BH72" i="16"/>
  <c r="BP72" i="16" s="1"/>
  <c r="BG82" i="16"/>
  <c r="BH82" i="16"/>
  <c r="BP82" i="16" s="1"/>
  <c r="BG25" i="16"/>
  <c r="BH25" i="16"/>
  <c r="BP25" i="16" s="1"/>
  <c r="BG24" i="16"/>
  <c r="BH24" i="16"/>
  <c r="BP24" i="16" s="1"/>
  <c r="BG26" i="16"/>
  <c r="BH26" i="16"/>
  <c r="BP26" i="16" s="1"/>
  <c r="BG36" i="16"/>
  <c r="BD39" i="16" s="1"/>
  <c r="BD41" i="16" s="1"/>
  <c r="BH36" i="16"/>
  <c r="BP36" i="16" s="1"/>
  <c r="BG6" i="16"/>
  <c r="BH6" i="16"/>
  <c r="BP6" i="16" s="1"/>
  <c r="BG10" i="16"/>
  <c r="BH10" i="16"/>
  <c r="BP10" i="16" s="1"/>
  <c r="BG12" i="16"/>
  <c r="BH12" i="16"/>
  <c r="BP12" i="16" s="1"/>
  <c r="BG14" i="16"/>
  <c r="BH14" i="16"/>
  <c r="BP14" i="16" s="1"/>
  <c r="BG49" i="16"/>
  <c r="BH49" i="16"/>
  <c r="BP49" i="16" s="1"/>
  <c r="BG61" i="16"/>
  <c r="BH61" i="16"/>
  <c r="BP61" i="16" s="1"/>
  <c r="BG71" i="16"/>
  <c r="BH71" i="16"/>
  <c r="BP71" i="16" s="1"/>
  <c r="BG73" i="16"/>
  <c r="BH73" i="16"/>
  <c r="BP73" i="16" s="1"/>
  <c r="BG81" i="16"/>
  <c r="BH81" i="16"/>
  <c r="BP81" i="16" s="1"/>
  <c r="BG83" i="16"/>
  <c r="BH83" i="16"/>
  <c r="BP83" i="16" s="1"/>
  <c r="AT8" i="16"/>
  <c r="AU8" i="16"/>
  <c r="BC8" i="16" s="1"/>
  <c r="AT14" i="16"/>
  <c r="AU14" i="16"/>
  <c r="BC14" i="16" s="1"/>
  <c r="AT49" i="16"/>
  <c r="AU49" i="16"/>
  <c r="BC49" i="16" s="1"/>
  <c r="AT61" i="16"/>
  <c r="AU61" i="16"/>
  <c r="BC61" i="16" s="1"/>
  <c r="AT71" i="16"/>
  <c r="AU71" i="16"/>
  <c r="BC71" i="16" s="1"/>
  <c r="AT73" i="16"/>
  <c r="AU73" i="16"/>
  <c r="BC73" i="16" s="1"/>
  <c r="AT81" i="16"/>
  <c r="AU81" i="16"/>
  <c r="BC81" i="16" s="1"/>
  <c r="AT83" i="16"/>
  <c r="AU83" i="16"/>
  <c r="BC83" i="16" s="1"/>
  <c r="AT24" i="16"/>
  <c r="AU24" i="16"/>
  <c r="BC24" i="16" s="1"/>
  <c r="AT26" i="16"/>
  <c r="AU26" i="16"/>
  <c r="BC26" i="16" s="1"/>
  <c r="AT12" i="16"/>
  <c r="AU12" i="16"/>
  <c r="BC12" i="16" s="1"/>
  <c r="AT25" i="16"/>
  <c r="AU25" i="16"/>
  <c r="BC25" i="16" s="1"/>
  <c r="AT37" i="16"/>
  <c r="AU37" i="16"/>
  <c r="BC37" i="16" s="1"/>
  <c r="AT6" i="16"/>
  <c r="AU6" i="16"/>
  <c r="BC6" i="16" s="1"/>
  <c r="AT5" i="16"/>
  <c r="AU5" i="16"/>
  <c r="BC5" i="16" s="1"/>
  <c r="AT7" i="16"/>
  <c r="AU7" i="16"/>
  <c r="BC7" i="16" s="1"/>
  <c r="AT9" i="16"/>
  <c r="AU9" i="16"/>
  <c r="BC9" i="16" s="1"/>
  <c r="AT11" i="16"/>
  <c r="AU11" i="16"/>
  <c r="BC11" i="16" s="1"/>
  <c r="AT13" i="16"/>
  <c r="AU13" i="16"/>
  <c r="BC13" i="16" s="1"/>
  <c r="AT15" i="16"/>
  <c r="AU15" i="16"/>
  <c r="BC15" i="16" s="1"/>
  <c r="AT46" i="16"/>
  <c r="AU46" i="16"/>
  <c r="BC46" i="16" s="1"/>
  <c r="AT48" i="16"/>
  <c r="AU48" i="16"/>
  <c r="BC48" i="16" s="1"/>
  <c r="AT52" i="16"/>
  <c r="AU52" i="16"/>
  <c r="BC52" i="16" s="1"/>
  <c r="AT60" i="16"/>
  <c r="AU60" i="16"/>
  <c r="BC60" i="16" s="1"/>
  <c r="AT62" i="16"/>
  <c r="AU62" i="16"/>
  <c r="BC62" i="16" s="1"/>
  <c r="AT70" i="16"/>
  <c r="AU70" i="16"/>
  <c r="BC70" i="16" s="1"/>
  <c r="AT72" i="16"/>
  <c r="AU72" i="16"/>
  <c r="BC72" i="16" s="1"/>
  <c r="AT82" i="16"/>
  <c r="AU82" i="16"/>
  <c r="BC82" i="16" s="1"/>
  <c r="AT84" i="16"/>
  <c r="AU84" i="16"/>
  <c r="BC84" i="16" s="1"/>
  <c r="AG25" i="16"/>
  <c r="AH25" i="16"/>
  <c r="AP25" i="16" s="1"/>
  <c r="AG37" i="16"/>
  <c r="AH37" i="16"/>
  <c r="AP37" i="16" s="1"/>
  <c r="AG52" i="16"/>
  <c r="AH52" i="16"/>
  <c r="AP52" i="16" s="1"/>
  <c r="AG60" i="16"/>
  <c r="AH60" i="16"/>
  <c r="AP60" i="16" s="1"/>
  <c r="AG70" i="16"/>
  <c r="AH70" i="16"/>
  <c r="AP70" i="16" s="1"/>
  <c r="AG72" i="16"/>
  <c r="AH72" i="16"/>
  <c r="AP72" i="16" s="1"/>
  <c r="AG26" i="16"/>
  <c r="AH26" i="16"/>
  <c r="AP26" i="16" s="1"/>
  <c r="AG36" i="16"/>
  <c r="AD39" i="16" s="1"/>
  <c r="AD41" i="16" s="1"/>
  <c r="AH36" i="16"/>
  <c r="AP36" i="16" s="1"/>
  <c r="AG71" i="16"/>
  <c r="AH71" i="16"/>
  <c r="AP71" i="16" s="1"/>
  <c r="AG83" i="16"/>
  <c r="AH83" i="16"/>
  <c r="AP83" i="16" s="1"/>
  <c r="ED39" i="16"/>
  <c r="ED41" i="16" s="1"/>
  <c r="Z61" i="16"/>
  <c r="AF84" i="16"/>
  <c r="BS26" i="16"/>
  <c r="CS26" i="16"/>
  <c r="DS26" i="16"/>
  <c r="ES26" i="16"/>
  <c r="FS26" i="16"/>
  <c r="CQ29" i="16"/>
  <c r="CQ31" i="16" s="1"/>
  <c r="EQ29" i="16"/>
  <c r="EQ31" i="16" s="1"/>
  <c r="GQ29" i="16"/>
  <c r="GQ31" i="16" s="1"/>
  <c r="K18" i="15"/>
  <c r="AF7" i="16"/>
  <c r="DF7" i="16"/>
  <c r="EF7" i="16"/>
  <c r="GF7" i="16"/>
  <c r="HF7" i="16"/>
  <c r="DF9" i="16"/>
  <c r="AG11" i="16"/>
  <c r="AG6" i="16"/>
  <c r="AG10" i="16"/>
  <c r="GS83" i="16"/>
  <c r="ES84" i="16"/>
  <c r="AG13" i="16"/>
  <c r="AG14" i="16"/>
  <c r="AG7" i="16"/>
  <c r="FF62" i="16"/>
  <c r="DS71" i="16"/>
  <c r="FS71" i="16"/>
  <c r="CF8" i="16"/>
  <c r="BF37" i="16"/>
  <c r="CF37" i="16"/>
  <c r="EF37" i="16"/>
  <c r="AS52" i="16"/>
  <c r="Z84" i="16"/>
  <c r="BF84" i="16"/>
  <c r="CS70" i="16"/>
  <c r="AA84" i="16"/>
  <c r="Z25" i="16"/>
  <c r="BS84" i="16"/>
  <c r="FD39" i="16"/>
  <c r="FD41" i="16" s="1"/>
  <c r="EF83" i="16"/>
  <c r="CF84" i="16"/>
  <c r="GS84" i="16"/>
  <c r="Z15" i="16"/>
  <c r="AA71" i="16"/>
  <c r="CS5" i="16"/>
  <c r="GS5" i="16"/>
  <c r="CS7" i="16"/>
  <c r="GS7" i="16"/>
  <c r="BF49" i="16"/>
  <c r="EF60" i="16"/>
  <c r="CS81" i="16"/>
  <c r="AG84" i="16"/>
  <c r="BT84" i="16"/>
  <c r="DS14" i="16"/>
  <c r="CS52" i="16"/>
  <c r="AS84" i="16"/>
  <c r="BG84" i="16"/>
  <c r="CS84" i="16"/>
  <c r="EF84" i="16"/>
  <c r="GF84" i="16"/>
  <c r="BS37" i="16"/>
  <c r="GF37" i="16"/>
  <c r="FF70" i="16"/>
  <c r="GF70" i="16"/>
  <c r="HF70" i="16"/>
  <c r="CS73" i="16"/>
  <c r="CS83" i="16"/>
  <c r="DS84" i="16"/>
  <c r="FS84" i="16"/>
  <c r="DS9" i="16"/>
  <c r="FS9" i="16"/>
  <c r="GS9" i="16"/>
  <c r="AF14" i="16"/>
  <c r="AF37" i="16"/>
  <c r="HH40" i="16"/>
  <c r="FF49" i="16"/>
  <c r="EF52" i="16"/>
  <c r="FS52" i="16"/>
  <c r="FS62" i="16"/>
  <c r="GS62" i="16"/>
  <c r="BS71" i="16"/>
  <c r="GS73" i="16"/>
  <c r="DF84" i="16"/>
  <c r="FF84" i="16"/>
  <c r="HF84" i="16"/>
  <c r="ES5" i="16"/>
  <c r="EF8" i="16"/>
  <c r="FF8" i="16"/>
  <c r="HF8" i="16"/>
  <c r="GF11" i="16"/>
  <c r="HF11" i="16"/>
  <c r="FF13" i="16"/>
  <c r="CS24" i="16"/>
  <c r="DS24" i="16"/>
  <c r="AA26" i="16"/>
  <c r="DT28" i="16"/>
  <c r="AS37" i="16"/>
  <c r="CS37" i="16"/>
  <c r="DS37" i="16"/>
  <c r="AF52" i="16"/>
  <c r="GF52" i="16"/>
  <c r="AF60" i="16"/>
  <c r="CF60" i="16"/>
  <c r="BS62" i="16"/>
  <c r="CS62" i="16"/>
  <c r="CS71" i="16"/>
  <c r="GS71" i="16"/>
  <c r="BF72" i="16"/>
  <c r="CF72" i="16"/>
  <c r="DF72" i="16"/>
  <c r="EF72" i="16"/>
  <c r="FF72" i="16"/>
  <c r="GF72" i="16"/>
  <c r="HF72" i="16"/>
  <c r="AS73" i="16"/>
  <c r="GS81" i="16"/>
  <c r="AS5" i="16"/>
  <c r="Z6" i="16"/>
  <c r="CF11" i="16"/>
  <c r="DF11" i="16"/>
  <c r="FS12" i="16"/>
  <c r="AF13" i="16"/>
  <c r="BF13" i="16"/>
  <c r="EF13" i="16"/>
  <c r="GS24" i="16"/>
  <c r="HF26" i="16"/>
  <c r="AS36" i="16"/>
  <c r="FS37" i="16"/>
  <c r="DS49" i="16"/>
  <c r="Z51" i="16"/>
  <c r="CF52" i="16"/>
  <c r="AS60" i="16"/>
  <c r="BF62" i="16"/>
  <c r="AS70" i="16"/>
  <c r="AS71" i="16"/>
  <c r="ES71" i="16"/>
  <c r="HF71" i="16"/>
  <c r="AS72" i="16"/>
  <c r="BS72" i="16"/>
  <c r="CS72" i="16"/>
  <c r="DS72" i="16"/>
  <c r="ES72" i="16"/>
  <c r="FS72" i="16"/>
  <c r="GS72" i="16"/>
  <c r="ES73" i="16"/>
  <c r="AA5" i="16"/>
  <c r="BS5" i="16"/>
  <c r="FS5" i="16"/>
  <c r="AS7" i="16"/>
  <c r="CF7" i="16"/>
  <c r="FF7" i="16"/>
  <c r="AF8" i="16"/>
  <c r="BS9" i="16"/>
  <c r="FF11" i="16"/>
  <c r="AS13" i="16"/>
  <c r="AF48" i="16"/>
  <c r="BF48" i="16"/>
  <c r="CF48" i="16"/>
  <c r="DF48" i="16"/>
  <c r="EF48" i="16"/>
  <c r="FF48" i="16"/>
  <c r="GF48" i="16"/>
  <c r="HF48" i="16"/>
  <c r="AF61" i="16"/>
  <c r="BF61" i="16"/>
  <c r="CF61" i="16"/>
  <c r="DF61" i="16"/>
  <c r="EF61" i="16"/>
  <c r="FF61" i="16"/>
  <c r="GF61" i="16"/>
  <c r="HF61" i="16"/>
  <c r="BQ74" i="16"/>
  <c r="BQ76" i="16" s="1"/>
  <c r="FQ85" i="16"/>
  <c r="FQ87" i="16" s="1"/>
  <c r="AA73" i="16"/>
  <c r="AG73" i="16"/>
  <c r="AA27" i="16"/>
  <c r="DT27" i="16"/>
  <c r="AG48" i="16"/>
  <c r="AA48" i="16"/>
  <c r="AG61" i="16"/>
  <c r="AA61" i="16"/>
  <c r="GS36" i="16"/>
  <c r="GT36" i="16"/>
  <c r="GQ39" i="16" s="1"/>
  <c r="GQ41" i="16" s="1"/>
  <c r="DS5" i="16"/>
  <c r="BF7" i="16"/>
  <c r="ES7" i="16"/>
  <c r="CG8" i="16"/>
  <c r="DF10" i="16"/>
  <c r="DG10" i="16"/>
  <c r="DD17" i="16" s="1"/>
  <c r="DD19" i="16" s="1"/>
  <c r="BF11" i="16"/>
  <c r="DS12" i="16"/>
  <c r="CS36" i="16"/>
  <c r="CT36" i="16"/>
  <c r="CQ39" i="16" s="1"/>
  <c r="CQ41" i="16" s="1"/>
  <c r="HD39" i="16"/>
  <c r="HD41" i="16" s="1"/>
  <c r="AS48" i="16"/>
  <c r="BS48" i="16"/>
  <c r="CS48" i="16"/>
  <c r="DS48" i="16"/>
  <c r="ES48" i="16"/>
  <c r="FS48" i="16"/>
  <c r="GS48" i="16"/>
  <c r="AS61" i="16"/>
  <c r="BS61" i="16"/>
  <c r="CS61" i="16"/>
  <c r="DS61" i="16"/>
  <c r="ES61" i="16"/>
  <c r="FS61" i="16"/>
  <c r="GS61" i="16"/>
  <c r="CD74" i="16"/>
  <c r="CD76" i="16" s="1"/>
  <c r="AA81" i="16"/>
  <c r="AG81" i="16"/>
  <c r="Z83" i="16"/>
  <c r="Z10" i="16"/>
  <c r="BS10" i="16"/>
  <c r="AA37" i="16"/>
  <c r="Z47" i="16"/>
  <c r="Z48" i="16"/>
  <c r="ES60" i="16"/>
  <c r="AS62" i="16"/>
  <c r="DF62" i="16"/>
  <c r="HH64" i="16"/>
  <c r="BF70" i="16"/>
  <c r="AF71" i="16"/>
  <c r="CF71" i="16"/>
  <c r="EF71" i="16"/>
  <c r="GF71" i="16"/>
  <c r="CF73" i="16"/>
  <c r="GF73" i="16"/>
  <c r="CF81" i="16"/>
  <c r="GF81" i="16"/>
  <c r="AS83" i="16"/>
  <c r="BS8" i="16"/>
  <c r="FF9" i="16"/>
  <c r="EF11" i="16"/>
  <c r="BS12" i="16"/>
  <c r="HF13" i="16"/>
  <c r="AS14" i="16"/>
  <c r="AS24" i="16"/>
  <c r="ES24" i="16"/>
  <c r="DF26" i="16"/>
  <c r="GS26" i="16"/>
  <c r="DS28" i="16"/>
  <c r="AB28" i="16" s="1"/>
  <c r="CF36" i="16"/>
  <c r="DF37" i="16"/>
  <c r="FF37" i="16"/>
  <c r="HF37" i="16"/>
  <c r="DF49" i="16"/>
  <c r="HF49" i="16"/>
  <c r="BS52" i="16"/>
  <c r="DS52" i="16"/>
  <c r="AS81" i="16"/>
  <c r="ES81" i="16"/>
  <c r="AS82" i="16"/>
  <c r="BS82" i="16"/>
  <c r="CS82" i="16"/>
  <c r="DS82" i="16"/>
  <c r="ES82" i="16"/>
  <c r="FS82" i="16"/>
  <c r="GS82" i="16"/>
  <c r="ES83" i="16"/>
  <c r="ES13" i="16"/>
  <c r="FS14" i="16"/>
  <c r="BS24" i="16"/>
  <c r="FS24" i="16"/>
  <c r="ES37" i="16"/>
  <c r="GS37" i="16"/>
  <c r="AS46" i="16"/>
  <c r="BS46" i="16"/>
  <c r="CS46" i="16"/>
  <c r="DS46" i="16"/>
  <c r="ES46" i="16"/>
  <c r="FS46" i="16"/>
  <c r="GS46" i="16"/>
  <c r="BS49" i="16"/>
  <c r="FS49" i="16"/>
  <c r="BF52" i="16"/>
  <c r="DF52" i="16"/>
  <c r="GF60" i="16"/>
  <c r="DS62" i="16"/>
  <c r="ES62" i="16"/>
  <c r="HF62" i="16"/>
  <c r="BF71" i="16"/>
  <c r="DF71" i="16"/>
  <c r="FF71" i="16"/>
  <c r="EF73" i="16"/>
  <c r="EF81" i="16"/>
  <c r="AF83" i="16"/>
  <c r="ES10" i="16"/>
  <c r="ET10" i="16"/>
  <c r="EQ17" i="16" s="1"/>
  <c r="EQ19" i="16" s="1"/>
  <c r="AG15" i="16"/>
  <c r="AA15" i="16"/>
  <c r="BS36" i="16"/>
  <c r="BT36" i="16"/>
  <c r="BQ39" i="16" s="1"/>
  <c r="BQ41" i="16" s="1"/>
  <c r="AA49" i="16"/>
  <c r="AG49" i="16"/>
  <c r="AA62" i="16"/>
  <c r="AG62" i="16"/>
  <c r="Z72" i="16"/>
  <c r="AF72" i="16"/>
  <c r="CG83" i="16"/>
  <c r="CD85" i="16" s="1"/>
  <c r="CF83" i="16"/>
  <c r="AF5" i="16"/>
  <c r="CF5" i="16"/>
  <c r="EF5" i="16"/>
  <c r="GF5" i="16"/>
  <c r="AS6" i="16"/>
  <c r="BS6" i="16"/>
  <c r="CS6" i="16"/>
  <c r="DS6" i="16"/>
  <c r="ES6" i="16"/>
  <c r="FS6" i="16"/>
  <c r="GS6" i="16"/>
  <c r="AA7" i="16"/>
  <c r="BS7" i="16"/>
  <c r="DS7" i="16"/>
  <c r="FS7" i="16"/>
  <c r="AG8" i="16"/>
  <c r="BT8" i="16"/>
  <c r="BF9" i="16"/>
  <c r="ES9" i="16"/>
  <c r="BF10" i="16"/>
  <c r="BT10" i="16"/>
  <c r="FS10" i="16"/>
  <c r="FT10" i="16"/>
  <c r="FQ17" i="16" s="1"/>
  <c r="FQ19" i="16" s="1"/>
  <c r="AS15" i="16"/>
  <c r="BS15" i="16"/>
  <c r="CS15" i="16"/>
  <c r="DS15" i="16"/>
  <c r="ES15" i="16"/>
  <c r="FS15" i="16"/>
  <c r="GS15" i="16"/>
  <c r="AA24" i="16"/>
  <c r="AG24" i="16"/>
  <c r="BF26" i="16"/>
  <c r="GF36" i="16"/>
  <c r="GG36" i="16"/>
  <c r="GD39" i="16" s="1"/>
  <c r="GD41" i="16" s="1"/>
  <c r="Z7" i="16"/>
  <c r="BF8" i="16"/>
  <c r="BG8" i="16"/>
  <c r="AG9" i="16"/>
  <c r="AA9" i="16"/>
  <c r="CS10" i="16"/>
  <c r="CT10" i="16"/>
  <c r="CQ17" i="16" s="1"/>
  <c r="CQ19" i="16" s="1"/>
  <c r="GS10" i="16"/>
  <c r="GT10" i="16"/>
  <c r="GQ17" i="16" s="1"/>
  <c r="GQ19" i="16" s="1"/>
  <c r="BS14" i="16"/>
  <c r="Z14" i="16"/>
  <c r="AA16" i="16"/>
  <c r="DT16" i="16"/>
  <c r="BF5" i="16"/>
  <c r="DF5" i="16"/>
  <c r="FF5" i="16"/>
  <c r="HF5" i="16"/>
  <c r="AF6" i="16"/>
  <c r="BF6" i="16"/>
  <c r="CF6" i="16"/>
  <c r="DF6" i="16"/>
  <c r="EF6" i="16"/>
  <c r="FF6" i="16"/>
  <c r="GF6" i="16"/>
  <c r="HF6" i="16"/>
  <c r="DF8" i="16"/>
  <c r="Z9" i="16"/>
  <c r="AS10" i="16"/>
  <c r="AT10" i="16"/>
  <c r="DS10" i="16"/>
  <c r="DT10" i="16"/>
  <c r="AA11" i="16"/>
  <c r="ES14" i="16"/>
  <c r="BF15" i="16"/>
  <c r="CF15" i="16"/>
  <c r="DF15" i="16"/>
  <c r="EF15" i="16"/>
  <c r="FF15" i="16"/>
  <c r="GF15" i="16"/>
  <c r="HF15" i="16"/>
  <c r="Z26" i="16"/>
  <c r="AS26" i="16"/>
  <c r="FF26" i="16"/>
  <c r="Z27" i="16"/>
  <c r="DS27" i="16"/>
  <c r="AB27" i="16" s="1"/>
  <c r="Z36" i="16"/>
  <c r="ES36" i="16"/>
  <c r="ET36" i="16"/>
  <c r="EQ39" i="16" s="1"/>
  <c r="EQ41" i="16" s="1"/>
  <c r="AS8" i="16"/>
  <c r="GF8" i="16"/>
  <c r="CS9" i="16"/>
  <c r="HF9" i="16"/>
  <c r="AF10" i="16"/>
  <c r="CF10" i="16"/>
  <c r="EF10" i="16"/>
  <c r="GF10" i="16"/>
  <c r="AS11" i="16"/>
  <c r="CS11" i="16"/>
  <c r="ES11" i="16"/>
  <c r="GS11" i="16"/>
  <c r="AS12" i="16"/>
  <c r="ES12" i="16"/>
  <c r="CF13" i="16"/>
  <c r="GS13" i="16"/>
  <c r="AF15" i="16"/>
  <c r="BF24" i="16"/>
  <c r="DF24" i="16"/>
  <c r="FF24" i="16"/>
  <c r="HF24" i="16"/>
  <c r="AF25" i="16"/>
  <c r="BF25" i="16"/>
  <c r="CF25" i="16"/>
  <c r="DF25" i="16"/>
  <c r="EF25" i="16"/>
  <c r="FF25" i="16"/>
  <c r="GF25" i="16"/>
  <c r="HF25" i="16"/>
  <c r="DD39" i="16"/>
  <c r="DD41" i="16" s="1"/>
  <c r="EF36" i="16"/>
  <c r="Z37" i="16"/>
  <c r="CT60" i="16"/>
  <c r="CQ63" i="16" s="1"/>
  <c r="CQ65" i="16" s="1"/>
  <c r="CS60" i="16"/>
  <c r="CQ85" i="16"/>
  <c r="CQ87" i="16" s="1"/>
  <c r="FD85" i="16"/>
  <c r="FD87" i="16" s="1"/>
  <c r="GQ85" i="16"/>
  <c r="GQ87" i="16" s="1"/>
  <c r="GG83" i="16"/>
  <c r="GD85" i="16" s="1"/>
  <c r="GF83" i="16"/>
  <c r="Z11" i="16"/>
  <c r="BQ29" i="16"/>
  <c r="BQ31" i="16" s="1"/>
  <c r="FQ29" i="16"/>
  <c r="FQ31" i="16" s="1"/>
  <c r="FS36" i="16"/>
  <c r="FT36" i="16"/>
  <c r="FQ39" i="16" s="1"/>
  <c r="FQ41" i="16" s="1"/>
  <c r="AG46" i="16"/>
  <c r="AA46" i="16"/>
  <c r="Z60" i="16"/>
  <c r="GT60" i="16"/>
  <c r="GQ63" i="16" s="1"/>
  <c r="GQ65" i="16" s="1"/>
  <c r="GS60" i="16"/>
  <c r="FF10" i="16"/>
  <c r="HF10" i="16"/>
  <c r="BS11" i="16"/>
  <c r="DS11" i="16"/>
  <c r="FS11" i="16"/>
  <c r="CS12" i="16"/>
  <c r="GS12" i="16"/>
  <c r="CS13" i="16"/>
  <c r="DF13" i="16"/>
  <c r="GF13" i="16"/>
  <c r="CS14" i="16"/>
  <c r="GS14" i="16"/>
  <c r="AF24" i="16"/>
  <c r="CF24" i="16"/>
  <c r="EF24" i="16"/>
  <c r="GF24" i="16"/>
  <c r="AS25" i="16"/>
  <c r="BS25" i="16"/>
  <c r="CS25" i="16"/>
  <c r="DS25" i="16"/>
  <c r="ES25" i="16"/>
  <c r="FS25" i="16"/>
  <c r="GS25" i="16"/>
  <c r="AF26" i="16"/>
  <c r="CF26" i="16"/>
  <c r="EF26" i="16"/>
  <c r="GF26" i="16"/>
  <c r="AF36" i="16"/>
  <c r="AT36" i="16"/>
  <c r="CG36" i="16"/>
  <c r="CD39" i="16" s="1"/>
  <c r="CD41" i="16" s="1"/>
  <c r="DS36" i="16"/>
  <c r="DT36" i="16"/>
  <c r="EG70" i="16"/>
  <c r="ED74" i="16" s="1"/>
  <c r="ED76" i="16" s="1"/>
  <c r="EF70" i="16"/>
  <c r="DD85" i="16"/>
  <c r="DD87" i="16" s="1"/>
  <c r="EQ85" i="16"/>
  <c r="EQ87" i="16" s="1"/>
  <c r="HD85" i="16"/>
  <c r="HD87" i="16" s="1"/>
  <c r="HH54" i="16"/>
  <c r="CD63" i="16"/>
  <c r="CD65" i="16" s="1"/>
  <c r="DQ63" i="16"/>
  <c r="DQ65" i="16" s="1"/>
  <c r="GD63" i="16"/>
  <c r="GD65" i="16" s="1"/>
  <c r="ED63" i="16"/>
  <c r="ED65" i="16" s="1"/>
  <c r="GD74" i="16"/>
  <c r="GD76" i="16" s="1"/>
  <c r="DQ85" i="16"/>
  <c r="DQ87" i="16" s="1"/>
  <c r="BF36" i="16"/>
  <c r="DF36" i="16"/>
  <c r="FF36" i="16"/>
  <c r="HF36" i="16"/>
  <c r="AS49" i="16"/>
  <c r="CS49" i="16"/>
  <c r="ES49" i="16"/>
  <c r="GS49" i="16"/>
  <c r="ES52" i="16"/>
  <c r="AA52" i="16"/>
  <c r="AF70" i="16"/>
  <c r="CF70" i="16"/>
  <c r="ES70" i="16"/>
  <c r="BS73" i="16"/>
  <c r="DS73" i="16"/>
  <c r="FS73" i="16"/>
  <c r="BS81" i="16"/>
  <c r="DS81" i="16"/>
  <c r="FS81" i="16"/>
  <c r="BF46" i="16"/>
  <c r="CF46" i="16"/>
  <c r="DF46" i="16"/>
  <c r="EF46" i="16"/>
  <c r="FF46" i="16"/>
  <c r="GF46" i="16"/>
  <c r="HF46" i="16"/>
  <c r="AF49" i="16"/>
  <c r="CF49" i="16"/>
  <c r="EF49" i="16"/>
  <c r="GF49" i="16"/>
  <c r="GS52" i="16"/>
  <c r="FQ63" i="16"/>
  <c r="FQ65" i="16" s="1"/>
  <c r="CF62" i="16"/>
  <c r="EF62" i="16"/>
  <c r="GF62" i="16"/>
  <c r="BS70" i="16"/>
  <c r="DF70" i="16"/>
  <c r="GS70" i="16"/>
  <c r="Z71" i="16"/>
  <c r="AA72" i="16"/>
  <c r="BF73" i="16"/>
  <c r="DF73" i="16"/>
  <c r="FF73" i="16"/>
  <c r="HF73" i="16"/>
  <c r="BF81" i="16"/>
  <c r="DF81" i="16"/>
  <c r="FF81" i="16"/>
  <c r="HF81" i="16"/>
  <c r="ED17" i="16"/>
  <c r="ED19" i="16" s="1"/>
  <c r="GD17" i="16"/>
  <c r="GD19" i="16" s="1"/>
  <c r="HH18" i="16"/>
  <c r="K3" i="16"/>
  <c r="Z5" i="16"/>
  <c r="AA6" i="16"/>
  <c r="CS8" i="16"/>
  <c r="ES8" i="16"/>
  <c r="GS8" i="16"/>
  <c r="AF11" i="16"/>
  <c r="AF12" i="16"/>
  <c r="CF12" i="16"/>
  <c r="EF12" i="16"/>
  <c r="GF12" i="16"/>
  <c r="BF14" i="16"/>
  <c r="DF14" i="16"/>
  <c r="FF14" i="16"/>
  <c r="HF14" i="16"/>
  <c r="DS16" i="16"/>
  <c r="AB16" i="16" s="1"/>
  <c r="Z16" i="16"/>
  <c r="DD29" i="16"/>
  <c r="DD31" i="16" s="1"/>
  <c r="FD29" i="16"/>
  <c r="FD31" i="16" s="1"/>
  <c r="HD29" i="16"/>
  <c r="HD31" i="16" s="1"/>
  <c r="Z8" i="16"/>
  <c r="AS9" i="16"/>
  <c r="AA12" i="16"/>
  <c r="Z13" i="16"/>
  <c r="AA14" i="16"/>
  <c r="FD17" i="16"/>
  <c r="FD19" i="16" s="1"/>
  <c r="HD17" i="16"/>
  <c r="HD19" i="16" s="1"/>
  <c r="AA8" i="16"/>
  <c r="DS8" i="16"/>
  <c r="FS8" i="16"/>
  <c r="AF9" i="16"/>
  <c r="CF9" i="16"/>
  <c r="EF9" i="16"/>
  <c r="GF9" i="16"/>
  <c r="AA10" i="16"/>
  <c r="Z12" i="16"/>
  <c r="AG12" i="16"/>
  <c r="BF12" i="16"/>
  <c r="DF12" i="16"/>
  <c r="FF12" i="16"/>
  <c r="HF12" i="16"/>
  <c r="AA13" i="16"/>
  <c r="BS13" i="16"/>
  <c r="DS13" i="16"/>
  <c r="FS13" i="16"/>
  <c r="CF14" i="16"/>
  <c r="EF14" i="16"/>
  <c r="GF14" i="16"/>
  <c r="CD29" i="16"/>
  <c r="CD31" i="16" s="1"/>
  <c r="ED29" i="16"/>
  <c r="ED31" i="16" s="1"/>
  <c r="GD29" i="16"/>
  <c r="GD31" i="16" s="1"/>
  <c r="AS47" i="16"/>
  <c r="AT47" i="16"/>
  <c r="BS47" i="16"/>
  <c r="BT47" i="16"/>
  <c r="CS47" i="16"/>
  <c r="CT47" i="16"/>
  <c r="DS47" i="16"/>
  <c r="DT47" i="16"/>
  <c r="ES47" i="16"/>
  <c r="ET47" i="16"/>
  <c r="FS47" i="16"/>
  <c r="FT47" i="16"/>
  <c r="GS47" i="16"/>
  <c r="GT47" i="16"/>
  <c r="Z50" i="16"/>
  <c r="DS50" i="16"/>
  <c r="AB50" i="16" s="1"/>
  <c r="AF51" i="16"/>
  <c r="AA51" i="16"/>
  <c r="AG51" i="16"/>
  <c r="BF51" i="16"/>
  <c r="BG51" i="16"/>
  <c r="CF51" i="16"/>
  <c r="CG51" i="16"/>
  <c r="DF51" i="16"/>
  <c r="DG51" i="16"/>
  <c r="EF51" i="16"/>
  <c r="EG51" i="16"/>
  <c r="FF51" i="16"/>
  <c r="FG51" i="16"/>
  <c r="GF51" i="16"/>
  <c r="GG51" i="16"/>
  <c r="HF51" i="16"/>
  <c r="HG51" i="16"/>
  <c r="Z24" i="16"/>
  <c r="AA25" i="16"/>
  <c r="Z28" i="16"/>
  <c r="DT38" i="16"/>
  <c r="HH30" i="16"/>
  <c r="AA36" i="16"/>
  <c r="Z46" i="16"/>
  <c r="AF46" i="16"/>
  <c r="AF47" i="16"/>
  <c r="AA47" i="16"/>
  <c r="AG47" i="16"/>
  <c r="BF47" i="16"/>
  <c r="BG47" i="16"/>
  <c r="CF47" i="16"/>
  <c r="CG47" i="16"/>
  <c r="DF47" i="16"/>
  <c r="DG47" i="16"/>
  <c r="EF47" i="16"/>
  <c r="EG47" i="16"/>
  <c r="FF47" i="16"/>
  <c r="FG47" i="16"/>
  <c r="GF47" i="16"/>
  <c r="GG47" i="16"/>
  <c r="HF47" i="16"/>
  <c r="HG47" i="16"/>
  <c r="AS51" i="16"/>
  <c r="AT51" i="16"/>
  <c r="BS51" i="16"/>
  <c r="BT51" i="16"/>
  <c r="CS51" i="16"/>
  <c r="CT51" i="16"/>
  <c r="DS51" i="16"/>
  <c r="DT51" i="16"/>
  <c r="ES51" i="16"/>
  <c r="ET51" i="16"/>
  <c r="FS51" i="16"/>
  <c r="FT51" i="16"/>
  <c r="GS51" i="16"/>
  <c r="GT51" i="16"/>
  <c r="FG52" i="16"/>
  <c r="FF52" i="16"/>
  <c r="DS38" i="16"/>
  <c r="AB38" i="16" s="1"/>
  <c r="HG52" i="16"/>
  <c r="HF52" i="16"/>
  <c r="Z49" i="16"/>
  <c r="AA50" i="16"/>
  <c r="BF60" i="16"/>
  <c r="DF60" i="16"/>
  <c r="EQ63" i="16"/>
  <c r="EQ65" i="16" s="1"/>
  <c r="FF60" i="16"/>
  <c r="HF60" i="16"/>
  <c r="AF73" i="16"/>
  <c r="Z73" i="16"/>
  <c r="Z52" i="16"/>
  <c r="DT70" i="16"/>
  <c r="DQ74" i="16" s="1"/>
  <c r="DS70" i="16"/>
  <c r="AF62" i="16"/>
  <c r="Z62" i="16"/>
  <c r="FT70" i="16"/>
  <c r="FQ74" i="16" s="1"/>
  <c r="FQ76" i="16" s="1"/>
  <c r="FS70" i="16"/>
  <c r="HH75" i="16"/>
  <c r="AA60" i="16"/>
  <c r="BS60" i="16"/>
  <c r="DD63" i="16"/>
  <c r="DD65" i="16" s="1"/>
  <c r="DS60" i="16"/>
  <c r="FD63" i="16"/>
  <c r="FD65" i="16" s="1"/>
  <c r="FS60" i="16"/>
  <c r="HD63" i="16"/>
  <c r="HD65" i="16" s="1"/>
  <c r="AQ90" i="16"/>
  <c r="CQ90" i="16"/>
  <c r="EQ90" i="16"/>
  <c r="GQ90" i="16"/>
  <c r="AF81" i="16"/>
  <c r="Z81" i="16"/>
  <c r="BQ90" i="16"/>
  <c r="DQ90" i="16"/>
  <c r="FQ90" i="16"/>
  <c r="HH86" i="16"/>
  <c r="AD90" i="16"/>
  <c r="ED90" i="16"/>
  <c r="DD74" i="16"/>
  <c r="DD76" i="16" s="1"/>
  <c r="FD74" i="16"/>
  <c r="FD76" i="16" s="1"/>
  <c r="HD74" i="16"/>
  <c r="HD76" i="16" s="1"/>
  <c r="Z82" i="16"/>
  <c r="AA83" i="16"/>
  <c r="BS83" i="16"/>
  <c r="DS83" i="16"/>
  <c r="FS83" i="16"/>
  <c r="Z70" i="16"/>
  <c r="CQ74" i="16"/>
  <c r="CQ76" i="16" s="1"/>
  <c r="EQ74" i="16"/>
  <c r="EQ76" i="16" s="1"/>
  <c r="GQ74" i="16"/>
  <c r="ED85" i="16"/>
  <c r="ED87" i="16" s="1"/>
  <c r="AF82" i="16"/>
  <c r="BF82" i="16"/>
  <c r="CF82" i="16"/>
  <c r="DF82" i="16"/>
  <c r="EF82" i="16"/>
  <c r="FF82" i="16"/>
  <c r="GF82" i="16"/>
  <c r="HF82" i="16"/>
  <c r="BF83" i="16"/>
  <c r="DF83" i="16"/>
  <c r="FF83" i="16"/>
  <c r="HF83" i="16"/>
  <c r="CD90" i="16"/>
  <c r="GD90" i="16"/>
  <c r="AA70" i="16"/>
  <c r="AG82" i="16"/>
  <c r="AA82" i="16"/>
  <c r="BD90" i="16"/>
  <c r="DD90" i="16"/>
  <c r="FD90" i="16"/>
  <c r="HD90" i="16"/>
  <c r="BZ39" i="3"/>
  <c r="CD39" i="3"/>
  <c r="CF48" i="3"/>
  <c r="CJ83" i="3"/>
  <c r="AZ13" i="3"/>
  <c r="AZ84" i="3"/>
  <c r="BT51" i="3"/>
  <c r="AZ7" i="3"/>
  <c r="BH26" i="3"/>
  <c r="BL26" i="3"/>
  <c r="BP62" i="3"/>
  <c r="BD8" i="3"/>
  <c r="BH25" i="3"/>
  <c r="BT7" i="3"/>
  <c r="BD26" i="3"/>
  <c r="CJ48" i="3"/>
  <c r="AZ14" i="3"/>
  <c r="CF24" i="3"/>
  <c r="CF82" i="3"/>
  <c r="BX82" i="3"/>
  <c r="CB36" i="3"/>
  <c r="CB60" i="3"/>
  <c r="BD82" i="3"/>
  <c r="BH62" i="3"/>
  <c r="AZ15" i="3"/>
  <c r="BL60" i="3"/>
  <c r="BL82" i="3"/>
  <c r="BP26" i="3"/>
  <c r="BD61" i="3"/>
  <c r="CJ46" i="3"/>
  <c r="BX48" i="3"/>
  <c r="BX51" i="3"/>
  <c r="BH37" i="3"/>
  <c r="BH61" i="3"/>
  <c r="BL70" i="3"/>
  <c r="BP25" i="3"/>
  <c r="CB46" i="3"/>
  <c r="CJ71" i="3"/>
  <c r="AZ9" i="3"/>
  <c r="BJ63" i="3"/>
  <c r="BX26" i="3"/>
  <c r="BX37" i="3"/>
  <c r="BX81" i="3"/>
  <c r="BX83" i="3"/>
  <c r="CB26" i="3"/>
  <c r="AZ8" i="3"/>
  <c r="AZ51" i="3"/>
  <c r="BH38" i="3"/>
  <c r="BJ39" i="3"/>
  <c r="BL48" i="3"/>
  <c r="BP81" i="3"/>
  <c r="BT8" i="3"/>
  <c r="CB84" i="3"/>
  <c r="CF46" i="3"/>
  <c r="CF52" i="3"/>
  <c r="BZ29" i="3"/>
  <c r="BB39" i="3"/>
  <c r="BL25" i="3"/>
  <c r="CB37" i="3"/>
  <c r="CB70" i="3"/>
  <c r="CB72" i="3"/>
  <c r="CH63" i="3"/>
  <c r="BB85" i="3"/>
  <c r="BL46" i="3"/>
  <c r="BT47" i="3"/>
  <c r="AZ10" i="3"/>
  <c r="BB63" i="3"/>
  <c r="BL47" i="3"/>
  <c r="BL49" i="3"/>
  <c r="BJ85" i="3"/>
  <c r="BP84" i="3"/>
  <c r="BT10" i="3"/>
  <c r="BT84" i="3"/>
  <c r="BX47" i="3"/>
  <c r="BX49" i="3"/>
  <c r="CB48" i="3"/>
  <c r="AZ6" i="3"/>
  <c r="BL73" i="3"/>
  <c r="BR29" i="3"/>
  <c r="BR85" i="3"/>
  <c r="CD53" i="3"/>
  <c r="AN5" i="3"/>
  <c r="AZ49" i="3"/>
  <c r="BD6" i="3"/>
  <c r="BD48" i="3"/>
  <c r="BD84" i="3"/>
  <c r="BH60" i="3"/>
  <c r="BH72" i="3"/>
  <c r="BJ29" i="3"/>
  <c r="BL83" i="3"/>
  <c r="BN53" i="3"/>
  <c r="BN63" i="3"/>
  <c r="BT15" i="3"/>
  <c r="BT12" i="3"/>
  <c r="BT48" i="3"/>
  <c r="BT60" i="3"/>
  <c r="BX62" i="3"/>
  <c r="CB51" i="3"/>
  <c r="CB62" i="3"/>
  <c r="BZ63" i="3"/>
  <c r="CF73" i="3"/>
  <c r="CJ49" i="3"/>
  <c r="AZ12" i="3"/>
  <c r="AX29" i="3"/>
  <c r="BB29" i="3"/>
  <c r="BH49" i="3"/>
  <c r="BL84" i="3"/>
  <c r="BT24" i="3"/>
  <c r="BX25" i="3"/>
  <c r="BX60" i="3"/>
  <c r="CB25" i="3"/>
  <c r="CB71" i="3"/>
  <c r="BZ85" i="3"/>
  <c r="CF51" i="3"/>
  <c r="CF60" i="3"/>
  <c r="CH29" i="3"/>
  <c r="CH39" i="3"/>
  <c r="CJ47" i="3"/>
  <c r="CJ84" i="3"/>
  <c r="AZ52" i="3"/>
  <c r="BA52" i="3"/>
  <c r="AX53" i="3" s="1"/>
  <c r="AX74" i="3"/>
  <c r="BR63" i="3"/>
  <c r="BV53" i="3"/>
  <c r="BV74" i="3"/>
  <c r="BD47" i="3"/>
  <c r="BE47" i="3"/>
  <c r="BB53" i="3" s="1"/>
  <c r="BH27" i="3"/>
  <c r="CD29" i="3"/>
  <c r="BF53" i="3"/>
  <c r="BF29" i="3"/>
  <c r="BF74" i="3"/>
  <c r="BN74" i="3"/>
  <c r="CD74" i="3"/>
  <c r="CH85" i="3"/>
  <c r="BJ53" i="3"/>
  <c r="BN85" i="3"/>
  <c r="BV85" i="3"/>
  <c r="BZ74" i="3"/>
  <c r="BD52" i="3"/>
  <c r="BL52" i="3"/>
  <c r="BJ74" i="3"/>
  <c r="BP6" i="3"/>
  <c r="BT36" i="3"/>
  <c r="BY25" i="3"/>
  <c r="BV29" i="3" s="1"/>
  <c r="BV63" i="3"/>
  <c r="BZ53" i="3"/>
  <c r="CB49" i="3"/>
  <c r="CB81" i="3"/>
  <c r="CD63" i="3"/>
  <c r="CD85" i="3"/>
  <c r="AX63" i="3"/>
  <c r="BN39" i="3"/>
  <c r="BP73" i="3"/>
  <c r="BT52" i="3"/>
  <c r="CH74" i="3"/>
  <c r="AZ11" i="3"/>
  <c r="AZ73" i="3"/>
  <c r="AX85" i="3"/>
  <c r="BD14" i="3"/>
  <c r="BB74" i="3"/>
  <c r="BF39" i="3"/>
  <c r="BF63" i="3"/>
  <c r="BH83" i="3"/>
  <c r="BP60" i="3"/>
  <c r="BR53" i="3"/>
  <c r="BT49" i="3"/>
  <c r="BR74" i="3"/>
  <c r="BV39" i="3"/>
  <c r="BX52" i="3"/>
  <c r="CH53" i="3"/>
  <c r="CJ72" i="3"/>
  <c r="CJ82" i="3"/>
  <c r="CJ81" i="3"/>
  <c r="CJ73" i="3"/>
  <c r="CJ70" i="3"/>
  <c r="CJ61" i="3"/>
  <c r="CJ62" i="3"/>
  <c r="CJ60" i="3"/>
  <c r="CJ51" i="3"/>
  <c r="CJ52" i="3"/>
  <c r="CJ37" i="3"/>
  <c r="CJ36" i="3"/>
  <c r="CJ25" i="3"/>
  <c r="CJ26" i="3"/>
  <c r="CJ24" i="3"/>
  <c r="CF83" i="3"/>
  <c r="CF81" i="3"/>
  <c r="CF84" i="3"/>
  <c r="CF71" i="3"/>
  <c r="CF72" i="3"/>
  <c r="CF70" i="3"/>
  <c r="CF61" i="3"/>
  <c r="CF62" i="3"/>
  <c r="CF47" i="3"/>
  <c r="CF36" i="3"/>
  <c r="CF26" i="3"/>
  <c r="CF25" i="3"/>
  <c r="CB83" i="3"/>
  <c r="CB73" i="3"/>
  <c r="CB61" i="3"/>
  <c r="CB47" i="3"/>
  <c r="CB24" i="3"/>
  <c r="BX84" i="3"/>
  <c r="BX73" i="3"/>
  <c r="BX71" i="3"/>
  <c r="BX72" i="3"/>
  <c r="BX70" i="3"/>
  <c r="BX61" i="3"/>
  <c r="BX46" i="3"/>
  <c r="BX36" i="3"/>
  <c r="BX24" i="3"/>
  <c r="BT83" i="3"/>
  <c r="BT82" i="3"/>
  <c r="BT81" i="3"/>
  <c r="BT73" i="3"/>
  <c r="BT71" i="3"/>
  <c r="BT70" i="3"/>
  <c r="BT61" i="3"/>
  <c r="BT62" i="3"/>
  <c r="BU36" i="3"/>
  <c r="BR39" i="3" s="1"/>
  <c r="BT37" i="3"/>
  <c r="BT25" i="3"/>
  <c r="BT26" i="3"/>
  <c r="BT14" i="3"/>
  <c r="BT6" i="3"/>
  <c r="BT13" i="3"/>
  <c r="BT9" i="3"/>
  <c r="BP83" i="3"/>
  <c r="BP82" i="3"/>
  <c r="BP72" i="3"/>
  <c r="BP71" i="3"/>
  <c r="BP70" i="3"/>
  <c r="BP61" i="3"/>
  <c r="BP47" i="3"/>
  <c r="BP49" i="3"/>
  <c r="BP52" i="3"/>
  <c r="BP48" i="3"/>
  <c r="BP46" i="3"/>
  <c r="BP36" i="3"/>
  <c r="BP37" i="3"/>
  <c r="BQ25" i="3"/>
  <c r="BN29" i="3" s="1"/>
  <c r="BP24" i="3"/>
  <c r="BP11" i="3"/>
  <c r="BP14" i="3"/>
  <c r="BP10" i="3"/>
  <c r="BP15" i="3"/>
  <c r="BP7" i="3"/>
  <c r="BP8" i="3"/>
  <c r="BP12" i="3"/>
  <c r="BP13" i="3"/>
  <c r="BP9" i="3"/>
  <c r="BL81" i="3"/>
  <c r="BL71" i="3"/>
  <c r="BL72" i="3"/>
  <c r="BL62" i="3"/>
  <c r="BL61" i="3"/>
  <c r="BL51" i="3"/>
  <c r="BL36" i="3"/>
  <c r="BL37" i="3"/>
  <c r="BL24" i="3"/>
  <c r="BI83" i="3"/>
  <c r="BF85" i="3" s="1"/>
  <c r="BH81" i="3"/>
  <c r="BH73" i="3"/>
  <c r="BH71" i="3"/>
  <c r="BH70" i="3"/>
  <c r="BH48" i="3"/>
  <c r="BH52" i="3"/>
  <c r="BH46" i="3"/>
  <c r="BH47" i="3"/>
  <c r="BH51" i="3"/>
  <c r="BH50" i="3"/>
  <c r="BH36" i="3"/>
  <c r="BH28" i="3"/>
  <c r="BH24" i="3"/>
  <c r="BD83" i="3"/>
  <c r="BD81" i="3"/>
  <c r="BD71" i="3"/>
  <c r="BD70" i="3"/>
  <c r="BD73" i="3"/>
  <c r="BD72" i="3"/>
  <c r="BD62" i="3"/>
  <c r="BD60" i="3"/>
  <c r="BD51" i="3"/>
  <c r="BD46" i="3"/>
  <c r="BD37" i="3"/>
  <c r="BD36" i="3"/>
  <c r="BD25" i="3"/>
  <c r="BD24" i="3"/>
  <c r="BD11" i="3"/>
  <c r="BD7" i="3"/>
  <c r="BD15" i="3"/>
  <c r="BD10" i="3"/>
  <c r="BD12" i="3"/>
  <c r="BD13" i="3"/>
  <c r="BD9" i="3"/>
  <c r="AZ82" i="3"/>
  <c r="AZ83" i="3"/>
  <c r="AZ81" i="3"/>
  <c r="AZ70" i="3"/>
  <c r="AZ71" i="3"/>
  <c r="AZ72" i="3"/>
  <c r="AZ61" i="3"/>
  <c r="AZ60" i="3"/>
  <c r="AZ62" i="3"/>
  <c r="AZ48" i="3"/>
  <c r="AZ47" i="3"/>
  <c r="AZ37" i="3"/>
  <c r="AZ25" i="3"/>
  <c r="AZ26" i="3"/>
  <c r="BA12" i="3"/>
  <c r="BA13" i="3"/>
  <c r="BA9" i="3"/>
  <c r="AN6" i="3"/>
  <c r="EB73" i="16" l="1"/>
  <c r="EC70" i="16"/>
  <c r="EB71" i="16"/>
  <c r="EB72" i="16"/>
  <c r="CD17" i="16"/>
  <c r="CD19" i="16" s="1"/>
  <c r="BQ63" i="16"/>
  <c r="BQ65" i="16" s="1"/>
  <c r="BD85" i="16"/>
  <c r="BD87" i="16" s="1"/>
  <c r="BQ85" i="16"/>
  <c r="BQ87" i="16" s="1"/>
  <c r="BD29" i="16"/>
  <c r="BD31" i="16" s="1"/>
  <c r="AQ29" i="16"/>
  <c r="AQ31" i="16" s="1"/>
  <c r="BD74" i="16"/>
  <c r="BD76" i="16" s="1"/>
  <c r="BD63" i="16"/>
  <c r="AQ39" i="16"/>
  <c r="AQ41" i="16" s="1"/>
  <c r="BD17" i="16"/>
  <c r="BD19" i="16" s="1"/>
  <c r="AQ85" i="16"/>
  <c r="AQ87" i="16" s="1"/>
  <c r="AQ74" i="16"/>
  <c r="AQ76" i="16" s="1"/>
  <c r="AQ63" i="16"/>
  <c r="AQ65" i="16" s="1"/>
  <c r="AQ17" i="16"/>
  <c r="AQ19" i="16" s="1"/>
  <c r="AD29" i="16"/>
  <c r="AD31" i="16" s="1"/>
  <c r="AD74" i="16"/>
  <c r="AD76" i="16" s="1"/>
  <c r="AD63" i="16"/>
  <c r="AD65" i="16" s="1"/>
  <c r="AB84" i="16"/>
  <c r="AB36" i="16"/>
  <c r="FQ53" i="16"/>
  <c r="FQ55" i="16" s="1"/>
  <c r="FQ91" i="16" s="1"/>
  <c r="BQ53" i="16"/>
  <c r="BQ55" i="16" s="1"/>
  <c r="AB10" i="16"/>
  <c r="AB71" i="16"/>
  <c r="AB5" i="16"/>
  <c r="DD53" i="16"/>
  <c r="DD55" i="16" s="1"/>
  <c r="DD91" i="16" s="1"/>
  <c r="FD53" i="16"/>
  <c r="FD55" i="16" s="1"/>
  <c r="FD91" i="16" s="1"/>
  <c r="BD53" i="16"/>
  <c r="BD55" i="16" s="1"/>
  <c r="AD85" i="16"/>
  <c r="AD87" i="16" s="1"/>
  <c r="DQ17" i="16"/>
  <c r="DQ19" i="16" s="1"/>
  <c r="AB72" i="16"/>
  <c r="AB37" i="16"/>
  <c r="DQ29" i="16"/>
  <c r="DQ31" i="16" s="1"/>
  <c r="AB60" i="16"/>
  <c r="BQ17" i="16"/>
  <c r="BQ19" i="16" s="1"/>
  <c r="AB61" i="16"/>
  <c r="AB48" i="16"/>
  <c r="EQ53" i="16"/>
  <c r="EQ89" i="16" s="1"/>
  <c r="CQ53" i="16"/>
  <c r="CQ55" i="16" s="1"/>
  <c r="CQ91" i="16" s="1"/>
  <c r="AQ53" i="16"/>
  <c r="GD53" i="16"/>
  <c r="GD55" i="16" s="1"/>
  <c r="ED53" i="16"/>
  <c r="ED55" i="16" s="1"/>
  <c r="ED91" i="16" s="1"/>
  <c r="CD53" i="16"/>
  <c r="CD55" i="16" s="1"/>
  <c r="AD53" i="16"/>
  <c r="AD55" i="16" s="1"/>
  <c r="AB25" i="16"/>
  <c r="AB6" i="16"/>
  <c r="AB7" i="16"/>
  <c r="AB73" i="16"/>
  <c r="AB11" i="16"/>
  <c r="AB49" i="16"/>
  <c r="AB24" i="16"/>
  <c r="AB62" i="16"/>
  <c r="GQ53" i="16"/>
  <c r="GQ55" i="16" s="1"/>
  <c r="AD17" i="16"/>
  <c r="AD19" i="16" s="1"/>
  <c r="AB26" i="16"/>
  <c r="AB15" i="16"/>
  <c r="AB52" i="16"/>
  <c r="HD53" i="16"/>
  <c r="HD55" i="16" s="1"/>
  <c r="HD91" i="16" s="1"/>
  <c r="DQ39" i="16"/>
  <c r="DQ41" i="16" s="1"/>
  <c r="DQ76" i="16"/>
  <c r="AB83" i="16"/>
  <c r="AB8" i="16"/>
  <c r="AB81" i="16"/>
  <c r="AB70" i="16"/>
  <c r="AB46" i="16"/>
  <c r="DQ53" i="16"/>
  <c r="DQ55" i="16" s="1"/>
  <c r="AB13" i="16"/>
  <c r="AB14" i="16"/>
  <c r="BD65" i="16"/>
  <c r="AB82" i="16"/>
  <c r="HH90" i="16"/>
  <c r="GD87" i="16"/>
  <c r="AB47" i="16"/>
  <c r="AB9" i="16"/>
  <c r="AB12" i="16"/>
  <c r="GQ76" i="16"/>
  <c r="AB51" i="16"/>
  <c r="CD87" i="16"/>
  <c r="AX17" i="3"/>
  <c r="AI5" i="3"/>
  <c r="EC72" i="16" l="1"/>
  <c r="EB70" i="16"/>
  <c r="EC71" i="16"/>
  <c r="EC73" i="16"/>
  <c r="AQ89" i="16"/>
  <c r="DD89" i="16"/>
  <c r="BD89" i="16"/>
  <c r="BQ89" i="16"/>
  <c r="BQ91" i="16"/>
  <c r="BD91" i="16"/>
  <c r="FQ89" i="16"/>
  <c r="AD91" i="16"/>
  <c r="CQ89" i="16"/>
  <c r="FD89" i="16"/>
  <c r="CD89" i="16"/>
  <c r="ED89" i="16"/>
  <c r="EQ55" i="16"/>
  <c r="EQ91" i="16" s="1"/>
  <c r="DQ91" i="16"/>
  <c r="AQ55" i="16"/>
  <c r="AQ91" i="16" s="1"/>
  <c r="GD91" i="16"/>
  <c r="GD89" i="16"/>
  <c r="AD89" i="16"/>
  <c r="CD91" i="16"/>
  <c r="GQ91" i="16"/>
  <c r="GQ89" i="16"/>
  <c r="HD89" i="16"/>
  <c r="DQ89" i="16"/>
  <c r="AE83" i="3"/>
  <c r="AE82" i="3"/>
  <c r="AE81" i="3"/>
  <c r="AE84" i="3"/>
  <c r="AE71" i="3"/>
  <c r="AE73" i="3"/>
  <c r="AE72" i="3"/>
  <c r="AE70" i="3"/>
  <c r="AE62" i="3"/>
  <c r="AE61" i="3"/>
  <c r="AE60" i="3"/>
  <c r="AE52" i="3"/>
  <c r="AE51" i="3"/>
  <c r="AE49" i="3"/>
  <c r="AE48" i="3"/>
  <c r="AE47" i="3"/>
  <c r="AE46" i="3"/>
  <c r="AE36" i="3"/>
  <c r="AE37" i="3"/>
  <c r="AE26" i="3"/>
  <c r="AE24" i="3"/>
  <c r="AE25" i="3"/>
  <c r="AE15" i="3"/>
  <c r="AE14" i="3"/>
  <c r="AE13" i="3"/>
  <c r="AE11" i="3"/>
  <c r="AE10" i="3"/>
  <c r="AE9" i="3"/>
  <c r="AE8" i="3"/>
  <c r="AE7" i="3"/>
  <c r="AE6" i="3"/>
  <c r="AE5" i="3"/>
  <c r="AE12" i="3"/>
  <c r="HH91" i="16" l="1"/>
  <c r="HH89" i="16"/>
  <c r="AD5" i="3"/>
  <c r="AA84" i="3"/>
  <c r="G48" i="4" s="1"/>
  <c r="AA83" i="3"/>
  <c r="G47" i="4" s="1"/>
  <c r="AA82" i="3"/>
  <c r="G46" i="4" s="1"/>
  <c r="AA81" i="3"/>
  <c r="G45" i="4" s="1"/>
  <c r="AA73" i="3"/>
  <c r="G43" i="4" s="1"/>
  <c r="AA72" i="3"/>
  <c r="G42" i="4" s="1"/>
  <c r="AA71" i="3"/>
  <c r="G41" i="4" s="1"/>
  <c r="AA70" i="3"/>
  <c r="G40" i="4" s="1"/>
  <c r="AA62" i="3"/>
  <c r="G38" i="4" s="1"/>
  <c r="AA61" i="3"/>
  <c r="G37" i="4" s="1"/>
  <c r="AA60" i="3"/>
  <c r="G36" i="4" s="1"/>
  <c r="AA52" i="3"/>
  <c r="G34" i="4" s="1"/>
  <c r="AA51" i="3"/>
  <c r="G33" i="4" s="1"/>
  <c r="AA50" i="3"/>
  <c r="G32" i="4" s="1"/>
  <c r="AA49" i="3"/>
  <c r="G31" i="4" s="1"/>
  <c r="AA48" i="3"/>
  <c r="G30" i="4" s="1"/>
  <c r="AA47" i="3"/>
  <c r="G29" i="4" s="1"/>
  <c r="AA46" i="3"/>
  <c r="G28" i="4" s="1"/>
  <c r="AA38" i="3"/>
  <c r="G26" i="4" s="1"/>
  <c r="AA37" i="3"/>
  <c r="G25" i="4" s="1"/>
  <c r="AA36" i="3"/>
  <c r="G24" i="4" s="1"/>
  <c r="AA28" i="3"/>
  <c r="G22" i="4" s="1"/>
  <c r="AA27" i="3"/>
  <c r="G21" i="4" s="1"/>
  <c r="AA26" i="3"/>
  <c r="G20" i="4" s="1"/>
  <c r="AA25" i="3"/>
  <c r="G19" i="4" s="1"/>
  <c r="AA24" i="3"/>
  <c r="G18" i="4" s="1"/>
  <c r="AA6" i="3"/>
  <c r="G6" i="4" s="1"/>
  <c r="AA7" i="3"/>
  <c r="G7" i="4" s="1"/>
  <c r="AA8" i="3"/>
  <c r="G8" i="4" s="1"/>
  <c r="AA9" i="3"/>
  <c r="G9" i="4" s="1"/>
  <c r="AA10" i="3"/>
  <c r="G10" i="4" s="1"/>
  <c r="AA11" i="3"/>
  <c r="G11" i="4" s="1"/>
  <c r="AA12" i="3"/>
  <c r="G12" i="4" s="1"/>
  <c r="AA13" i="3"/>
  <c r="G13" i="4" s="1"/>
  <c r="AA14" i="3"/>
  <c r="G14" i="4" s="1"/>
  <c r="AA15" i="3"/>
  <c r="G15" i="4" s="1"/>
  <c r="AA16" i="3"/>
  <c r="G16" i="4" s="1"/>
  <c r="AA5" i="3"/>
  <c r="G5" i="4" s="1"/>
  <c r="AW84" i="3" l="1"/>
  <c r="AT84" i="3"/>
  <c r="AV84" i="3" s="1"/>
  <c r="AS84" i="3"/>
  <c r="AP84" i="3"/>
  <c r="AR84" i="3" s="1"/>
  <c r="AO84" i="3"/>
  <c r="AL84" i="3"/>
  <c r="AN84" i="3" s="1"/>
  <c r="AK84" i="3"/>
  <c r="AH84" i="3"/>
  <c r="AJ84" i="3" s="1"/>
  <c r="AG84" i="3"/>
  <c r="AD84" i="3"/>
  <c r="AF84" i="3" s="1"/>
  <c r="AW83" i="3"/>
  <c r="AT83" i="3"/>
  <c r="AV83" i="3" s="1"/>
  <c r="AS83" i="3"/>
  <c r="AP83" i="3"/>
  <c r="AR83" i="3" s="1"/>
  <c r="AO83" i="3"/>
  <c r="AL83" i="3"/>
  <c r="AN83" i="3" s="1"/>
  <c r="AK83" i="3"/>
  <c r="AH83" i="3"/>
  <c r="AJ83" i="3" s="1"/>
  <c r="AG83" i="3"/>
  <c r="AD83" i="3"/>
  <c r="AF83" i="3" s="1"/>
  <c r="AW82" i="3"/>
  <c r="AT82" i="3"/>
  <c r="AV82" i="3" s="1"/>
  <c r="AS82" i="3"/>
  <c r="AP82" i="3"/>
  <c r="AR82" i="3" s="1"/>
  <c r="AO82" i="3"/>
  <c r="AL82" i="3"/>
  <c r="AN82" i="3" s="1"/>
  <c r="AK82" i="3"/>
  <c r="AH82" i="3"/>
  <c r="AJ82" i="3" s="1"/>
  <c r="AG82" i="3"/>
  <c r="AD82" i="3"/>
  <c r="AF82" i="3" s="1"/>
  <c r="AW81" i="3"/>
  <c r="AT81" i="3"/>
  <c r="AV81" i="3" s="1"/>
  <c r="AS81" i="3"/>
  <c r="AP81" i="3"/>
  <c r="AR81" i="3" s="1"/>
  <c r="AO81" i="3"/>
  <c r="AL85" i="3" s="1"/>
  <c r="AL81" i="3"/>
  <c r="AN81" i="3" s="1"/>
  <c r="AK81" i="3"/>
  <c r="AH81" i="3"/>
  <c r="AJ81" i="3" s="1"/>
  <c r="AG81" i="3"/>
  <c r="AD85" i="3" s="1"/>
  <c r="AD81" i="3"/>
  <c r="AF81" i="3" s="1"/>
  <c r="AW73" i="3"/>
  <c r="AT73" i="3"/>
  <c r="AV73" i="3" s="1"/>
  <c r="AS73" i="3"/>
  <c r="AP73" i="3"/>
  <c r="AR73" i="3" s="1"/>
  <c r="AO73" i="3"/>
  <c r="AL73" i="3"/>
  <c r="AN73" i="3" s="1"/>
  <c r="AK73" i="3"/>
  <c r="AH73" i="3"/>
  <c r="AJ73" i="3" s="1"/>
  <c r="AG73" i="3"/>
  <c r="AD73" i="3"/>
  <c r="AF73" i="3" s="1"/>
  <c r="AW72" i="3"/>
  <c r="AT72" i="3"/>
  <c r="AV72" i="3" s="1"/>
  <c r="AS72" i="3"/>
  <c r="AP72" i="3"/>
  <c r="AR72" i="3" s="1"/>
  <c r="AO72" i="3"/>
  <c r="AL72" i="3"/>
  <c r="AN72" i="3" s="1"/>
  <c r="AK72" i="3"/>
  <c r="AH72" i="3"/>
  <c r="AJ72" i="3" s="1"/>
  <c r="AG72" i="3"/>
  <c r="AD72" i="3"/>
  <c r="AF72" i="3" s="1"/>
  <c r="AW71" i="3"/>
  <c r="AT71" i="3"/>
  <c r="AV71" i="3" s="1"/>
  <c r="AS71" i="3"/>
  <c r="AP71" i="3"/>
  <c r="AR71" i="3" s="1"/>
  <c r="AO71" i="3"/>
  <c r="AL71" i="3"/>
  <c r="AN71" i="3" s="1"/>
  <c r="AK71" i="3"/>
  <c r="AH71" i="3"/>
  <c r="AJ71" i="3" s="1"/>
  <c r="AG71" i="3"/>
  <c r="AD71" i="3"/>
  <c r="AF71" i="3" s="1"/>
  <c r="AW70" i="3"/>
  <c r="AT74" i="3" s="1"/>
  <c r="AT70" i="3"/>
  <c r="AV70" i="3" s="1"/>
  <c r="AS70" i="3"/>
  <c r="AP70" i="3"/>
  <c r="AR70" i="3" s="1"/>
  <c r="AO70" i="3"/>
  <c r="AL74" i="3" s="1"/>
  <c r="AL70" i="3"/>
  <c r="AN70" i="3" s="1"/>
  <c r="AK70" i="3"/>
  <c r="AH70" i="3"/>
  <c r="AJ70" i="3" s="1"/>
  <c r="AG70" i="3"/>
  <c r="AD74" i="3" s="1"/>
  <c r="AD70" i="3"/>
  <c r="AF70" i="3" s="1"/>
  <c r="AW62" i="3"/>
  <c r="AT62" i="3"/>
  <c r="AV62" i="3" s="1"/>
  <c r="AS62" i="3"/>
  <c r="AP62" i="3"/>
  <c r="AR62" i="3" s="1"/>
  <c r="AO62" i="3"/>
  <c r="AL62" i="3"/>
  <c r="AN62" i="3" s="1"/>
  <c r="AK62" i="3"/>
  <c r="AH62" i="3"/>
  <c r="AJ62" i="3" s="1"/>
  <c r="AG62" i="3"/>
  <c r="AD62" i="3"/>
  <c r="AF62" i="3" s="1"/>
  <c r="AW61" i="3"/>
  <c r="AT61" i="3"/>
  <c r="AV61" i="3" s="1"/>
  <c r="AS61" i="3"/>
  <c r="AP61" i="3"/>
  <c r="AR61" i="3" s="1"/>
  <c r="AO61" i="3"/>
  <c r="AL61" i="3"/>
  <c r="AN61" i="3" s="1"/>
  <c r="AK61" i="3"/>
  <c r="AH61" i="3"/>
  <c r="AJ61" i="3" s="1"/>
  <c r="AG61" i="3"/>
  <c r="AD61" i="3"/>
  <c r="AF61" i="3" s="1"/>
  <c r="AW60" i="3"/>
  <c r="AT60" i="3"/>
  <c r="AV60" i="3" s="1"/>
  <c r="AS60" i="3"/>
  <c r="AP63" i="3" s="1"/>
  <c r="AP60" i="3"/>
  <c r="AR60" i="3" s="1"/>
  <c r="AO60" i="3"/>
  <c r="AL60" i="3"/>
  <c r="AN60" i="3" s="1"/>
  <c r="AK60" i="3"/>
  <c r="AH63" i="3" s="1"/>
  <c r="AH60" i="3"/>
  <c r="AJ60" i="3" s="1"/>
  <c r="AG60" i="3"/>
  <c r="AD60" i="3"/>
  <c r="AF60" i="3" s="1"/>
  <c r="AW52" i="3"/>
  <c r="AT52" i="3"/>
  <c r="AV52" i="3" s="1"/>
  <c r="AS52" i="3"/>
  <c r="AP52" i="3"/>
  <c r="AR52" i="3" s="1"/>
  <c r="AO52" i="3"/>
  <c r="AL52" i="3"/>
  <c r="AN52" i="3" s="1"/>
  <c r="AK52" i="3"/>
  <c r="AH52" i="3"/>
  <c r="AJ52" i="3" s="1"/>
  <c r="AG52" i="3"/>
  <c r="AD52" i="3"/>
  <c r="AF52" i="3" s="1"/>
  <c r="AW51" i="3"/>
  <c r="AT51" i="3"/>
  <c r="AV51" i="3" s="1"/>
  <c r="AS51" i="3"/>
  <c r="AP51" i="3"/>
  <c r="AR51" i="3" s="1"/>
  <c r="AO51" i="3"/>
  <c r="AL51" i="3"/>
  <c r="AN51" i="3" s="1"/>
  <c r="AK51" i="3"/>
  <c r="AH51" i="3"/>
  <c r="AJ51" i="3" s="1"/>
  <c r="AG51" i="3"/>
  <c r="AD51" i="3"/>
  <c r="AF51" i="3" s="1"/>
  <c r="Z50" i="3"/>
  <c r="F32" i="4" s="1"/>
  <c r="H32" i="4" s="1"/>
  <c r="AW49" i="3"/>
  <c r="AT49" i="3"/>
  <c r="AV49" i="3" s="1"/>
  <c r="AS49" i="3"/>
  <c r="AP49" i="3"/>
  <c r="AR49" i="3" s="1"/>
  <c r="AO49" i="3"/>
  <c r="AL49" i="3"/>
  <c r="AN49" i="3" s="1"/>
  <c r="AK49" i="3"/>
  <c r="AH49" i="3"/>
  <c r="AJ49" i="3" s="1"/>
  <c r="AG49" i="3"/>
  <c r="AD49" i="3"/>
  <c r="AF49" i="3" s="1"/>
  <c r="AW48" i="3"/>
  <c r="AT48" i="3"/>
  <c r="AV48" i="3" s="1"/>
  <c r="AS48" i="3"/>
  <c r="AP48" i="3"/>
  <c r="AR48" i="3" s="1"/>
  <c r="AO48" i="3"/>
  <c r="AL48" i="3"/>
  <c r="AN48" i="3" s="1"/>
  <c r="AK48" i="3"/>
  <c r="AH48" i="3"/>
  <c r="AJ48" i="3" s="1"/>
  <c r="AG48" i="3"/>
  <c r="AD48" i="3"/>
  <c r="AF48" i="3" s="1"/>
  <c r="AW47" i="3"/>
  <c r="AT47" i="3"/>
  <c r="AV47" i="3" s="1"/>
  <c r="AS47" i="3"/>
  <c r="AP47" i="3"/>
  <c r="AR47" i="3" s="1"/>
  <c r="AO47" i="3"/>
  <c r="AL47" i="3"/>
  <c r="AN47" i="3" s="1"/>
  <c r="AK47" i="3"/>
  <c r="AH47" i="3"/>
  <c r="AJ47" i="3" s="1"/>
  <c r="AG47" i="3"/>
  <c r="AD47" i="3"/>
  <c r="AF47" i="3" s="1"/>
  <c r="AZ46" i="3"/>
  <c r="AW46" i="3"/>
  <c r="AT46" i="3"/>
  <c r="AV46" i="3" s="1"/>
  <c r="AS46" i="3"/>
  <c r="AP46" i="3"/>
  <c r="AR46" i="3" s="1"/>
  <c r="AO46" i="3"/>
  <c r="AL46" i="3"/>
  <c r="AN46" i="3" s="1"/>
  <c r="AK46" i="3"/>
  <c r="AH46" i="3"/>
  <c r="AJ46" i="3" s="1"/>
  <c r="AG46" i="3"/>
  <c r="AD46" i="3"/>
  <c r="AW37" i="3"/>
  <c r="AT37" i="3"/>
  <c r="AV37" i="3" s="1"/>
  <c r="AS37" i="3"/>
  <c r="AP37" i="3"/>
  <c r="AR37" i="3" s="1"/>
  <c r="AO37" i="3"/>
  <c r="AL37" i="3"/>
  <c r="AN37" i="3" s="1"/>
  <c r="AK37" i="3"/>
  <c r="AH37" i="3"/>
  <c r="AJ37" i="3" s="1"/>
  <c r="AG37" i="3"/>
  <c r="AD37" i="3"/>
  <c r="AF37" i="3" s="1"/>
  <c r="BA36" i="3"/>
  <c r="AX39" i="3" s="1"/>
  <c r="AZ36" i="3"/>
  <c r="AW36" i="3"/>
  <c r="AT39" i="3" s="1"/>
  <c r="AT36" i="3"/>
  <c r="AV36" i="3" s="1"/>
  <c r="AS36" i="3"/>
  <c r="AP39" i="3" s="1"/>
  <c r="AP36" i="3"/>
  <c r="AR36" i="3" s="1"/>
  <c r="AO36" i="3"/>
  <c r="AL39" i="3" s="1"/>
  <c r="AL36" i="3"/>
  <c r="AN36" i="3" s="1"/>
  <c r="AK36" i="3"/>
  <c r="AH39" i="3" s="1"/>
  <c r="AH36" i="3"/>
  <c r="AJ36" i="3" s="1"/>
  <c r="AG36" i="3"/>
  <c r="AD39" i="3" s="1"/>
  <c r="AD36" i="3"/>
  <c r="AF36" i="3" s="1"/>
  <c r="AD25" i="3"/>
  <c r="AF25" i="3" s="1"/>
  <c r="AG25" i="3"/>
  <c r="AH25" i="3"/>
  <c r="AJ25" i="3" s="1"/>
  <c r="AK25" i="3"/>
  <c r="AL25" i="3"/>
  <c r="AN25" i="3" s="1"/>
  <c r="AO25" i="3"/>
  <c r="AP25" i="3"/>
  <c r="AR25" i="3" s="1"/>
  <c r="AS25" i="3"/>
  <c r="AT25" i="3"/>
  <c r="AV25" i="3" s="1"/>
  <c r="AW25" i="3"/>
  <c r="AD26" i="3"/>
  <c r="AF26" i="3" s="1"/>
  <c r="AG26" i="3"/>
  <c r="AH26" i="3"/>
  <c r="AJ26" i="3" s="1"/>
  <c r="AK26" i="3"/>
  <c r="AL26" i="3"/>
  <c r="AN26" i="3" s="1"/>
  <c r="AO26" i="3"/>
  <c r="AP26" i="3"/>
  <c r="AR26" i="3" s="1"/>
  <c r="AS26" i="3"/>
  <c r="AT26" i="3"/>
  <c r="AV26" i="3" s="1"/>
  <c r="AW26" i="3"/>
  <c r="AZ24" i="3"/>
  <c r="AW24" i="3"/>
  <c r="AT29" i="3" s="1"/>
  <c r="AT24" i="3"/>
  <c r="AV24" i="3" s="1"/>
  <c r="AS24" i="3"/>
  <c r="AP24" i="3"/>
  <c r="AR24" i="3" s="1"/>
  <c r="AO24" i="3"/>
  <c r="AL29" i="3" s="1"/>
  <c r="AL24" i="3"/>
  <c r="AN24" i="3" s="1"/>
  <c r="AK24" i="3"/>
  <c r="AH24" i="3"/>
  <c r="AJ24" i="3" s="1"/>
  <c r="AG24" i="3"/>
  <c r="AD24" i="3"/>
  <c r="AF24" i="3" s="1"/>
  <c r="AP6" i="3"/>
  <c r="AR6" i="3" s="1"/>
  <c r="AS6" i="3"/>
  <c r="AT6" i="3"/>
  <c r="AV6" i="3" s="1"/>
  <c r="AW6" i="3"/>
  <c r="BF6" i="3"/>
  <c r="BH6" i="3" s="1"/>
  <c r="BI6" i="3"/>
  <c r="BJ6" i="3"/>
  <c r="BL6" i="3" s="1"/>
  <c r="BM6" i="3"/>
  <c r="AP7" i="3"/>
  <c r="AR7" i="3" s="1"/>
  <c r="AS7" i="3"/>
  <c r="AT7" i="3"/>
  <c r="AV7" i="3" s="1"/>
  <c r="AW7" i="3"/>
  <c r="BF7" i="3"/>
  <c r="BH7" i="3" s="1"/>
  <c r="BI7" i="3"/>
  <c r="BJ7" i="3"/>
  <c r="BL7" i="3" s="1"/>
  <c r="BM7" i="3"/>
  <c r="AP8" i="3"/>
  <c r="AR8" i="3" s="1"/>
  <c r="AS8" i="3"/>
  <c r="AT8" i="3"/>
  <c r="AV8" i="3" s="1"/>
  <c r="AW8" i="3"/>
  <c r="BF8" i="3"/>
  <c r="BH8" i="3" s="1"/>
  <c r="BI8" i="3"/>
  <c r="BJ8" i="3"/>
  <c r="BL8" i="3" s="1"/>
  <c r="BM8" i="3"/>
  <c r="AP9" i="3"/>
  <c r="AR9" i="3" s="1"/>
  <c r="AS9" i="3"/>
  <c r="AT9" i="3"/>
  <c r="AV9" i="3" s="1"/>
  <c r="AW9" i="3"/>
  <c r="BF9" i="3"/>
  <c r="BH9" i="3" s="1"/>
  <c r="BI9" i="3"/>
  <c r="BJ9" i="3"/>
  <c r="BL9" i="3" s="1"/>
  <c r="BM9" i="3"/>
  <c r="AP10" i="3"/>
  <c r="AR10" i="3" s="1"/>
  <c r="AS10" i="3"/>
  <c r="AT10" i="3"/>
  <c r="AV10" i="3" s="1"/>
  <c r="AW10" i="3"/>
  <c r="BF10" i="3"/>
  <c r="BH10" i="3" s="1"/>
  <c r="BI10" i="3"/>
  <c r="BJ10" i="3"/>
  <c r="BL10" i="3" s="1"/>
  <c r="BM10" i="3"/>
  <c r="AP11" i="3"/>
  <c r="AR11" i="3" s="1"/>
  <c r="AS11" i="3"/>
  <c r="AT11" i="3"/>
  <c r="AV11" i="3" s="1"/>
  <c r="AW11" i="3"/>
  <c r="BF11" i="3"/>
  <c r="BH11" i="3" s="1"/>
  <c r="BI11" i="3"/>
  <c r="BJ11" i="3"/>
  <c r="BL11" i="3" s="1"/>
  <c r="BM11" i="3"/>
  <c r="AP12" i="3"/>
  <c r="AR12" i="3" s="1"/>
  <c r="AS12" i="3"/>
  <c r="AT12" i="3"/>
  <c r="AV12" i="3" s="1"/>
  <c r="AW12" i="3"/>
  <c r="BF12" i="3"/>
  <c r="BH12" i="3" s="1"/>
  <c r="BI12" i="3"/>
  <c r="BJ12" i="3"/>
  <c r="BL12" i="3" s="1"/>
  <c r="BM12" i="3"/>
  <c r="AP13" i="3"/>
  <c r="AR13" i="3" s="1"/>
  <c r="AS13" i="3"/>
  <c r="AT13" i="3"/>
  <c r="AV13" i="3" s="1"/>
  <c r="AW13" i="3"/>
  <c r="BF13" i="3"/>
  <c r="BH13" i="3" s="1"/>
  <c r="BI13" i="3"/>
  <c r="BJ13" i="3"/>
  <c r="BL13" i="3" s="1"/>
  <c r="BM13" i="3"/>
  <c r="AP14" i="3"/>
  <c r="AR14" i="3" s="1"/>
  <c r="AS14" i="3"/>
  <c r="AT14" i="3"/>
  <c r="AV14" i="3" s="1"/>
  <c r="AW14" i="3"/>
  <c r="BF14" i="3"/>
  <c r="BH14" i="3" s="1"/>
  <c r="BI14" i="3"/>
  <c r="BJ14" i="3"/>
  <c r="BL14" i="3" s="1"/>
  <c r="BM14" i="3"/>
  <c r="AP15" i="3"/>
  <c r="AR15" i="3" s="1"/>
  <c r="AS15" i="3"/>
  <c r="AT15" i="3"/>
  <c r="AV15" i="3" s="1"/>
  <c r="AW15" i="3"/>
  <c r="BF15" i="3"/>
  <c r="BH15" i="3" s="1"/>
  <c r="BI15" i="3"/>
  <c r="BJ15" i="3"/>
  <c r="BL15" i="3" s="1"/>
  <c r="BM15" i="3"/>
  <c r="BV6" i="3"/>
  <c r="BX6" i="3" s="1"/>
  <c r="BY6" i="3"/>
  <c r="BZ6" i="3"/>
  <c r="CB6" i="3" s="1"/>
  <c r="CC6" i="3"/>
  <c r="CD6" i="3"/>
  <c r="CG6" i="3"/>
  <c r="CH6" i="3"/>
  <c r="CJ6" i="3" s="1"/>
  <c r="CK6" i="3"/>
  <c r="BV7" i="3"/>
  <c r="BX7" i="3" s="1"/>
  <c r="BY7" i="3"/>
  <c r="BZ7" i="3"/>
  <c r="CB7" i="3" s="1"/>
  <c r="CC7" i="3"/>
  <c r="CD7" i="3"/>
  <c r="CF7" i="3" s="1"/>
  <c r="CG7" i="3"/>
  <c r="CH7" i="3"/>
  <c r="CJ7" i="3" s="1"/>
  <c r="CK7" i="3"/>
  <c r="BV8" i="3"/>
  <c r="BX8" i="3" s="1"/>
  <c r="BY8" i="3"/>
  <c r="BZ8" i="3"/>
  <c r="CB8" i="3" s="1"/>
  <c r="CC8" i="3"/>
  <c r="CD8" i="3"/>
  <c r="CG8" i="3"/>
  <c r="CH8" i="3"/>
  <c r="CJ8" i="3" s="1"/>
  <c r="CK8" i="3"/>
  <c r="BV9" i="3"/>
  <c r="BX9" i="3" s="1"/>
  <c r="BY9" i="3"/>
  <c r="BZ9" i="3"/>
  <c r="CB9" i="3" s="1"/>
  <c r="CC9" i="3"/>
  <c r="CD9" i="3"/>
  <c r="CG9" i="3"/>
  <c r="CH9" i="3"/>
  <c r="CJ9" i="3" s="1"/>
  <c r="CK9" i="3"/>
  <c r="BV10" i="3"/>
  <c r="BX10" i="3" s="1"/>
  <c r="BY10" i="3"/>
  <c r="BZ10" i="3"/>
  <c r="CB10" i="3" s="1"/>
  <c r="CC10" i="3"/>
  <c r="CD10" i="3"/>
  <c r="CG10" i="3"/>
  <c r="CH10" i="3"/>
  <c r="CJ10" i="3" s="1"/>
  <c r="CK10" i="3"/>
  <c r="BV11" i="3"/>
  <c r="BX11" i="3" s="1"/>
  <c r="BY11" i="3"/>
  <c r="BZ11" i="3"/>
  <c r="CB11" i="3" s="1"/>
  <c r="CC11" i="3"/>
  <c r="CD11" i="3"/>
  <c r="CG11" i="3"/>
  <c r="CH11" i="3"/>
  <c r="CJ11" i="3" s="1"/>
  <c r="CK11" i="3"/>
  <c r="BV12" i="3"/>
  <c r="BX12" i="3" s="1"/>
  <c r="BY12" i="3"/>
  <c r="BZ12" i="3"/>
  <c r="CB12" i="3" s="1"/>
  <c r="CC12" i="3"/>
  <c r="CD12" i="3"/>
  <c r="CG12" i="3"/>
  <c r="CH12" i="3"/>
  <c r="CJ12" i="3" s="1"/>
  <c r="CK12" i="3"/>
  <c r="BV13" i="3"/>
  <c r="BX13" i="3" s="1"/>
  <c r="BY13" i="3"/>
  <c r="BZ13" i="3"/>
  <c r="CB13" i="3" s="1"/>
  <c r="CC13" i="3"/>
  <c r="CD13" i="3"/>
  <c r="CF13" i="3" s="1"/>
  <c r="CG13" i="3"/>
  <c r="CH13" i="3"/>
  <c r="CJ13" i="3" s="1"/>
  <c r="CK13" i="3"/>
  <c r="BV14" i="3"/>
  <c r="BX14" i="3" s="1"/>
  <c r="BY14" i="3"/>
  <c r="BZ14" i="3"/>
  <c r="CB14" i="3" s="1"/>
  <c r="CC14" i="3"/>
  <c r="CD14" i="3"/>
  <c r="CG14" i="3"/>
  <c r="CH14" i="3"/>
  <c r="CJ14" i="3" s="1"/>
  <c r="CK14" i="3"/>
  <c r="BV15" i="3"/>
  <c r="BX15" i="3" s="1"/>
  <c r="BY15" i="3"/>
  <c r="BZ15" i="3"/>
  <c r="CB15" i="3" s="1"/>
  <c r="CC15" i="3"/>
  <c r="CD15" i="3"/>
  <c r="CF15" i="3" s="1"/>
  <c r="CG15" i="3"/>
  <c r="CH15" i="3"/>
  <c r="CJ15" i="3" s="1"/>
  <c r="CK15" i="3"/>
  <c r="CH5" i="3"/>
  <c r="BV5" i="3"/>
  <c r="BN5" i="3"/>
  <c r="BB5" i="3"/>
  <c r="AH6" i="3"/>
  <c r="AJ6" i="3" s="1"/>
  <c r="AK6" i="3"/>
  <c r="AO6" i="3"/>
  <c r="AH7" i="3"/>
  <c r="AJ7" i="3" s="1"/>
  <c r="AK7" i="3"/>
  <c r="AN7" i="3"/>
  <c r="AO7" i="3"/>
  <c r="AH8" i="3"/>
  <c r="AJ8" i="3" s="1"/>
  <c r="AK8" i="3"/>
  <c r="AN8" i="3"/>
  <c r="AO8" i="3"/>
  <c r="AH9" i="3"/>
  <c r="AJ9" i="3" s="1"/>
  <c r="AK9" i="3"/>
  <c r="AN9" i="3"/>
  <c r="AO9" i="3"/>
  <c r="AH10" i="3"/>
  <c r="AJ10" i="3" s="1"/>
  <c r="AK10" i="3"/>
  <c r="AN10" i="3"/>
  <c r="AO10" i="3"/>
  <c r="AH11" i="3"/>
  <c r="AJ11" i="3" s="1"/>
  <c r="AK11" i="3"/>
  <c r="AN11" i="3"/>
  <c r="AO11" i="3"/>
  <c r="AH12" i="3"/>
  <c r="AJ12" i="3" s="1"/>
  <c r="AK12" i="3"/>
  <c r="AN12" i="3"/>
  <c r="AO12" i="3"/>
  <c r="AH13" i="3"/>
  <c r="AJ13" i="3" s="1"/>
  <c r="AK13" i="3"/>
  <c r="AN13" i="3"/>
  <c r="AO13" i="3"/>
  <c r="AH14" i="3"/>
  <c r="AJ14" i="3" s="1"/>
  <c r="AK14" i="3"/>
  <c r="AN14" i="3"/>
  <c r="AO14" i="3"/>
  <c r="AH15" i="3"/>
  <c r="AJ15" i="3" s="1"/>
  <c r="AK15" i="3"/>
  <c r="AN15" i="3"/>
  <c r="AO15" i="3"/>
  <c r="AD6" i="3"/>
  <c r="AF6" i="3" s="1"/>
  <c r="AG6" i="3"/>
  <c r="AD7" i="3"/>
  <c r="AF7" i="3" s="1"/>
  <c r="AG7" i="3"/>
  <c r="AD8" i="3"/>
  <c r="AF8" i="3" s="1"/>
  <c r="AG8" i="3"/>
  <c r="AD9" i="3"/>
  <c r="AF9" i="3" s="1"/>
  <c r="AG9" i="3"/>
  <c r="AD10" i="3"/>
  <c r="AF10" i="3" s="1"/>
  <c r="AG10" i="3"/>
  <c r="AD11" i="3"/>
  <c r="AF11" i="3" s="1"/>
  <c r="AG11" i="3"/>
  <c r="AD12" i="3"/>
  <c r="AF12" i="3" s="1"/>
  <c r="AG12" i="3"/>
  <c r="AD13" i="3"/>
  <c r="AF13" i="3" s="1"/>
  <c r="AG13" i="3"/>
  <c r="AD14" i="3"/>
  <c r="AF14" i="3" s="1"/>
  <c r="AG14" i="3"/>
  <c r="AD15" i="3"/>
  <c r="AF15" i="3" s="1"/>
  <c r="AG15" i="3"/>
  <c r="AP5" i="3"/>
  <c r="AH29" i="3" l="1"/>
  <c r="AD53" i="3"/>
  <c r="AL53" i="3"/>
  <c r="AT53" i="3"/>
  <c r="AP29" i="3"/>
  <c r="AD29" i="3"/>
  <c r="AT85" i="3"/>
  <c r="AH53" i="3"/>
  <c r="AP53" i="3"/>
  <c r="AD63" i="3"/>
  <c r="AL63" i="3"/>
  <c r="AT63" i="3"/>
  <c r="AH85" i="3"/>
  <c r="AP85" i="3"/>
  <c r="Z9" i="3"/>
  <c r="F9" i="4" s="1"/>
  <c r="BJ17" i="3"/>
  <c r="Z61" i="3"/>
  <c r="F37" i="4" s="1"/>
  <c r="BF17" i="3"/>
  <c r="AH74" i="3"/>
  <c r="AP74" i="3"/>
  <c r="AB38" i="3"/>
  <c r="I26" i="4" s="1"/>
  <c r="Z38" i="3"/>
  <c r="F26" i="4" s="1"/>
  <c r="Z60" i="3"/>
  <c r="F36" i="4" s="1"/>
  <c r="Z15" i="3"/>
  <c r="F15" i="4" s="1"/>
  <c r="Z36" i="3"/>
  <c r="F24" i="4" s="1"/>
  <c r="Z47" i="3"/>
  <c r="F29" i="4" s="1"/>
  <c r="H29" i="4" s="1"/>
  <c r="AB50" i="3"/>
  <c r="I32" i="4" s="1"/>
  <c r="J32" i="4" s="1"/>
  <c r="AB60" i="3"/>
  <c r="I36" i="4" s="1"/>
  <c r="Z62" i="3"/>
  <c r="F38" i="4" s="1"/>
  <c r="Z73" i="3"/>
  <c r="F43" i="4" s="1"/>
  <c r="Z28" i="3"/>
  <c r="F22" i="4" s="1"/>
  <c r="H22" i="4" s="1"/>
  <c r="Z37" i="3"/>
  <c r="F25" i="4" s="1"/>
  <c r="Z48" i="3"/>
  <c r="F30" i="4" s="1"/>
  <c r="H30" i="4" s="1"/>
  <c r="Z13" i="3"/>
  <c r="F13" i="4" s="1"/>
  <c r="Z7" i="3"/>
  <c r="F7" i="4" s="1"/>
  <c r="AB27" i="3"/>
  <c r="I21" i="4" s="1"/>
  <c r="Z27" i="3"/>
  <c r="F21" i="4" s="1"/>
  <c r="H21" i="4" s="1"/>
  <c r="AB16" i="3"/>
  <c r="I16" i="4" s="1"/>
  <c r="Z16" i="3"/>
  <c r="F16" i="4" s="1"/>
  <c r="Z11" i="3"/>
  <c r="F11" i="4" s="1"/>
  <c r="CF9" i="3"/>
  <c r="AB9" i="3" s="1"/>
  <c r="I9" i="4" s="1"/>
  <c r="Z24" i="3"/>
  <c r="F18" i="4" s="1"/>
  <c r="AB28" i="3"/>
  <c r="I22" i="4" s="1"/>
  <c r="J22" i="4" s="1"/>
  <c r="Z26" i="3"/>
  <c r="F20" i="4" s="1"/>
  <c r="H20" i="4" s="1"/>
  <c r="Z25" i="3"/>
  <c r="F19" i="4" s="1"/>
  <c r="H19" i="4" s="1"/>
  <c r="AF46" i="3"/>
  <c r="AB46" i="3" s="1"/>
  <c r="I28" i="4" s="1"/>
  <c r="Z46" i="3"/>
  <c r="F28" i="4" s="1"/>
  <c r="AB81" i="3"/>
  <c r="I45" i="4" s="1"/>
  <c r="AB82" i="3"/>
  <c r="I46" i="4" s="1"/>
  <c r="AB73" i="3"/>
  <c r="I43" i="4" s="1"/>
  <c r="AB62" i="3"/>
  <c r="I38" i="4" s="1"/>
  <c r="AB61" i="3"/>
  <c r="I37" i="4" s="1"/>
  <c r="AB25" i="3"/>
  <c r="I19" i="4" s="1"/>
  <c r="J19" i="4" s="1"/>
  <c r="AB26" i="3"/>
  <c r="I20" i="4" s="1"/>
  <c r="AB15" i="3"/>
  <c r="I15" i="4" s="1"/>
  <c r="AB13" i="3"/>
  <c r="I13" i="4" s="1"/>
  <c r="AB7" i="3"/>
  <c r="I7" i="4" s="1"/>
  <c r="Z84" i="3"/>
  <c r="F48" i="4" s="1"/>
  <c r="H48" i="4" s="1"/>
  <c r="Z83" i="3"/>
  <c r="F47" i="4" s="1"/>
  <c r="H47" i="4" s="1"/>
  <c r="AB84" i="3"/>
  <c r="I48" i="4" s="1"/>
  <c r="Z81" i="3"/>
  <c r="F45" i="4" s="1"/>
  <c r="Z82" i="3"/>
  <c r="F46" i="4" s="1"/>
  <c r="H46" i="4" s="1"/>
  <c r="AB83" i="3"/>
  <c r="I47" i="4" s="1"/>
  <c r="AB71" i="3"/>
  <c r="I41" i="4" s="1"/>
  <c r="Z71" i="3"/>
  <c r="F41" i="4" s="1"/>
  <c r="AB72" i="3"/>
  <c r="I42" i="4" s="1"/>
  <c r="Z72" i="3"/>
  <c r="F42" i="4" s="1"/>
  <c r="AB70" i="3"/>
  <c r="I40" i="4" s="1"/>
  <c r="Z70" i="3"/>
  <c r="F40" i="4" s="1"/>
  <c r="Z51" i="3"/>
  <c r="F33" i="4" s="1"/>
  <c r="H33" i="4" s="1"/>
  <c r="Z52" i="3"/>
  <c r="F34" i="4" s="1"/>
  <c r="H34" i="4" s="1"/>
  <c r="AB51" i="3"/>
  <c r="I33" i="4" s="1"/>
  <c r="AB52" i="3"/>
  <c r="I34" i="4" s="1"/>
  <c r="AB47" i="3"/>
  <c r="I29" i="4" s="1"/>
  <c r="J29" i="4" s="1"/>
  <c r="AB48" i="3"/>
  <c r="I30" i="4" s="1"/>
  <c r="J30" i="4" s="1"/>
  <c r="Z49" i="3"/>
  <c r="F31" i="4" s="1"/>
  <c r="H31" i="4" s="1"/>
  <c r="AB49" i="3"/>
  <c r="I31" i="4" s="1"/>
  <c r="AB36" i="3"/>
  <c r="I24" i="4" s="1"/>
  <c r="AB37" i="3"/>
  <c r="I25" i="4" s="1"/>
  <c r="AB24" i="3"/>
  <c r="I18" i="4" s="1"/>
  <c r="CF12" i="3"/>
  <c r="AB12" i="3" s="1"/>
  <c r="I12" i="4" s="1"/>
  <c r="Z12" i="3"/>
  <c r="F12" i="4" s="1"/>
  <c r="CF10" i="3"/>
  <c r="AB10" i="3" s="1"/>
  <c r="I10" i="4" s="1"/>
  <c r="Z10" i="3"/>
  <c r="F10" i="4" s="1"/>
  <c r="CF14" i="3"/>
  <c r="AB14" i="3" s="1"/>
  <c r="I14" i="4" s="1"/>
  <c r="Z14" i="3"/>
  <c r="F14" i="4" s="1"/>
  <c r="CF8" i="3"/>
  <c r="AB8" i="3" s="1"/>
  <c r="I8" i="4" s="1"/>
  <c r="Z8" i="3"/>
  <c r="F8" i="4" s="1"/>
  <c r="CF6" i="3"/>
  <c r="AB6" i="3" s="1"/>
  <c r="I6" i="4" s="1"/>
  <c r="Z6" i="3"/>
  <c r="F6" i="4" s="1"/>
  <c r="CF11" i="3"/>
  <c r="AB11" i="3" s="1"/>
  <c r="I11" i="4" s="1"/>
  <c r="AT5" i="3"/>
  <c r="Z5" i="3" s="1"/>
  <c r="F5" i="4" s="1"/>
  <c r="J47" i="4" l="1"/>
  <c r="J20" i="4"/>
  <c r="J31" i="4"/>
  <c r="J34" i="4"/>
  <c r="J46" i="4"/>
  <c r="J33" i="4"/>
  <c r="J48" i="4"/>
  <c r="J21" i="4"/>
  <c r="AO5" i="3"/>
  <c r="AL17" i="3" s="1"/>
  <c r="AG5" i="3" l="1"/>
  <c r="AD17" i="3" s="1"/>
  <c r="AD89" i="3" s="1"/>
  <c r="AK5" i="3" l="1"/>
  <c r="AH17" i="3" s="1"/>
  <c r="AD3" i="3" l="1"/>
  <c r="K3" i="3" s="1"/>
  <c r="B3" i="14" s="1"/>
  <c r="B5" i="3"/>
  <c r="B5" i="4" s="1"/>
  <c r="C5" i="3"/>
  <c r="C5" i="4" s="1"/>
  <c r="D5" i="3"/>
  <c r="D5" i="4" s="1"/>
  <c r="E5" i="3"/>
  <c r="E5" i="4" s="1"/>
  <c r="F5" i="3"/>
  <c r="G5" i="3"/>
  <c r="H5" i="3"/>
  <c r="I5" i="3"/>
  <c r="B6" i="3"/>
  <c r="B6" i="4" s="1"/>
  <c r="C6" i="3"/>
  <c r="C6" i="4" s="1"/>
  <c r="D6" i="3"/>
  <c r="D6" i="4" s="1"/>
  <c r="E6" i="3"/>
  <c r="E6" i="4" s="1"/>
  <c r="F6" i="3"/>
  <c r="G6" i="3"/>
  <c r="H6" i="3"/>
  <c r="I6" i="3"/>
  <c r="B7" i="3"/>
  <c r="B7" i="4" s="1"/>
  <c r="C7" i="3"/>
  <c r="C7" i="4" s="1"/>
  <c r="D7" i="3"/>
  <c r="D7" i="4" s="1"/>
  <c r="E7" i="3"/>
  <c r="E7" i="4" s="1"/>
  <c r="F7" i="3"/>
  <c r="G7" i="3"/>
  <c r="H7" i="3"/>
  <c r="I7" i="3"/>
  <c r="B8" i="3"/>
  <c r="B8" i="4" s="1"/>
  <c r="C8" i="3"/>
  <c r="C8" i="4" s="1"/>
  <c r="D8" i="3"/>
  <c r="D8" i="4" s="1"/>
  <c r="E8" i="3"/>
  <c r="E8" i="4" s="1"/>
  <c r="F8" i="3"/>
  <c r="G8" i="3"/>
  <c r="H8" i="3"/>
  <c r="I8" i="3"/>
  <c r="B9" i="3"/>
  <c r="B9" i="4" s="1"/>
  <c r="C9" i="3"/>
  <c r="C9" i="4" s="1"/>
  <c r="D9" i="3"/>
  <c r="D9" i="4" s="1"/>
  <c r="E9" i="3"/>
  <c r="E9" i="4" s="1"/>
  <c r="F9" i="3"/>
  <c r="G9" i="3"/>
  <c r="H9" i="3"/>
  <c r="I9" i="3"/>
  <c r="B10" i="3"/>
  <c r="B10" i="4" s="1"/>
  <c r="C10" i="3"/>
  <c r="C10" i="4" s="1"/>
  <c r="D10" i="3"/>
  <c r="D10" i="4" s="1"/>
  <c r="E10" i="3"/>
  <c r="E10" i="4" s="1"/>
  <c r="F10" i="3"/>
  <c r="G10" i="3"/>
  <c r="H10" i="3"/>
  <c r="I10" i="3"/>
  <c r="B11" i="3"/>
  <c r="B11" i="4" s="1"/>
  <c r="C11" i="3"/>
  <c r="C11" i="4" s="1"/>
  <c r="D11" i="3"/>
  <c r="D11" i="4" s="1"/>
  <c r="E11" i="3"/>
  <c r="E11" i="4" s="1"/>
  <c r="G11" i="3"/>
  <c r="H11" i="3"/>
  <c r="I11" i="3"/>
  <c r="B12" i="3"/>
  <c r="B12" i="4" s="1"/>
  <c r="C12" i="3"/>
  <c r="C12" i="4" s="1"/>
  <c r="D12" i="3"/>
  <c r="D12" i="4" s="1"/>
  <c r="E12" i="3"/>
  <c r="E12" i="4" s="1"/>
  <c r="F12" i="3"/>
  <c r="G12" i="3"/>
  <c r="H12" i="3"/>
  <c r="I12" i="3"/>
  <c r="B13" i="3"/>
  <c r="B13" i="4" s="1"/>
  <c r="C13" i="3"/>
  <c r="C13" i="4" s="1"/>
  <c r="D13" i="3"/>
  <c r="D13" i="4" s="1"/>
  <c r="E13" i="3"/>
  <c r="E13" i="4" s="1"/>
  <c r="F13" i="3"/>
  <c r="G13" i="3"/>
  <c r="H13" i="3"/>
  <c r="I13" i="3"/>
  <c r="B14" i="3"/>
  <c r="B14" i="4" s="1"/>
  <c r="C14" i="3"/>
  <c r="C14" i="4" s="1"/>
  <c r="D14" i="3"/>
  <c r="D14" i="4" s="1"/>
  <c r="E14" i="3"/>
  <c r="E14" i="4" s="1"/>
  <c r="F14" i="3"/>
  <c r="G14" i="3"/>
  <c r="H14" i="3"/>
  <c r="I14" i="3"/>
  <c r="B15" i="3"/>
  <c r="B15" i="4" s="1"/>
  <c r="C15" i="3"/>
  <c r="C15" i="4" s="1"/>
  <c r="D15" i="3"/>
  <c r="D15" i="4" s="1"/>
  <c r="E15" i="3"/>
  <c r="E15" i="4" s="1"/>
  <c r="F15" i="3"/>
  <c r="G15" i="3"/>
  <c r="H15" i="3"/>
  <c r="I15" i="3"/>
  <c r="B16" i="3"/>
  <c r="B16" i="4" s="1"/>
  <c r="C16" i="3"/>
  <c r="C16" i="4" s="1"/>
  <c r="D16" i="3"/>
  <c r="D16" i="4" s="1"/>
  <c r="E16" i="3"/>
  <c r="E16" i="4" s="1"/>
  <c r="F16" i="3"/>
  <c r="G16" i="3"/>
  <c r="H16" i="3"/>
  <c r="I16" i="3"/>
  <c r="Y79" i="3"/>
  <c r="X79" i="3"/>
  <c r="W79" i="3"/>
  <c r="V79" i="3"/>
  <c r="U79" i="3"/>
  <c r="T79" i="3"/>
  <c r="S79" i="3"/>
  <c r="R79" i="3"/>
  <c r="Q79" i="3"/>
  <c r="P79" i="3"/>
  <c r="O79" i="3"/>
  <c r="N79" i="3"/>
  <c r="M79" i="3"/>
  <c r="L79" i="3"/>
  <c r="K79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Y3" i="3"/>
  <c r="B101" i="14" s="1"/>
  <c r="X3" i="3"/>
  <c r="B94" i="14" s="1"/>
  <c r="W3" i="3"/>
  <c r="B87" i="14" s="1"/>
  <c r="V3" i="3"/>
  <c r="B80" i="14" s="1"/>
  <c r="U3" i="3"/>
  <c r="B73" i="14" s="1"/>
  <c r="T3" i="3"/>
  <c r="B66" i="14" s="1"/>
  <c r="S3" i="3"/>
  <c r="B59" i="14" s="1"/>
  <c r="R3" i="3"/>
  <c r="B52" i="14" s="1"/>
  <c r="Q3" i="3"/>
  <c r="B45" i="14" s="1"/>
  <c r="P3" i="3"/>
  <c r="B38" i="14" s="1"/>
  <c r="O3" i="3"/>
  <c r="B31" i="14" s="1"/>
  <c r="N3" i="3"/>
  <c r="B24" i="14" s="1"/>
  <c r="M3" i="3"/>
  <c r="B17" i="14" s="1"/>
  <c r="L3" i="3"/>
  <c r="B10" i="14" s="1"/>
  <c r="J18" i="2"/>
  <c r="I18" i="2"/>
  <c r="K18" i="2" s="1"/>
  <c r="E18" i="2"/>
  <c r="D18" i="2"/>
  <c r="C18" i="2"/>
  <c r="K17" i="2"/>
  <c r="F17" i="2"/>
  <c r="K16" i="2"/>
  <c r="F16" i="2"/>
  <c r="K15" i="2"/>
  <c r="F15" i="2"/>
  <c r="K14" i="2"/>
  <c r="F14" i="2"/>
  <c r="K13" i="2"/>
  <c r="F13" i="2"/>
  <c r="K12" i="2"/>
  <c r="F12" i="2"/>
  <c r="K11" i="2"/>
  <c r="F11" i="2"/>
  <c r="K10" i="2"/>
  <c r="F10" i="2"/>
  <c r="K9" i="2"/>
  <c r="F9" i="2"/>
  <c r="K8" i="2"/>
  <c r="F8" i="2"/>
  <c r="K7" i="2"/>
  <c r="F7" i="2"/>
  <c r="K6" i="2"/>
  <c r="F6" i="2"/>
  <c r="K5" i="2"/>
  <c r="F5" i="2"/>
  <c r="K4" i="2"/>
  <c r="F4" i="2"/>
  <c r="K3" i="2"/>
  <c r="F3" i="2"/>
  <c r="F18" i="2" l="1"/>
  <c r="AH86" i="3" l="1"/>
  <c r="AL86" i="3"/>
  <c r="AP86" i="3"/>
  <c r="AT86" i="3"/>
  <c r="AX86" i="3"/>
  <c r="BB86" i="3"/>
  <c r="BF86" i="3"/>
  <c r="BJ86" i="3"/>
  <c r="BN86" i="3"/>
  <c r="BR86" i="3"/>
  <c r="BV86" i="3"/>
  <c r="BZ86" i="3"/>
  <c r="CD86" i="3"/>
  <c r="CH86" i="3"/>
  <c r="AD86" i="3"/>
  <c r="AH75" i="3"/>
  <c r="AL75" i="3"/>
  <c r="AP75" i="3"/>
  <c r="AT75" i="3"/>
  <c r="AX75" i="3"/>
  <c r="BB75" i="3"/>
  <c r="BF75" i="3"/>
  <c r="BJ75" i="3"/>
  <c r="BN75" i="3"/>
  <c r="BR75" i="3"/>
  <c r="BV75" i="3"/>
  <c r="BZ75" i="3"/>
  <c r="CD75" i="3"/>
  <c r="CH75" i="3"/>
  <c r="AD75" i="3"/>
  <c r="AH64" i="3"/>
  <c r="AL64" i="3"/>
  <c r="AP64" i="3"/>
  <c r="AT64" i="3"/>
  <c r="AX64" i="3"/>
  <c r="BB64" i="3"/>
  <c r="BF64" i="3"/>
  <c r="BJ64" i="3"/>
  <c r="BN64" i="3"/>
  <c r="BR64" i="3"/>
  <c r="BV64" i="3"/>
  <c r="BZ64" i="3"/>
  <c r="CD64" i="3"/>
  <c r="CH64" i="3"/>
  <c r="AD64" i="3"/>
  <c r="AH54" i="3"/>
  <c r="AL54" i="3"/>
  <c r="AP54" i="3"/>
  <c r="AT54" i="3"/>
  <c r="AX54" i="3"/>
  <c r="BB54" i="3"/>
  <c r="BF54" i="3"/>
  <c r="BJ54" i="3"/>
  <c r="BN54" i="3"/>
  <c r="BR54" i="3"/>
  <c r="BV54" i="3"/>
  <c r="BZ54" i="3"/>
  <c r="CD54" i="3"/>
  <c r="CH54" i="3"/>
  <c r="AD54" i="3"/>
  <c r="AH40" i="3"/>
  <c r="AL40" i="3"/>
  <c r="AP40" i="3"/>
  <c r="AT40" i="3"/>
  <c r="AX40" i="3"/>
  <c r="BB40" i="3"/>
  <c r="BF40" i="3"/>
  <c r="BJ40" i="3"/>
  <c r="BN40" i="3"/>
  <c r="BR40" i="3"/>
  <c r="BV40" i="3"/>
  <c r="BZ40" i="3"/>
  <c r="CD40" i="3"/>
  <c r="CH40" i="3"/>
  <c r="AD40" i="3"/>
  <c r="AL30" i="3"/>
  <c r="AP30" i="3"/>
  <c r="AT30" i="3"/>
  <c r="AX30" i="3"/>
  <c r="BB30" i="3"/>
  <c r="BF30" i="3"/>
  <c r="BJ30" i="3"/>
  <c r="BN30" i="3"/>
  <c r="BR30" i="3"/>
  <c r="BV30" i="3"/>
  <c r="BZ30" i="3"/>
  <c r="CD30" i="3"/>
  <c r="CH30" i="3"/>
  <c r="AH30" i="3"/>
  <c r="AD30" i="3"/>
  <c r="AH18" i="3"/>
  <c r="AL18" i="3"/>
  <c r="AP18" i="3"/>
  <c r="AT18" i="3"/>
  <c r="AX18" i="3"/>
  <c r="BB18" i="3"/>
  <c r="BF18" i="3"/>
  <c r="BJ18" i="3"/>
  <c r="BN18" i="3"/>
  <c r="BR18" i="3"/>
  <c r="BV18" i="3"/>
  <c r="BZ18" i="3"/>
  <c r="CD18" i="3"/>
  <c r="CH18" i="3"/>
  <c r="AD18" i="3"/>
  <c r="AT90" i="3" l="1"/>
  <c r="AD90" i="3"/>
  <c r="CL86" i="3"/>
  <c r="BV90" i="3"/>
  <c r="BF90" i="3"/>
  <c r="AP90" i="3"/>
  <c r="BZ90" i="3"/>
  <c r="BJ90" i="3"/>
  <c r="CH90" i="3"/>
  <c r="BR90" i="3"/>
  <c r="BB90" i="3"/>
  <c r="AL90" i="3"/>
  <c r="CD90" i="3"/>
  <c r="BN90" i="3"/>
  <c r="AX90" i="3"/>
  <c r="AH90" i="3"/>
  <c r="CL30" i="3"/>
  <c r="CL75" i="3"/>
  <c r="CL64" i="3"/>
  <c r="CL54" i="3"/>
  <c r="CL40" i="3"/>
  <c r="CL18" i="3"/>
  <c r="CL90" i="3" l="1"/>
  <c r="C79" i="3"/>
  <c r="D79" i="3"/>
  <c r="E79" i="3"/>
  <c r="F79" i="3"/>
  <c r="G79" i="3"/>
  <c r="H79" i="3"/>
  <c r="I79" i="3"/>
  <c r="B79" i="3"/>
  <c r="C81" i="3"/>
  <c r="C45" i="4" s="1"/>
  <c r="D81" i="3"/>
  <c r="D45" i="4" s="1"/>
  <c r="E81" i="3"/>
  <c r="E45" i="4" s="1"/>
  <c r="F81" i="3"/>
  <c r="G81" i="3"/>
  <c r="H81" i="3"/>
  <c r="I81" i="3"/>
  <c r="C82" i="3"/>
  <c r="C46" i="4" s="1"/>
  <c r="D82" i="3"/>
  <c r="D46" i="4" s="1"/>
  <c r="E82" i="3"/>
  <c r="E46" i="4" s="1"/>
  <c r="F82" i="3"/>
  <c r="G82" i="3"/>
  <c r="H82" i="3"/>
  <c r="I82" i="3"/>
  <c r="C83" i="3"/>
  <c r="C47" i="4" s="1"/>
  <c r="D83" i="3"/>
  <c r="D47" i="4" s="1"/>
  <c r="E83" i="3"/>
  <c r="E47" i="4" s="1"/>
  <c r="F83" i="3"/>
  <c r="G83" i="3"/>
  <c r="H83" i="3"/>
  <c r="I83" i="3"/>
  <c r="C84" i="3"/>
  <c r="C48" i="4" s="1"/>
  <c r="D84" i="3"/>
  <c r="D48" i="4" s="1"/>
  <c r="E84" i="3"/>
  <c r="E48" i="4" s="1"/>
  <c r="F84" i="3"/>
  <c r="G84" i="3"/>
  <c r="H84" i="3"/>
  <c r="I84" i="3"/>
  <c r="B82" i="3"/>
  <c r="B46" i="4" s="1"/>
  <c r="B83" i="3"/>
  <c r="B47" i="4" s="1"/>
  <c r="B84" i="3"/>
  <c r="B48" i="4" s="1"/>
  <c r="B81" i="3"/>
  <c r="B45" i="4" s="1"/>
  <c r="C68" i="3"/>
  <c r="D68" i="3"/>
  <c r="E68" i="3"/>
  <c r="F68" i="3"/>
  <c r="G68" i="3"/>
  <c r="H68" i="3"/>
  <c r="I68" i="3"/>
  <c r="B68" i="3"/>
  <c r="C70" i="3"/>
  <c r="C40" i="4" s="1"/>
  <c r="D70" i="3"/>
  <c r="D40" i="4" s="1"/>
  <c r="E70" i="3"/>
  <c r="E40" i="4" s="1"/>
  <c r="F70" i="3"/>
  <c r="G70" i="3"/>
  <c r="H70" i="3"/>
  <c r="I70" i="3"/>
  <c r="C71" i="3"/>
  <c r="C41" i="4" s="1"/>
  <c r="D71" i="3"/>
  <c r="D41" i="4" s="1"/>
  <c r="E71" i="3"/>
  <c r="E41" i="4" s="1"/>
  <c r="F71" i="3"/>
  <c r="G71" i="3"/>
  <c r="H71" i="3"/>
  <c r="I71" i="3"/>
  <c r="C72" i="3"/>
  <c r="C42" i="4" s="1"/>
  <c r="D72" i="3"/>
  <c r="D42" i="4" s="1"/>
  <c r="E72" i="3"/>
  <c r="E42" i="4" s="1"/>
  <c r="F72" i="3"/>
  <c r="G72" i="3"/>
  <c r="H72" i="3"/>
  <c r="I72" i="3"/>
  <c r="C73" i="3"/>
  <c r="C43" i="4" s="1"/>
  <c r="D73" i="3"/>
  <c r="D43" i="4" s="1"/>
  <c r="E73" i="3"/>
  <c r="E43" i="4" s="1"/>
  <c r="F73" i="3"/>
  <c r="G73" i="3"/>
  <c r="H73" i="3"/>
  <c r="I73" i="3"/>
  <c r="B71" i="3"/>
  <c r="B41" i="4" s="1"/>
  <c r="B72" i="3"/>
  <c r="B42" i="4" s="1"/>
  <c r="B73" i="3"/>
  <c r="B43" i="4" s="1"/>
  <c r="B70" i="3"/>
  <c r="B40" i="4" s="1"/>
  <c r="C60" i="3"/>
  <c r="C36" i="4" s="1"/>
  <c r="D60" i="3"/>
  <c r="D36" i="4" s="1"/>
  <c r="E60" i="3"/>
  <c r="E36" i="4" s="1"/>
  <c r="F60" i="3"/>
  <c r="G60" i="3"/>
  <c r="H60" i="3"/>
  <c r="I60" i="3"/>
  <c r="C61" i="3"/>
  <c r="C37" i="4" s="1"/>
  <c r="D61" i="3"/>
  <c r="D37" i="4" s="1"/>
  <c r="E61" i="3"/>
  <c r="E37" i="4" s="1"/>
  <c r="F61" i="3"/>
  <c r="G61" i="3"/>
  <c r="H61" i="3"/>
  <c r="I61" i="3"/>
  <c r="C62" i="3"/>
  <c r="C38" i="4" s="1"/>
  <c r="D62" i="3"/>
  <c r="D38" i="4" s="1"/>
  <c r="E62" i="3"/>
  <c r="E38" i="4" s="1"/>
  <c r="F62" i="3"/>
  <c r="G62" i="3"/>
  <c r="H62" i="3"/>
  <c r="I62" i="3"/>
  <c r="B61" i="3"/>
  <c r="B37" i="4" s="1"/>
  <c r="B62" i="3"/>
  <c r="B38" i="4" s="1"/>
  <c r="B60" i="3"/>
  <c r="B36" i="4" s="1"/>
  <c r="C58" i="3"/>
  <c r="D58" i="3"/>
  <c r="E58" i="3"/>
  <c r="F58" i="3"/>
  <c r="G58" i="3"/>
  <c r="H58" i="3"/>
  <c r="I58" i="3"/>
  <c r="B58" i="3"/>
  <c r="C44" i="3" l="1"/>
  <c r="D44" i="3"/>
  <c r="E44" i="3"/>
  <c r="F44" i="3"/>
  <c r="G44" i="3"/>
  <c r="H44" i="3"/>
  <c r="B44" i="3"/>
  <c r="C46" i="3"/>
  <c r="C28" i="4" s="1"/>
  <c r="D46" i="3"/>
  <c r="D28" i="4" s="1"/>
  <c r="E46" i="3"/>
  <c r="E28" i="4" s="1"/>
  <c r="F46" i="3"/>
  <c r="G46" i="3"/>
  <c r="H46" i="3"/>
  <c r="I46" i="3"/>
  <c r="C47" i="3"/>
  <c r="C29" i="4" s="1"/>
  <c r="D47" i="3"/>
  <c r="D29" i="4" s="1"/>
  <c r="E47" i="3"/>
  <c r="E29" i="4" s="1"/>
  <c r="F47" i="3"/>
  <c r="G47" i="3"/>
  <c r="H47" i="3"/>
  <c r="I47" i="3"/>
  <c r="C48" i="3"/>
  <c r="C30" i="4" s="1"/>
  <c r="D48" i="3"/>
  <c r="D30" i="4" s="1"/>
  <c r="E48" i="3"/>
  <c r="E30" i="4" s="1"/>
  <c r="F48" i="3"/>
  <c r="G48" i="3"/>
  <c r="H48" i="3"/>
  <c r="I48" i="3"/>
  <c r="C49" i="3"/>
  <c r="C31" i="4" s="1"/>
  <c r="D49" i="3"/>
  <c r="D31" i="4" s="1"/>
  <c r="E49" i="3"/>
  <c r="E31" i="4" s="1"/>
  <c r="F49" i="3"/>
  <c r="G49" i="3"/>
  <c r="H49" i="3"/>
  <c r="I49" i="3"/>
  <c r="C50" i="3"/>
  <c r="C32" i="4" s="1"/>
  <c r="D50" i="3"/>
  <c r="D32" i="4" s="1"/>
  <c r="E50" i="3"/>
  <c r="E32" i="4" s="1"/>
  <c r="F50" i="3"/>
  <c r="G50" i="3"/>
  <c r="H50" i="3"/>
  <c r="I50" i="3"/>
  <c r="C51" i="3"/>
  <c r="C33" i="4" s="1"/>
  <c r="D51" i="3"/>
  <c r="D33" i="4" s="1"/>
  <c r="E51" i="3"/>
  <c r="E33" i="4" s="1"/>
  <c r="F51" i="3"/>
  <c r="G51" i="3"/>
  <c r="H51" i="3"/>
  <c r="I51" i="3"/>
  <c r="C52" i="3"/>
  <c r="C34" i="4" s="1"/>
  <c r="D52" i="3"/>
  <c r="D34" i="4" s="1"/>
  <c r="E52" i="3"/>
  <c r="E34" i="4" s="1"/>
  <c r="F52" i="3"/>
  <c r="G52" i="3"/>
  <c r="H52" i="3"/>
  <c r="I52" i="3"/>
  <c r="B47" i="3"/>
  <c r="B29" i="4" s="1"/>
  <c r="B48" i="3"/>
  <c r="B30" i="4" s="1"/>
  <c r="B49" i="3"/>
  <c r="B31" i="4" s="1"/>
  <c r="B50" i="3"/>
  <c r="B32" i="4" s="1"/>
  <c r="B51" i="3"/>
  <c r="B33" i="4" s="1"/>
  <c r="B52" i="3"/>
  <c r="B34" i="4" s="1"/>
  <c r="B46" i="3"/>
  <c r="B28" i="4" s="1"/>
  <c r="C34" i="3"/>
  <c r="D34" i="3"/>
  <c r="E34" i="3"/>
  <c r="F34" i="3"/>
  <c r="G34" i="3"/>
  <c r="H34" i="3"/>
  <c r="I34" i="3"/>
  <c r="B34" i="3"/>
  <c r="C36" i="3"/>
  <c r="C24" i="4" s="1"/>
  <c r="D36" i="3"/>
  <c r="D24" i="4" s="1"/>
  <c r="E36" i="3"/>
  <c r="E24" i="4" s="1"/>
  <c r="F36" i="3"/>
  <c r="G36" i="3"/>
  <c r="H36" i="3"/>
  <c r="I36" i="3"/>
  <c r="C37" i="3"/>
  <c r="C25" i="4" s="1"/>
  <c r="D37" i="3"/>
  <c r="D25" i="4" s="1"/>
  <c r="E37" i="3"/>
  <c r="E25" i="4" s="1"/>
  <c r="F37" i="3"/>
  <c r="G37" i="3"/>
  <c r="H37" i="3"/>
  <c r="I37" i="3"/>
  <c r="C38" i="3"/>
  <c r="C26" i="4" s="1"/>
  <c r="D38" i="3"/>
  <c r="D26" i="4" s="1"/>
  <c r="E38" i="3"/>
  <c r="E26" i="4" s="1"/>
  <c r="F38" i="3"/>
  <c r="G38" i="3"/>
  <c r="H38" i="3"/>
  <c r="I38" i="3"/>
  <c r="B37" i="3"/>
  <c r="B25" i="4" s="1"/>
  <c r="B38" i="3"/>
  <c r="B26" i="4" s="1"/>
  <c r="B36" i="3"/>
  <c r="B24" i="4" s="1"/>
  <c r="C24" i="3"/>
  <c r="C18" i="4" s="1"/>
  <c r="D24" i="3"/>
  <c r="D18" i="4" s="1"/>
  <c r="E24" i="3"/>
  <c r="E18" i="4" s="1"/>
  <c r="F24" i="3"/>
  <c r="G24" i="3"/>
  <c r="H24" i="3"/>
  <c r="I24" i="3"/>
  <c r="C25" i="3"/>
  <c r="C19" i="4" s="1"/>
  <c r="D25" i="3"/>
  <c r="D19" i="4" s="1"/>
  <c r="E25" i="3"/>
  <c r="E19" i="4" s="1"/>
  <c r="F25" i="3"/>
  <c r="G25" i="3"/>
  <c r="H25" i="3"/>
  <c r="I25" i="3"/>
  <c r="C26" i="3"/>
  <c r="C20" i="4" s="1"/>
  <c r="D26" i="3"/>
  <c r="D20" i="4" s="1"/>
  <c r="E26" i="3"/>
  <c r="E20" i="4" s="1"/>
  <c r="F26" i="3"/>
  <c r="G26" i="3"/>
  <c r="H26" i="3"/>
  <c r="I26" i="3"/>
  <c r="C27" i="3"/>
  <c r="C21" i="4" s="1"/>
  <c r="D27" i="3"/>
  <c r="D21" i="4" s="1"/>
  <c r="E27" i="3"/>
  <c r="E21" i="4" s="1"/>
  <c r="F27" i="3"/>
  <c r="G27" i="3"/>
  <c r="H27" i="3"/>
  <c r="I27" i="3"/>
  <c r="C28" i="3"/>
  <c r="C22" i="4" s="1"/>
  <c r="D28" i="3"/>
  <c r="D22" i="4" s="1"/>
  <c r="E28" i="3"/>
  <c r="E22" i="4" s="1"/>
  <c r="F28" i="3"/>
  <c r="G28" i="3"/>
  <c r="H28" i="3"/>
  <c r="I28" i="3"/>
  <c r="B25" i="3"/>
  <c r="B19" i="4" s="1"/>
  <c r="B26" i="3"/>
  <c r="B20" i="4" s="1"/>
  <c r="B27" i="3"/>
  <c r="B21" i="4" s="1"/>
  <c r="B28" i="3"/>
  <c r="B22" i="4" s="1"/>
  <c r="C22" i="3"/>
  <c r="D22" i="3"/>
  <c r="E22" i="3"/>
  <c r="F22" i="3"/>
  <c r="G22" i="3"/>
  <c r="H22" i="3"/>
  <c r="I22" i="3"/>
  <c r="B22" i="3"/>
  <c r="B24" i="3"/>
  <c r="B18" i="4" s="1"/>
  <c r="I3" i="3"/>
  <c r="G3" i="3"/>
  <c r="H3" i="3"/>
  <c r="C3" i="3"/>
  <c r="D3" i="3"/>
  <c r="E3" i="3"/>
  <c r="F3" i="3"/>
  <c r="B3" i="3"/>
  <c r="C4" i="7"/>
  <c r="D4" i="7"/>
  <c r="C5" i="7"/>
  <c r="D5" i="7"/>
  <c r="C6" i="7"/>
  <c r="D6" i="7"/>
  <c r="C7" i="7"/>
  <c r="D7" i="7"/>
  <c r="C8" i="7"/>
  <c r="D8" i="7"/>
  <c r="C9" i="7"/>
  <c r="D9" i="7"/>
  <c r="B9" i="7"/>
  <c r="B8" i="7"/>
  <c r="B7" i="7"/>
  <c r="B6" i="7"/>
  <c r="B5" i="7"/>
  <c r="B4" i="7"/>
  <c r="C3" i="7"/>
  <c r="D3" i="7"/>
  <c r="B3" i="7"/>
  <c r="G44" i="2" l="1"/>
  <c r="G45" i="2"/>
  <c r="G46" i="2"/>
  <c r="G47" i="2"/>
  <c r="G43" i="2"/>
  <c r="G42" i="2"/>
  <c r="G41" i="2"/>
  <c r="G40" i="2"/>
  <c r="G39" i="2"/>
  <c r="G38" i="2"/>
  <c r="G37" i="2"/>
  <c r="G36" i="2"/>
  <c r="G35" i="2"/>
  <c r="G34" i="2"/>
  <c r="G33" i="2"/>
  <c r="G120" i="2"/>
  <c r="G102" i="2"/>
  <c r="G84" i="2"/>
  <c r="G66" i="2"/>
  <c r="G28" i="2"/>
  <c r="F28" i="2" s="1"/>
  <c r="G27" i="2"/>
  <c r="F27" i="2" s="1"/>
  <c r="G26" i="2"/>
  <c r="F26" i="2" s="1"/>
  <c r="G25" i="2"/>
  <c r="F25" i="2" s="1"/>
  <c r="G24" i="2"/>
  <c r="F24" i="2" s="1"/>
  <c r="G23" i="2"/>
  <c r="F23" i="2" s="1"/>
  <c r="G22" i="2"/>
  <c r="F106" i="2" l="1"/>
  <c r="E6" i="7"/>
  <c r="F91" i="2"/>
  <c r="E5" i="7"/>
  <c r="F73" i="2"/>
  <c r="E4" i="7"/>
  <c r="F52" i="2"/>
  <c r="E3" i="7"/>
  <c r="G48" i="2"/>
  <c r="F34" i="2" s="1"/>
  <c r="F65" i="2"/>
  <c r="F60" i="2"/>
  <c r="F57" i="2"/>
  <c r="F100" i="2"/>
  <c r="F94" i="2"/>
  <c r="F69" i="2"/>
  <c r="F105" i="2"/>
  <c r="F116" i="2"/>
  <c r="F112" i="2"/>
  <c r="F108" i="2"/>
  <c r="F117" i="2"/>
  <c r="F109" i="2"/>
  <c r="F119" i="2"/>
  <c r="F115" i="2"/>
  <c r="F111" i="2"/>
  <c r="F107" i="2"/>
  <c r="F113" i="2"/>
  <c r="F118" i="2"/>
  <c r="F114" i="2"/>
  <c r="F110" i="2"/>
  <c r="F98" i="2"/>
  <c r="F93" i="2"/>
  <c r="F87" i="2"/>
  <c r="F97" i="2"/>
  <c r="F92" i="2"/>
  <c r="F61" i="2"/>
  <c r="F101" i="2"/>
  <c r="F96" i="2"/>
  <c r="F90" i="2"/>
  <c r="F89" i="2"/>
  <c r="F88" i="2"/>
  <c r="F99" i="2"/>
  <c r="F95" i="2"/>
  <c r="F64" i="2"/>
  <c r="F56" i="2"/>
  <c r="F80" i="2"/>
  <c r="F76" i="2"/>
  <c r="F72" i="2"/>
  <c r="F83" i="2"/>
  <c r="F79" i="2"/>
  <c r="F75" i="2"/>
  <c r="F71" i="2"/>
  <c r="F82" i="2"/>
  <c r="F78" i="2"/>
  <c r="F74" i="2"/>
  <c r="F70" i="2"/>
  <c r="F81" i="2"/>
  <c r="F77" i="2"/>
  <c r="F63" i="2"/>
  <c r="F59" i="2"/>
  <c r="F55" i="2"/>
  <c r="F51" i="2"/>
  <c r="F62" i="2"/>
  <c r="F58" i="2"/>
  <c r="F54" i="2"/>
  <c r="F53" i="2"/>
  <c r="G29" i="2"/>
  <c r="F22" i="2"/>
  <c r="F29" i="2" s="1"/>
  <c r="G174" i="2"/>
  <c r="E9" i="7" s="1"/>
  <c r="F43" i="2" l="1"/>
  <c r="F42" i="2"/>
  <c r="F47" i="2"/>
  <c r="F38" i="2"/>
  <c r="F45" i="2"/>
  <c r="F46" i="2"/>
  <c r="F44" i="2"/>
  <c r="F39" i="2"/>
  <c r="F37" i="2"/>
  <c r="F35" i="2"/>
  <c r="F36" i="2"/>
  <c r="F41" i="2"/>
  <c r="F40" i="2"/>
  <c r="F33" i="2"/>
  <c r="F163" i="2"/>
  <c r="F167" i="2"/>
  <c r="F171" i="2"/>
  <c r="F165" i="2"/>
  <c r="F162" i="2"/>
  <c r="F166" i="2"/>
  <c r="F170" i="2"/>
  <c r="F159" i="2"/>
  <c r="F160" i="2"/>
  <c r="F164" i="2"/>
  <c r="F168" i="2"/>
  <c r="F172" i="2"/>
  <c r="F161" i="2"/>
  <c r="F169" i="2"/>
  <c r="F173" i="2"/>
  <c r="F120" i="2"/>
  <c r="F102" i="2"/>
  <c r="F66" i="2"/>
  <c r="F84" i="2"/>
  <c r="G39" i="4"/>
  <c r="F174" i="2" l="1"/>
  <c r="F48" i="2"/>
  <c r="C35" i="4"/>
  <c r="D35" i="4"/>
  <c r="E35" i="4"/>
  <c r="F35" i="4"/>
  <c r="G35" i="4"/>
  <c r="I35" i="4"/>
  <c r="C39" i="4"/>
  <c r="D39" i="4"/>
  <c r="E39" i="4"/>
  <c r="C44" i="4"/>
  <c r="D44" i="4"/>
  <c r="E44" i="4"/>
  <c r="F44" i="4"/>
  <c r="G44" i="4"/>
  <c r="H44" i="4" l="1"/>
  <c r="H35" i="4"/>
  <c r="J35" i="4"/>
  <c r="I39" i="4" l="1"/>
  <c r="I44" i="4"/>
  <c r="J44" i="4" s="1"/>
  <c r="BW57" i="7" l="1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Z57" i="7"/>
  <c r="BA57" i="7"/>
  <c r="BB57" i="7"/>
  <c r="BC57" i="7"/>
  <c r="BD57" i="7"/>
  <c r="BE57" i="7"/>
  <c r="BF57" i="7"/>
  <c r="BG57" i="7"/>
  <c r="BH57" i="7"/>
  <c r="BI57" i="7"/>
  <c r="BJ57" i="7"/>
  <c r="BK57" i="7"/>
  <c r="BL57" i="7"/>
  <c r="BM57" i="7"/>
  <c r="BN57" i="7"/>
  <c r="BO57" i="7"/>
  <c r="BP57" i="7"/>
  <c r="BQ57" i="7"/>
  <c r="BR57" i="7"/>
  <c r="BS57" i="7"/>
  <c r="BT57" i="7"/>
  <c r="BU57" i="7"/>
  <c r="BV57" i="7"/>
  <c r="BX57" i="7"/>
  <c r="BY57" i="7"/>
  <c r="BZ57" i="7"/>
  <c r="CA57" i="7"/>
  <c r="CB57" i="7"/>
  <c r="CC57" i="7"/>
  <c r="CD57" i="7"/>
  <c r="CE57" i="7"/>
  <c r="CF57" i="7"/>
  <c r="CG57" i="7"/>
  <c r="CH57" i="7"/>
  <c r="CI57" i="7"/>
  <c r="CJ57" i="7"/>
  <c r="CK57" i="7"/>
  <c r="CL57" i="7"/>
  <c r="CM57" i="7"/>
  <c r="CN57" i="7"/>
  <c r="CO57" i="7"/>
  <c r="CP57" i="7"/>
  <c r="CQ57" i="7"/>
  <c r="CR57" i="7"/>
  <c r="CS57" i="7"/>
  <c r="CT57" i="7"/>
  <c r="CU57" i="7"/>
  <c r="CV57" i="7"/>
  <c r="CW57" i="7"/>
  <c r="CX57" i="7"/>
  <c r="CY57" i="7"/>
  <c r="CZ57" i="7"/>
  <c r="DA57" i="7"/>
  <c r="DB57" i="7"/>
  <c r="DC57" i="7"/>
  <c r="DD57" i="7"/>
  <c r="DE57" i="7"/>
  <c r="DF57" i="7"/>
  <c r="DG57" i="7"/>
  <c r="DH57" i="7"/>
  <c r="DI57" i="7"/>
  <c r="DJ57" i="7"/>
  <c r="DK57" i="7"/>
  <c r="DL57" i="7"/>
  <c r="DM57" i="7"/>
  <c r="DN57" i="7"/>
  <c r="DO57" i="7"/>
  <c r="DP57" i="7"/>
  <c r="DQ57" i="7"/>
  <c r="DR57" i="7"/>
  <c r="DS57" i="7"/>
  <c r="DT57" i="7"/>
  <c r="DU57" i="7"/>
  <c r="DV57" i="7"/>
  <c r="AA57" i="7"/>
  <c r="AB57" i="7"/>
  <c r="AC57" i="7"/>
  <c r="AD57" i="7"/>
  <c r="AE57" i="7"/>
  <c r="W57" i="7"/>
  <c r="S57" i="7"/>
  <c r="O57" i="7"/>
  <c r="CJ5" i="3" l="1"/>
  <c r="CF5" i="3"/>
  <c r="CB5" i="3"/>
  <c r="BX5" i="3"/>
  <c r="BT5" i="3"/>
  <c r="BP5" i="3"/>
  <c r="BL5" i="3"/>
  <c r="BH5" i="3"/>
  <c r="BD5" i="3"/>
  <c r="AZ5" i="3"/>
  <c r="AV5" i="3"/>
  <c r="AD76" i="3" l="1"/>
  <c r="BR76" i="3"/>
  <c r="BB76" i="3"/>
  <c r="BF76" i="3"/>
  <c r="AX76" i="3"/>
  <c r="CH76" i="3"/>
  <c r="AH76" i="3"/>
  <c r="BV76" i="3"/>
  <c r="AT76" i="3"/>
  <c r="CK5" i="3"/>
  <c r="CH17" i="3" s="1"/>
  <c r="CC5" i="3"/>
  <c r="BZ17" i="3" s="1"/>
  <c r="BU5" i="3"/>
  <c r="BR17" i="3" s="1"/>
  <c r="BQ5" i="3"/>
  <c r="BN17" i="3" s="1"/>
  <c r="BY5" i="3"/>
  <c r="BV17" i="3" s="1"/>
  <c r="AW5" i="3"/>
  <c r="AT17" i="3" s="1"/>
  <c r="BE5" i="3"/>
  <c r="BB17" i="3" s="1"/>
  <c r="AS5" i="3"/>
  <c r="AP17" i="3" s="1"/>
  <c r="CG5" i="3"/>
  <c r="CD17" i="3" s="1"/>
  <c r="AP55" i="3" l="1"/>
  <c r="AL55" i="3"/>
  <c r="CD65" i="3"/>
  <c r="CH65" i="3"/>
  <c r="AL65" i="3"/>
  <c r="BJ65" i="3"/>
  <c r="AD65" i="3"/>
  <c r="AX65" i="3"/>
  <c r="BR65" i="3"/>
  <c r="BB65" i="3"/>
  <c r="AH65" i="3"/>
  <c r="BF65" i="3"/>
  <c r="BN65" i="3"/>
  <c r="AT65" i="3"/>
  <c r="BV65" i="3"/>
  <c r="BV31" i="3"/>
  <c r="AX87" i="3"/>
  <c r="BZ65" i="3"/>
  <c r="CD55" i="3"/>
  <c r="CH55" i="3"/>
  <c r="BV55" i="3"/>
  <c r="BZ55" i="3"/>
  <c r="AT55" i="3"/>
  <c r="BR31" i="3"/>
  <c r="BJ31" i="3"/>
  <c r="BZ31" i="3"/>
  <c r="BJ41" i="3"/>
  <c r="BF41" i="3"/>
  <c r="AX41" i="3"/>
  <c r="BZ41" i="3"/>
  <c r="CD41" i="3"/>
  <c r="BN41" i="3"/>
  <c r="CH41" i="3"/>
  <c r="BB41" i="3"/>
  <c r="AT41" i="3"/>
  <c r="AH41" i="3"/>
  <c r="BV41" i="3"/>
  <c r="AP41" i="3"/>
  <c r="BR41" i="3"/>
  <c r="BF55" i="3"/>
  <c r="CD31" i="3"/>
  <c r="BB55" i="3"/>
  <c r="AX55" i="3"/>
  <c r="BN55" i="3"/>
  <c r="BJ55" i="3"/>
  <c r="BR55" i="3"/>
  <c r="AP65" i="3"/>
  <c r="AP76" i="3"/>
  <c r="BJ76" i="3"/>
  <c r="BN76" i="3"/>
  <c r="AL76" i="3"/>
  <c r="CD76" i="3"/>
  <c r="BZ76" i="3"/>
  <c r="AP89" i="3" l="1"/>
  <c r="AL41" i="3"/>
  <c r="AL31" i="3"/>
  <c r="AP31" i="3"/>
  <c r="AH31" i="3"/>
  <c r="BF31" i="3"/>
  <c r="AX31" i="3"/>
  <c r="BB31" i="3"/>
  <c r="CH31" i="3"/>
  <c r="AT31" i="3"/>
  <c r="AD41" i="3"/>
  <c r="BN31" i="3"/>
  <c r="AD19" i="3"/>
  <c r="AD31" i="3"/>
  <c r="F39" i="4"/>
  <c r="CD87" i="3"/>
  <c r="BB87" i="3"/>
  <c r="BJ87" i="3"/>
  <c r="AP87" i="3"/>
  <c r="AT87" i="3"/>
  <c r="BN87" i="3"/>
  <c r="AL87" i="3"/>
  <c r="BF87" i="3"/>
  <c r="CH87" i="3"/>
  <c r="AH87" i="3"/>
  <c r="BV87" i="3"/>
  <c r="BZ87" i="3"/>
  <c r="AD87" i="3"/>
  <c r="BR87" i="3"/>
  <c r="H102" i="2"/>
  <c r="F5" i="7" s="1"/>
  <c r="CD19" i="3" l="1"/>
  <c r="CD91" i="3" s="1"/>
  <c r="CD89" i="3"/>
  <c r="CH19" i="3"/>
  <c r="CH91" i="3" s="1"/>
  <c r="CH89" i="3"/>
  <c r="BZ19" i="3"/>
  <c r="BZ91" i="3" s="1"/>
  <c r="BZ89" i="3"/>
  <c r="BV19" i="3"/>
  <c r="BV91" i="3" s="1"/>
  <c r="BV89" i="3"/>
  <c r="BR19" i="3"/>
  <c r="BR91" i="3" s="1"/>
  <c r="BR89" i="3"/>
  <c r="BN19" i="3"/>
  <c r="BN91" i="3" s="1"/>
  <c r="BN89" i="3"/>
  <c r="BJ19" i="3"/>
  <c r="BJ91" i="3" s="1"/>
  <c r="BJ89" i="3"/>
  <c r="BF19" i="3"/>
  <c r="BF91" i="3" s="1"/>
  <c r="BF89" i="3"/>
  <c r="BB19" i="3"/>
  <c r="BB91" i="3" s="1"/>
  <c r="BB89" i="3"/>
  <c r="AX89" i="3"/>
  <c r="AT89" i="3"/>
  <c r="AL89" i="3"/>
  <c r="H174" i="2"/>
  <c r="F9" i="7" s="1"/>
  <c r="H38" i="4"/>
  <c r="J38" i="4"/>
  <c r="H45" i="4"/>
  <c r="J45" i="4"/>
  <c r="H37" i="4"/>
  <c r="J37" i="4"/>
  <c r="I174" i="2"/>
  <c r="G9" i="7" s="1"/>
  <c r="H42" i="4"/>
  <c r="J42" i="4"/>
  <c r="H41" i="4"/>
  <c r="J41" i="4"/>
  <c r="H39" i="4"/>
  <c r="J39" i="4"/>
  <c r="H36" i="4"/>
  <c r="J36" i="4"/>
  <c r="H25" i="4"/>
  <c r="J25" i="4"/>
  <c r="H40" i="4"/>
  <c r="J40" i="4"/>
  <c r="H28" i="4"/>
  <c r="J28" i="4"/>
  <c r="H26" i="4"/>
  <c r="J26" i="4"/>
  <c r="H43" i="4"/>
  <c r="J43" i="4"/>
  <c r="H24" i="4"/>
  <c r="J24" i="4"/>
  <c r="H18" i="4"/>
  <c r="J18" i="4"/>
  <c r="J16" i="4" l="1"/>
  <c r="H12" i="4"/>
  <c r="H8" i="4"/>
  <c r="H15" i="4"/>
  <c r="H11" i="4"/>
  <c r="H7" i="4"/>
  <c r="H14" i="4"/>
  <c r="H10" i="4"/>
  <c r="H6" i="4"/>
  <c r="H13" i="4"/>
  <c r="J9" i="4"/>
  <c r="H16" i="4"/>
  <c r="J8" i="4"/>
  <c r="H5" i="4"/>
  <c r="J11" i="4"/>
  <c r="J14" i="4"/>
  <c r="J6" i="4" l="1"/>
  <c r="H9" i="4"/>
  <c r="J10" i="4"/>
  <c r="J12" i="4"/>
  <c r="J7" i="4"/>
  <c r="J15" i="4"/>
  <c r="J13" i="4"/>
  <c r="G156" i="2" l="1"/>
  <c r="E8" i="7" s="1"/>
  <c r="I156" i="2"/>
  <c r="G8" i="7" s="1"/>
  <c r="H156" i="2"/>
  <c r="F8" i="7" s="1"/>
  <c r="H138" i="2"/>
  <c r="F7" i="7" s="1"/>
  <c r="G138" i="2"/>
  <c r="E7" i="7" s="1"/>
  <c r="I138" i="2"/>
  <c r="G7" i="7" s="1"/>
  <c r="I102" i="2"/>
  <c r="G5" i="7" s="1"/>
  <c r="I84" i="2"/>
  <c r="G4" i="7" s="1"/>
  <c r="F145" i="2" l="1"/>
  <c r="F149" i="2"/>
  <c r="F153" i="2"/>
  <c r="F152" i="2"/>
  <c r="F142" i="2"/>
  <c r="F146" i="2"/>
  <c r="F150" i="2"/>
  <c r="F154" i="2"/>
  <c r="F148" i="2"/>
  <c r="F143" i="2"/>
  <c r="F147" i="2"/>
  <c r="F151" i="2"/>
  <c r="F155" i="2"/>
  <c r="F144" i="2"/>
  <c r="F141" i="2"/>
  <c r="F127" i="2"/>
  <c r="F131" i="2"/>
  <c r="F135" i="2"/>
  <c r="F134" i="2"/>
  <c r="F124" i="2"/>
  <c r="F128" i="2"/>
  <c r="F132" i="2"/>
  <c r="F136" i="2"/>
  <c r="F130" i="2"/>
  <c r="F123" i="2"/>
  <c r="F125" i="2"/>
  <c r="F129" i="2"/>
  <c r="F133" i="2"/>
  <c r="F137" i="2"/>
  <c r="F126" i="2"/>
  <c r="E10" i="7"/>
  <c r="AR5" i="3"/>
  <c r="AJ5" i="3"/>
  <c r="F156" i="2" l="1"/>
  <c r="F138" i="2"/>
  <c r="AX19" i="3"/>
  <c r="AX91" i="3" s="1"/>
  <c r="AT19" i="3"/>
  <c r="AT91" i="3" s="1"/>
  <c r="AP19" i="3"/>
  <c r="AP91" i="3" s="1"/>
  <c r="H66" i="2" l="1"/>
  <c r="F3" i="7" s="1"/>
  <c r="H84" i="2"/>
  <c r="F4" i="7" s="1"/>
  <c r="AL19" i="3" l="1"/>
  <c r="AL91" i="3" s="1"/>
  <c r="AF5" i="3" l="1"/>
  <c r="AB5" i="3" s="1"/>
  <c r="I5" i="4" s="1"/>
  <c r="AH19" i="3" l="1"/>
  <c r="J5" i="4"/>
  <c r="I66" i="2" l="1"/>
  <c r="G3" i="7" s="1"/>
  <c r="AD55" i="3" l="1"/>
  <c r="AD91" i="3" s="1"/>
  <c r="AH89" i="3" l="1"/>
  <c r="CL89" i="3" s="1"/>
  <c r="H120" i="2" l="1"/>
  <c r="F6" i="7" s="1"/>
  <c r="F10" i="7" s="1"/>
  <c r="AH55" i="3"/>
  <c r="AH91" i="3" s="1"/>
  <c r="CL91" i="3" s="1"/>
  <c r="I120" i="2" l="1"/>
  <c r="G6" i="7" s="1"/>
  <c r="G10" i="7" s="1"/>
</calcChain>
</file>

<file path=xl/sharedStrings.xml><?xml version="1.0" encoding="utf-8"?>
<sst xmlns="http://schemas.openxmlformats.org/spreadsheetml/2006/main" count="2662" uniqueCount="167">
  <si>
    <t>DESCRIPCIÓN DEL BIEN Y/O SERVICIO</t>
  </si>
  <si>
    <t>UNIDAD MEDIDA</t>
  </si>
  <si>
    <t>ÍTEM</t>
  </si>
  <si>
    <t>CÓDIGO DANE</t>
  </si>
  <si>
    <t>PRECIO DE REFERENCIA</t>
  </si>
  <si>
    <t>RECURSO</t>
  </si>
  <si>
    <t>DESCRIPCIÓN DEL RUBRO</t>
  </si>
  <si>
    <t>UNIDAD BENEFICIADA</t>
  </si>
  <si>
    <t>VALOR APROXIMADO DE LA NECESIDAD</t>
  </si>
  <si>
    <t>PRESUPUESTO A UTILIZAR</t>
  </si>
  <si>
    <t>SALDO</t>
  </si>
  <si>
    <t>ARTICULO PRESUPUESTAL
(SIIF NACIÓN)</t>
  </si>
  <si>
    <t>LIMITACIONES</t>
  </si>
  <si>
    <t>NECESIDAD TOTAL</t>
  </si>
  <si>
    <t>MÍNIMAS</t>
  </si>
  <si>
    <t>NT</t>
  </si>
  <si>
    <t>M</t>
  </si>
  <si>
    <t>L</t>
  </si>
  <si>
    <t>VALOR TOTAL NECESIDAD</t>
  </si>
  <si>
    <t>PRESUPUESTO ASIGNADO</t>
  </si>
  <si>
    <t>VT</t>
  </si>
  <si>
    <t>TOTAL</t>
  </si>
  <si>
    <t>PROYECTADO A ADQUIRIR</t>
  </si>
  <si>
    <t>%</t>
  </si>
  <si>
    <t>LIMITACIÓN</t>
  </si>
  <si>
    <t>EXISTENCIAS (STOCK - INVENTARIOS)</t>
  </si>
  <si>
    <t>NECESIDAD</t>
  </si>
  <si>
    <t>BAEEV2</t>
  </si>
  <si>
    <t>A-02-02-01-003-002</t>
  </si>
  <si>
    <t>BAABS3</t>
  </si>
  <si>
    <t>BAACA10</t>
  </si>
  <si>
    <t>BAACA2</t>
  </si>
  <si>
    <t>BAADA1</t>
  </si>
  <si>
    <t>BAEEV3</t>
  </si>
  <si>
    <t>BASAC</t>
  </si>
  <si>
    <t>BICAR</t>
  </si>
  <si>
    <t>BITER10</t>
  </si>
  <si>
    <t>DIM15</t>
  </si>
  <si>
    <t>GMRON</t>
  </si>
  <si>
    <t>A-02-02-01-003-005</t>
  </si>
  <si>
    <t>OTROS PRODUCTOS QUÍMICOS; FIBRAS ARTIFICIALES (O FIBRAS INDUSTRIALES HECHAS POR EL HOMBRE)</t>
  </si>
  <si>
    <t>A-02-02-01-003-006</t>
  </si>
  <si>
    <t>PRODUCTOS DE CAUCHO Y PLÁSTICO</t>
  </si>
  <si>
    <t>A-02-02-01-003-008</t>
  </si>
  <si>
    <t>OTROS BIENES TRANSPORTABLES N.C.P.</t>
  </si>
  <si>
    <t>A-02-02-01-003-005 OTROS PRODUCTOS QUÍMICOS; FIBRAS ARTIFICIALES (O FIBRAS INDUSTRIALES HECHAS POR EL HOMBRE)</t>
  </si>
  <si>
    <t>A-02-02-01-003-003 PRODUCTOS DE HORNOS DE COQUE; PRODUCTOS DE REFINACIÓN DE PETROLEO Y COMBUSTIBLE NUCLEAR</t>
  </si>
  <si>
    <t>A-02-02-01-003-006 PRODUCTOS DE CAUCHO Y PLÁSTICO</t>
  </si>
  <si>
    <t>A-02-02-01-003-008 OTROS BIENES TRANSPORTABLES N.C.P.</t>
  </si>
  <si>
    <t>CANT.</t>
  </si>
  <si>
    <t xml:space="preserve"> KIT DE DOTACIÓN PARA SOLDADOS</t>
  </si>
  <si>
    <t>ARTICULO PRESUPUESTAL  (SIIF NACIÓN)</t>
  </si>
  <si>
    <t>PORCENTAJE</t>
  </si>
  <si>
    <t>VALOR POR ARTÍCULO PRESUPUESTAL</t>
  </si>
  <si>
    <t>A-02-02-01-002-007</t>
  </si>
  <si>
    <t>ARTÍCULOS TEXTILES (EXCEPTO PRENDAS DE VESTIR)</t>
  </si>
  <si>
    <t>BR10 - FUTAM -BRLOG3</t>
  </si>
  <si>
    <t>A-02-02-01-002-008</t>
  </si>
  <si>
    <t>DOTACIÓN (PRENDAS DE VESTIR Y CALZADO)</t>
  </si>
  <si>
    <t>PASTA O PULPA, PAPEL Y PRODUCTOS DE PAPEL; IMPRESOS Y ARTÍCULOS SIMILARES</t>
  </si>
  <si>
    <t>A-02-02-01-004-002</t>
  </si>
  <si>
    <t>PRODUCTOS METÁLICOS ELABORADOS (EXCEPTO MAQUINARIA Y EQUIPO)</t>
  </si>
  <si>
    <t xml:space="preserve">VALOR TOTAL DE LA PARTIDA </t>
  </si>
  <si>
    <t>VALOR POR UNIDAD</t>
  </si>
  <si>
    <t>A-02-02-01-002-007
A-02-02-01-002-008
A-02-02-01-003-002
A-02-02-01-003-005
A-02-02-01-003-006
A-02-02-01-003-008
A-02-02-01-004-002</t>
  </si>
  <si>
    <t>VALOR TOTAL PARTIDA ESPECIAL POR UNIDAD</t>
  </si>
  <si>
    <t>BAMMA7</t>
  </si>
  <si>
    <t>BASPC10</t>
  </si>
  <si>
    <t>BIMOC70</t>
  </si>
  <si>
    <t>GMMAT</t>
  </si>
  <si>
    <t xml:space="preserve">TOTAL PARTIDA </t>
  </si>
  <si>
    <t>SUBTOTAL A-02-02-01-002-007</t>
  </si>
  <si>
    <t>SUBTOTAL A-02-02-01-002-008</t>
  </si>
  <si>
    <t>SUBTOTAL A-02-02-01-003-006</t>
  </si>
  <si>
    <t>SUBTOTAL A-02-02-01-004-002</t>
  </si>
  <si>
    <t>SUBTOTAL A-02-02-01-003-002</t>
  </si>
  <si>
    <t>SUBTOTAL A-02-02-01-003-005</t>
  </si>
  <si>
    <t>SUBTOTAL A-02-02-01-003-008</t>
  </si>
  <si>
    <t>CLASIFICADOR POR OBJETO DEL GASTO</t>
  </si>
  <si>
    <t>NOMBRE CUENTA</t>
  </si>
  <si>
    <t xml:space="preserve">DESCRIPCIÓN DEL BIEN Y/O SERVICIO </t>
  </si>
  <si>
    <t>UNSPSC (CCE)</t>
  </si>
  <si>
    <t xml:space="preserve">CÓDIGO MATERIAL SAP </t>
  </si>
  <si>
    <t xml:space="preserve">CÓDIGO OTAN - NOC </t>
  </si>
  <si>
    <t>PARCHE DE IDENTIFICACIÓN PERSONAL: 
ESPECIFICACIONES  TÉCNICAS DE ACUERDO NORMA TÉCNICA KIT DE DOTACIÓN NO. NTMD-0356 - A2</t>
  </si>
  <si>
    <t>UNIDAD</t>
  </si>
  <si>
    <t>SIN CREAR</t>
  </si>
  <si>
    <t>PARCHE DE EJÉRCITO: 
ESPECIFICACIONES  TÉCNICAS   DE  ACUERDO A LA NORMA TÉCNICA KIT DE DOTACIÓN. NO. NTMD-0356 - A2.</t>
  </si>
  <si>
    <t>PARCHES DE LA UNIDAD SUPERIOR Y SUBALTERNA:
ESPECIFICACIONES  TÉCNICAS   DE  ACUERDO A LA NORMA TÉCNICA KIT DE DOTACIÓN N°. NTMD-0356 - A2.</t>
  </si>
  <si>
    <t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t>
  </si>
  <si>
    <t>PARCHE PARA IDENTIFICACIÓN GRUPO SANGUÍNEO:
ESPECIFICACIONES  TÉCNICAS   DE  ACUERDO A LA NORMA TÉCNICA KIT DE DOTACIÓN N°. NTMD-0356 - A2.</t>
  </si>
  <si>
    <t>INSIGNIA DEL GRADO SOLDADO:
ESPECIFICACIONES  TÉCNICAS   DE  ACUERDO A LA NORMA TÉCNICA KIT DE DOTACIÓN N°. NTMD-0356 - A2.</t>
  </si>
  <si>
    <t>JUEGO</t>
  </si>
  <si>
    <t>BRAZALETES TÁCTICOS X JUEGO DE 4:
ESPECIFICACIONES  TÉCNICAS   DE  ACUERDO A LA NORMA TÉCNICA KIT DE DOTACIÓN N°. NTMD-0356 - A2.</t>
  </si>
  <si>
    <t>8455-80-0011302</t>
  </si>
  <si>
    <t>OJOS DE GATO:
ESPECIFICACIONES  TÉCNICAS   DE  ACUERDO A LA NORMA TÉCNICA KIT DE DOTACIÓN N°. NTMD-0356 - A2.</t>
  </si>
  <si>
    <t>LIGAS PARA BOTA MANGA PANTALÓN CAMUFLADO:
ESPECIFICACIONES  TÉCNICAS   DE  ACUERDO A LA NORMA TÉCNICA KIT DE DOTACIÓN N°. NTMD-0356 - A2.</t>
  </si>
  <si>
    <t>PAR</t>
  </si>
  <si>
    <t>8440-80-0011394</t>
  </si>
  <si>
    <t>PAÑUELO:
ESPECIFICACIONES  TÉCNICAS   DE  ACUERDO A LA NORMA TÉCNICA KIT DE DOTACIÓN N°. NTMD-0356 - A2.</t>
  </si>
  <si>
    <t>8440-80-0011303</t>
  </si>
  <si>
    <t>BOLSO PARA ÚTILES DE ASEO:
ESPECIFICACIONES  TÉCNICAS   DE  ACUERDO A LA NORMA TÉCNICA KIT DE DOTACIÓN N°. NTMD-0356 - A2.</t>
  </si>
  <si>
    <t>MALLA PARA CABELLO COLOR NEGRO
DE ACUERDO A ESPECIFICACIONES TÉCNICAS JEMPP-CEDE4-DIETE-ET-04937/INT-0</t>
  </si>
  <si>
    <t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t>
  </si>
  <si>
    <t>UNIFORME DE DEPORTES COMPLETO (CAMISETA Y PANTALONETA): 
DE ACUERDO A NORMA TÉCNICA  NO. NTMD-0356 A2 DE ACUERDO A ÍTEM  3.1.2.7 FIGURA ILUSTRATIVA 37</t>
  </si>
  <si>
    <t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t>
  </si>
  <si>
    <t>BICICLETERO NEGRO CORTO:
DE ACUERDO A ESPECIFICACIONES TÉCNICAS ESPECIFICACIONES TÉCNICAS NO JEMPP-CEDE4-DIETE-ET05595/INT-0</t>
  </si>
  <si>
    <t>JUEGO DE ROPA INTERIOR (TOP-CACHETERO) 
DE ACUERDO A ESPECIFICACIONES TÉCNICAS N° JEMPP-CEDE4-DIETE-ET05573/INT-01</t>
  </si>
  <si>
    <t>CUADERNO PARA ESCRITURA:   
DEBE SER COSIDO, GRAPADO O ARGOLLADO CON PASTA PLASTIFICADA DURA O BLANDA DE MÍNIMO 100 HOJAS DE COLOR BLANCO, ESPECIFICACIONES SEGÚN NORMA TÉCNICA N°. NTMD-0356 A2 ÍTEM  3.1.1.18</t>
  </si>
  <si>
    <t>7530-80-0011305</t>
  </si>
  <si>
    <t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t>
  </si>
  <si>
    <t>8540-80-0011398</t>
  </si>
  <si>
    <t>TOALLAS HIGIÉNICAS MUJER CON ALAS: ESPECIFICACIONES  DE ACUERDO A NTC-3604</t>
  </si>
  <si>
    <t>PAQUETE</t>
  </si>
  <si>
    <t>BETÚN:
NEGRO 125 GRAMOS ESPECIFICACIONES SEGÚN NORMA TÉCNICA NO. NTMD-0356 A2  ÍTEM  3.1.1.14</t>
  </si>
  <si>
    <t>TALCOS PARA PIES :  
DE 85 GRAMOS ESPECIFICACIONES SEGÚN NORMA TÉCNICA NO. NTMD-0356 A2 ÍTEM  3.1.1.6</t>
  </si>
  <si>
    <t>8510-80-0011397</t>
  </si>
  <si>
    <t>CREMA DENTAL:
DE 100 ML ESPECIFICACIONES SEGÚN NORMA TÉCNICA NO. NTMD-0356 A2 ÍTEM  3.1.1.3</t>
  </si>
  <si>
    <t>8520-80-0011399</t>
  </si>
  <si>
    <t>DESODORANTE ANTITRASPIRANTE: ESPECIFICACIONES  TÉCNICAS   DE  ACUERDO A LA NORMA TÉCNICA KIT DE DOTACIÓN NO. NTMD-0356 A2 ÍTEM  3.1.1.7</t>
  </si>
  <si>
    <t>8510-80-0011400</t>
  </si>
  <si>
    <t>DESODORANTE ANTITRANSPIRANTE PARA MUJER:
DE 80 GRAMOS, ESPECIFICACIONES SEGÚN NORMA TÉCNICA NO. NTMD-0356 A2 ÍTEM  3.1.1.7</t>
  </si>
  <si>
    <t>JABÓN DE BAÑO ANTIBACTERIAL
130 GRAMOS: ESPECIFICACIONES SEGÚN NORMA TÉCNICA NO. NTMD-0356 A2 ÍTEM  3.1.1.8</t>
  </si>
  <si>
    <t>8520-80-0011401</t>
  </si>
  <si>
    <t>JABÓN PARA LAVAR ROPA:
DE 300 GRAMOS, ESPECIFICACIONES SEGÚN NORMA TÉCNICA NO. NTMD-0356 A2  ÍTEM  3.1.1.13</t>
  </si>
  <si>
    <t>7930-80-0011405</t>
  </si>
  <si>
    <t>PROTECTORES  AUDITIVOS: 
DEBEN SER PRES MOLDEADOS DE TIPO TAPÓN, SE DEBEN AJUSTAR AL CANAL AUDITIVO DE CASI TODAS LAS PERSONAS. DEBEN LLEVAR TRIPLE REBORDE CON DISEÑO DE FÁCIL INSERCIÓN: ESPECIFICACIONES SEGÚN NORMA TÉCNICA NO. NTMD-0356 A2 ÍTEM  3.1.1.1</t>
  </si>
  <si>
    <t>6515-80-0011408</t>
  </si>
  <si>
    <t>JABONERA: 
PLÁSTICA CAPACIDAD JABÓN 130 GRAMOS ESPECIFICACIONES SEGÚN NORMA TÉCNICA NO. NTMD-0356 A2 ÍTEM  3.1.1.9</t>
  </si>
  <si>
    <t>8530-80-0011402</t>
  </si>
  <si>
    <t>PORTA CEPILLO DE DIENTES: ELABORADO EN PLÁSTICO ESPECIFICACIONES SEGÚN NORMA TÉCNICA NO. NTMD-0356 A2 ÍTEM  3.1.1.11</t>
  </si>
  <si>
    <t>4510-80-0011407</t>
  </si>
  <si>
    <t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t>
  </si>
  <si>
    <t>8530-80-0011406</t>
  </si>
  <si>
    <t>PEINILLA: 
(LARGO: 120 MM ± 5 MM; ALTO: 28 MM ± 5 MM), ESPECIFICACIONES SEGÚN NORMA TÉCNICA NO. NTMD-0356 A2  ÍTEM  3.1.1.12</t>
  </si>
  <si>
    <t>8530-80-0011404</t>
  </si>
  <si>
    <t>CEPILLOS GRANDE Y PEQUEÑO PARA BRILLAR CALZADO: DEBE ESTAR CONFORMADO POR UN MANGO Y UNA BASE, SOBRE LA CUAL SE FIJAN LAS CERDAS, APTOS PARA LIMPIAR, LAVAR, BRILLAR O BARRER, ESPECIFICACIONES SEGÚN NORMA TÉCNICA NO. NTMD-0356 A2  ÍTEM  3.1.1.16</t>
  </si>
  <si>
    <t>7920-80-0011395</t>
  </si>
  <si>
    <t>LAPICERO:
(14 CM DE LONGITUD Y 7 MM DE DIÁMETRO), ESPECIFICACIONES SEGÚN NORMA TÉCNICA NO. NTMD-0356 A2  ÍTEM  3.1.1.19</t>
  </si>
  <si>
    <t>MAQUINA  PARA AFEITAR: DESECHABLE, MÍNIMO TRIPLE HOJA, DEBE TENER BANDA LUBRICANTE ESPECIFICACIONES SEGÚN NORMA TÉCNICA NO. NTMD-0356 A2 ÍTEM  3.1.1.4</t>
  </si>
  <si>
    <t>CANDADO: AALTO 60 MM ± 5 MM
ANCHO 35 MM ± 5 MM, ESPECIFICACIONES SEGÚN NORMA TÉCNICA NO. NTMD-0356 A2 ÍTEM  3.1.1.15</t>
  </si>
  <si>
    <t>5340-80-0011396</t>
  </si>
  <si>
    <t>CORTA UÑAS:
80 MM DE LONGITUD  ESPECIFICACIONES SEGÚN NORMA TÉCNICA NO. NTMD-0356 A2 ÍTEM  3.1.1.17</t>
  </si>
  <si>
    <t>8530-80-0011403</t>
  </si>
  <si>
    <t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t>
  </si>
  <si>
    <t>8465-80-0011304</t>
  </si>
  <si>
    <t>A-02-02-01-002-007 ARTÍCULOS TEXTILES (EXCEPTO PRENDAS DE VESTIR)</t>
  </si>
  <si>
    <t>A-02-02-01-002-008 DOTACIÓN (PRENDAS DE VESTIR Y CALZADO)</t>
  </si>
  <si>
    <t>A-02-02-01-003-002 PASTA O PULPA, PAPEL Y PRODUCTOS DE PAPEL; IMPRESOS Y ARTÍCULOS SIMILARES</t>
  </si>
  <si>
    <t>A-02-02-01-004-002 PRODUCTOS METÁLICOS ELABORADOS (EXCEPTO MAQUINARIA Y EQUIPO)</t>
  </si>
  <si>
    <t>2° Contingente</t>
  </si>
  <si>
    <t>3° Contingente</t>
  </si>
  <si>
    <t>4° Contingente</t>
  </si>
  <si>
    <t>KIT FEMENINO</t>
  </si>
  <si>
    <t>KIT MASCULINO</t>
  </si>
  <si>
    <t>CANTIDAD POR ELEMENTO</t>
  </si>
  <si>
    <t>+</t>
  </si>
  <si>
    <t>VALOR POR HOMBRE</t>
  </si>
  <si>
    <t>VALOR POR MUJER</t>
  </si>
  <si>
    <t>SUBUNIDAD EJECUTORA</t>
  </si>
  <si>
    <t>RUBRO</t>
  </si>
  <si>
    <t>DIFERENCIA</t>
  </si>
  <si>
    <t>DÉFICIT</t>
  </si>
  <si>
    <t>SEGUNDO CONTINGENTE</t>
  </si>
  <si>
    <t>TERCER CONTINGENTE</t>
  </si>
  <si>
    <t>CUARTO CONTINGENTE</t>
  </si>
  <si>
    <t>CANTIDADES ADJUDICADAS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</si>
</sst>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7030A0"/>
      <name val="Arial Narrow"/>
      <family val="2"/>
    </font>
    <font>
      <b/>
      <sz val="11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4" tint="-0.249977111117893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7CD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35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2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4" fontId="5" fillId="0" borderId="1" xfId="1" applyFont="1" applyBorder="1" applyAlignment="1">
      <alignment vertical="center"/>
    </xf>
    <xf numFmtId="44" fontId="5" fillId="0" borderId="1" xfId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/>
    <xf numFmtId="44" fontId="5" fillId="0" borderId="0" xfId="0" applyNumberFormat="1" applyFont="1"/>
    <xf numFmtId="0" fontId="5" fillId="0" borderId="0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44" fontId="5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7" fillId="0" borderId="0" xfId="0" applyFont="1" applyAlignment="1">
      <alignment horizontal="center" vertical="center"/>
    </xf>
    <xf numFmtId="9" fontId="7" fillId="0" borderId="0" xfId="2" applyFont="1" applyAlignment="1">
      <alignment horizontal="center" vertical="center"/>
    </xf>
    <xf numFmtId="1" fontId="7" fillId="0" borderId="0" xfId="2" applyNumberFormat="1" applyFont="1" applyAlignment="1">
      <alignment horizontal="center" vertical="center"/>
    </xf>
    <xf numFmtId="44" fontId="0" fillId="0" borderId="0" xfId="0" applyNumberFormat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44" fontId="3" fillId="0" borderId="1" xfId="1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1" fontId="2" fillId="9" borderId="1" xfId="2" applyNumberFormat="1" applyFont="1" applyFill="1" applyBorder="1" applyAlignment="1">
      <alignment horizontal="center" vertical="center" wrapText="1"/>
    </xf>
    <xf numFmtId="9" fontId="2" fillId="9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1" fontId="9" fillId="0" borderId="1" xfId="2" applyNumberFormat="1" applyFont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4" fontId="13" fillId="0" borderId="0" xfId="1" applyNumberFormat="1" applyFont="1" applyBorder="1" applyAlignment="1" applyProtection="1">
      <alignment vertical="center"/>
      <protection locked="0"/>
    </xf>
    <xf numFmtId="164" fontId="13" fillId="0" borderId="0" xfId="1" applyNumberFormat="1" applyFont="1" applyFill="1" applyBorder="1" applyAlignment="1" applyProtection="1">
      <alignment vertical="center"/>
      <protection locked="0"/>
    </xf>
    <xf numFmtId="164" fontId="1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top"/>
    </xf>
    <xf numFmtId="44" fontId="5" fillId="0" borderId="0" xfId="1" applyFont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3" fontId="5" fillId="0" borderId="1" xfId="4" applyNumberFormat="1" applyFont="1" applyBorder="1" applyAlignment="1" applyProtection="1">
      <alignment horizontal="center" vertical="center"/>
      <protection locked="0"/>
    </xf>
    <xf numFmtId="3" fontId="2" fillId="0" borderId="1" xfId="4" applyNumberFormat="1" applyFont="1" applyBorder="1" applyAlignment="1" applyProtection="1">
      <alignment horizontal="center" vertical="center"/>
      <protection locked="0"/>
    </xf>
    <xf numFmtId="3" fontId="2" fillId="9" borderId="1" xfId="4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44" fontId="2" fillId="9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/>
    <xf numFmtId="0" fontId="5" fillId="0" borderId="1" xfId="0" applyFont="1" applyBorder="1" applyAlignment="1" applyProtection="1">
      <alignment horizontal="center" vertical="center" wrapText="1"/>
      <protection locked="0"/>
    </xf>
    <xf numFmtId="9" fontId="5" fillId="0" borderId="1" xfId="2" applyFont="1" applyBorder="1" applyAlignment="1" applyProtection="1">
      <alignment horizontal="center" vertical="center"/>
      <protection locked="0"/>
    </xf>
    <xf numFmtId="44" fontId="5" fillId="0" borderId="1" xfId="1" applyFont="1" applyBorder="1" applyAlignment="1" applyProtection="1">
      <alignment horizontal="center" vertical="center"/>
      <protection locked="0"/>
    </xf>
    <xf numFmtId="9" fontId="2" fillId="9" borderId="1" xfId="0" applyNumberFormat="1" applyFont="1" applyFill="1" applyBorder="1" applyAlignment="1" applyProtection="1">
      <alignment horizontal="center" vertical="center"/>
      <protection locked="0"/>
    </xf>
    <xf numFmtId="44" fontId="2" fillId="9" borderId="1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4" fontId="2" fillId="2" borderId="1" xfId="1" applyFont="1" applyFill="1" applyBorder="1" applyAlignment="1" applyProtection="1">
      <alignment horizontal="center" vertical="center" wrapText="1"/>
      <protection locked="0"/>
    </xf>
    <xf numFmtId="9" fontId="2" fillId="2" borderId="1" xfId="0" applyNumberFormat="1" applyFont="1" applyFill="1" applyBorder="1" applyAlignment="1" applyProtection="1">
      <alignment horizontal="center" vertical="center"/>
      <protection locked="0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9" fontId="2" fillId="2" borderId="1" xfId="2" applyFont="1" applyFill="1" applyBorder="1" applyAlignment="1" applyProtection="1">
      <alignment horizontal="center" vertical="center" wrapText="1"/>
      <protection locked="0"/>
    </xf>
    <xf numFmtId="9" fontId="5" fillId="0" borderId="3" xfId="2" applyFont="1" applyFill="1" applyBorder="1" applyAlignment="1">
      <alignment horizontal="center" vertical="center" wrapText="1"/>
    </xf>
    <xf numFmtId="44" fontId="5" fillId="0" borderId="3" xfId="1" applyFont="1" applyBorder="1" applyAlignment="1" applyProtection="1">
      <alignment horizontal="center" vertical="center"/>
      <protection locked="0"/>
    </xf>
    <xf numFmtId="3" fontId="5" fillId="0" borderId="1" xfId="0" applyNumberFormat="1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4" fontId="7" fillId="0" borderId="0" xfId="1" applyFont="1" applyAlignment="1">
      <alignment horizontal="center" vertical="center"/>
    </xf>
    <xf numFmtId="44" fontId="7" fillId="0" borderId="0" xfId="1" applyFont="1" applyAlignment="1">
      <alignment vertical="center"/>
    </xf>
    <xf numFmtId="0" fontId="2" fillId="9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0" fillId="9" borderId="1" xfId="0" applyFont="1" applyFill="1" applyBorder="1" applyAlignment="1" applyProtection="1">
      <alignment horizontal="center" vertical="center" wrapText="1"/>
      <protection locked="0"/>
    </xf>
    <xf numFmtId="0" fontId="10" fillId="9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justify" vertical="center" wrapText="1"/>
    </xf>
    <xf numFmtId="0" fontId="3" fillId="12" borderId="1" xfId="3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12" borderId="1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4" fillId="1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3" fillId="12" borderId="0" xfId="3" applyFont="1" applyFill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44" fontId="2" fillId="9" borderId="1" xfId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44" fontId="9" fillId="9" borderId="1" xfId="1" applyFont="1" applyFill="1" applyBorder="1" applyAlignment="1">
      <alignment horizontal="center" vertical="center"/>
    </xf>
    <xf numFmtId="44" fontId="2" fillId="9" borderId="4" xfId="1" applyFont="1" applyFill="1" applyBorder="1" applyAlignment="1">
      <alignment horizontal="center" vertical="center"/>
    </xf>
    <xf numFmtId="44" fontId="9" fillId="9" borderId="5" xfId="1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/>
    </xf>
    <xf numFmtId="44" fontId="5" fillId="0" borderId="1" xfId="0" applyNumberFormat="1" applyFont="1" applyBorder="1" applyAlignment="1">
      <alignment vertical="center"/>
    </xf>
    <xf numFmtId="44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5" fillId="0" borderId="0" xfId="0" applyNumberFormat="1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2" fillId="2" borderId="4" xfId="0" applyNumberFormat="1" applyFont="1" applyFill="1" applyBorder="1" applyAlignment="1">
      <alignment vertical="center" wrapText="1"/>
    </xf>
    <xf numFmtId="1" fontId="2" fillId="3" borderId="4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9" borderId="4" xfId="1" applyNumberFormat="1" applyFont="1" applyFill="1" applyBorder="1" applyAlignment="1">
      <alignment horizontal="center" vertical="center"/>
    </xf>
    <xf numFmtId="1" fontId="9" fillId="9" borderId="1" xfId="1" applyNumberFormat="1" applyFont="1" applyFill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2" fillId="9" borderId="1" xfId="1" applyNumberFormat="1" applyFont="1" applyFill="1" applyBorder="1" applyAlignment="1">
      <alignment horizontal="center" vertical="center"/>
    </xf>
    <xf numFmtId="1" fontId="2" fillId="11" borderId="1" xfId="0" applyNumberFormat="1" applyFont="1" applyFill="1" applyBorder="1" applyAlignment="1">
      <alignment horizontal="center" vertical="center" wrapText="1"/>
    </xf>
    <xf numFmtId="1" fontId="2" fillId="10" borderId="4" xfId="0" applyNumberFormat="1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2" borderId="4" xfId="0" applyNumberFormat="1" applyFont="1" applyFill="1" applyBorder="1" applyAlignment="1">
      <alignment vertical="center" wrapText="1"/>
    </xf>
    <xf numFmtId="0" fontId="2" fillId="4" borderId="4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 wrapText="1"/>
    </xf>
    <xf numFmtId="0" fontId="2" fillId="9" borderId="4" xfId="1" applyNumberFormat="1" applyFont="1" applyFill="1" applyBorder="1" applyAlignment="1">
      <alignment horizontal="center" vertical="center"/>
    </xf>
    <xf numFmtId="0" fontId="9" fillId="9" borderId="1" xfId="1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2" fillId="9" borderId="1" xfId="1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44" fontId="5" fillId="0" borderId="3" xfId="0" applyNumberFormat="1" applyFont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10" borderId="4" xfId="0" applyNumberFormat="1" applyFont="1" applyFill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1" fontId="2" fillId="5" borderId="4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5" xfId="0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right" vertical="center"/>
    </xf>
    <xf numFmtId="44" fontId="2" fillId="9" borderId="3" xfId="1" applyFont="1" applyFill="1" applyBorder="1" applyAlignment="1">
      <alignment horizontal="center" vertical="center"/>
    </xf>
    <xf numFmtId="44" fontId="2" fillId="9" borderId="4" xfId="1" applyFont="1" applyFill="1" applyBorder="1" applyAlignment="1">
      <alignment horizontal="center" vertical="center"/>
    </xf>
    <xf numFmtId="44" fontId="2" fillId="9" borderId="5" xfId="1" applyFont="1" applyFill="1" applyBorder="1" applyAlignment="1">
      <alignment horizontal="center" vertical="center"/>
    </xf>
    <xf numFmtId="44" fontId="9" fillId="9" borderId="1" xfId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44" fontId="2" fillId="9" borderId="1" xfId="1" applyFont="1" applyFill="1" applyBorder="1" applyAlignment="1">
      <alignment horizontal="center" vertical="center"/>
    </xf>
    <xf numFmtId="44" fontId="9" fillId="9" borderId="3" xfId="1" applyFont="1" applyFill="1" applyBorder="1" applyAlignment="1">
      <alignment horizontal="center" vertical="center"/>
    </xf>
    <xf numFmtId="44" fontId="9" fillId="9" borderId="4" xfId="1" applyFont="1" applyFill="1" applyBorder="1" applyAlignment="1">
      <alignment horizontal="center" vertical="center"/>
    </xf>
    <xf numFmtId="44" fontId="9" fillId="9" borderId="5" xfId="1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</cellXfs>
  <cellStyles count="5">
    <cellStyle name="Millares" xfId="4" builtinId="3"/>
    <cellStyle name="Moneda" xfId="1" builtinId="4"/>
    <cellStyle name="Normal" xfId="0" builtinId="0"/>
    <cellStyle name="Normal 10 5 2" xfId="3" xr:uid="{914B96AC-19D7-46C3-A4A7-742E54020F70}"/>
    <cellStyle name="Porcentaje" xfId="2" builtinId="5"/>
  </cellStyles>
  <dxfs count="23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9999FF"/>
      <color rgb="FFCC66FF"/>
      <color rgb="FFFF99FF"/>
      <color rgb="FFFFCCFF"/>
      <color rgb="FFFF99CC"/>
      <color rgb="FFCCCCFF"/>
      <color rgb="FFFFCC66"/>
      <color rgb="FFFF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EB82-FD7D-4253-9F47-0A8731B7EFD3}">
  <dimension ref="B2:J66"/>
  <sheetViews>
    <sheetView zoomScale="85" zoomScaleNormal="85" workbookViewId="0">
      <selection activeCell="D6" sqref="D6"/>
    </sheetView>
  </sheetViews>
  <sheetFormatPr baseColWidth="10" defaultRowHeight="15" x14ac:dyDescent="0.25"/>
  <cols>
    <col min="1" max="1" width="5.28515625" customWidth="1"/>
    <col min="2" max="2" width="7.5703125" style="110" customWidth="1"/>
    <col min="3" max="3" width="12.5703125" style="17" customWidth="1"/>
    <col min="4" max="4" width="44" style="17" customWidth="1"/>
    <col min="5" max="5" width="11.42578125" style="17"/>
    <col min="6" max="6" width="16.140625" style="17" customWidth="1"/>
    <col min="7" max="7" width="11.42578125" style="17"/>
    <col min="8" max="10" width="15.140625" style="17" customWidth="1"/>
  </cols>
  <sheetData>
    <row r="2" spans="2:10" x14ac:dyDescent="0.25">
      <c r="B2" s="168" t="s">
        <v>78</v>
      </c>
      <c r="C2" s="168"/>
      <c r="D2" s="168"/>
      <c r="E2" s="168"/>
      <c r="F2" s="168" t="s">
        <v>79</v>
      </c>
      <c r="G2" s="168"/>
      <c r="H2" s="168"/>
      <c r="I2" s="168"/>
      <c r="J2" s="168"/>
    </row>
    <row r="3" spans="2:10" x14ac:dyDescent="0.25">
      <c r="B3" s="168" t="s">
        <v>54</v>
      </c>
      <c r="C3" s="168"/>
      <c r="D3" s="168"/>
      <c r="E3" s="168"/>
      <c r="F3" s="168" t="s">
        <v>55</v>
      </c>
      <c r="G3" s="168"/>
      <c r="H3" s="168"/>
      <c r="I3" s="168"/>
      <c r="J3" s="168"/>
    </row>
    <row r="4" spans="2:10" ht="38.25" x14ac:dyDescent="0.25">
      <c r="B4" s="96" t="s">
        <v>2</v>
      </c>
      <c r="C4" s="96" t="s">
        <v>3</v>
      </c>
      <c r="D4" s="97" t="s">
        <v>80</v>
      </c>
      <c r="E4" s="96" t="s">
        <v>1</v>
      </c>
      <c r="F4" s="86" t="s">
        <v>25</v>
      </c>
      <c r="G4" s="96" t="s">
        <v>26</v>
      </c>
      <c r="H4" s="96" t="s">
        <v>81</v>
      </c>
      <c r="I4" s="96" t="s">
        <v>82</v>
      </c>
      <c r="J4" s="96" t="s">
        <v>83</v>
      </c>
    </row>
    <row r="5" spans="2:10" ht="38.25" x14ac:dyDescent="0.25">
      <c r="B5" s="98">
        <v>1</v>
      </c>
      <c r="C5" s="98">
        <v>2791301</v>
      </c>
      <c r="D5" s="99" t="s">
        <v>84</v>
      </c>
      <c r="E5" s="100" t="s">
        <v>85</v>
      </c>
      <c r="F5" s="98">
        <v>0</v>
      </c>
      <c r="G5" s="98">
        <v>1</v>
      </c>
      <c r="H5" s="98">
        <v>11161701</v>
      </c>
      <c r="I5" s="98">
        <v>1047066</v>
      </c>
      <c r="J5" s="98" t="s">
        <v>86</v>
      </c>
    </row>
    <row r="6" spans="2:10" ht="51" x14ac:dyDescent="0.25">
      <c r="B6" s="98">
        <v>2</v>
      </c>
      <c r="C6" s="101">
        <v>2791301</v>
      </c>
      <c r="D6" s="99" t="s">
        <v>87</v>
      </c>
      <c r="E6" s="100" t="s">
        <v>85</v>
      </c>
      <c r="F6" s="101">
        <v>0</v>
      </c>
      <c r="G6" s="101">
        <v>1</v>
      </c>
      <c r="H6" s="101">
        <v>11161701</v>
      </c>
      <c r="I6" s="101">
        <v>1898472</v>
      </c>
      <c r="J6" s="101" t="s">
        <v>86</v>
      </c>
    </row>
    <row r="7" spans="2:10" ht="51" x14ac:dyDescent="0.25">
      <c r="B7" s="98">
        <v>3</v>
      </c>
      <c r="C7" s="101">
        <v>2791301</v>
      </c>
      <c r="D7" s="99" t="s">
        <v>88</v>
      </c>
      <c r="E7" s="102" t="s">
        <v>85</v>
      </c>
      <c r="F7" s="98">
        <v>0</v>
      </c>
      <c r="G7" s="98">
        <v>1</v>
      </c>
      <c r="H7" s="101">
        <v>11161701</v>
      </c>
      <c r="I7" s="98">
        <v>1343999</v>
      </c>
      <c r="J7" s="98" t="s">
        <v>86</v>
      </c>
    </row>
    <row r="8" spans="2:10" ht="89.25" x14ac:dyDescent="0.25">
      <c r="B8" s="98">
        <v>4</v>
      </c>
      <c r="C8" s="101">
        <v>2791301</v>
      </c>
      <c r="D8" s="99" t="s">
        <v>89</v>
      </c>
      <c r="E8" s="102" t="s">
        <v>85</v>
      </c>
      <c r="F8" s="101">
        <v>0</v>
      </c>
      <c r="G8" s="101">
        <v>1</v>
      </c>
      <c r="H8" s="101">
        <v>11161701</v>
      </c>
      <c r="I8" s="101">
        <v>1347326</v>
      </c>
      <c r="J8" s="101" t="s">
        <v>86</v>
      </c>
    </row>
    <row r="9" spans="2:10" ht="51" x14ac:dyDescent="0.25">
      <c r="B9" s="98">
        <v>5</v>
      </c>
      <c r="C9" s="101">
        <v>2791301</v>
      </c>
      <c r="D9" s="99" t="s">
        <v>90</v>
      </c>
      <c r="E9" s="102" t="s">
        <v>85</v>
      </c>
      <c r="F9" s="98">
        <v>0</v>
      </c>
      <c r="G9" s="98">
        <v>1</v>
      </c>
      <c r="H9" s="101">
        <v>11161701</v>
      </c>
      <c r="I9" s="98">
        <v>1143174</v>
      </c>
      <c r="J9" s="98" t="s">
        <v>86</v>
      </c>
    </row>
    <row r="10" spans="2:10" ht="51" x14ac:dyDescent="0.25">
      <c r="B10" s="98">
        <v>6</v>
      </c>
      <c r="C10" s="101">
        <v>2791301</v>
      </c>
      <c r="D10" s="99" t="s">
        <v>91</v>
      </c>
      <c r="E10" s="100" t="s">
        <v>92</v>
      </c>
      <c r="F10" s="101">
        <v>0</v>
      </c>
      <c r="G10" s="101">
        <v>1</v>
      </c>
      <c r="H10" s="101">
        <v>11161701</v>
      </c>
      <c r="I10" s="101">
        <v>1047424</v>
      </c>
      <c r="J10" s="101" t="s">
        <v>86</v>
      </c>
    </row>
    <row r="11" spans="2:10" ht="51" x14ac:dyDescent="0.25">
      <c r="B11" s="98">
        <v>7</v>
      </c>
      <c r="C11" s="101">
        <v>2791301</v>
      </c>
      <c r="D11" s="99" t="s">
        <v>93</v>
      </c>
      <c r="E11" s="103" t="s">
        <v>92</v>
      </c>
      <c r="F11" s="98">
        <v>0</v>
      </c>
      <c r="G11" s="98">
        <v>1</v>
      </c>
      <c r="H11" s="101">
        <v>11161701</v>
      </c>
      <c r="I11" s="98">
        <v>1248964</v>
      </c>
      <c r="J11" s="98" t="s">
        <v>94</v>
      </c>
    </row>
    <row r="12" spans="2:10" ht="51" x14ac:dyDescent="0.25">
      <c r="B12" s="98">
        <v>8</v>
      </c>
      <c r="C12" s="101">
        <v>2791301</v>
      </c>
      <c r="D12" s="99" t="s">
        <v>95</v>
      </c>
      <c r="E12" s="103" t="s">
        <v>85</v>
      </c>
      <c r="F12" s="101">
        <v>0</v>
      </c>
      <c r="G12" s="101">
        <v>1</v>
      </c>
      <c r="H12" s="101">
        <v>11161701</v>
      </c>
      <c r="I12" s="101">
        <v>1082391</v>
      </c>
      <c r="J12" s="101" t="s">
        <v>86</v>
      </c>
    </row>
    <row r="13" spans="2:10" ht="51" x14ac:dyDescent="0.25">
      <c r="B13" s="98">
        <v>9</v>
      </c>
      <c r="C13" s="101">
        <v>2792201</v>
      </c>
      <c r="D13" s="99" t="s">
        <v>96</v>
      </c>
      <c r="E13" s="103" t="s">
        <v>97</v>
      </c>
      <c r="F13" s="98">
        <v>0</v>
      </c>
      <c r="G13" s="98">
        <v>1</v>
      </c>
      <c r="H13" s="101">
        <v>53102509</v>
      </c>
      <c r="I13" s="98">
        <v>1127360</v>
      </c>
      <c r="J13" s="98" t="s">
        <v>98</v>
      </c>
    </row>
    <row r="14" spans="2:10" ht="51" x14ac:dyDescent="0.25">
      <c r="B14" s="98">
        <v>10</v>
      </c>
      <c r="C14" s="101">
        <v>2712007</v>
      </c>
      <c r="D14" s="99" t="s">
        <v>99</v>
      </c>
      <c r="E14" s="103" t="s">
        <v>85</v>
      </c>
      <c r="F14" s="101">
        <v>0</v>
      </c>
      <c r="G14" s="101">
        <v>1</v>
      </c>
      <c r="H14" s="101">
        <v>53102512</v>
      </c>
      <c r="I14" s="101">
        <v>1316012</v>
      </c>
      <c r="J14" s="101" t="s">
        <v>100</v>
      </c>
    </row>
    <row r="15" spans="2:10" ht="51" x14ac:dyDescent="0.25">
      <c r="B15" s="98">
        <v>11</v>
      </c>
      <c r="C15" s="101">
        <v>2799701</v>
      </c>
      <c r="D15" s="99" t="s">
        <v>101</v>
      </c>
      <c r="E15" s="103" t="s">
        <v>85</v>
      </c>
      <c r="F15" s="98">
        <v>0</v>
      </c>
      <c r="G15" s="98">
        <v>1</v>
      </c>
      <c r="H15" s="101">
        <v>53121503</v>
      </c>
      <c r="I15" s="98">
        <v>1082376</v>
      </c>
      <c r="J15" s="98" t="s">
        <v>86</v>
      </c>
    </row>
    <row r="16" spans="2:10" ht="38.25" x14ac:dyDescent="0.25">
      <c r="B16" s="104">
        <v>12</v>
      </c>
      <c r="C16" s="101">
        <v>2732099</v>
      </c>
      <c r="D16" s="99" t="s">
        <v>102</v>
      </c>
      <c r="E16" s="103" t="s">
        <v>85</v>
      </c>
      <c r="F16" s="101">
        <v>0</v>
      </c>
      <c r="G16" s="101">
        <v>1</v>
      </c>
      <c r="H16" s="101">
        <v>53102513</v>
      </c>
      <c r="I16" s="101">
        <v>1893958</v>
      </c>
      <c r="J16" s="101" t="s">
        <v>86</v>
      </c>
    </row>
    <row r="17" spans="2:10" x14ac:dyDescent="0.25">
      <c r="B17" s="105"/>
      <c r="C17" s="105"/>
      <c r="D17" s="106"/>
      <c r="E17" s="107"/>
      <c r="F17" s="105"/>
      <c r="G17" s="105"/>
      <c r="H17" s="105"/>
      <c r="I17" s="105"/>
      <c r="J17" s="105"/>
    </row>
    <row r="18" spans="2:10" x14ac:dyDescent="0.25">
      <c r="B18" s="168" t="s">
        <v>78</v>
      </c>
      <c r="C18" s="168"/>
      <c r="D18" s="168"/>
      <c r="E18" s="168"/>
      <c r="F18" s="168" t="s">
        <v>79</v>
      </c>
      <c r="G18" s="168"/>
      <c r="H18" s="168"/>
      <c r="I18" s="168"/>
      <c r="J18" s="168"/>
    </row>
    <row r="19" spans="2:10" x14ac:dyDescent="0.25">
      <c r="B19" s="168" t="s">
        <v>57</v>
      </c>
      <c r="C19" s="168"/>
      <c r="D19" s="168"/>
      <c r="E19" s="168"/>
      <c r="F19" s="168" t="s">
        <v>58</v>
      </c>
      <c r="G19" s="168"/>
      <c r="H19" s="168"/>
      <c r="I19" s="168"/>
      <c r="J19" s="168"/>
    </row>
    <row r="20" spans="2:10" ht="38.25" x14ac:dyDescent="0.25">
      <c r="B20" s="96" t="s">
        <v>2</v>
      </c>
      <c r="C20" s="96" t="s">
        <v>3</v>
      </c>
      <c r="D20" s="97" t="s">
        <v>80</v>
      </c>
      <c r="E20" s="96" t="s">
        <v>1</v>
      </c>
      <c r="F20" s="86" t="s">
        <v>25</v>
      </c>
      <c r="G20" s="96" t="s">
        <v>26</v>
      </c>
      <c r="H20" s="96" t="s">
        <v>81</v>
      </c>
      <c r="I20" s="96" t="s">
        <v>82</v>
      </c>
      <c r="J20" s="96" t="s">
        <v>83</v>
      </c>
    </row>
    <row r="21" spans="2:10" ht="153" x14ac:dyDescent="0.25">
      <c r="B21" s="98">
        <v>13</v>
      </c>
      <c r="C21" s="101">
        <v>2821001</v>
      </c>
      <c r="D21" s="108" t="s">
        <v>103</v>
      </c>
      <c r="E21" s="100" t="s">
        <v>97</v>
      </c>
      <c r="F21" s="101">
        <v>0</v>
      </c>
      <c r="G21" s="101">
        <v>1</v>
      </c>
      <c r="H21" s="98">
        <v>53102402</v>
      </c>
      <c r="I21" s="101">
        <v>1495276</v>
      </c>
      <c r="J21" s="101" t="s">
        <v>86</v>
      </c>
    </row>
    <row r="22" spans="2:10" ht="51" x14ac:dyDescent="0.25">
      <c r="B22" s="98">
        <v>14</v>
      </c>
      <c r="C22" s="101">
        <v>2823601</v>
      </c>
      <c r="D22" s="108" t="s">
        <v>104</v>
      </c>
      <c r="E22" s="102" t="s">
        <v>85</v>
      </c>
      <c r="F22" s="98">
        <v>0</v>
      </c>
      <c r="G22" s="98">
        <v>1</v>
      </c>
      <c r="H22" s="98">
        <v>53102700</v>
      </c>
      <c r="I22" s="98">
        <v>1329412</v>
      </c>
      <c r="J22" s="98" t="s">
        <v>86</v>
      </c>
    </row>
    <row r="23" spans="2:10" ht="114.75" x14ac:dyDescent="0.25">
      <c r="B23" s="98">
        <v>15</v>
      </c>
      <c r="C23" s="101">
        <v>2819003</v>
      </c>
      <c r="D23" s="108" t="s">
        <v>105</v>
      </c>
      <c r="E23" s="102" t="s">
        <v>97</v>
      </c>
      <c r="F23" s="101">
        <v>0</v>
      </c>
      <c r="G23" s="101">
        <v>1</v>
      </c>
      <c r="H23" s="98">
        <v>53111800</v>
      </c>
      <c r="I23" s="98">
        <v>1296725</v>
      </c>
      <c r="J23" s="101" t="s">
        <v>86</v>
      </c>
    </row>
    <row r="24" spans="2:10" ht="51" x14ac:dyDescent="0.25">
      <c r="B24" s="104">
        <v>16</v>
      </c>
      <c r="C24" s="101">
        <v>2823603</v>
      </c>
      <c r="D24" s="108" t="s">
        <v>106</v>
      </c>
      <c r="E24" s="102" t="s">
        <v>85</v>
      </c>
      <c r="F24" s="98">
        <v>0</v>
      </c>
      <c r="G24" s="98">
        <v>1</v>
      </c>
      <c r="H24" s="98">
        <v>53101500</v>
      </c>
      <c r="I24" s="98">
        <v>1893955</v>
      </c>
      <c r="J24" s="98" t="s">
        <v>86</v>
      </c>
    </row>
    <row r="25" spans="2:10" ht="38.25" x14ac:dyDescent="0.25">
      <c r="B25" s="104">
        <v>17</v>
      </c>
      <c r="C25" s="101">
        <v>2822401</v>
      </c>
      <c r="D25" s="108" t="s">
        <v>107</v>
      </c>
      <c r="E25" s="100" t="s">
        <v>85</v>
      </c>
      <c r="F25" s="101">
        <v>0</v>
      </c>
      <c r="G25" s="101">
        <v>1</v>
      </c>
      <c r="H25" s="98">
        <v>53102300</v>
      </c>
      <c r="I25" s="101">
        <v>1702099</v>
      </c>
      <c r="J25" s="101" t="s">
        <v>86</v>
      </c>
    </row>
    <row r="26" spans="2:10" x14ac:dyDescent="0.25">
      <c r="B26" s="105"/>
      <c r="C26" s="105"/>
      <c r="D26" s="106"/>
      <c r="E26" s="107"/>
      <c r="F26" s="105"/>
      <c r="G26" s="105"/>
      <c r="H26" s="105"/>
      <c r="I26" s="105"/>
      <c r="J26" s="105"/>
    </row>
    <row r="27" spans="2:10" x14ac:dyDescent="0.25">
      <c r="B27" s="168" t="s">
        <v>78</v>
      </c>
      <c r="C27" s="168"/>
      <c r="D27" s="168"/>
      <c r="E27" s="168"/>
      <c r="F27" s="168" t="s">
        <v>79</v>
      </c>
      <c r="G27" s="168"/>
      <c r="H27" s="168"/>
      <c r="I27" s="168"/>
      <c r="J27" s="168"/>
    </row>
    <row r="28" spans="2:10" x14ac:dyDescent="0.25">
      <c r="B28" s="168" t="s">
        <v>28</v>
      </c>
      <c r="C28" s="168"/>
      <c r="D28" s="168"/>
      <c r="E28" s="168"/>
      <c r="F28" s="168" t="s">
        <v>59</v>
      </c>
      <c r="G28" s="168"/>
      <c r="H28" s="168"/>
      <c r="I28" s="168"/>
      <c r="J28" s="168"/>
    </row>
    <row r="29" spans="2:10" ht="38.25" x14ac:dyDescent="0.25">
      <c r="B29" s="96" t="s">
        <v>2</v>
      </c>
      <c r="C29" s="96" t="s">
        <v>3</v>
      </c>
      <c r="D29" s="97" t="s">
        <v>80</v>
      </c>
      <c r="E29" s="96" t="s">
        <v>1</v>
      </c>
      <c r="F29" s="86" t="s">
        <v>25</v>
      </c>
      <c r="G29" s="96" t="s">
        <v>26</v>
      </c>
      <c r="H29" s="96" t="s">
        <v>81</v>
      </c>
      <c r="I29" s="96" t="s">
        <v>82</v>
      </c>
      <c r="J29" s="96" t="s">
        <v>83</v>
      </c>
    </row>
    <row r="30" spans="2:10" ht="76.5" x14ac:dyDescent="0.25">
      <c r="B30" s="98">
        <v>18</v>
      </c>
      <c r="C30" s="98">
        <v>3270109</v>
      </c>
      <c r="D30" s="108" t="s">
        <v>108</v>
      </c>
      <c r="E30" s="100" t="s">
        <v>85</v>
      </c>
      <c r="F30" s="98">
        <v>0</v>
      </c>
      <c r="G30" s="98">
        <v>1</v>
      </c>
      <c r="H30" s="98">
        <v>14111514</v>
      </c>
      <c r="I30" s="98">
        <v>1277866</v>
      </c>
      <c r="J30" s="98" t="s">
        <v>109</v>
      </c>
    </row>
    <row r="31" spans="2:10" ht="102" x14ac:dyDescent="0.25">
      <c r="B31" s="98">
        <v>19</v>
      </c>
      <c r="C31" s="101">
        <v>3219302</v>
      </c>
      <c r="D31" s="108" t="s">
        <v>110</v>
      </c>
      <c r="E31" s="100" t="s">
        <v>85</v>
      </c>
      <c r="F31" s="101">
        <v>0</v>
      </c>
      <c r="G31" s="101">
        <v>1</v>
      </c>
      <c r="H31" s="101">
        <v>14111704</v>
      </c>
      <c r="I31" s="101">
        <v>1632379</v>
      </c>
      <c r="J31" s="101" t="s">
        <v>111</v>
      </c>
    </row>
    <row r="32" spans="2:10" ht="25.5" x14ac:dyDescent="0.25">
      <c r="B32" s="104">
        <v>20</v>
      </c>
      <c r="C32" s="101">
        <v>3219308</v>
      </c>
      <c r="D32" s="108" t="s">
        <v>112</v>
      </c>
      <c r="E32" s="102" t="s">
        <v>113</v>
      </c>
      <c r="F32" s="98">
        <v>0</v>
      </c>
      <c r="G32" s="98">
        <v>1</v>
      </c>
      <c r="H32" s="101">
        <v>52121700</v>
      </c>
      <c r="I32" s="98">
        <v>1476323</v>
      </c>
      <c r="J32" s="98" t="s">
        <v>86</v>
      </c>
    </row>
    <row r="33" spans="2:10" x14ac:dyDescent="0.25">
      <c r="B33" s="105"/>
      <c r="C33" s="105"/>
      <c r="D33" s="106"/>
      <c r="E33" s="107"/>
      <c r="F33" s="105"/>
      <c r="G33" s="105"/>
      <c r="H33" s="105"/>
      <c r="I33" s="105"/>
      <c r="J33" s="105"/>
    </row>
    <row r="34" spans="2:10" x14ac:dyDescent="0.25">
      <c r="B34" s="168" t="s">
        <v>78</v>
      </c>
      <c r="C34" s="168"/>
      <c r="D34" s="168"/>
      <c r="E34" s="168"/>
      <c r="F34" s="168" t="s">
        <v>79</v>
      </c>
      <c r="G34" s="168"/>
      <c r="H34" s="168"/>
      <c r="I34" s="168"/>
      <c r="J34" s="168"/>
    </row>
    <row r="35" spans="2:10" x14ac:dyDescent="0.25">
      <c r="B35" s="168" t="s">
        <v>39</v>
      </c>
      <c r="C35" s="168"/>
      <c r="D35" s="168"/>
      <c r="E35" s="168"/>
      <c r="F35" s="168" t="s">
        <v>40</v>
      </c>
      <c r="G35" s="168"/>
      <c r="H35" s="168"/>
      <c r="I35" s="168"/>
      <c r="J35" s="168"/>
    </row>
    <row r="36" spans="2:10" ht="38.25" x14ac:dyDescent="0.25">
      <c r="B36" s="96" t="s">
        <v>2</v>
      </c>
      <c r="C36" s="96" t="s">
        <v>3</v>
      </c>
      <c r="D36" s="97" t="s">
        <v>80</v>
      </c>
      <c r="E36" s="96" t="s">
        <v>1</v>
      </c>
      <c r="F36" s="86" t="s">
        <v>25</v>
      </c>
      <c r="G36" s="96" t="s">
        <v>26</v>
      </c>
      <c r="H36" s="96" t="s">
        <v>81</v>
      </c>
      <c r="I36" s="96" t="s">
        <v>82</v>
      </c>
      <c r="J36" s="96" t="s">
        <v>83</v>
      </c>
    </row>
    <row r="37" spans="2:10" ht="38.25" x14ac:dyDescent="0.25">
      <c r="B37" s="98">
        <v>21</v>
      </c>
      <c r="C37" s="98">
        <v>3533301</v>
      </c>
      <c r="D37" s="108" t="s">
        <v>114</v>
      </c>
      <c r="E37" s="100" t="s">
        <v>85</v>
      </c>
      <c r="F37" s="98">
        <v>0</v>
      </c>
      <c r="G37" s="98">
        <v>1</v>
      </c>
      <c r="H37" s="98">
        <v>47131809</v>
      </c>
      <c r="I37" s="98">
        <v>1048274</v>
      </c>
      <c r="J37" s="98" t="s">
        <v>86</v>
      </c>
    </row>
    <row r="38" spans="2:10" ht="38.25" x14ac:dyDescent="0.25">
      <c r="B38" s="98">
        <v>22</v>
      </c>
      <c r="C38" s="101">
        <v>3532315</v>
      </c>
      <c r="D38" s="108" t="s">
        <v>115</v>
      </c>
      <c r="E38" s="100" t="s">
        <v>85</v>
      </c>
      <c r="F38" s="101">
        <v>0</v>
      </c>
      <c r="G38" s="101">
        <v>1</v>
      </c>
      <c r="H38" s="101">
        <v>53131614</v>
      </c>
      <c r="I38" s="101">
        <v>1291103</v>
      </c>
      <c r="J38" s="101" t="s">
        <v>116</v>
      </c>
    </row>
    <row r="39" spans="2:10" ht="38.25" x14ac:dyDescent="0.25">
      <c r="B39" s="98">
        <v>23</v>
      </c>
      <c r="C39" s="101">
        <v>3532308</v>
      </c>
      <c r="D39" s="108" t="s">
        <v>117</v>
      </c>
      <c r="E39" s="102" t="s">
        <v>85</v>
      </c>
      <c r="F39" s="98">
        <v>0</v>
      </c>
      <c r="G39" s="98">
        <v>1</v>
      </c>
      <c r="H39" s="101">
        <v>53131502</v>
      </c>
      <c r="I39" s="98">
        <v>1013968</v>
      </c>
      <c r="J39" s="98" t="s">
        <v>118</v>
      </c>
    </row>
    <row r="40" spans="2:10" ht="51" x14ac:dyDescent="0.25">
      <c r="B40" s="98">
        <v>24</v>
      </c>
      <c r="C40" s="101">
        <v>3532324</v>
      </c>
      <c r="D40" s="108" t="s">
        <v>119</v>
      </c>
      <c r="E40" s="102" t="s">
        <v>85</v>
      </c>
      <c r="F40" s="101">
        <v>0</v>
      </c>
      <c r="G40" s="101">
        <v>1</v>
      </c>
      <c r="H40" s="101">
        <v>53131606</v>
      </c>
      <c r="I40" s="101">
        <v>1013944</v>
      </c>
      <c r="J40" s="101" t="s">
        <v>120</v>
      </c>
    </row>
    <row r="41" spans="2:10" ht="38.25" x14ac:dyDescent="0.25">
      <c r="B41" s="104">
        <v>25</v>
      </c>
      <c r="C41" s="101">
        <v>3532324</v>
      </c>
      <c r="D41" s="108" t="s">
        <v>121</v>
      </c>
      <c r="E41" s="102" t="s">
        <v>85</v>
      </c>
      <c r="F41" s="98">
        <v>0</v>
      </c>
      <c r="G41" s="98">
        <v>1</v>
      </c>
      <c r="H41" s="101">
        <v>53131606</v>
      </c>
      <c r="I41" s="98">
        <v>1476318</v>
      </c>
      <c r="J41" s="98" t="s">
        <v>120</v>
      </c>
    </row>
    <row r="42" spans="2:10" ht="38.25" x14ac:dyDescent="0.25">
      <c r="B42" s="98">
        <v>26</v>
      </c>
      <c r="C42" s="101">
        <v>3532105</v>
      </c>
      <c r="D42" s="108" t="s">
        <v>122</v>
      </c>
      <c r="E42" s="100" t="s">
        <v>85</v>
      </c>
      <c r="F42" s="101">
        <v>0</v>
      </c>
      <c r="G42" s="101">
        <v>1</v>
      </c>
      <c r="H42" s="101">
        <v>53131608</v>
      </c>
      <c r="I42" s="101">
        <v>1013955</v>
      </c>
      <c r="J42" s="101" t="s">
        <v>123</v>
      </c>
    </row>
    <row r="43" spans="2:10" ht="38.25" x14ac:dyDescent="0.25">
      <c r="B43" s="98">
        <v>27</v>
      </c>
      <c r="C43" s="101">
        <v>3532101</v>
      </c>
      <c r="D43" s="108" t="s">
        <v>124</v>
      </c>
      <c r="E43" s="103" t="s">
        <v>85</v>
      </c>
      <c r="F43" s="98">
        <v>0</v>
      </c>
      <c r="G43" s="98">
        <v>1</v>
      </c>
      <c r="H43" s="101">
        <v>47131811</v>
      </c>
      <c r="I43" s="98">
        <v>1298675</v>
      </c>
      <c r="J43" s="98" t="s">
        <v>125</v>
      </c>
    </row>
    <row r="44" spans="2:10" x14ac:dyDescent="0.25">
      <c r="B44" s="105"/>
      <c r="C44" s="105"/>
      <c r="D44" s="106"/>
      <c r="E44" s="107"/>
      <c r="F44" s="105"/>
      <c r="G44" s="105"/>
      <c r="H44" s="105"/>
      <c r="I44" s="105"/>
      <c r="J44" s="105"/>
    </row>
    <row r="45" spans="2:10" x14ac:dyDescent="0.25">
      <c r="B45" s="168" t="s">
        <v>78</v>
      </c>
      <c r="C45" s="168"/>
      <c r="D45" s="168"/>
      <c r="E45" s="168"/>
      <c r="F45" s="168" t="s">
        <v>79</v>
      </c>
      <c r="G45" s="168"/>
      <c r="H45" s="168"/>
      <c r="I45" s="168"/>
      <c r="J45" s="168"/>
    </row>
    <row r="46" spans="2:10" x14ac:dyDescent="0.25">
      <c r="B46" s="168" t="s">
        <v>41</v>
      </c>
      <c r="C46" s="168"/>
      <c r="D46" s="168"/>
      <c r="E46" s="168"/>
      <c r="F46" s="168" t="s">
        <v>42</v>
      </c>
      <c r="G46" s="168"/>
      <c r="H46" s="168"/>
      <c r="I46" s="168"/>
      <c r="J46" s="168"/>
    </row>
    <row r="47" spans="2:10" ht="38.25" x14ac:dyDescent="0.25">
      <c r="B47" s="96" t="s">
        <v>2</v>
      </c>
      <c r="C47" s="96" t="s">
        <v>3</v>
      </c>
      <c r="D47" s="97" t="s">
        <v>80</v>
      </c>
      <c r="E47" s="96" t="s">
        <v>1</v>
      </c>
      <c r="F47" s="86" t="s">
        <v>25</v>
      </c>
      <c r="G47" s="96" t="s">
        <v>26</v>
      </c>
      <c r="H47" s="96" t="s">
        <v>81</v>
      </c>
      <c r="I47" s="96" t="s">
        <v>82</v>
      </c>
      <c r="J47" s="96" t="s">
        <v>83</v>
      </c>
    </row>
    <row r="48" spans="2:10" ht="89.25" x14ac:dyDescent="0.25">
      <c r="B48" s="98">
        <v>28</v>
      </c>
      <c r="C48" s="98">
        <v>3699056</v>
      </c>
      <c r="D48" s="108" t="s">
        <v>126</v>
      </c>
      <c r="E48" s="100" t="s">
        <v>85</v>
      </c>
      <c r="F48" s="98">
        <v>0</v>
      </c>
      <c r="G48" s="98">
        <v>1</v>
      </c>
      <c r="H48" s="98">
        <v>46181902</v>
      </c>
      <c r="I48" s="98">
        <v>1447319</v>
      </c>
      <c r="J48" s="98" t="s">
        <v>127</v>
      </c>
    </row>
    <row r="49" spans="2:10" ht="51" x14ac:dyDescent="0.25">
      <c r="B49" s="98">
        <v>29</v>
      </c>
      <c r="C49" s="101">
        <v>3694006</v>
      </c>
      <c r="D49" s="108" t="s">
        <v>128</v>
      </c>
      <c r="E49" s="100" t="s">
        <v>85</v>
      </c>
      <c r="F49" s="101">
        <v>0</v>
      </c>
      <c r="G49" s="101">
        <v>1</v>
      </c>
      <c r="H49" s="101">
        <v>30181601</v>
      </c>
      <c r="I49" s="101">
        <v>1082381</v>
      </c>
      <c r="J49" s="101" t="s">
        <v>129</v>
      </c>
    </row>
    <row r="50" spans="2:10" ht="38.25" x14ac:dyDescent="0.25">
      <c r="B50" s="98">
        <v>30</v>
      </c>
      <c r="C50" s="101">
        <v>3649006</v>
      </c>
      <c r="D50" s="108" t="s">
        <v>130</v>
      </c>
      <c r="E50" s="102" t="s">
        <v>85</v>
      </c>
      <c r="F50" s="98">
        <v>0</v>
      </c>
      <c r="G50" s="98">
        <v>1</v>
      </c>
      <c r="H50" s="101">
        <v>53121800</v>
      </c>
      <c r="I50" s="98">
        <v>1330024</v>
      </c>
      <c r="J50" s="98" t="s">
        <v>131</v>
      </c>
    </row>
    <row r="51" spans="2:10" x14ac:dyDescent="0.25">
      <c r="B51" s="105"/>
      <c r="C51" s="105"/>
      <c r="D51" s="106"/>
      <c r="E51" s="107"/>
      <c r="F51" s="105"/>
      <c r="G51" s="105"/>
      <c r="H51" s="105"/>
      <c r="I51" s="105"/>
      <c r="J51" s="105"/>
    </row>
    <row r="52" spans="2:10" x14ac:dyDescent="0.25">
      <c r="B52" s="168" t="s">
        <v>78</v>
      </c>
      <c r="C52" s="168"/>
      <c r="D52" s="168"/>
      <c r="E52" s="168"/>
      <c r="F52" s="168" t="s">
        <v>79</v>
      </c>
      <c r="G52" s="168"/>
      <c r="H52" s="168"/>
      <c r="I52" s="168"/>
      <c r="J52" s="168"/>
    </row>
    <row r="53" spans="2:10" x14ac:dyDescent="0.25">
      <c r="B53" s="168" t="s">
        <v>43</v>
      </c>
      <c r="C53" s="168"/>
      <c r="D53" s="168"/>
      <c r="E53" s="168"/>
      <c r="F53" s="168" t="s">
        <v>44</v>
      </c>
      <c r="G53" s="168"/>
      <c r="H53" s="168"/>
      <c r="I53" s="168"/>
      <c r="J53" s="168"/>
    </row>
    <row r="54" spans="2:10" ht="38.25" x14ac:dyDescent="0.25">
      <c r="B54" s="96" t="s">
        <v>2</v>
      </c>
      <c r="C54" s="96" t="s">
        <v>3</v>
      </c>
      <c r="D54" s="97" t="s">
        <v>80</v>
      </c>
      <c r="E54" s="96" t="s">
        <v>1</v>
      </c>
      <c r="F54" s="86" t="s">
        <v>25</v>
      </c>
      <c r="G54" s="96" t="s">
        <v>26</v>
      </c>
      <c r="H54" s="96" t="s">
        <v>81</v>
      </c>
      <c r="I54" s="96" t="s">
        <v>82</v>
      </c>
      <c r="J54" s="96" t="s">
        <v>83</v>
      </c>
    </row>
    <row r="55" spans="2:10" ht="102" x14ac:dyDescent="0.25">
      <c r="B55" s="98">
        <v>31</v>
      </c>
      <c r="C55" s="98">
        <v>3899307</v>
      </c>
      <c r="D55" s="108" t="s">
        <v>132</v>
      </c>
      <c r="E55" s="100" t="s">
        <v>85</v>
      </c>
      <c r="F55" s="98">
        <v>0</v>
      </c>
      <c r="G55" s="98">
        <v>1</v>
      </c>
      <c r="H55" s="98">
        <v>53131503</v>
      </c>
      <c r="I55" s="98">
        <v>1349993</v>
      </c>
      <c r="J55" s="98" t="s">
        <v>133</v>
      </c>
    </row>
    <row r="56" spans="2:10" ht="51" x14ac:dyDescent="0.25">
      <c r="B56" s="98">
        <v>32</v>
      </c>
      <c r="C56" s="101">
        <v>3899402</v>
      </c>
      <c r="D56" s="108" t="s">
        <v>134</v>
      </c>
      <c r="E56" s="100" t="s">
        <v>85</v>
      </c>
      <c r="F56" s="101">
        <v>0</v>
      </c>
      <c r="G56" s="101">
        <v>1</v>
      </c>
      <c r="H56" s="101">
        <v>53131604</v>
      </c>
      <c r="I56" s="101">
        <v>1082385</v>
      </c>
      <c r="J56" s="101" t="s">
        <v>135</v>
      </c>
    </row>
    <row r="57" spans="2:10" ht="76.5" x14ac:dyDescent="0.25">
      <c r="B57" s="98">
        <v>33</v>
      </c>
      <c r="C57" s="101">
        <v>3899306</v>
      </c>
      <c r="D57" s="108" t="s">
        <v>136</v>
      </c>
      <c r="E57" s="100" t="s">
        <v>85</v>
      </c>
      <c r="F57" s="98">
        <v>0</v>
      </c>
      <c r="G57" s="98">
        <v>1</v>
      </c>
      <c r="H57" s="101">
        <v>27113000</v>
      </c>
      <c r="I57" s="98">
        <v>1017232</v>
      </c>
      <c r="J57" s="98" t="s">
        <v>137</v>
      </c>
    </row>
    <row r="58" spans="2:10" ht="51" x14ac:dyDescent="0.25">
      <c r="B58" s="98">
        <v>34</v>
      </c>
      <c r="C58" s="101">
        <v>3891103</v>
      </c>
      <c r="D58" s="108" t="s">
        <v>138</v>
      </c>
      <c r="E58" s="100" t="s">
        <v>85</v>
      </c>
      <c r="F58" s="101">
        <v>0</v>
      </c>
      <c r="G58" s="101">
        <v>1</v>
      </c>
      <c r="H58" s="101">
        <v>44121701</v>
      </c>
      <c r="I58" s="101">
        <v>1749319</v>
      </c>
      <c r="J58" s="101" t="s">
        <v>86</v>
      </c>
    </row>
    <row r="59" spans="2:10" x14ac:dyDescent="0.25">
      <c r="B59" s="107"/>
      <c r="C59" s="105"/>
      <c r="D59" s="106"/>
      <c r="E59" s="109"/>
      <c r="F59" s="105"/>
      <c r="G59" s="105"/>
      <c r="H59" s="105"/>
      <c r="I59" s="105"/>
      <c r="J59" s="105"/>
    </row>
    <row r="60" spans="2:10" x14ac:dyDescent="0.25">
      <c r="B60" s="168" t="s">
        <v>78</v>
      </c>
      <c r="C60" s="168"/>
      <c r="D60" s="168"/>
      <c r="E60" s="168"/>
      <c r="F60" s="168" t="s">
        <v>79</v>
      </c>
      <c r="G60" s="168"/>
      <c r="H60" s="168"/>
      <c r="I60" s="168"/>
      <c r="J60" s="168"/>
    </row>
    <row r="61" spans="2:10" x14ac:dyDescent="0.25">
      <c r="B61" s="168" t="s">
        <v>60</v>
      </c>
      <c r="C61" s="168"/>
      <c r="D61" s="168"/>
      <c r="E61" s="168"/>
      <c r="F61" s="168" t="s">
        <v>61</v>
      </c>
      <c r="G61" s="168"/>
      <c r="H61" s="168"/>
      <c r="I61" s="168"/>
      <c r="J61" s="168"/>
    </row>
    <row r="62" spans="2:10" ht="38.25" x14ac:dyDescent="0.25">
      <c r="B62" s="96" t="s">
        <v>2</v>
      </c>
      <c r="C62" s="96" t="s">
        <v>3</v>
      </c>
      <c r="D62" s="97" t="s">
        <v>80</v>
      </c>
      <c r="E62" s="96" t="s">
        <v>1</v>
      </c>
      <c r="F62" s="86" t="s">
        <v>25</v>
      </c>
      <c r="G62" s="96" t="s">
        <v>26</v>
      </c>
      <c r="H62" s="96" t="s">
        <v>81</v>
      </c>
      <c r="I62" s="96" t="s">
        <v>82</v>
      </c>
      <c r="J62" s="96" t="s">
        <v>83</v>
      </c>
    </row>
    <row r="63" spans="2:10" ht="51" x14ac:dyDescent="0.25">
      <c r="B63" s="98">
        <v>35</v>
      </c>
      <c r="C63" s="98">
        <v>4291403</v>
      </c>
      <c r="D63" s="108" t="s">
        <v>139</v>
      </c>
      <c r="E63" s="100" t="s">
        <v>85</v>
      </c>
      <c r="F63" s="98">
        <v>0</v>
      </c>
      <c r="G63" s="98">
        <v>1</v>
      </c>
      <c r="H63" s="98">
        <v>53131603</v>
      </c>
      <c r="I63" s="98">
        <v>1266905</v>
      </c>
      <c r="J63" s="98" t="s">
        <v>86</v>
      </c>
    </row>
    <row r="64" spans="2:10" ht="38.25" x14ac:dyDescent="0.25">
      <c r="B64" s="98">
        <v>36</v>
      </c>
      <c r="C64" s="101">
        <v>4299206</v>
      </c>
      <c r="D64" s="108" t="s">
        <v>140</v>
      </c>
      <c r="E64" s="100" t="s">
        <v>85</v>
      </c>
      <c r="F64" s="101">
        <v>0</v>
      </c>
      <c r="G64" s="101">
        <v>1</v>
      </c>
      <c r="H64" s="101">
        <v>46171501</v>
      </c>
      <c r="I64" s="101">
        <v>1448704</v>
      </c>
      <c r="J64" s="101" t="s">
        <v>141</v>
      </c>
    </row>
    <row r="65" spans="2:10" ht="38.25" x14ac:dyDescent="0.25">
      <c r="B65" s="98">
        <v>37</v>
      </c>
      <c r="C65" s="101">
        <v>4291502</v>
      </c>
      <c r="D65" s="108" t="s">
        <v>142</v>
      </c>
      <c r="E65" s="100" t="s">
        <v>85</v>
      </c>
      <c r="F65" s="98">
        <v>0</v>
      </c>
      <c r="G65" s="98">
        <v>1</v>
      </c>
      <c r="H65" s="101">
        <v>53131621</v>
      </c>
      <c r="I65" s="98">
        <v>1315903</v>
      </c>
      <c r="J65" s="98" t="s">
        <v>143</v>
      </c>
    </row>
    <row r="66" spans="2:10" ht="102" x14ac:dyDescent="0.25">
      <c r="B66" s="98">
        <v>38</v>
      </c>
      <c r="C66" s="101">
        <v>4299904</v>
      </c>
      <c r="D66" s="108" t="s">
        <v>144</v>
      </c>
      <c r="E66" s="100" t="s">
        <v>92</v>
      </c>
      <c r="F66" s="101">
        <v>0</v>
      </c>
      <c r="G66" s="101">
        <v>1</v>
      </c>
      <c r="H66" s="101">
        <v>60101717</v>
      </c>
      <c r="I66" s="101">
        <v>1108870</v>
      </c>
      <c r="J66" s="101" t="s">
        <v>145</v>
      </c>
    </row>
  </sheetData>
  <mergeCells count="28">
    <mergeCell ref="F18:J18"/>
    <mergeCell ref="B19:E19"/>
    <mergeCell ref="F19:J19"/>
    <mergeCell ref="B18:E18"/>
    <mergeCell ref="B2:E2"/>
    <mergeCell ref="F2:J2"/>
    <mergeCell ref="B3:E3"/>
    <mergeCell ref="F3:J3"/>
    <mergeCell ref="B34:E34"/>
    <mergeCell ref="F34:J34"/>
    <mergeCell ref="B27:E27"/>
    <mergeCell ref="F27:J27"/>
    <mergeCell ref="B28:E28"/>
    <mergeCell ref="F28:J28"/>
    <mergeCell ref="B46:E46"/>
    <mergeCell ref="F46:J46"/>
    <mergeCell ref="B45:E45"/>
    <mergeCell ref="F45:J45"/>
    <mergeCell ref="B35:E35"/>
    <mergeCell ref="F35:J35"/>
    <mergeCell ref="B60:E60"/>
    <mergeCell ref="F60:J60"/>
    <mergeCell ref="B61:E61"/>
    <mergeCell ref="F61:J61"/>
    <mergeCell ref="B52:E52"/>
    <mergeCell ref="F52:J52"/>
    <mergeCell ref="B53:E53"/>
    <mergeCell ref="F53:J53"/>
  </mergeCells>
  <conditionalFormatting sqref="D5">
    <cfRule type="duplicateValues" dxfId="22" priority="4"/>
    <cfRule type="duplicateValues" dxfId="21" priority="5"/>
  </conditionalFormatting>
  <conditionalFormatting sqref="D6:D16">
    <cfRule type="duplicateValues" dxfId="20" priority="2"/>
    <cfRule type="duplicateValues" dxfId="19" priority="3"/>
  </conditionalFormatting>
  <conditionalFormatting sqref="I5:I16">
    <cfRule type="duplicateValues" dxfId="18" priority="6"/>
  </conditionalFormatting>
  <conditionalFormatting sqref="I21:I25">
    <cfRule type="duplicateValues" dxfId="17" priority="7"/>
  </conditionalFormatting>
  <conditionalFormatting sqref="I30:I32">
    <cfRule type="duplicateValues" dxfId="16" priority="8"/>
  </conditionalFormatting>
  <conditionalFormatting sqref="I55:I59">
    <cfRule type="duplicateValues" dxfId="15" priority="9"/>
  </conditionalFormatting>
  <conditionalFormatting sqref="I63:I66">
    <cfRule type="duplicateValues" dxfId="1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DV92"/>
  <sheetViews>
    <sheetView zoomScale="85" zoomScaleNormal="85" workbookViewId="0">
      <selection activeCell="D6" sqref="D6"/>
    </sheetView>
  </sheetViews>
  <sheetFormatPr baseColWidth="10" defaultRowHeight="15" x14ac:dyDescent="0.25"/>
  <cols>
    <col min="2" max="2" width="22.28515625" style="40" bestFit="1" customWidth="1"/>
    <col min="3" max="3" width="11.7109375" style="40" customWidth="1"/>
    <col min="4" max="4" width="34.140625" style="40" customWidth="1"/>
    <col min="5" max="5" width="20.140625" style="40" customWidth="1"/>
    <col min="6" max="7" width="20.140625" customWidth="1"/>
  </cols>
  <sheetData>
    <row r="2" spans="2:7" ht="25.5" x14ac:dyDescent="0.25">
      <c r="B2" s="43" t="s">
        <v>11</v>
      </c>
      <c r="C2" s="43" t="s">
        <v>5</v>
      </c>
      <c r="D2" s="43" t="s">
        <v>6</v>
      </c>
      <c r="E2" s="43" t="s">
        <v>8</v>
      </c>
      <c r="F2" s="43" t="s">
        <v>9</v>
      </c>
      <c r="G2" s="43" t="s">
        <v>10</v>
      </c>
    </row>
    <row r="3" spans="2:7" s="1" customFormat="1" ht="25.5" x14ac:dyDescent="0.25">
      <c r="B3" s="39" t="str">
        <f>PRESUPUESTO!B51</f>
        <v>A-02-02-01-002-007</v>
      </c>
      <c r="C3" s="39">
        <f>PRESUPUESTO!C51</f>
        <v>10</v>
      </c>
      <c r="D3" s="39" t="str">
        <f>PRESUPUESTO!D51</f>
        <v>ARTÍCULOS TEXTILES (EXCEPTO PRENDAS DE VESTIR)</v>
      </c>
      <c r="E3" s="41">
        <f>PRESUPUESTO!G66</f>
        <v>149264457.99999997</v>
      </c>
      <c r="F3" s="41">
        <f>PRESUPUESTO!H66</f>
        <v>0</v>
      </c>
      <c r="G3" s="41">
        <f>PRESUPUESTO!I66</f>
        <v>0</v>
      </c>
    </row>
    <row r="4" spans="2:7" ht="25.5" x14ac:dyDescent="0.25">
      <c r="B4" s="39" t="str">
        <f>PRESUPUESTO!B69</f>
        <v>A-02-02-01-002-008</v>
      </c>
      <c r="C4" s="39">
        <f>PRESUPUESTO!C69</f>
        <v>10</v>
      </c>
      <c r="D4" s="39" t="str">
        <f>PRESUPUESTO!D69</f>
        <v>DOTACIÓN (PRENDAS DE VESTIR Y CALZADO)</v>
      </c>
      <c r="E4" s="41">
        <f>PRESUPUESTO!G84</f>
        <v>110172405.99999999</v>
      </c>
      <c r="F4" s="41">
        <f>PRESUPUESTO!H84</f>
        <v>0</v>
      </c>
      <c r="G4" s="41">
        <f>PRESUPUESTO!I84</f>
        <v>0</v>
      </c>
    </row>
    <row r="5" spans="2:7" ht="38.25" x14ac:dyDescent="0.25">
      <c r="B5" s="39" t="str">
        <f>PRESUPUESTO!B87</f>
        <v>A-02-02-01-003-002</v>
      </c>
      <c r="C5" s="39">
        <f>PRESUPUESTO!C87</f>
        <v>10</v>
      </c>
      <c r="D5" s="39" t="str">
        <f>PRESUPUESTO!D87</f>
        <v>PASTA O PULPA, PAPEL Y PRODUCTOS DE PAPEL; IMPRESOS Y ARTÍCULOS SIMILARES</v>
      </c>
      <c r="E5" s="41">
        <f>PRESUPUESTO!G102</f>
        <v>17181908</v>
      </c>
      <c r="F5" s="41">
        <f>PRESUPUESTO!H102</f>
        <v>0</v>
      </c>
      <c r="G5" s="41">
        <f>PRESUPUESTO!I102</f>
        <v>0</v>
      </c>
    </row>
    <row r="6" spans="2:7" ht="38.25" x14ac:dyDescent="0.25">
      <c r="B6" s="39" t="str">
        <f>PRESUPUESTO!B105</f>
        <v>A-02-02-01-003-005</v>
      </c>
      <c r="C6" s="39">
        <f>PRESUPUESTO!C105</f>
        <v>10</v>
      </c>
      <c r="D6" s="39" t="str">
        <f>PRESUPUESTO!D105</f>
        <v>OTROS PRODUCTOS QUÍMICOS; FIBRAS ARTIFICIALES (O FIBRAS INDUSTRIALES HECHAS POR EL HOMBRE)</v>
      </c>
      <c r="E6" s="41">
        <f>PRESUPUESTO!G120</f>
        <v>76633232</v>
      </c>
      <c r="F6" s="41">
        <f>PRESUPUESTO!H120</f>
        <v>0</v>
      </c>
      <c r="G6" s="41">
        <f>PRESUPUESTO!I120</f>
        <v>0</v>
      </c>
    </row>
    <row r="7" spans="2:7" x14ac:dyDescent="0.25">
      <c r="B7" s="39" t="str">
        <f>PRESUPUESTO!B123</f>
        <v>A-02-02-01-003-006</v>
      </c>
      <c r="C7" s="39">
        <f>PRESUPUESTO!C123</f>
        <v>10</v>
      </c>
      <c r="D7" s="39" t="str">
        <f>PRESUPUESTO!D123</f>
        <v>PRODUCTOS DE CAUCHO Y PLÁSTICO</v>
      </c>
      <c r="E7" s="41">
        <f>PRESUPUESTO!G138</f>
        <v>10678303.999999998</v>
      </c>
      <c r="F7" s="41">
        <f>PRESUPUESTO!H138</f>
        <v>0</v>
      </c>
      <c r="G7" s="41">
        <f>PRESUPUESTO!I138</f>
        <v>0</v>
      </c>
    </row>
    <row r="8" spans="2:7" x14ac:dyDescent="0.25">
      <c r="B8" s="39" t="str">
        <f>PRESUPUESTO!B141</f>
        <v>A-02-02-01-003-008</v>
      </c>
      <c r="C8" s="39">
        <f>PRESUPUESTO!C141</f>
        <v>10</v>
      </c>
      <c r="D8" s="39" t="str">
        <f>PRESUPUESTO!D141</f>
        <v>OTROS BIENES TRANSPORTABLES N.C.P.</v>
      </c>
      <c r="E8" s="41">
        <f>PRESUPUESTO!G156</f>
        <v>21384272</v>
      </c>
      <c r="F8" s="41">
        <f>PRESUPUESTO!H156</f>
        <v>0</v>
      </c>
      <c r="G8" s="41">
        <f>PRESUPUESTO!I156</f>
        <v>0</v>
      </c>
    </row>
    <row r="9" spans="2:7" ht="25.5" x14ac:dyDescent="0.25">
      <c r="B9" s="39" t="str">
        <f>PRESUPUESTO!B159</f>
        <v>A-02-02-01-004-002</v>
      </c>
      <c r="C9" s="39">
        <f>PRESUPUESTO!C159</f>
        <v>10</v>
      </c>
      <c r="D9" s="39" t="str">
        <f>PRESUPUESTO!D159</f>
        <v>PRODUCTOS METÁLICOS ELABORADOS (EXCEPTO MAQUINARIA Y EQUIPO)</v>
      </c>
      <c r="E9" s="41">
        <f>PRESUPUESTO!G174</f>
        <v>51156664.000000015</v>
      </c>
      <c r="F9" s="41">
        <f>PRESUPUESTO!H174</f>
        <v>0</v>
      </c>
      <c r="G9" s="41">
        <f>PRESUPUESTO!I174</f>
        <v>0</v>
      </c>
    </row>
    <row r="10" spans="2:7" s="1" customFormat="1" x14ac:dyDescent="0.25">
      <c r="B10" s="169" t="s">
        <v>21</v>
      </c>
      <c r="C10" s="169"/>
      <c r="D10" s="169"/>
      <c r="E10" s="49">
        <f>SUM(E3:E9)</f>
        <v>436471243.99999994</v>
      </c>
      <c r="F10" s="49">
        <f t="shared" ref="F10:G10" si="0">SUM(F3:F9)</f>
        <v>0</v>
      </c>
      <c r="G10" s="49">
        <f t="shared" si="0"/>
        <v>0</v>
      </c>
    </row>
    <row r="11" spans="2:7" x14ac:dyDescent="0.25">
      <c r="B11" s="36"/>
      <c r="C11" s="37"/>
      <c r="D11" s="38"/>
    </row>
    <row r="12" spans="2:7" x14ac:dyDescent="0.25">
      <c r="B12" s="36"/>
      <c r="C12" s="37"/>
      <c r="D12" s="38"/>
    </row>
    <row r="13" spans="2:7" x14ac:dyDescent="0.25">
      <c r="B13" s="36"/>
      <c r="C13" s="37"/>
      <c r="D13" s="38"/>
    </row>
    <row r="14" spans="2:7" x14ac:dyDescent="0.25">
      <c r="B14" s="36"/>
      <c r="C14" s="37"/>
      <c r="D14" s="38"/>
    </row>
    <row r="15" spans="2:7" x14ac:dyDescent="0.25">
      <c r="B15" s="36"/>
      <c r="C15" s="37"/>
      <c r="D15" s="38"/>
    </row>
    <row r="16" spans="2:7" x14ac:dyDescent="0.25">
      <c r="B16" s="36"/>
      <c r="C16" s="37"/>
      <c r="D16" s="38"/>
    </row>
    <row r="17" spans="2:4" x14ac:dyDescent="0.25">
      <c r="B17" s="36"/>
      <c r="C17" s="37"/>
      <c r="D17" s="38"/>
    </row>
    <row r="18" spans="2:4" x14ac:dyDescent="0.25">
      <c r="B18" s="36"/>
      <c r="C18" s="37"/>
      <c r="D18" s="38"/>
    </row>
    <row r="19" spans="2:4" x14ac:dyDescent="0.25">
      <c r="B19" s="36"/>
      <c r="C19" s="37"/>
      <c r="D19" s="38"/>
    </row>
    <row r="20" spans="2:4" x14ac:dyDescent="0.25">
      <c r="B20" s="36"/>
      <c r="C20" s="37"/>
      <c r="D20" s="38"/>
    </row>
    <row r="21" spans="2:4" x14ac:dyDescent="0.25">
      <c r="B21" s="36"/>
      <c r="C21" s="37"/>
      <c r="D21" s="38"/>
    </row>
    <row r="22" spans="2:4" x14ac:dyDescent="0.25">
      <c r="B22" s="36"/>
      <c r="C22" s="37"/>
      <c r="D22" s="38"/>
    </row>
    <row r="23" spans="2:4" x14ac:dyDescent="0.25">
      <c r="B23" s="36"/>
      <c r="C23" s="37"/>
      <c r="D23" s="38"/>
    </row>
    <row r="24" spans="2:4" x14ac:dyDescent="0.25">
      <c r="B24" s="36"/>
      <c r="C24" s="37"/>
      <c r="D24" s="38"/>
    </row>
    <row r="25" spans="2:4" x14ac:dyDescent="0.25">
      <c r="B25" s="36"/>
      <c r="C25" s="37"/>
      <c r="D25" s="38"/>
    </row>
    <row r="26" spans="2:4" x14ac:dyDescent="0.25">
      <c r="B26" s="36"/>
      <c r="C26" s="37"/>
      <c r="D26" s="38"/>
    </row>
    <row r="27" spans="2:4" x14ac:dyDescent="0.25">
      <c r="B27" s="36"/>
      <c r="C27" s="37"/>
      <c r="D27" s="38"/>
    </row>
    <row r="28" spans="2:4" x14ac:dyDescent="0.25">
      <c r="B28" s="36"/>
      <c r="C28" s="37"/>
      <c r="D28" s="38"/>
    </row>
    <row r="29" spans="2:4" x14ac:dyDescent="0.25">
      <c r="B29" s="36"/>
      <c r="C29" s="37"/>
      <c r="D29" s="38"/>
    </row>
    <row r="30" spans="2:4" x14ac:dyDescent="0.25">
      <c r="B30" s="36"/>
      <c r="C30" s="37"/>
      <c r="D30" s="38"/>
    </row>
    <row r="31" spans="2:4" x14ac:dyDescent="0.25">
      <c r="B31" s="36"/>
      <c r="C31" s="37"/>
      <c r="D31" s="38"/>
    </row>
    <row r="32" spans="2:4" x14ac:dyDescent="0.25">
      <c r="B32" s="36"/>
      <c r="C32" s="37"/>
      <c r="D32" s="38"/>
    </row>
    <row r="33" spans="2:4" x14ac:dyDescent="0.25">
      <c r="B33" s="36"/>
      <c r="C33" s="37"/>
      <c r="D33" s="38"/>
    </row>
    <row r="34" spans="2:4" x14ac:dyDescent="0.25">
      <c r="B34" s="36"/>
      <c r="C34" s="37"/>
      <c r="D34" s="38"/>
    </row>
    <row r="35" spans="2:4" x14ac:dyDescent="0.25">
      <c r="B35" s="36"/>
      <c r="C35" s="37"/>
      <c r="D35" s="38"/>
    </row>
    <row r="36" spans="2:4" x14ac:dyDescent="0.25">
      <c r="B36" s="36"/>
      <c r="C36" s="37"/>
      <c r="D36" s="38"/>
    </row>
    <row r="57" spans="15:126" x14ac:dyDescent="0.25">
      <c r="O57">
        <f>SUMIFS(PRESUPUESTO!$G$87:$G$101,PRESUPUESTO!$E$87:$E$101,'CANTIDADES ADJUDICACIÓN'!AD3)</f>
        <v>451638.72457142861</v>
      </c>
      <c r="S57">
        <f>SUMIFS(PRESUPUESTO!$G$87:$G$101,PRESUPUESTO!$E$87:$E$101,'CANTIDADES ADJUDICACIÓN'!AH3)</f>
        <v>1420371.0613333334</v>
      </c>
      <c r="W57">
        <f>SUMIFS(PRESUPUESTO!$G$87:$G$101,PRESUPUESTO!$E$87:$E$101,'CANTIDADES ADJUDICACIÓN'!AL3)</f>
        <v>1826191.3645714286</v>
      </c>
      <c r="AA57">
        <f>SUMIFS(PRESUPUESTO!$G$87:$G$101,PRESUPUESTO!$E$87:$E$101,'CANTIDADES ADJUDICACIÓN'!AP3)</f>
        <v>1420371.0613333334</v>
      </c>
      <c r="AB57">
        <f>SUMIFS(PRESUPUESTO!$G$87:$G$101,PRESUPUESTO!$E$87:$E$101,'CANTIDADES ADJUDICACIÓN'!AQ3)</f>
        <v>0</v>
      </c>
      <c r="AC57">
        <f>SUMIFS(PRESUPUESTO!$G$87:$G$101,PRESUPUESTO!$E$87:$E$101,'CANTIDADES ADJUDICACIÓN'!AR3)</f>
        <v>0</v>
      </c>
      <c r="AD57">
        <f>SUMIFS(PRESUPUESTO!$G$87:$G$101,PRESUPUESTO!$E$87:$E$101,'CANTIDADES ADJUDICACIÓN'!AS3)</f>
        <v>0</v>
      </c>
      <c r="AE57">
        <f>SUMIFS(PRESUPUESTO!$G$87:$G$101,PRESUPUESTO!$E$87:$E$101,'CANTIDADES ADJUDICACIÓN'!AT3)</f>
        <v>1623281.212952381</v>
      </c>
      <c r="AI57">
        <f>SUMIFS(PRESUPUESTO!$G$87:$G$101,PRESUPUESTO!$E$87:$E$101,'CANTIDADES ADJUDICACIÓN'!AX3)</f>
        <v>1623281.212952381</v>
      </c>
      <c r="AJ57">
        <f>SUMIFS(PRESUPUESTO!$G$87:$G$101,PRESUPUESTO!$E$87:$E$101,'CANTIDADES ADJUDICACIÓN'!AY3)</f>
        <v>0</v>
      </c>
      <c r="AK57">
        <f>SUMIFS(PRESUPUESTO!$G$87:$G$101,PRESUPUESTO!$E$87:$E$101,'CANTIDADES ADJUDICACIÓN'!AZ3)</f>
        <v>0</v>
      </c>
      <c r="AL57">
        <f>SUMIFS(PRESUPUESTO!$G$87:$G$101,PRESUPUESTO!$E$87:$E$101,'CANTIDADES ADJUDICACIÓN'!BA3)</f>
        <v>0</v>
      </c>
      <c r="AM57">
        <f>SUMIFS(PRESUPUESTO!$G$87:$G$101,PRESUPUESTO!$E$87:$E$101,'CANTIDADES ADJUDICACIÓN'!BB3)</f>
        <v>1826191.3645714286</v>
      </c>
      <c r="AN57">
        <f>SUMIFS(PRESUPUESTO!$G$87:$G$101,PRESUPUESTO!$E$87:$E$101,'CANTIDADES ADJUDICACIÓN'!BC3)</f>
        <v>0</v>
      </c>
      <c r="AO57">
        <f>SUMIFS(PRESUPUESTO!$G$87:$G$101,PRESUPUESTO!$E$87:$E$101,'CANTIDADES ADJUDICACIÓN'!BD3)</f>
        <v>0</v>
      </c>
      <c r="AP57">
        <f>SUMIFS(PRESUPUESTO!$G$87:$G$101,PRESUPUESTO!$E$87:$E$101,'CANTIDADES ADJUDICACIÓN'!BE3)</f>
        <v>0</v>
      </c>
      <c r="AQ57">
        <f>SUMIFS(PRESUPUESTO!$G$87:$G$101,PRESUPUESTO!$E$87:$E$101,'CANTIDADES ADJUDICACIÓN'!BF3)</f>
        <v>818186.09523809527</v>
      </c>
      <c r="AR57">
        <f>SUMIFS(PRESUPUESTO!$G$87:$G$101,PRESUPUESTO!$E$87:$E$101,'CANTIDADES ADJUDICACIÓN'!BG3)</f>
        <v>0</v>
      </c>
      <c r="AS57">
        <f>SUMIFS(PRESUPUESTO!$G$87:$G$101,PRESUPUESTO!$E$87:$E$101,'CANTIDADES ADJUDICACIÓN'!BH3)</f>
        <v>0</v>
      </c>
      <c r="AT57">
        <f>SUMIFS(PRESUPUESTO!$G$87:$G$101,PRESUPUESTO!$E$87:$E$101,'CANTIDADES ADJUDICACIÓN'!BI3)</f>
        <v>0</v>
      </c>
      <c r="AU57">
        <f>SUMIFS(PRESUPUESTO!$G$87:$G$101,PRESUPUESTO!$E$87:$E$101,'CANTIDADES ADJUDICACIÓN'!BJ3)</f>
        <v>405820.30323809525</v>
      </c>
      <c r="AV57">
        <f>SUMIFS(PRESUPUESTO!$G$87:$G$101,PRESUPUESTO!$E$87:$E$101,'CANTIDADES ADJUDICACIÓN'!BK3)</f>
        <v>0</v>
      </c>
      <c r="AW57">
        <f>SUMIFS(PRESUPUESTO!$G$87:$G$101,PRESUPUESTO!$E$87:$E$101,'CANTIDADES ADJUDICACIÓN'!BL3)</f>
        <v>0</v>
      </c>
      <c r="AX57">
        <f>SUMIFS(PRESUPUESTO!$G$87:$G$101,PRESUPUESTO!$E$87:$E$101,'CANTIDADES ADJUDICACIÓN'!BM3)</f>
        <v>0</v>
      </c>
      <c r="AY57">
        <f>SUMIFS(PRESUPUESTO!$G$87:$G$101,PRESUPUESTO!$E$87:$E$101,'CANTIDADES ADJUDICACIÓN'!BN3)</f>
        <v>1826191.3645714286</v>
      </c>
      <c r="AZ57">
        <f>SUMIFS(PRESUPUESTO!$G$87:$G$101,PRESUPUESTO!$E$87:$E$101,'CANTIDADES ADJUDICACIÓN'!BO3)</f>
        <v>0</v>
      </c>
      <c r="BA57">
        <f>SUMIFS(PRESUPUESTO!$G$87:$G$101,PRESUPUESTO!$E$87:$E$101,'CANTIDADES ADJUDICACIÓN'!BP3)</f>
        <v>0</v>
      </c>
      <c r="BB57">
        <f>SUMIFS(PRESUPUESTO!$G$87:$G$101,PRESUPUESTO!$E$87:$E$101,'CANTIDADES ADJUDICACIÓN'!BQ3)</f>
        <v>0</v>
      </c>
      <c r="BC57">
        <f>SUMIFS(PRESUPUESTO!$G$87:$G$101,PRESUPUESTO!$E$87:$E$101,'CANTIDADES ADJUDICACIÓN'!BR3)</f>
        <v>1217460.9097142857</v>
      </c>
      <c r="BD57">
        <f>SUMIFS(PRESUPUESTO!$G$87:$G$101,PRESUPUESTO!$E$87:$E$101,'CANTIDADES ADJUDICACIÓN'!BS3)</f>
        <v>0</v>
      </c>
      <c r="BE57">
        <f>SUMIFS(PRESUPUESTO!$G$87:$G$101,PRESUPUESTO!$E$87:$E$101,'CANTIDADES ADJUDICACIÓN'!BT3)</f>
        <v>0</v>
      </c>
      <c r="BF57">
        <f>SUMIFS(PRESUPUESTO!$G$87:$G$101,PRESUPUESTO!$E$87:$E$101,'CANTIDADES ADJUDICACIÓN'!BU3)</f>
        <v>0</v>
      </c>
      <c r="BG57">
        <f>SUMIFS(PRESUPUESTO!$G$87:$G$101,PRESUPUESTO!$E$87:$E$101,'CANTIDADES ADJUDICACIÓN'!BV3)</f>
        <v>209455.64038095239</v>
      </c>
      <c r="BH57">
        <f>SUMIFS(PRESUPUESTO!$G$87:$G$101,PRESUPUESTO!$E$87:$E$101,'CANTIDADES ADJUDICACIÓN'!BW3)</f>
        <v>0</v>
      </c>
      <c r="BI57">
        <f>SUMIFS(PRESUPUESTO!$G$87:$G$101,PRESUPUESTO!$E$87:$E$101,'CANTIDADES ADJUDICACIÓN'!BX3)</f>
        <v>0</v>
      </c>
      <c r="BJ57">
        <f>SUMIFS(PRESUPUESTO!$G$87:$G$101,PRESUPUESTO!$E$87:$E$101,'CANTIDADES ADJUDICACIÓN'!BY3)</f>
        <v>0</v>
      </c>
      <c r="BK57">
        <f>SUMIFS(PRESUPUESTO!$G$87:$G$101,PRESUPUESTO!$E$87:$E$101,'CANTIDADES ADJUDICACIÓN'!BZ3)</f>
        <v>78545.865142857147</v>
      </c>
      <c r="BL57">
        <f>SUMIFS(PRESUPUESTO!$G$87:$G$101,PRESUPUESTO!$E$87:$E$101,'CANTIDADES ADJUDICACIÓN'!CA3)</f>
        <v>0</v>
      </c>
      <c r="BM57">
        <f>SUMIFS(PRESUPUESTO!$G$87:$G$101,PRESUPUESTO!$E$87:$E$101,'CANTIDADES ADJUDICACIÓN'!CB3)</f>
        <v>0</v>
      </c>
      <c r="BN57">
        <f>SUMIFS(PRESUPUESTO!$G$87:$G$101,PRESUPUESTO!$E$87:$E$101,'CANTIDADES ADJUDICACIÓN'!CC3)</f>
        <v>0</v>
      </c>
      <c r="BO57">
        <f>SUMIFS(PRESUPUESTO!$G$87:$G$101,PRESUPUESTO!$E$87:$E$101,'CANTIDADES ADJUDICACIÓN'!CD3)</f>
        <v>1217460.9097142857</v>
      </c>
      <c r="BP57">
        <f>SUMIFS(PRESUPUESTO!$G$87:$G$101,PRESUPUESTO!$E$87:$E$101,'CANTIDADES ADJUDICACIÓN'!CE3)</f>
        <v>0</v>
      </c>
      <c r="BQ57">
        <f>SUMIFS(PRESUPUESTO!$G$87:$G$101,PRESUPUESTO!$E$87:$E$101,'CANTIDADES ADJUDICACIÓN'!CF3)</f>
        <v>0</v>
      </c>
      <c r="BR57">
        <f>SUMIFS(PRESUPUESTO!$G$87:$G$101,PRESUPUESTO!$E$87:$E$101,'CANTIDADES ADJUDICACIÓN'!CG3)</f>
        <v>0</v>
      </c>
      <c r="BS57">
        <f>SUMIFS(PRESUPUESTO!$G$87:$G$101,PRESUPUESTO!$E$87:$E$101,'CANTIDADES ADJUDICACIÓN'!CH3)</f>
        <v>1217460.9097142857</v>
      </c>
      <c r="BT57">
        <f>SUMIFS(PRESUPUESTO!$G$87:$G$101,PRESUPUESTO!$E$87:$E$101,'CANTIDADES ADJUDICACIÓN'!CI3)</f>
        <v>0</v>
      </c>
      <c r="BU57">
        <f>SUMIFS(PRESUPUESTO!$G$87:$G$101,PRESUPUESTO!$E$87:$E$101,'CANTIDADES ADJUDICACIÓN'!CJ3)</f>
        <v>0</v>
      </c>
      <c r="BV57">
        <f>SUMIFS(PRESUPUESTO!$G$87:$G$101,PRESUPUESTO!$E$87:$E$101,'CANTIDADES ADJUDICACIÓN'!CK3)</f>
        <v>0</v>
      </c>
      <c r="BW57">
        <f>SUMIFS(PRESUPUESTO!$G:$G,PRESUPUESTO!$E:$E,'CANTIDADES ADJUDICACIÓN'!#REF!,PRESUPUESTO!$A:$A,1)</f>
        <v>0</v>
      </c>
      <c r="BX57">
        <f>SUMIFS(PRESUPUESTO!$G$87:$G$101,PRESUPUESTO!$E$87:$E$101,'CANTIDADES ADJUDICACIÓN'!#REF!)</f>
        <v>0</v>
      </c>
      <c r="BY57">
        <f>SUMIFS(PRESUPUESTO!$G$87:$G$101,PRESUPUESTO!$E$87:$E$101,'CANTIDADES ADJUDICACIÓN'!#REF!)</f>
        <v>0</v>
      </c>
      <c r="BZ57">
        <f>SUMIFS(PRESUPUESTO!$G$87:$G$101,PRESUPUESTO!$E$87:$E$101,'CANTIDADES ADJUDICACIÓN'!#REF!)</f>
        <v>0</v>
      </c>
      <c r="CA57">
        <f>SUMIFS(PRESUPUESTO!$G$87:$G$101,PRESUPUESTO!$E$87:$E$101,'CANTIDADES ADJUDICACIÓN'!#REF!)</f>
        <v>0</v>
      </c>
      <c r="CB57">
        <f>SUMIFS(PRESUPUESTO!$G$87:$G$101,PRESUPUESTO!$E$87:$E$101,'CANTIDADES ADJUDICACIÓN'!#REF!)</f>
        <v>0</v>
      </c>
      <c r="CC57">
        <f>SUMIFS(PRESUPUESTO!$G$87:$G$101,PRESUPUESTO!$E$87:$E$101,'CANTIDADES ADJUDICACIÓN'!#REF!)</f>
        <v>0</v>
      </c>
      <c r="CD57">
        <f>SUMIFS(PRESUPUESTO!$G$87:$G$101,PRESUPUESTO!$E$87:$E$101,'CANTIDADES ADJUDICACIÓN'!#REF!)</f>
        <v>0</v>
      </c>
      <c r="CE57">
        <f>SUMIFS(PRESUPUESTO!$G$87:$G$101,PRESUPUESTO!$E$87:$E$101,'CANTIDADES ADJUDICACIÓN'!#REF!)</f>
        <v>0</v>
      </c>
      <c r="CF57">
        <f>SUMIFS(PRESUPUESTO!$G$87:$G$101,PRESUPUESTO!$E$87:$E$101,'CANTIDADES ADJUDICACIÓN'!#REF!)</f>
        <v>0</v>
      </c>
      <c r="CG57">
        <f>SUMIFS(PRESUPUESTO!$G$87:$G$101,PRESUPUESTO!$E$87:$E$101,'CANTIDADES ADJUDICACIÓN'!#REF!)</f>
        <v>0</v>
      </c>
      <c r="CH57">
        <f>SUMIFS(PRESUPUESTO!$G$87:$G$101,PRESUPUESTO!$E$87:$E$101,'CANTIDADES ADJUDICACIÓN'!#REF!)</f>
        <v>0</v>
      </c>
      <c r="CI57">
        <f>SUMIFS(PRESUPUESTO!$G$87:$G$101,PRESUPUESTO!$E$87:$E$101,'CANTIDADES ADJUDICACIÓN'!#REF!)</f>
        <v>0</v>
      </c>
      <c r="CJ57">
        <f>SUMIFS(PRESUPUESTO!$G$87:$G$101,PRESUPUESTO!$E$87:$E$101,'CANTIDADES ADJUDICACIÓN'!#REF!)</f>
        <v>0</v>
      </c>
      <c r="CK57">
        <f>SUMIFS(PRESUPUESTO!$G$87:$G$101,PRESUPUESTO!$E$87:$E$101,'CANTIDADES ADJUDICACIÓN'!#REF!)</f>
        <v>0</v>
      </c>
      <c r="CL57">
        <f>SUMIFS(PRESUPUESTO!$G$87:$G$101,PRESUPUESTO!$E$87:$E$101,'CANTIDADES ADJUDICACIÓN'!#REF!)</f>
        <v>0</v>
      </c>
      <c r="CM57">
        <f>SUMIFS(PRESUPUESTO!$G$87:$G$101,PRESUPUESTO!$E$87:$E$101,'CANTIDADES ADJUDICACIÓN'!#REF!)</f>
        <v>0</v>
      </c>
      <c r="CN57">
        <f>SUMIFS(PRESUPUESTO!$G$87:$G$101,PRESUPUESTO!$E$87:$E$101,'CANTIDADES ADJUDICACIÓN'!#REF!)</f>
        <v>0</v>
      </c>
      <c r="CO57">
        <f>SUMIFS(PRESUPUESTO!$G$87:$G$101,PRESUPUESTO!$E$87:$E$101,'CANTIDADES ADJUDICACIÓN'!#REF!)</f>
        <v>0</v>
      </c>
      <c r="CP57">
        <f>SUMIFS(PRESUPUESTO!$G$87:$G$101,PRESUPUESTO!$E$87:$E$101,'CANTIDADES ADJUDICACIÓN'!#REF!)</f>
        <v>0</v>
      </c>
      <c r="CQ57">
        <f>SUMIFS(PRESUPUESTO!$G$87:$G$101,PRESUPUESTO!$E$87:$E$101,'CANTIDADES ADJUDICACIÓN'!#REF!)</f>
        <v>0</v>
      </c>
      <c r="CR57">
        <f>SUMIFS(PRESUPUESTO!$G$87:$G$101,PRESUPUESTO!$E$87:$E$101,'CANTIDADES ADJUDICACIÓN'!#REF!)</f>
        <v>0</v>
      </c>
      <c r="CS57">
        <f>SUMIFS(PRESUPUESTO!$G$87:$G$101,PRESUPUESTO!$E$87:$E$101,'CANTIDADES ADJUDICACIÓN'!#REF!)</f>
        <v>0</v>
      </c>
      <c r="CT57">
        <f>SUMIFS(PRESUPUESTO!$G$87:$G$101,PRESUPUESTO!$E$87:$E$101,'CANTIDADES ADJUDICACIÓN'!#REF!)</f>
        <v>0</v>
      </c>
      <c r="CU57">
        <f>SUMIFS(PRESUPUESTO!$G$87:$G$101,PRESUPUESTO!$E$87:$E$101,'CANTIDADES ADJUDICACIÓN'!#REF!)</f>
        <v>0</v>
      </c>
      <c r="CV57">
        <f>SUMIFS(PRESUPUESTO!$G$87:$G$101,PRESUPUESTO!$E$87:$E$101,'CANTIDADES ADJUDICACIÓN'!#REF!)</f>
        <v>0</v>
      </c>
      <c r="CW57">
        <f>SUMIFS(PRESUPUESTO!$G$87:$G$101,PRESUPUESTO!$E$87:$E$101,'CANTIDADES ADJUDICACIÓN'!#REF!)</f>
        <v>0</v>
      </c>
      <c r="CX57">
        <f>SUMIFS(PRESUPUESTO!$G$87:$G$101,PRESUPUESTO!$E$87:$E$101,'CANTIDADES ADJUDICACIÓN'!#REF!)</f>
        <v>0</v>
      </c>
      <c r="CY57">
        <f>SUMIFS(PRESUPUESTO!$G$87:$G$101,PRESUPUESTO!$E$87:$E$101,'CANTIDADES ADJUDICACIÓN'!#REF!)</f>
        <v>0</v>
      </c>
      <c r="CZ57">
        <f>SUMIFS(PRESUPUESTO!$G$87:$G$101,PRESUPUESTO!$E$87:$E$101,'CANTIDADES ADJUDICACIÓN'!#REF!)</f>
        <v>0</v>
      </c>
      <c r="DA57">
        <f>SUMIFS(PRESUPUESTO!$G$87:$G$101,PRESUPUESTO!$E$87:$E$101,'CANTIDADES ADJUDICACIÓN'!#REF!)</f>
        <v>0</v>
      </c>
      <c r="DB57">
        <f>SUMIFS(PRESUPUESTO!$G$87:$G$101,PRESUPUESTO!$E$87:$E$101,'CANTIDADES ADJUDICACIÓN'!#REF!)</f>
        <v>0</v>
      </c>
      <c r="DC57">
        <f>SUMIFS(PRESUPUESTO!$G$87:$G$101,PRESUPUESTO!$E$87:$E$101,'CANTIDADES ADJUDICACIÓN'!#REF!)</f>
        <v>0</v>
      </c>
      <c r="DD57">
        <f>SUMIFS(PRESUPUESTO!$G$87:$G$101,PRESUPUESTO!$E$87:$E$101,'CANTIDADES ADJUDICACIÓN'!#REF!)</f>
        <v>0</v>
      </c>
      <c r="DE57">
        <f>SUMIFS(PRESUPUESTO!$G$87:$G$101,PRESUPUESTO!$E$87:$E$101,'CANTIDADES ADJUDICACIÓN'!#REF!)</f>
        <v>0</v>
      </c>
      <c r="DF57">
        <f>SUMIFS(PRESUPUESTO!$G$87:$G$101,PRESUPUESTO!$E$87:$E$101,'CANTIDADES ADJUDICACIÓN'!#REF!)</f>
        <v>0</v>
      </c>
      <c r="DG57">
        <f>SUMIFS(PRESUPUESTO!$G$87:$G$101,PRESUPUESTO!$E$87:$E$101,'CANTIDADES ADJUDICACIÓN'!#REF!)</f>
        <v>0</v>
      </c>
      <c r="DH57">
        <f>SUMIFS(PRESUPUESTO!$G$87:$G$101,PRESUPUESTO!$E$87:$E$101,'CANTIDADES ADJUDICACIÓN'!#REF!)</f>
        <v>0</v>
      </c>
      <c r="DI57">
        <f>SUMIFS(PRESUPUESTO!$G$87:$G$101,PRESUPUESTO!$E$87:$E$101,'CANTIDADES ADJUDICACIÓN'!#REF!)</f>
        <v>0</v>
      </c>
      <c r="DJ57">
        <f>SUMIFS(PRESUPUESTO!$G$87:$G$101,PRESUPUESTO!$E$87:$E$101,'CANTIDADES ADJUDICACIÓN'!#REF!)</f>
        <v>0</v>
      </c>
      <c r="DK57">
        <f>SUMIFS(PRESUPUESTO!$G$87:$G$101,PRESUPUESTO!$E$87:$E$101,'CANTIDADES ADJUDICACIÓN'!#REF!)</f>
        <v>0</v>
      </c>
      <c r="DL57">
        <f>SUMIFS(PRESUPUESTO!$G$87:$G$101,PRESUPUESTO!$E$87:$E$101,'CANTIDADES ADJUDICACIÓN'!#REF!)</f>
        <v>0</v>
      </c>
      <c r="DM57">
        <f>SUMIFS(PRESUPUESTO!$G$87:$G$101,PRESUPUESTO!$E$87:$E$101,'CANTIDADES ADJUDICACIÓN'!#REF!)</f>
        <v>0</v>
      </c>
      <c r="DN57">
        <f>SUMIFS(PRESUPUESTO!$G$87:$G$101,PRESUPUESTO!$E$87:$E$101,'CANTIDADES ADJUDICACIÓN'!#REF!)</f>
        <v>0</v>
      </c>
      <c r="DO57">
        <f>SUMIFS(PRESUPUESTO!$G$87:$G$101,PRESUPUESTO!$E$87:$E$101,'CANTIDADES ADJUDICACIÓN'!#REF!)</f>
        <v>0</v>
      </c>
      <c r="DP57">
        <f>SUMIFS(PRESUPUESTO!$G$87:$G$101,PRESUPUESTO!$E$87:$E$101,'CANTIDADES ADJUDICACIÓN'!#REF!)</f>
        <v>0</v>
      </c>
      <c r="DQ57">
        <f>SUMIFS(PRESUPUESTO!$G$87:$G$101,PRESUPUESTO!$E$87:$E$101,'CANTIDADES ADJUDICACIÓN'!#REF!)</f>
        <v>0</v>
      </c>
      <c r="DR57">
        <f>SUMIFS(PRESUPUESTO!$G$87:$G$101,PRESUPUESTO!$E$87:$E$101,'CANTIDADES ADJUDICACIÓN'!#REF!)</f>
        <v>0</v>
      </c>
      <c r="DS57">
        <f>SUMIFS(PRESUPUESTO!$G$87:$G$101,PRESUPUESTO!$E$87:$E$101,'CANTIDADES ADJUDICACIÓN'!#REF!)</f>
        <v>0</v>
      </c>
      <c r="DT57">
        <f>SUMIFS(PRESUPUESTO!$G$87:$G$101,PRESUPUESTO!$E$87:$E$101,'CANTIDADES ADJUDICACIÓN'!#REF!)</f>
        <v>0</v>
      </c>
      <c r="DU57">
        <f>SUMIFS(PRESUPUESTO!$G$87:$G$101,PRESUPUESTO!$E$87:$E$101,'CANTIDADES ADJUDICACIÓN'!#REF!)</f>
        <v>0</v>
      </c>
      <c r="DV57">
        <f>SUMIFS(PRESUPUESTO!$G$87:$G$101,PRESUPUESTO!$E$87:$E$101,'CANTIDADES ADJUDICACIÓN'!#REF!)</f>
        <v>0</v>
      </c>
    </row>
    <row r="65" spans="1:1" x14ac:dyDescent="0.25">
      <c r="A65">
        <v>1</v>
      </c>
    </row>
    <row r="66" spans="1:1" x14ac:dyDescent="0.25">
      <c r="A66">
        <v>1</v>
      </c>
    </row>
    <row r="67" spans="1:1" x14ac:dyDescent="0.25">
      <c r="A67">
        <v>1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1</v>
      </c>
    </row>
    <row r="71" spans="1:1" x14ac:dyDescent="0.25">
      <c r="A71">
        <v>1</v>
      </c>
    </row>
    <row r="72" spans="1:1" x14ac:dyDescent="0.25">
      <c r="A72">
        <v>1</v>
      </c>
    </row>
    <row r="73" spans="1:1" x14ac:dyDescent="0.25">
      <c r="A73">
        <v>1</v>
      </c>
    </row>
    <row r="74" spans="1:1" x14ac:dyDescent="0.25">
      <c r="A74">
        <v>1</v>
      </c>
    </row>
    <row r="75" spans="1:1" x14ac:dyDescent="0.25">
      <c r="A75">
        <v>1</v>
      </c>
    </row>
    <row r="76" spans="1:1" x14ac:dyDescent="0.25">
      <c r="A76">
        <v>1</v>
      </c>
    </row>
    <row r="77" spans="1:1" x14ac:dyDescent="0.25">
      <c r="A77">
        <v>1</v>
      </c>
    </row>
    <row r="78" spans="1:1" x14ac:dyDescent="0.25">
      <c r="A78">
        <v>1</v>
      </c>
    </row>
    <row r="79" spans="1:1" x14ac:dyDescent="0.25">
      <c r="A79">
        <v>1</v>
      </c>
    </row>
    <row r="80" spans="1:1" x14ac:dyDescent="0.25">
      <c r="A80">
        <v>1</v>
      </c>
    </row>
    <row r="81" spans="1:1" x14ac:dyDescent="0.25">
      <c r="A81">
        <v>1</v>
      </c>
    </row>
    <row r="82" spans="1:1" x14ac:dyDescent="0.25">
      <c r="A82">
        <v>1</v>
      </c>
    </row>
    <row r="83" spans="1:1" x14ac:dyDescent="0.25">
      <c r="A83">
        <v>1</v>
      </c>
    </row>
    <row r="84" spans="1:1" x14ac:dyDescent="0.25">
      <c r="A84">
        <v>1</v>
      </c>
    </row>
    <row r="85" spans="1:1" x14ac:dyDescent="0.25">
      <c r="A85">
        <v>1</v>
      </c>
    </row>
    <row r="86" spans="1:1" x14ac:dyDescent="0.25">
      <c r="A86">
        <v>1</v>
      </c>
    </row>
    <row r="87" spans="1:1" x14ac:dyDescent="0.25">
      <c r="A87">
        <v>1</v>
      </c>
    </row>
    <row r="88" spans="1:1" x14ac:dyDescent="0.25">
      <c r="A88">
        <v>1</v>
      </c>
    </row>
    <row r="89" spans="1:1" x14ac:dyDescent="0.25">
      <c r="A89">
        <v>1</v>
      </c>
    </row>
    <row r="90" spans="1:1" x14ac:dyDescent="0.25">
      <c r="A90">
        <v>1</v>
      </c>
    </row>
    <row r="91" spans="1:1" x14ac:dyDescent="0.25">
      <c r="A91">
        <v>1</v>
      </c>
    </row>
    <row r="92" spans="1:1" x14ac:dyDescent="0.25">
      <c r="A92">
        <v>1</v>
      </c>
    </row>
  </sheetData>
  <mergeCells count="1">
    <mergeCell ref="B10:D10"/>
  </mergeCells>
  <pageMargins left="0.7" right="0.7" top="0.75" bottom="0.75" header="0.3" footer="0.3"/>
  <ignoredErrors>
    <ignoredError sqref="F3:G9 B3:D9 E3:E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L176"/>
  <sheetViews>
    <sheetView showGridLines="0" zoomScale="80" zoomScaleNormal="80" workbookViewId="0">
      <selection activeCell="B2" sqref="B2:K23"/>
    </sheetView>
  </sheetViews>
  <sheetFormatPr baseColWidth="10" defaultRowHeight="16.5" x14ac:dyDescent="0.3"/>
  <cols>
    <col min="1" max="1" width="5" style="17" customWidth="1"/>
    <col min="2" max="2" width="24.85546875" style="2" customWidth="1"/>
    <col min="3" max="3" width="15.28515625" style="2" customWidth="1"/>
    <col min="4" max="4" width="23" style="2" customWidth="1"/>
    <col min="5" max="5" width="20.85546875" style="2" customWidth="1"/>
    <col min="6" max="6" width="16.140625" style="2" customWidth="1"/>
    <col min="7" max="7" width="23.5703125" style="61" customWidth="1"/>
    <col min="8" max="8" width="21.42578125" style="2" customWidth="1"/>
    <col min="9" max="9" width="16.28515625" style="2" customWidth="1"/>
    <col min="10" max="11" width="11.42578125" style="2"/>
    <col min="12" max="16384" width="11.42578125" style="17"/>
  </cols>
  <sheetData>
    <row r="2" spans="2:11" x14ac:dyDescent="0.2">
      <c r="B2" s="62" t="s">
        <v>85</v>
      </c>
      <c r="C2" s="62" t="s">
        <v>150</v>
      </c>
      <c r="D2" s="62" t="s">
        <v>151</v>
      </c>
      <c r="E2" s="62" t="s">
        <v>152</v>
      </c>
      <c r="F2" s="62" t="s">
        <v>21</v>
      </c>
      <c r="G2" s="63"/>
      <c r="H2" s="62" t="s">
        <v>85</v>
      </c>
      <c r="I2" s="62" t="s">
        <v>153</v>
      </c>
      <c r="J2" s="62" t="s">
        <v>154</v>
      </c>
      <c r="K2" s="62" t="s">
        <v>21</v>
      </c>
    </row>
    <row r="3" spans="2:11" x14ac:dyDescent="0.2">
      <c r="B3" s="64" t="s">
        <v>29</v>
      </c>
      <c r="C3" s="65">
        <v>31</v>
      </c>
      <c r="D3" s="65">
        <v>20</v>
      </c>
      <c r="E3" s="65">
        <v>18</v>
      </c>
      <c r="F3" s="66">
        <f>SUM(C3:E3)</f>
        <v>69</v>
      </c>
      <c r="G3" s="63"/>
      <c r="H3" s="64" t="s">
        <v>29</v>
      </c>
      <c r="I3" s="65">
        <v>0</v>
      </c>
      <c r="J3" s="65">
        <v>69</v>
      </c>
      <c r="K3" s="65">
        <f>SUM(I3+J3)</f>
        <v>69</v>
      </c>
    </row>
    <row r="4" spans="2:11" x14ac:dyDescent="0.2">
      <c r="B4" s="64" t="s">
        <v>30</v>
      </c>
      <c r="C4" s="65">
        <v>93</v>
      </c>
      <c r="D4" s="65">
        <v>62</v>
      </c>
      <c r="E4" s="65">
        <v>62</v>
      </c>
      <c r="F4" s="66">
        <f t="shared" ref="F4:F18" si="0">SUM(C4:E4)</f>
        <v>217</v>
      </c>
      <c r="G4" s="63"/>
      <c r="H4" s="64" t="s">
        <v>30</v>
      </c>
      <c r="I4" s="65">
        <v>0</v>
      </c>
      <c r="J4" s="65">
        <v>217</v>
      </c>
      <c r="K4" s="65">
        <f t="shared" ref="K4:K17" si="1">SUM(I4+J4)</f>
        <v>217</v>
      </c>
    </row>
    <row r="5" spans="2:11" x14ac:dyDescent="0.2">
      <c r="B5" s="64" t="s">
        <v>31</v>
      </c>
      <c r="C5" s="65">
        <v>93</v>
      </c>
      <c r="D5" s="65">
        <v>62</v>
      </c>
      <c r="E5" s="65">
        <v>124</v>
      </c>
      <c r="F5" s="66">
        <f t="shared" si="0"/>
        <v>279</v>
      </c>
      <c r="G5" s="63"/>
      <c r="H5" s="64" t="s">
        <v>31</v>
      </c>
      <c r="I5" s="65">
        <v>0</v>
      </c>
      <c r="J5" s="65">
        <v>279</v>
      </c>
      <c r="K5" s="65">
        <f t="shared" si="1"/>
        <v>279</v>
      </c>
    </row>
    <row r="6" spans="2:11" x14ac:dyDescent="0.2">
      <c r="B6" s="64" t="s">
        <v>32</v>
      </c>
      <c r="C6" s="65">
        <v>93</v>
      </c>
      <c r="D6" s="65">
        <v>62</v>
      </c>
      <c r="E6" s="65">
        <v>62</v>
      </c>
      <c r="F6" s="66">
        <f t="shared" si="0"/>
        <v>217</v>
      </c>
      <c r="G6" s="63"/>
      <c r="H6" s="64" t="s">
        <v>32</v>
      </c>
      <c r="I6" s="65">
        <v>0</v>
      </c>
      <c r="J6" s="65">
        <v>217</v>
      </c>
      <c r="K6" s="65">
        <f t="shared" si="1"/>
        <v>217</v>
      </c>
    </row>
    <row r="7" spans="2:11" x14ac:dyDescent="0.2">
      <c r="B7" s="64" t="s">
        <v>27</v>
      </c>
      <c r="C7" s="65">
        <v>62</v>
      </c>
      <c r="D7" s="65">
        <v>62</v>
      </c>
      <c r="E7" s="65">
        <v>124</v>
      </c>
      <c r="F7" s="66">
        <f t="shared" si="0"/>
        <v>248</v>
      </c>
      <c r="G7" s="63"/>
      <c r="H7" s="64" t="s">
        <v>27</v>
      </c>
      <c r="I7" s="65">
        <v>0</v>
      </c>
      <c r="J7" s="65">
        <v>248</v>
      </c>
      <c r="K7" s="65">
        <f t="shared" si="1"/>
        <v>248</v>
      </c>
    </row>
    <row r="8" spans="2:11" x14ac:dyDescent="0.2">
      <c r="B8" s="64" t="s">
        <v>33</v>
      </c>
      <c r="C8" s="65">
        <v>93</v>
      </c>
      <c r="D8" s="65">
        <v>93</v>
      </c>
      <c r="E8" s="65">
        <v>62</v>
      </c>
      <c r="F8" s="66">
        <f t="shared" si="0"/>
        <v>248</v>
      </c>
      <c r="G8" s="63"/>
      <c r="H8" s="64" t="s">
        <v>33</v>
      </c>
      <c r="I8" s="65">
        <v>0</v>
      </c>
      <c r="J8" s="65">
        <v>248</v>
      </c>
      <c r="K8" s="65">
        <f t="shared" si="1"/>
        <v>248</v>
      </c>
    </row>
    <row r="9" spans="2:11" x14ac:dyDescent="0.2">
      <c r="B9" s="64" t="s">
        <v>66</v>
      </c>
      <c r="C9" s="65">
        <v>93</v>
      </c>
      <c r="D9" s="65">
        <v>124</v>
      </c>
      <c r="E9" s="65">
        <v>62</v>
      </c>
      <c r="F9" s="66">
        <f t="shared" si="0"/>
        <v>279</v>
      </c>
      <c r="G9" s="63"/>
      <c r="H9" s="64" t="s">
        <v>66</v>
      </c>
      <c r="I9" s="65">
        <v>0</v>
      </c>
      <c r="J9" s="65">
        <v>279</v>
      </c>
      <c r="K9" s="65">
        <f t="shared" si="1"/>
        <v>279</v>
      </c>
    </row>
    <row r="10" spans="2:11" x14ac:dyDescent="0.2">
      <c r="B10" s="64" t="s">
        <v>67</v>
      </c>
      <c r="C10" s="65">
        <v>0</v>
      </c>
      <c r="D10" s="65">
        <v>62</v>
      </c>
      <c r="E10" s="65">
        <v>63</v>
      </c>
      <c r="F10" s="66">
        <f t="shared" si="0"/>
        <v>125</v>
      </c>
      <c r="G10" s="63"/>
      <c r="H10" s="64" t="s">
        <v>67</v>
      </c>
      <c r="I10" s="65">
        <v>62</v>
      </c>
      <c r="J10" s="65">
        <v>63</v>
      </c>
      <c r="K10" s="65">
        <f t="shared" si="1"/>
        <v>125</v>
      </c>
    </row>
    <row r="11" spans="2:11" x14ac:dyDescent="0.2">
      <c r="B11" s="64" t="s">
        <v>34</v>
      </c>
      <c r="C11" s="65">
        <v>0</v>
      </c>
      <c r="D11" s="65">
        <v>62</v>
      </c>
      <c r="E11" s="65">
        <v>0</v>
      </c>
      <c r="F11" s="66">
        <f t="shared" si="0"/>
        <v>62</v>
      </c>
      <c r="G11" s="63"/>
      <c r="H11" s="64" t="s">
        <v>34</v>
      </c>
      <c r="I11" s="65">
        <v>0</v>
      </c>
      <c r="J11" s="65">
        <v>62</v>
      </c>
      <c r="K11" s="65">
        <f t="shared" si="1"/>
        <v>62</v>
      </c>
    </row>
    <row r="12" spans="2:11" x14ac:dyDescent="0.2">
      <c r="B12" s="64" t="s">
        <v>35</v>
      </c>
      <c r="C12" s="65">
        <v>93</v>
      </c>
      <c r="D12" s="65">
        <v>93</v>
      </c>
      <c r="E12" s="65">
        <v>93</v>
      </c>
      <c r="F12" s="66">
        <f t="shared" si="0"/>
        <v>279</v>
      </c>
      <c r="G12" s="63"/>
      <c r="H12" s="64" t="s">
        <v>35</v>
      </c>
      <c r="I12" s="65">
        <v>0</v>
      </c>
      <c r="J12" s="65">
        <v>279</v>
      </c>
      <c r="K12" s="65">
        <f t="shared" si="1"/>
        <v>279</v>
      </c>
    </row>
    <row r="13" spans="2:11" x14ac:dyDescent="0.2">
      <c r="B13" s="64" t="s">
        <v>68</v>
      </c>
      <c r="C13" s="65">
        <v>62</v>
      </c>
      <c r="D13" s="65">
        <v>62</v>
      </c>
      <c r="E13" s="65">
        <v>62</v>
      </c>
      <c r="F13" s="66">
        <f t="shared" si="0"/>
        <v>186</v>
      </c>
      <c r="G13" s="63"/>
      <c r="H13" s="64" t="s">
        <v>68</v>
      </c>
      <c r="I13" s="65">
        <v>0</v>
      </c>
      <c r="J13" s="65">
        <v>186</v>
      </c>
      <c r="K13" s="65">
        <f t="shared" si="1"/>
        <v>186</v>
      </c>
    </row>
    <row r="14" spans="2:11" x14ac:dyDescent="0.2">
      <c r="B14" s="64" t="s">
        <v>36</v>
      </c>
      <c r="C14" s="65">
        <v>0</v>
      </c>
      <c r="D14" s="65">
        <v>16</v>
      </c>
      <c r="E14" s="65">
        <v>16</v>
      </c>
      <c r="F14" s="66">
        <f t="shared" si="0"/>
        <v>32</v>
      </c>
      <c r="G14" s="63"/>
      <c r="H14" s="64" t="s">
        <v>36</v>
      </c>
      <c r="I14" s="65">
        <v>0</v>
      </c>
      <c r="J14" s="65">
        <v>32</v>
      </c>
      <c r="K14" s="65">
        <f t="shared" si="1"/>
        <v>32</v>
      </c>
    </row>
    <row r="15" spans="2:11" x14ac:dyDescent="0.2">
      <c r="B15" s="64" t="s">
        <v>37</v>
      </c>
      <c r="C15" s="65">
        <v>4</v>
      </c>
      <c r="D15" s="65">
        <v>4</v>
      </c>
      <c r="E15" s="65">
        <v>4</v>
      </c>
      <c r="F15" s="66">
        <f t="shared" si="0"/>
        <v>12</v>
      </c>
      <c r="G15" s="63"/>
      <c r="H15" s="64" t="s">
        <v>37</v>
      </c>
      <c r="I15" s="65">
        <v>0</v>
      </c>
      <c r="J15" s="65">
        <v>12</v>
      </c>
      <c r="K15" s="65">
        <f t="shared" si="1"/>
        <v>12</v>
      </c>
    </row>
    <row r="16" spans="2:11" x14ac:dyDescent="0.2">
      <c r="B16" s="64" t="s">
        <v>69</v>
      </c>
      <c r="C16" s="65">
        <v>62</v>
      </c>
      <c r="D16" s="65">
        <v>62</v>
      </c>
      <c r="E16" s="65">
        <v>62</v>
      </c>
      <c r="F16" s="66">
        <f t="shared" si="0"/>
        <v>186</v>
      </c>
      <c r="G16" s="63"/>
      <c r="H16" s="64" t="s">
        <v>69</v>
      </c>
      <c r="I16" s="65">
        <v>0</v>
      </c>
      <c r="J16" s="65">
        <v>186</v>
      </c>
      <c r="K16" s="65">
        <f t="shared" si="1"/>
        <v>186</v>
      </c>
    </row>
    <row r="17" spans="2:12" x14ac:dyDescent="0.2">
      <c r="B17" s="64" t="s">
        <v>38</v>
      </c>
      <c r="C17" s="65">
        <v>62</v>
      </c>
      <c r="D17" s="65">
        <v>62</v>
      </c>
      <c r="E17" s="65">
        <v>62</v>
      </c>
      <c r="F17" s="66">
        <f t="shared" si="0"/>
        <v>186</v>
      </c>
      <c r="G17" s="63"/>
      <c r="H17" s="64" t="s">
        <v>38</v>
      </c>
      <c r="I17" s="65">
        <v>0</v>
      </c>
      <c r="J17" s="65">
        <v>186</v>
      </c>
      <c r="K17" s="65">
        <f t="shared" si="1"/>
        <v>186</v>
      </c>
    </row>
    <row r="18" spans="2:12" x14ac:dyDescent="0.2">
      <c r="B18" s="62" t="s">
        <v>21</v>
      </c>
      <c r="C18" s="67">
        <f>SUM(C3:C17)</f>
        <v>841</v>
      </c>
      <c r="D18" s="67">
        <f>SUM(D3:D17)</f>
        <v>908</v>
      </c>
      <c r="E18" s="67">
        <f>SUM(E3:E17)</f>
        <v>876</v>
      </c>
      <c r="F18" s="67">
        <f t="shared" si="0"/>
        <v>2625</v>
      </c>
      <c r="G18" s="63"/>
      <c r="H18" s="62" t="s">
        <v>21</v>
      </c>
      <c r="I18" s="67">
        <f>SUM(I3:I17)</f>
        <v>62</v>
      </c>
      <c r="J18" s="67">
        <f>SUM(J3:J17)</f>
        <v>2563</v>
      </c>
      <c r="K18" s="67">
        <f>SUM(I18+J18)</f>
        <v>2625</v>
      </c>
    </row>
    <row r="20" spans="2:12" x14ac:dyDescent="0.2">
      <c r="B20" s="174" t="s">
        <v>50</v>
      </c>
      <c r="C20" s="174"/>
      <c r="D20" s="174"/>
      <c r="E20" s="174"/>
      <c r="F20" s="174"/>
      <c r="G20" s="174"/>
      <c r="H20" s="68"/>
      <c r="I20" s="68"/>
      <c r="J20" s="68"/>
      <c r="K20" s="68"/>
      <c r="L20" s="57"/>
    </row>
    <row r="21" spans="2:12" ht="47.25" customHeight="1" x14ac:dyDescent="0.3">
      <c r="B21" s="69" t="s">
        <v>51</v>
      </c>
      <c r="C21" s="62" t="s">
        <v>5</v>
      </c>
      <c r="D21" s="69" t="s">
        <v>6</v>
      </c>
      <c r="E21" s="69" t="s">
        <v>7</v>
      </c>
      <c r="F21" s="69" t="s">
        <v>52</v>
      </c>
      <c r="G21" s="70" t="s">
        <v>53</v>
      </c>
      <c r="H21" s="71"/>
      <c r="I21" s="71"/>
      <c r="J21" s="71"/>
      <c r="K21" s="71"/>
      <c r="L21" s="58"/>
    </row>
    <row r="22" spans="2:12" ht="45" customHeight="1" x14ac:dyDescent="0.3">
      <c r="B22" s="64" t="s">
        <v>54</v>
      </c>
      <c r="C22" s="170">
        <v>10</v>
      </c>
      <c r="D22" s="10" t="s">
        <v>55</v>
      </c>
      <c r="E22" s="72" t="s">
        <v>56</v>
      </c>
      <c r="F22" s="73" t="e">
        <f>G22*100%/#REF!</f>
        <v>#REF!</v>
      </c>
      <c r="G22" s="74">
        <f>+K75</f>
        <v>0</v>
      </c>
      <c r="I22" s="31"/>
      <c r="J22" s="31"/>
      <c r="K22" s="31"/>
      <c r="L22" s="53"/>
    </row>
    <row r="23" spans="2:12" ht="45" customHeight="1" x14ac:dyDescent="0.3">
      <c r="B23" s="64" t="s">
        <v>57</v>
      </c>
      <c r="C23" s="170"/>
      <c r="D23" s="10" t="s">
        <v>58</v>
      </c>
      <c r="E23" s="72" t="s">
        <v>56</v>
      </c>
      <c r="F23" s="73" t="e">
        <f>G23*100%/#REF!</f>
        <v>#REF!</v>
      </c>
      <c r="G23" s="74" t="e">
        <f>+#REF!</f>
        <v>#REF!</v>
      </c>
      <c r="I23" s="31"/>
      <c r="J23" s="31"/>
      <c r="K23" s="31"/>
      <c r="L23" s="53"/>
    </row>
    <row r="24" spans="2:12" ht="45" customHeight="1" x14ac:dyDescent="0.3">
      <c r="B24" s="64" t="s">
        <v>28</v>
      </c>
      <c r="C24" s="170"/>
      <c r="D24" s="10" t="s">
        <v>59</v>
      </c>
      <c r="E24" s="72" t="s">
        <v>56</v>
      </c>
      <c r="F24" s="73" t="e">
        <f>G24*100%/#REF!</f>
        <v>#REF!</v>
      </c>
      <c r="G24" s="74">
        <f>+K98</f>
        <v>0</v>
      </c>
      <c r="I24" s="31"/>
      <c r="J24" s="31"/>
      <c r="K24" s="31"/>
      <c r="L24" s="53"/>
    </row>
    <row r="25" spans="2:12" ht="45" customHeight="1" x14ac:dyDescent="0.3">
      <c r="B25" s="64" t="s">
        <v>39</v>
      </c>
      <c r="C25" s="170"/>
      <c r="D25" s="10" t="s">
        <v>40</v>
      </c>
      <c r="E25" s="72" t="s">
        <v>56</v>
      </c>
      <c r="F25" s="73" t="e">
        <f>G25*100%/#REF!</f>
        <v>#REF!</v>
      </c>
      <c r="G25" s="74">
        <f>+K103</f>
        <v>0</v>
      </c>
      <c r="I25" s="31"/>
      <c r="J25" s="31"/>
      <c r="K25" s="31"/>
      <c r="L25" s="53"/>
    </row>
    <row r="26" spans="2:12" ht="33" x14ac:dyDescent="0.3">
      <c r="B26" s="64" t="s">
        <v>41</v>
      </c>
      <c r="C26" s="170"/>
      <c r="D26" s="10" t="s">
        <v>42</v>
      </c>
      <c r="E26" s="72" t="s">
        <v>56</v>
      </c>
      <c r="F26" s="73" t="e">
        <f>G26*100%/#REF!</f>
        <v>#REF!</v>
      </c>
      <c r="G26" s="74" t="e">
        <f>+#REF!</f>
        <v>#REF!</v>
      </c>
      <c r="I26" s="31"/>
      <c r="J26" s="31"/>
      <c r="K26" s="31"/>
      <c r="L26" s="53"/>
    </row>
    <row r="27" spans="2:12" ht="45" customHeight="1" x14ac:dyDescent="0.3">
      <c r="B27" s="64" t="s">
        <v>43</v>
      </c>
      <c r="C27" s="170"/>
      <c r="D27" s="10" t="s">
        <v>44</v>
      </c>
      <c r="E27" s="72" t="s">
        <v>56</v>
      </c>
      <c r="F27" s="73" t="e">
        <f>G27*100%/#REF!</f>
        <v>#REF!</v>
      </c>
      <c r="G27" s="74">
        <f>K126</f>
        <v>0</v>
      </c>
      <c r="I27" s="31"/>
      <c r="J27" s="31"/>
      <c r="K27" s="31"/>
      <c r="L27" s="53"/>
    </row>
    <row r="28" spans="2:12" ht="45" customHeight="1" x14ac:dyDescent="0.3">
      <c r="B28" s="64" t="s">
        <v>60</v>
      </c>
      <c r="C28" s="170"/>
      <c r="D28" s="10" t="s">
        <v>61</v>
      </c>
      <c r="E28" s="72" t="s">
        <v>56</v>
      </c>
      <c r="F28" s="73" t="e">
        <f>G28*100%/#REF!</f>
        <v>#REF!</v>
      </c>
      <c r="G28" s="74" t="e">
        <f>#REF!</f>
        <v>#REF!</v>
      </c>
      <c r="I28" s="31"/>
      <c r="J28" s="31"/>
      <c r="K28" s="31"/>
      <c r="L28" s="54"/>
    </row>
    <row r="29" spans="2:12" x14ac:dyDescent="0.3">
      <c r="B29" s="171" t="s">
        <v>62</v>
      </c>
      <c r="C29" s="172"/>
      <c r="D29" s="172"/>
      <c r="E29" s="173"/>
      <c r="F29" s="75" t="e">
        <f>SUM(F22:F28)</f>
        <v>#REF!</v>
      </c>
      <c r="G29" s="76" t="e">
        <f>SUM(G22:L28)</f>
        <v>#REF!</v>
      </c>
      <c r="I29" s="31"/>
      <c r="J29" s="31"/>
      <c r="K29" s="31"/>
      <c r="L29" s="55"/>
    </row>
    <row r="30" spans="2:12" x14ac:dyDescent="0.3">
      <c r="L30" s="56"/>
    </row>
    <row r="31" spans="2:12" x14ac:dyDescent="0.2">
      <c r="B31" s="190" t="s">
        <v>63</v>
      </c>
      <c r="C31" s="190"/>
      <c r="D31" s="190"/>
      <c r="E31" s="190"/>
      <c r="F31" s="190"/>
      <c r="G31" s="190"/>
      <c r="H31" s="68"/>
      <c r="I31" s="68"/>
      <c r="J31" s="68"/>
      <c r="K31" s="68"/>
      <c r="L31" s="57"/>
    </row>
    <row r="32" spans="2:12" ht="47.25" customHeight="1" x14ac:dyDescent="0.3">
      <c r="B32" s="77" t="s">
        <v>51</v>
      </c>
      <c r="C32" s="78" t="s">
        <v>5</v>
      </c>
      <c r="D32" s="77" t="s">
        <v>6</v>
      </c>
      <c r="E32" s="77" t="s">
        <v>7</v>
      </c>
      <c r="F32" s="77" t="s">
        <v>52</v>
      </c>
      <c r="G32" s="79" t="s">
        <v>53</v>
      </c>
      <c r="I32" s="71"/>
      <c r="J32" s="71"/>
      <c r="K32" s="71"/>
      <c r="L32" s="58"/>
    </row>
    <row r="33" spans="2:12" ht="15" customHeight="1" x14ac:dyDescent="0.3">
      <c r="B33" s="184" t="s">
        <v>64</v>
      </c>
      <c r="C33" s="181">
        <v>10</v>
      </c>
      <c r="D33" s="191" t="s">
        <v>65</v>
      </c>
      <c r="E33" s="64" t="s">
        <v>29</v>
      </c>
      <c r="F33" s="73">
        <f>G33/$G$48</f>
        <v>2.6285714285714287E-2</v>
      </c>
      <c r="G33" s="74">
        <f t="shared" ref="G33:G44" si="2">SUM(G51,G69,G87,G105,G123,G141,G159)</f>
        <v>11472958.413714284</v>
      </c>
      <c r="I33" s="71"/>
      <c r="J33" s="71"/>
      <c r="K33" s="71"/>
      <c r="L33" s="54"/>
    </row>
    <row r="34" spans="2:12" x14ac:dyDescent="0.3">
      <c r="B34" s="185"/>
      <c r="C34" s="182"/>
      <c r="D34" s="192"/>
      <c r="E34" s="64" t="s">
        <v>30</v>
      </c>
      <c r="F34" s="73">
        <f t="shared" ref="F34:F47" si="3">G34/$G$48</f>
        <v>8.266666666666668E-2</v>
      </c>
      <c r="G34" s="74">
        <f t="shared" si="2"/>
        <v>36081622.837333336</v>
      </c>
      <c r="I34" s="71"/>
      <c r="J34" s="71"/>
      <c r="K34" s="71"/>
      <c r="L34" s="54"/>
    </row>
    <row r="35" spans="2:12" x14ac:dyDescent="0.3">
      <c r="B35" s="185"/>
      <c r="C35" s="182"/>
      <c r="D35" s="192"/>
      <c r="E35" s="64" t="s">
        <v>31</v>
      </c>
      <c r="F35" s="73">
        <f t="shared" si="3"/>
        <v>0.1062857142857143</v>
      </c>
      <c r="G35" s="74">
        <f t="shared" si="2"/>
        <v>46390657.933714285</v>
      </c>
      <c r="I35" s="71"/>
      <c r="J35" s="71"/>
      <c r="K35" s="71"/>
      <c r="L35" s="54"/>
    </row>
    <row r="36" spans="2:12" x14ac:dyDescent="0.3">
      <c r="B36" s="185"/>
      <c r="C36" s="182"/>
      <c r="D36" s="192"/>
      <c r="E36" s="64" t="s">
        <v>32</v>
      </c>
      <c r="F36" s="73">
        <f t="shared" si="3"/>
        <v>8.266666666666668E-2</v>
      </c>
      <c r="G36" s="74">
        <f t="shared" si="2"/>
        <v>36081622.837333336</v>
      </c>
      <c r="I36" s="71"/>
      <c r="J36" s="71"/>
      <c r="K36" s="71"/>
      <c r="L36" s="54"/>
    </row>
    <row r="37" spans="2:12" x14ac:dyDescent="0.3">
      <c r="B37" s="185"/>
      <c r="C37" s="182"/>
      <c r="D37" s="192"/>
      <c r="E37" s="64" t="s">
        <v>27</v>
      </c>
      <c r="F37" s="73">
        <f t="shared" si="3"/>
        <v>9.4476190476190491E-2</v>
      </c>
      <c r="G37" s="74">
        <f t="shared" si="2"/>
        <v>41236140.385523811</v>
      </c>
      <c r="I37" s="71"/>
      <c r="J37" s="71"/>
      <c r="K37" s="71"/>
      <c r="L37" s="54"/>
    </row>
    <row r="38" spans="2:12" x14ac:dyDescent="0.3">
      <c r="B38" s="185"/>
      <c r="C38" s="182"/>
      <c r="D38" s="192"/>
      <c r="E38" s="64" t="s">
        <v>33</v>
      </c>
      <c r="F38" s="73">
        <f t="shared" si="3"/>
        <v>9.4476190476190491E-2</v>
      </c>
      <c r="G38" s="74">
        <f t="shared" si="2"/>
        <v>41236140.385523811</v>
      </c>
      <c r="I38" s="71"/>
      <c r="J38" s="71"/>
      <c r="K38" s="71"/>
      <c r="L38" s="54"/>
    </row>
    <row r="39" spans="2:12" x14ac:dyDescent="0.3">
      <c r="B39" s="185"/>
      <c r="C39" s="182"/>
      <c r="D39" s="192"/>
      <c r="E39" s="64" t="s">
        <v>66</v>
      </c>
      <c r="F39" s="73">
        <f t="shared" si="3"/>
        <v>0.1062857142857143</v>
      </c>
      <c r="G39" s="74">
        <f t="shared" si="2"/>
        <v>46390657.933714285</v>
      </c>
      <c r="I39" s="71"/>
      <c r="J39" s="71"/>
      <c r="K39" s="71"/>
      <c r="L39" s="54"/>
    </row>
    <row r="40" spans="2:12" x14ac:dyDescent="0.3">
      <c r="B40" s="185"/>
      <c r="C40" s="182"/>
      <c r="D40" s="192"/>
      <c r="E40" s="64" t="s">
        <v>67</v>
      </c>
      <c r="F40" s="73">
        <f t="shared" si="3"/>
        <v>4.761904761904763E-2</v>
      </c>
      <c r="G40" s="74">
        <f t="shared" si="2"/>
        <v>20784344.952380955</v>
      </c>
      <c r="I40" s="71"/>
      <c r="J40" s="71"/>
      <c r="K40" s="71"/>
      <c r="L40" s="54"/>
    </row>
    <row r="41" spans="2:12" x14ac:dyDescent="0.3">
      <c r="B41" s="185"/>
      <c r="C41" s="182"/>
      <c r="D41" s="192"/>
      <c r="E41" s="64" t="s">
        <v>34</v>
      </c>
      <c r="F41" s="73">
        <f t="shared" si="3"/>
        <v>2.3619047619047623E-2</v>
      </c>
      <c r="G41" s="74">
        <f t="shared" si="2"/>
        <v>10309035.096380953</v>
      </c>
      <c r="I41" s="71"/>
      <c r="J41" s="71"/>
      <c r="K41" s="71"/>
      <c r="L41" s="54"/>
    </row>
    <row r="42" spans="2:12" x14ac:dyDescent="0.3">
      <c r="B42" s="185"/>
      <c r="C42" s="182"/>
      <c r="D42" s="192"/>
      <c r="E42" s="64" t="s">
        <v>35</v>
      </c>
      <c r="F42" s="73">
        <f t="shared" si="3"/>
        <v>0.1062857142857143</v>
      </c>
      <c r="G42" s="74">
        <f t="shared" si="2"/>
        <v>46390657.933714285</v>
      </c>
      <c r="I42" s="71"/>
      <c r="J42" s="71"/>
      <c r="K42" s="71"/>
      <c r="L42" s="54"/>
    </row>
    <row r="43" spans="2:12" x14ac:dyDescent="0.3">
      <c r="B43" s="185"/>
      <c r="C43" s="182"/>
      <c r="D43" s="192"/>
      <c r="E43" s="64" t="s">
        <v>68</v>
      </c>
      <c r="F43" s="73">
        <f t="shared" si="3"/>
        <v>7.0857142857142869E-2</v>
      </c>
      <c r="G43" s="74">
        <f t="shared" si="2"/>
        <v>30927105.289142858</v>
      </c>
      <c r="I43" s="71"/>
      <c r="J43" s="71"/>
      <c r="K43" s="71"/>
      <c r="L43" s="54"/>
    </row>
    <row r="44" spans="2:12" x14ac:dyDescent="0.3">
      <c r="B44" s="185"/>
      <c r="C44" s="182"/>
      <c r="D44" s="192"/>
      <c r="E44" s="64" t="s">
        <v>36</v>
      </c>
      <c r="F44" s="73">
        <f t="shared" si="3"/>
        <v>1.2190476190476193E-2</v>
      </c>
      <c r="G44" s="74">
        <f t="shared" si="2"/>
        <v>5320792.3078095242</v>
      </c>
      <c r="I44" s="71"/>
      <c r="J44" s="71"/>
      <c r="K44" s="71"/>
      <c r="L44" s="54"/>
    </row>
    <row r="45" spans="2:12" x14ac:dyDescent="0.3">
      <c r="B45" s="185"/>
      <c r="C45" s="182"/>
      <c r="D45" s="192"/>
      <c r="E45" s="64" t="s">
        <v>37</v>
      </c>
      <c r="F45" s="73">
        <f t="shared" si="3"/>
        <v>4.5714285714285726E-3</v>
      </c>
      <c r="G45" s="74">
        <f t="shared" ref="G45:G47" si="4">SUM(G63,G81,G99,G117,G135,G153,G171)</f>
        <v>1995297.1154285716</v>
      </c>
      <c r="I45" s="71"/>
      <c r="J45" s="71"/>
      <c r="K45" s="71"/>
      <c r="L45" s="54"/>
    </row>
    <row r="46" spans="2:12" x14ac:dyDescent="0.3">
      <c r="B46" s="185"/>
      <c r="C46" s="182"/>
      <c r="D46" s="192"/>
      <c r="E46" s="64" t="s">
        <v>69</v>
      </c>
      <c r="F46" s="73">
        <f t="shared" si="3"/>
        <v>7.0857142857142869E-2</v>
      </c>
      <c r="G46" s="74">
        <f t="shared" si="4"/>
        <v>30927105.289142858</v>
      </c>
      <c r="I46" s="71"/>
      <c r="J46" s="71"/>
      <c r="K46" s="71"/>
      <c r="L46" s="54"/>
    </row>
    <row r="47" spans="2:12" x14ac:dyDescent="0.3">
      <c r="B47" s="186"/>
      <c r="C47" s="183"/>
      <c r="D47" s="193"/>
      <c r="E47" s="64" t="s">
        <v>38</v>
      </c>
      <c r="F47" s="73">
        <f t="shared" si="3"/>
        <v>7.0857142857142869E-2</v>
      </c>
      <c r="G47" s="74">
        <f t="shared" si="4"/>
        <v>30927105.289142858</v>
      </c>
      <c r="I47" s="71"/>
      <c r="J47" s="71"/>
      <c r="K47" s="71"/>
      <c r="L47" s="54"/>
    </row>
    <row r="48" spans="2:12" x14ac:dyDescent="0.3">
      <c r="B48" s="187" t="s">
        <v>70</v>
      </c>
      <c r="C48" s="188"/>
      <c r="D48" s="188"/>
      <c r="E48" s="189"/>
      <c r="F48" s="80">
        <f>SUM(F33:F47)</f>
        <v>1.0000000000000002</v>
      </c>
      <c r="G48" s="81">
        <f>SUM(G33:G47)</f>
        <v>436471243.99999994</v>
      </c>
      <c r="I48" s="71"/>
      <c r="J48" s="71"/>
      <c r="K48" s="71"/>
      <c r="L48" s="55"/>
    </row>
    <row r="50" spans="2:9" ht="49.5" x14ac:dyDescent="0.3">
      <c r="B50" s="77" t="s">
        <v>11</v>
      </c>
      <c r="C50" s="77" t="s">
        <v>5</v>
      </c>
      <c r="D50" s="77" t="s">
        <v>6</v>
      </c>
      <c r="E50" s="77" t="s">
        <v>7</v>
      </c>
      <c r="F50" s="77" t="s">
        <v>52</v>
      </c>
      <c r="G50" s="79" t="s">
        <v>8</v>
      </c>
      <c r="H50" s="52" t="s">
        <v>9</v>
      </c>
      <c r="I50" s="52" t="s">
        <v>10</v>
      </c>
    </row>
    <row r="51" spans="2:9" x14ac:dyDescent="0.3">
      <c r="B51" s="175" t="s">
        <v>54</v>
      </c>
      <c r="C51" s="177">
        <v>10</v>
      </c>
      <c r="D51" s="179" t="s">
        <v>55</v>
      </c>
      <c r="E51" s="64" t="s">
        <v>29</v>
      </c>
      <c r="F51" s="73">
        <f>(G51*100%)/$G$66</f>
        <v>2.6285714285714291E-2</v>
      </c>
      <c r="G51" s="74">
        <v>3923522.8960000002</v>
      </c>
      <c r="H51" s="12"/>
      <c r="I51" s="12"/>
    </row>
    <row r="52" spans="2:9" x14ac:dyDescent="0.3">
      <c r="B52" s="176"/>
      <c r="C52" s="178"/>
      <c r="D52" s="180"/>
      <c r="E52" s="64" t="s">
        <v>30</v>
      </c>
      <c r="F52" s="73">
        <f t="shared" ref="F52:F65" si="5">(G52*100%)/$G$66</f>
        <v>8.266666666666668E-2</v>
      </c>
      <c r="G52" s="74">
        <v>12339195.194666667</v>
      </c>
      <c r="H52" s="12"/>
      <c r="I52" s="12"/>
    </row>
    <row r="53" spans="2:9" x14ac:dyDescent="0.3">
      <c r="B53" s="176"/>
      <c r="C53" s="178"/>
      <c r="D53" s="180"/>
      <c r="E53" s="64" t="s">
        <v>31</v>
      </c>
      <c r="F53" s="73">
        <f t="shared" si="5"/>
        <v>0.1062857142857143</v>
      </c>
      <c r="G53" s="74">
        <v>15864679.536</v>
      </c>
      <c r="H53" s="12"/>
      <c r="I53" s="12"/>
    </row>
    <row r="54" spans="2:9" x14ac:dyDescent="0.3">
      <c r="B54" s="176"/>
      <c r="C54" s="178"/>
      <c r="D54" s="180"/>
      <c r="E54" s="64" t="s">
        <v>32</v>
      </c>
      <c r="F54" s="73">
        <f t="shared" si="5"/>
        <v>8.266666666666668E-2</v>
      </c>
      <c r="G54" s="74">
        <v>12339195.194666667</v>
      </c>
      <c r="H54" s="12"/>
      <c r="I54" s="12"/>
    </row>
    <row r="55" spans="2:9" x14ac:dyDescent="0.3">
      <c r="B55" s="176"/>
      <c r="C55" s="178"/>
      <c r="D55" s="180"/>
      <c r="E55" s="64" t="s">
        <v>27</v>
      </c>
      <c r="F55" s="73">
        <f t="shared" si="5"/>
        <v>9.4476190476190491E-2</v>
      </c>
      <c r="G55" s="74">
        <v>14101937.365333334</v>
      </c>
      <c r="H55" s="12"/>
      <c r="I55" s="12"/>
    </row>
    <row r="56" spans="2:9" x14ac:dyDescent="0.3">
      <c r="B56" s="176"/>
      <c r="C56" s="178"/>
      <c r="D56" s="180"/>
      <c r="E56" s="64" t="s">
        <v>33</v>
      </c>
      <c r="F56" s="73">
        <f t="shared" si="5"/>
        <v>9.4476190476190491E-2</v>
      </c>
      <c r="G56" s="74">
        <v>14101937.365333334</v>
      </c>
      <c r="H56" s="12"/>
      <c r="I56" s="12"/>
    </row>
    <row r="57" spans="2:9" x14ac:dyDescent="0.3">
      <c r="B57" s="176"/>
      <c r="C57" s="178"/>
      <c r="D57" s="180"/>
      <c r="E57" s="64" t="s">
        <v>66</v>
      </c>
      <c r="F57" s="73">
        <f t="shared" si="5"/>
        <v>0.1062857142857143</v>
      </c>
      <c r="G57" s="74">
        <v>15864679.536</v>
      </c>
      <c r="H57" s="12"/>
      <c r="I57" s="12"/>
    </row>
    <row r="58" spans="2:9" x14ac:dyDescent="0.3">
      <c r="B58" s="176"/>
      <c r="C58" s="178"/>
      <c r="D58" s="180"/>
      <c r="E58" s="64" t="s">
        <v>67</v>
      </c>
      <c r="F58" s="73">
        <f t="shared" si="5"/>
        <v>4.761904761904763E-2</v>
      </c>
      <c r="G58" s="74">
        <v>7107831.333333334</v>
      </c>
      <c r="H58" s="12"/>
      <c r="I58" s="12"/>
    </row>
    <row r="59" spans="2:9" x14ac:dyDescent="0.3">
      <c r="B59" s="176"/>
      <c r="C59" s="178"/>
      <c r="D59" s="180"/>
      <c r="E59" s="64" t="s">
        <v>34</v>
      </c>
      <c r="F59" s="73">
        <f t="shared" si="5"/>
        <v>2.3619047619047623E-2</v>
      </c>
      <c r="G59" s="74">
        <v>3525484.3413333334</v>
      </c>
      <c r="H59" s="12"/>
      <c r="I59" s="12"/>
    </row>
    <row r="60" spans="2:9" x14ac:dyDescent="0.3">
      <c r="B60" s="176"/>
      <c r="C60" s="178"/>
      <c r="D60" s="180"/>
      <c r="E60" s="64" t="s">
        <v>35</v>
      </c>
      <c r="F60" s="73">
        <f t="shared" si="5"/>
        <v>0.1062857142857143</v>
      </c>
      <c r="G60" s="74">
        <v>15864679.536</v>
      </c>
      <c r="H60" s="12"/>
      <c r="I60" s="12"/>
    </row>
    <row r="61" spans="2:9" x14ac:dyDescent="0.3">
      <c r="B61" s="176"/>
      <c r="C61" s="178"/>
      <c r="D61" s="180"/>
      <c r="E61" s="64" t="s">
        <v>68</v>
      </c>
      <c r="F61" s="73">
        <f t="shared" si="5"/>
        <v>7.0857142857142869E-2</v>
      </c>
      <c r="G61" s="74">
        <v>10576453.024</v>
      </c>
      <c r="H61" s="12"/>
      <c r="I61" s="12"/>
    </row>
    <row r="62" spans="2:9" x14ac:dyDescent="0.3">
      <c r="B62" s="176"/>
      <c r="C62" s="178"/>
      <c r="D62" s="180"/>
      <c r="E62" s="64" t="s">
        <v>36</v>
      </c>
      <c r="F62" s="73">
        <f t="shared" si="5"/>
        <v>1.2190476190476193E-2</v>
      </c>
      <c r="G62" s="74">
        <v>1819604.8213333334</v>
      </c>
      <c r="H62" s="12"/>
      <c r="I62" s="12"/>
    </row>
    <row r="63" spans="2:9" x14ac:dyDescent="0.3">
      <c r="B63" s="176"/>
      <c r="C63" s="178"/>
      <c r="D63" s="180"/>
      <c r="E63" s="64" t="s">
        <v>37</v>
      </c>
      <c r="F63" s="73">
        <f t="shared" si="5"/>
        <v>4.5714285714285718E-3</v>
      </c>
      <c r="G63" s="74">
        <v>682351.80799999996</v>
      </c>
      <c r="H63" s="12"/>
      <c r="I63" s="12"/>
    </row>
    <row r="64" spans="2:9" x14ac:dyDescent="0.3">
      <c r="B64" s="176"/>
      <c r="C64" s="178"/>
      <c r="D64" s="180"/>
      <c r="E64" s="64" t="s">
        <v>69</v>
      </c>
      <c r="F64" s="73">
        <f t="shared" si="5"/>
        <v>7.0857142857142869E-2</v>
      </c>
      <c r="G64" s="74">
        <v>10576453.024</v>
      </c>
      <c r="H64" s="12"/>
      <c r="I64" s="12"/>
    </row>
    <row r="65" spans="2:9" x14ac:dyDescent="0.3">
      <c r="B65" s="176"/>
      <c r="C65" s="178"/>
      <c r="D65" s="180"/>
      <c r="E65" s="64" t="s">
        <v>38</v>
      </c>
      <c r="F65" s="73">
        <f t="shared" si="5"/>
        <v>7.0857142857142869E-2</v>
      </c>
      <c r="G65" s="74">
        <v>10576453.024</v>
      </c>
      <c r="H65" s="12"/>
      <c r="I65" s="12"/>
    </row>
    <row r="66" spans="2:9" x14ac:dyDescent="0.3">
      <c r="B66" s="194" t="s">
        <v>71</v>
      </c>
      <c r="C66" s="194"/>
      <c r="D66" s="194"/>
      <c r="E66" s="194"/>
      <c r="F66" s="82">
        <f>SUM(F51:F65)</f>
        <v>1.0000000000000002</v>
      </c>
      <c r="G66" s="79">
        <f>SUM(G51:G65)</f>
        <v>149264457.99999997</v>
      </c>
      <c r="H66" s="70">
        <f>SUM(H51:H65)</f>
        <v>0</v>
      </c>
      <c r="I66" s="70">
        <f>SUM(I51:I65)</f>
        <v>0</v>
      </c>
    </row>
    <row r="68" spans="2:9" ht="49.5" x14ac:dyDescent="0.3">
      <c r="B68" s="77" t="s">
        <v>11</v>
      </c>
      <c r="C68" s="77" t="s">
        <v>5</v>
      </c>
      <c r="D68" s="77" t="s">
        <v>6</v>
      </c>
      <c r="E68" s="77" t="s">
        <v>7</v>
      </c>
      <c r="F68" s="77" t="s">
        <v>52</v>
      </c>
      <c r="G68" s="79" t="s">
        <v>8</v>
      </c>
      <c r="H68" s="52" t="s">
        <v>9</v>
      </c>
      <c r="I68" s="52" t="s">
        <v>10</v>
      </c>
    </row>
    <row r="69" spans="2:9" x14ac:dyDescent="0.3">
      <c r="B69" s="175" t="s">
        <v>57</v>
      </c>
      <c r="C69" s="177">
        <v>10</v>
      </c>
      <c r="D69" s="179" t="s">
        <v>58</v>
      </c>
      <c r="E69" s="64" t="s">
        <v>29</v>
      </c>
      <c r="F69" s="83">
        <f>(G69*100%)/$G$84</f>
        <v>2.6285714285714291E-2</v>
      </c>
      <c r="G69" s="84">
        <v>2895960.3862857143</v>
      </c>
      <c r="H69" s="12"/>
      <c r="I69" s="12"/>
    </row>
    <row r="70" spans="2:9" x14ac:dyDescent="0.3">
      <c r="B70" s="176"/>
      <c r="C70" s="178"/>
      <c r="D70" s="180"/>
      <c r="E70" s="64" t="s">
        <v>30</v>
      </c>
      <c r="F70" s="83">
        <f t="shared" ref="F70:F83" si="6">(G70*100%)/$G$84</f>
        <v>8.2666666666666666E-2</v>
      </c>
      <c r="G70" s="84">
        <v>9107585.5626666658</v>
      </c>
      <c r="H70" s="12"/>
      <c r="I70" s="12"/>
    </row>
    <row r="71" spans="2:9" x14ac:dyDescent="0.3">
      <c r="B71" s="176"/>
      <c r="C71" s="178"/>
      <c r="D71" s="180"/>
      <c r="E71" s="64" t="s">
        <v>31</v>
      </c>
      <c r="F71" s="83">
        <f t="shared" si="6"/>
        <v>0.10628571428571429</v>
      </c>
      <c r="G71" s="84">
        <v>11709752.866285713</v>
      </c>
      <c r="H71" s="12"/>
      <c r="I71" s="12"/>
    </row>
    <row r="72" spans="2:9" x14ac:dyDescent="0.3">
      <c r="B72" s="176"/>
      <c r="C72" s="178"/>
      <c r="D72" s="180"/>
      <c r="E72" s="64" t="s">
        <v>32</v>
      </c>
      <c r="F72" s="83">
        <f t="shared" si="6"/>
        <v>8.2666666666666666E-2</v>
      </c>
      <c r="G72" s="84">
        <v>9107585.5626666658</v>
      </c>
      <c r="H72" s="12"/>
      <c r="I72" s="12"/>
    </row>
    <row r="73" spans="2:9" x14ac:dyDescent="0.3">
      <c r="B73" s="176"/>
      <c r="C73" s="178"/>
      <c r="D73" s="180"/>
      <c r="E73" s="64" t="s">
        <v>27</v>
      </c>
      <c r="F73" s="83">
        <f t="shared" si="6"/>
        <v>9.4476190476190491E-2</v>
      </c>
      <c r="G73" s="84">
        <v>10408669.214476191</v>
      </c>
      <c r="H73" s="12"/>
      <c r="I73" s="12"/>
    </row>
    <row r="74" spans="2:9" x14ac:dyDescent="0.3">
      <c r="B74" s="176"/>
      <c r="C74" s="178"/>
      <c r="D74" s="180"/>
      <c r="E74" s="64" t="s">
        <v>33</v>
      </c>
      <c r="F74" s="83">
        <f t="shared" si="6"/>
        <v>9.4476190476190491E-2</v>
      </c>
      <c r="G74" s="84">
        <v>10408669.214476191</v>
      </c>
      <c r="H74" s="12"/>
      <c r="I74" s="12"/>
    </row>
    <row r="75" spans="2:9" x14ac:dyDescent="0.3">
      <c r="B75" s="176"/>
      <c r="C75" s="178"/>
      <c r="D75" s="180"/>
      <c r="E75" s="64" t="s">
        <v>66</v>
      </c>
      <c r="F75" s="83">
        <f t="shared" si="6"/>
        <v>0.10628571428571429</v>
      </c>
      <c r="G75" s="84">
        <v>11709752.866285713</v>
      </c>
      <c r="H75" s="12"/>
      <c r="I75" s="12"/>
    </row>
    <row r="76" spans="2:9" x14ac:dyDescent="0.3">
      <c r="B76" s="176"/>
      <c r="C76" s="178"/>
      <c r="D76" s="180"/>
      <c r="E76" s="64" t="s">
        <v>67</v>
      </c>
      <c r="F76" s="83">
        <f t="shared" si="6"/>
        <v>4.7619047619047623E-2</v>
      </c>
      <c r="G76" s="84">
        <v>5246305.0476190476</v>
      </c>
      <c r="H76" s="12"/>
      <c r="I76" s="12"/>
    </row>
    <row r="77" spans="2:9" x14ac:dyDescent="0.3">
      <c r="B77" s="176"/>
      <c r="C77" s="178"/>
      <c r="D77" s="180"/>
      <c r="E77" s="64" t="s">
        <v>34</v>
      </c>
      <c r="F77" s="83">
        <f t="shared" si="6"/>
        <v>2.3619047619047623E-2</v>
      </c>
      <c r="G77" s="84">
        <v>2602167.3036190476</v>
      </c>
      <c r="H77" s="12"/>
      <c r="I77" s="12"/>
    </row>
    <row r="78" spans="2:9" x14ac:dyDescent="0.3">
      <c r="B78" s="176"/>
      <c r="C78" s="178"/>
      <c r="D78" s="180"/>
      <c r="E78" s="64" t="s">
        <v>35</v>
      </c>
      <c r="F78" s="83">
        <f t="shared" si="6"/>
        <v>0.10628571428571429</v>
      </c>
      <c r="G78" s="84">
        <v>11709752.866285713</v>
      </c>
      <c r="H78" s="12"/>
      <c r="I78" s="12"/>
    </row>
    <row r="79" spans="2:9" x14ac:dyDescent="0.3">
      <c r="B79" s="176"/>
      <c r="C79" s="178"/>
      <c r="D79" s="180"/>
      <c r="E79" s="64" t="s">
        <v>68</v>
      </c>
      <c r="F79" s="83">
        <f t="shared" si="6"/>
        <v>7.0857142857142869E-2</v>
      </c>
      <c r="G79" s="84">
        <v>7806501.9108571429</v>
      </c>
      <c r="H79" s="12"/>
      <c r="I79" s="12"/>
    </row>
    <row r="80" spans="2:9" x14ac:dyDescent="0.3">
      <c r="B80" s="176"/>
      <c r="C80" s="178"/>
      <c r="D80" s="180"/>
      <c r="E80" s="64" t="s">
        <v>36</v>
      </c>
      <c r="F80" s="83">
        <f t="shared" si="6"/>
        <v>1.2190476190476191E-2</v>
      </c>
      <c r="G80" s="84">
        <v>1343054.0921904761</v>
      </c>
      <c r="H80" s="12"/>
      <c r="I80" s="12"/>
    </row>
    <row r="81" spans="2:9" x14ac:dyDescent="0.3">
      <c r="B81" s="176"/>
      <c r="C81" s="178"/>
      <c r="D81" s="180"/>
      <c r="E81" s="64" t="s">
        <v>37</v>
      </c>
      <c r="F81" s="83">
        <f t="shared" si="6"/>
        <v>4.5714285714285718E-3</v>
      </c>
      <c r="G81" s="84">
        <v>503645.28457142855</v>
      </c>
      <c r="H81" s="12"/>
      <c r="I81" s="12"/>
    </row>
    <row r="82" spans="2:9" x14ac:dyDescent="0.3">
      <c r="B82" s="176"/>
      <c r="C82" s="178"/>
      <c r="D82" s="180"/>
      <c r="E82" s="64" t="s">
        <v>69</v>
      </c>
      <c r="F82" s="83">
        <f t="shared" si="6"/>
        <v>7.0857142857142869E-2</v>
      </c>
      <c r="G82" s="84">
        <v>7806501.9108571429</v>
      </c>
      <c r="H82" s="12"/>
      <c r="I82" s="12"/>
    </row>
    <row r="83" spans="2:9" x14ac:dyDescent="0.3">
      <c r="B83" s="176"/>
      <c r="C83" s="178"/>
      <c r="D83" s="180"/>
      <c r="E83" s="64" t="s">
        <v>38</v>
      </c>
      <c r="F83" s="83">
        <f t="shared" si="6"/>
        <v>7.0857142857142869E-2</v>
      </c>
      <c r="G83" s="84">
        <v>7806501.9108571429</v>
      </c>
      <c r="H83" s="12"/>
      <c r="I83" s="12"/>
    </row>
    <row r="84" spans="2:9" x14ac:dyDescent="0.3">
      <c r="B84" s="194" t="s">
        <v>72</v>
      </c>
      <c r="C84" s="194"/>
      <c r="D84" s="194"/>
      <c r="E84" s="194"/>
      <c r="F84" s="82">
        <f>SUM(F69:F83)</f>
        <v>1.0000000000000002</v>
      </c>
      <c r="G84" s="79">
        <f>SUM(G69:G83)</f>
        <v>110172405.99999999</v>
      </c>
      <c r="H84" s="70">
        <f>SUM(H69:H83)</f>
        <v>0</v>
      </c>
      <c r="I84" s="70">
        <f>SUM(I69:I83)</f>
        <v>0</v>
      </c>
    </row>
    <row r="86" spans="2:9" ht="49.5" x14ac:dyDescent="0.3">
      <c r="B86" s="77" t="s">
        <v>11</v>
      </c>
      <c r="C86" s="77" t="s">
        <v>5</v>
      </c>
      <c r="D86" s="77" t="s">
        <v>6</v>
      </c>
      <c r="E86" s="77" t="s">
        <v>7</v>
      </c>
      <c r="F86" s="77" t="s">
        <v>52</v>
      </c>
      <c r="G86" s="79" t="s">
        <v>8</v>
      </c>
      <c r="H86" s="52" t="s">
        <v>9</v>
      </c>
      <c r="I86" s="52" t="s">
        <v>10</v>
      </c>
    </row>
    <row r="87" spans="2:9" x14ac:dyDescent="0.3">
      <c r="B87" s="175" t="s">
        <v>28</v>
      </c>
      <c r="C87" s="177">
        <v>10</v>
      </c>
      <c r="D87" s="179" t="s">
        <v>59</v>
      </c>
      <c r="E87" s="64" t="s">
        <v>29</v>
      </c>
      <c r="F87" s="83">
        <f>(G87*100%)/$G$102</f>
        <v>2.6285714285714287E-2</v>
      </c>
      <c r="G87" s="84">
        <v>451638.72457142861</v>
      </c>
      <c r="H87" s="12"/>
      <c r="I87" s="12"/>
    </row>
    <row r="88" spans="2:9" x14ac:dyDescent="0.3">
      <c r="B88" s="176"/>
      <c r="C88" s="178"/>
      <c r="D88" s="180"/>
      <c r="E88" s="64" t="s">
        <v>30</v>
      </c>
      <c r="F88" s="83">
        <f t="shared" ref="F88:F101" si="7">(G88*100%)/$G$102</f>
        <v>8.2666666666666666E-2</v>
      </c>
      <c r="G88" s="84">
        <v>1420371.0613333334</v>
      </c>
      <c r="H88" s="12"/>
      <c r="I88" s="12"/>
    </row>
    <row r="89" spans="2:9" x14ac:dyDescent="0.3">
      <c r="B89" s="176"/>
      <c r="C89" s="178"/>
      <c r="D89" s="180"/>
      <c r="E89" s="64" t="s">
        <v>31</v>
      </c>
      <c r="F89" s="83">
        <f t="shared" si="7"/>
        <v>0.10628571428571429</v>
      </c>
      <c r="G89" s="84">
        <v>1826191.3645714286</v>
      </c>
      <c r="H89" s="12"/>
      <c r="I89" s="12"/>
    </row>
    <row r="90" spans="2:9" x14ac:dyDescent="0.3">
      <c r="B90" s="176"/>
      <c r="C90" s="178"/>
      <c r="D90" s="180"/>
      <c r="E90" s="64" t="s">
        <v>32</v>
      </c>
      <c r="F90" s="83">
        <f t="shared" si="7"/>
        <v>8.2666666666666666E-2</v>
      </c>
      <c r="G90" s="84">
        <v>1420371.0613333334</v>
      </c>
      <c r="H90" s="12"/>
      <c r="I90" s="12"/>
    </row>
    <row r="91" spans="2:9" x14ac:dyDescent="0.3">
      <c r="B91" s="176"/>
      <c r="C91" s="178"/>
      <c r="D91" s="180"/>
      <c r="E91" s="64" t="s">
        <v>27</v>
      </c>
      <c r="F91" s="83">
        <f t="shared" si="7"/>
        <v>9.4476190476190477E-2</v>
      </c>
      <c r="G91" s="84">
        <v>1623281.212952381</v>
      </c>
      <c r="H91" s="12"/>
      <c r="I91" s="12"/>
    </row>
    <row r="92" spans="2:9" x14ac:dyDescent="0.3">
      <c r="B92" s="176"/>
      <c r="C92" s="178"/>
      <c r="D92" s="180"/>
      <c r="E92" s="64" t="s">
        <v>33</v>
      </c>
      <c r="F92" s="83">
        <f t="shared" si="7"/>
        <v>9.4476190476190477E-2</v>
      </c>
      <c r="G92" s="84">
        <v>1623281.212952381</v>
      </c>
      <c r="H92" s="12"/>
      <c r="I92" s="12"/>
    </row>
    <row r="93" spans="2:9" x14ac:dyDescent="0.3">
      <c r="B93" s="176"/>
      <c r="C93" s="178"/>
      <c r="D93" s="180"/>
      <c r="E93" s="64" t="s">
        <v>66</v>
      </c>
      <c r="F93" s="83">
        <f t="shared" si="7"/>
        <v>0.10628571428571429</v>
      </c>
      <c r="G93" s="84">
        <v>1826191.3645714286</v>
      </c>
      <c r="H93" s="12"/>
      <c r="I93" s="12"/>
    </row>
    <row r="94" spans="2:9" x14ac:dyDescent="0.3">
      <c r="B94" s="176"/>
      <c r="C94" s="178"/>
      <c r="D94" s="180"/>
      <c r="E94" s="64" t="s">
        <v>67</v>
      </c>
      <c r="F94" s="83">
        <f t="shared" si="7"/>
        <v>4.7619047619047623E-2</v>
      </c>
      <c r="G94" s="84">
        <v>818186.09523809527</v>
      </c>
      <c r="H94" s="12"/>
      <c r="I94" s="12"/>
    </row>
    <row r="95" spans="2:9" x14ac:dyDescent="0.3">
      <c r="B95" s="176"/>
      <c r="C95" s="178"/>
      <c r="D95" s="180"/>
      <c r="E95" s="64" t="s">
        <v>34</v>
      </c>
      <c r="F95" s="83">
        <f t="shared" si="7"/>
        <v>2.3619047619047619E-2</v>
      </c>
      <c r="G95" s="84">
        <v>405820.30323809525</v>
      </c>
      <c r="H95" s="12"/>
      <c r="I95" s="12"/>
    </row>
    <row r="96" spans="2:9" x14ac:dyDescent="0.3">
      <c r="B96" s="176"/>
      <c r="C96" s="178"/>
      <c r="D96" s="180"/>
      <c r="E96" s="64" t="s">
        <v>35</v>
      </c>
      <c r="F96" s="83">
        <f t="shared" si="7"/>
        <v>0.10628571428571429</v>
      </c>
      <c r="G96" s="84">
        <v>1826191.3645714286</v>
      </c>
      <c r="H96" s="12"/>
      <c r="I96" s="12"/>
    </row>
    <row r="97" spans="2:9" x14ac:dyDescent="0.3">
      <c r="B97" s="176"/>
      <c r="C97" s="178"/>
      <c r="D97" s="180"/>
      <c r="E97" s="64" t="s">
        <v>68</v>
      </c>
      <c r="F97" s="83">
        <f t="shared" si="7"/>
        <v>7.0857142857142855E-2</v>
      </c>
      <c r="G97" s="84">
        <v>1217460.9097142857</v>
      </c>
      <c r="H97" s="12"/>
      <c r="I97" s="12"/>
    </row>
    <row r="98" spans="2:9" x14ac:dyDescent="0.3">
      <c r="B98" s="176"/>
      <c r="C98" s="178"/>
      <c r="D98" s="180"/>
      <c r="E98" s="64" t="s">
        <v>36</v>
      </c>
      <c r="F98" s="83">
        <f t="shared" si="7"/>
        <v>1.2190476190476191E-2</v>
      </c>
      <c r="G98" s="84">
        <v>209455.64038095239</v>
      </c>
      <c r="H98" s="12"/>
      <c r="I98" s="12"/>
    </row>
    <row r="99" spans="2:9" x14ac:dyDescent="0.3">
      <c r="B99" s="176"/>
      <c r="C99" s="178"/>
      <c r="D99" s="180"/>
      <c r="E99" s="64" t="s">
        <v>37</v>
      </c>
      <c r="F99" s="83">
        <f t="shared" si="7"/>
        <v>4.5714285714285718E-3</v>
      </c>
      <c r="G99" s="84">
        <v>78545.865142857147</v>
      </c>
      <c r="H99" s="12"/>
      <c r="I99" s="12"/>
    </row>
    <row r="100" spans="2:9" x14ac:dyDescent="0.3">
      <c r="B100" s="176"/>
      <c r="C100" s="178"/>
      <c r="D100" s="180"/>
      <c r="E100" s="64" t="s">
        <v>69</v>
      </c>
      <c r="F100" s="83">
        <f t="shared" si="7"/>
        <v>7.0857142857142855E-2</v>
      </c>
      <c r="G100" s="84">
        <v>1217460.9097142857</v>
      </c>
      <c r="H100" s="12"/>
      <c r="I100" s="12"/>
    </row>
    <row r="101" spans="2:9" x14ac:dyDescent="0.3">
      <c r="B101" s="176"/>
      <c r="C101" s="178"/>
      <c r="D101" s="180"/>
      <c r="E101" s="64" t="s">
        <v>38</v>
      </c>
      <c r="F101" s="83">
        <f t="shared" si="7"/>
        <v>7.0857142857142855E-2</v>
      </c>
      <c r="G101" s="84">
        <v>1217460.9097142857</v>
      </c>
      <c r="H101" s="12"/>
      <c r="I101" s="12"/>
    </row>
    <row r="102" spans="2:9" x14ac:dyDescent="0.3">
      <c r="B102" s="194" t="s">
        <v>75</v>
      </c>
      <c r="C102" s="194"/>
      <c r="D102" s="194"/>
      <c r="E102" s="194"/>
      <c r="F102" s="82">
        <f>SUM(F87:F101)</f>
        <v>1.0000000000000002</v>
      </c>
      <c r="G102" s="79">
        <f>SUM(G87:G101)</f>
        <v>17181908</v>
      </c>
      <c r="H102" s="70">
        <f>SUM(H87:H101)</f>
        <v>0</v>
      </c>
      <c r="I102" s="70">
        <f>SUM(I87:I101)</f>
        <v>0</v>
      </c>
    </row>
    <row r="104" spans="2:9" ht="49.5" x14ac:dyDescent="0.3">
      <c r="B104" s="77" t="s">
        <v>11</v>
      </c>
      <c r="C104" s="77" t="s">
        <v>5</v>
      </c>
      <c r="D104" s="77" t="s">
        <v>6</v>
      </c>
      <c r="E104" s="77" t="s">
        <v>7</v>
      </c>
      <c r="F104" s="77" t="s">
        <v>52</v>
      </c>
      <c r="G104" s="79" t="s">
        <v>8</v>
      </c>
      <c r="H104" s="52" t="s">
        <v>9</v>
      </c>
      <c r="I104" s="52" t="s">
        <v>10</v>
      </c>
    </row>
    <row r="105" spans="2:9" x14ac:dyDescent="0.3">
      <c r="B105" s="175" t="s">
        <v>39</v>
      </c>
      <c r="C105" s="177">
        <v>10</v>
      </c>
      <c r="D105" s="179" t="s">
        <v>40</v>
      </c>
      <c r="E105" s="64" t="s">
        <v>29</v>
      </c>
      <c r="F105" s="83">
        <f>(G105*100%)/$G$120</f>
        <v>2.6285714285714284E-2</v>
      </c>
      <c r="G105" s="84">
        <v>2014359.2411428571</v>
      </c>
      <c r="H105" s="12"/>
      <c r="I105" s="12"/>
    </row>
    <row r="106" spans="2:9" x14ac:dyDescent="0.3">
      <c r="B106" s="176"/>
      <c r="C106" s="178"/>
      <c r="D106" s="180"/>
      <c r="E106" s="64" t="s">
        <v>30</v>
      </c>
      <c r="F106" s="83">
        <f t="shared" ref="F106:F119" si="8">(G106*100%)/$G$120</f>
        <v>8.2666666666666666E-2</v>
      </c>
      <c r="G106" s="84">
        <v>6335013.8453333331</v>
      </c>
      <c r="H106" s="12"/>
      <c r="I106" s="12"/>
    </row>
    <row r="107" spans="2:9" x14ac:dyDescent="0.3">
      <c r="B107" s="176"/>
      <c r="C107" s="178"/>
      <c r="D107" s="180"/>
      <c r="E107" s="64" t="s">
        <v>31</v>
      </c>
      <c r="F107" s="83">
        <f t="shared" si="8"/>
        <v>0.10628571428571428</v>
      </c>
      <c r="G107" s="84">
        <v>8145017.8011428565</v>
      </c>
      <c r="H107" s="12"/>
      <c r="I107" s="12"/>
    </row>
    <row r="108" spans="2:9" x14ac:dyDescent="0.3">
      <c r="B108" s="176"/>
      <c r="C108" s="178"/>
      <c r="D108" s="180"/>
      <c r="E108" s="64" t="s">
        <v>32</v>
      </c>
      <c r="F108" s="83">
        <f t="shared" si="8"/>
        <v>8.2666666666666666E-2</v>
      </c>
      <c r="G108" s="84">
        <v>6335013.8453333331</v>
      </c>
      <c r="H108" s="12"/>
      <c r="I108" s="12"/>
    </row>
    <row r="109" spans="2:9" x14ac:dyDescent="0.3">
      <c r="B109" s="176"/>
      <c r="C109" s="178"/>
      <c r="D109" s="180"/>
      <c r="E109" s="64" t="s">
        <v>27</v>
      </c>
      <c r="F109" s="83">
        <f t="shared" si="8"/>
        <v>9.4476190476190477E-2</v>
      </c>
      <c r="G109" s="84">
        <v>7240015.8232380953</v>
      </c>
      <c r="H109" s="12"/>
      <c r="I109" s="12"/>
    </row>
    <row r="110" spans="2:9" x14ac:dyDescent="0.3">
      <c r="B110" s="176"/>
      <c r="C110" s="178"/>
      <c r="D110" s="180"/>
      <c r="E110" s="64" t="s">
        <v>33</v>
      </c>
      <c r="F110" s="83">
        <f t="shared" si="8"/>
        <v>9.4476190476190477E-2</v>
      </c>
      <c r="G110" s="84">
        <v>7240015.8232380953</v>
      </c>
      <c r="H110" s="12"/>
      <c r="I110" s="12"/>
    </row>
    <row r="111" spans="2:9" x14ac:dyDescent="0.3">
      <c r="B111" s="176"/>
      <c r="C111" s="178"/>
      <c r="D111" s="180"/>
      <c r="E111" s="64" t="s">
        <v>66</v>
      </c>
      <c r="F111" s="83">
        <f t="shared" si="8"/>
        <v>0.10628571428571428</v>
      </c>
      <c r="G111" s="84">
        <v>8145017.8011428565</v>
      </c>
      <c r="H111" s="12"/>
      <c r="I111" s="12"/>
    </row>
    <row r="112" spans="2:9" x14ac:dyDescent="0.3">
      <c r="B112" s="176"/>
      <c r="C112" s="178"/>
      <c r="D112" s="180"/>
      <c r="E112" s="64" t="s">
        <v>67</v>
      </c>
      <c r="F112" s="83">
        <f t="shared" si="8"/>
        <v>4.7619047619047616E-2</v>
      </c>
      <c r="G112" s="84">
        <v>3649201.5238095238</v>
      </c>
      <c r="H112" s="12"/>
      <c r="I112" s="12"/>
    </row>
    <row r="113" spans="2:9" x14ac:dyDescent="0.3">
      <c r="B113" s="176"/>
      <c r="C113" s="178"/>
      <c r="D113" s="180"/>
      <c r="E113" s="64" t="s">
        <v>34</v>
      </c>
      <c r="F113" s="83">
        <f t="shared" si="8"/>
        <v>2.3619047619047619E-2</v>
      </c>
      <c r="G113" s="84">
        <v>1810003.9558095238</v>
      </c>
      <c r="H113" s="12"/>
      <c r="I113" s="12"/>
    </row>
    <row r="114" spans="2:9" x14ac:dyDescent="0.3">
      <c r="B114" s="176"/>
      <c r="C114" s="178"/>
      <c r="D114" s="180"/>
      <c r="E114" s="64" t="s">
        <v>35</v>
      </c>
      <c r="F114" s="83">
        <f t="shared" si="8"/>
        <v>0.10628571428571428</v>
      </c>
      <c r="G114" s="84">
        <v>8145017.8011428565</v>
      </c>
      <c r="H114" s="12"/>
      <c r="I114" s="12"/>
    </row>
    <row r="115" spans="2:9" x14ac:dyDescent="0.3">
      <c r="B115" s="176"/>
      <c r="C115" s="178"/>
      <c r="D115" s="180"/>
      <c r="E115" s="64" t="s">
        <v>68</v>
      </c>
      <c r="F115" s="83">
        <f t="shared" si="8"/>
        <v>7.0857142857142855E-2</v>
      </c>
      <c r="G115" s="84">
        <v>5430011.867428571</v>
      </c>
      <c r="H115" s="12"/>
      <c r="I115" s="12"/>
    </row>
    <row r="116" spans="2:9" x14ac:dyDescent="0.3">
      <c r="B116" s="176"/>
      <c r="C116" s="178"/>
      <c r="D116" s="180"/>
      <c r="E116" s="64" t="s">
        <v>36</v>
      </c>
      <c r="F116" s="83">
        <f t="shared" si="8"/>
        <v>1.2190476190476191E-2</v>
      </c>
      <c r="G116" s="84">
        <v>934195.59009523806</v>
      </c>
      <c r="H116" s="12"/>
      <c r="I116" s="12"/>
    </row>
    <row r="117" spans="2:9" x14ac:dyDescent="0.3">
      <c r="B117" s="176"/>
      <c r="C117" s="178"/>
      <c r="D117" s="180"/>
      <c r="E117" s="64" t="s">
        <v>37</v>
      </c>
      <c r="F117" s="83">
        <f t="shared" si="8"/>
        <v>4.5714285714285718E-3</v>
      </c>
      <c r="G117" s="84">
        <v>350323.3462857143</v>
      </c>
      <c r="H117" s="12"/>
      <c r="I117" s="12"/>
    </row>
    <row r="118" spans="2:9" x14ac:dyDescent="0.3">
      <c r="B118" s="176"/>
      <c r="C118" s="178"/>
      <c r="D118" s="180"/>
      <c r="E118" s="64" t="s">
        <v>69</v>
      </c>
      <c r="F118" s="83">
        <f t="shared" si="8"/>
        <v>7.0857142857142855E-2</v>
      </c>
      <c r="G118" s="84">
        <v>5430011.867428571</v>
      </c>
      <c r="H118" s="12"/>
      <c r="I118" s="12"/>
    </row>
    <row r="119" spans="2:9" x14ac:dyDescent="0.3">
      <c r="B119" s="176"/>
      <c r="C119" s="178"/>
      <c r="D119" s="180"/>
      <c r="E119" s="64" t="s">
        <v>38</v>
      </c>
      <c r="F119" s="83">
        <f t="shared" si="8"/>
        <v>7.0857142857142855E-2</v>
      </c>
      <c r="G119" s="84">
        <v>5430011.867428571</v>
      </c>
      <c r="H119" s="12"/>
      <c r="I119" s="12"/>
    </row>
    <row r="120" spans="2:9" x14ac:dyDescent="0.3">
      <c r="B120" s="194" t="s">
        <v>76</v>
      </c>
      <c r="C120" s="194"/>
      <c r="D120" s="194"/>
      <c r="E120" s="194"/>
      <c r="F120" s="82">
        <f>SUM(F105:F119)</f>
        <v>1.0000000000000002</v>
      </c>
      <c r="G120" s="79">
        <f>SUM(G105:G119)</f>
        <v>76633232</v>
      </c>
      <c r="H120" s="70">
        <f>SUM(H105:H119)</f>
        <v>0</v>
      </c>
      <c r="I120" s="70">
        <f>SUM(I105:I119)</f>
        <v>0</v>
      </c>
    </row>
    <row r="122" spans="2:9" ht="49.5" x14ac:dyDescent="0.3">
      <c r="B122" s="77" t="s">
        <v>11</v>
      </c>
      <c r="C122" s="77" t="s">
        <v>5</v>
      </c>
      <c r="D122" s="77" t="s">
        <v>6</v>
      </c>
      <c r="E122" s="77" t="s">
        <v>7</v>
      </c>
      <c r="F122" s="77" t="s">
        <v>52</v>
      </c>
      <c r="G122" s="79" t="s">
        <v>8</v>
      </c>
      <c r="H122" s="52" t="s">
        <v>9</v>
      </c>
      <c r="I122" s="52" t="s">
        <v>10</v>
      </c>
    </row>
    <row r="123" spans="2:9" x14ac:dyDescent="0.3">
      <c r="B123" s="175" t="s">
        <v>41</v>
      </c>
      <c r="C123" s="177">
        <v>10</v>
      </c>
      <c r="D123" s="179" t="s">
        <v>42</v>
      </c>
      <c r="E123" s="64" t="s">
        <v>29</v>
      </c>
      <c r="F123" s="83">
        <f>G123/$G$138</f>
        <v>2.6285714285714291E-2</v>
      </c>
      <c r="G123" s="84">
        <v>280686.848</v>
      </c>
      <c r="H123" s="12"/>
      <c r="I123" s="12"/>
    </row>
    <row r="124" spans="2:9" x14ac:dyDescent="0.3">
      <c r="B124" s="176"/>
      <c r="C124" s="178"/>
      <c r="D124" s="180"/>
      <c r="E124" s="64" t="s">
        <v>30</v>
      </c>
      <c r="F124" s="83">
        <f t="shared" ref="F124:F137" si="9">G124/$G$138</f>
        <v>8.266666666666668E-2</v>
      </c>
      <c r="G124" s="84">
        <v>882739.79733333329</v>
      </c>
      <c r="H124" s="12"/>
      <c r="I124" s="12"/>
    </row>
    <row r="125" spans="2:9" x14ac:dyDescent="0.3">
      <c r="B125" s="176"/>
      <c r="C125" s="178"/>
      <c r="D125" s="180"/>
      <c r="E125" s="64" t="s">
        <v>31</v>
      </c>
      <c r="F125" s="83">
        <f t="shared" si="9"/>
        <v>0.10628571428571429</v>
      </c>
      <c r="G125" s="84">
        <v>1134951.1679999998</v>
      </c>
      <c r="H125" s="12"/>
      <c r="I125" s="12"/>
    </row>
    <row r="126" spans="2:9" x14ac:dyDescent="0.3">
      <c r="B126" s="176"/>
      <c r="C126" s="178"/>
      <c r="D126" s="180"/>
      <c r="E126" s="64" t="s">
        <v>32</v>
      </c>
      <c r="F126" s="83">
        <f t="shared" si="9"/>
        <v>8.266666666666668E-2</v>
      </c>
      <c r="G126" s="84">
        <v>882739.79733333329</v>
      </c>
      <c r="H126" s="12"/>
      <c r="I126" s="12"/>
    </row>
    <row r="127" spans="2:9" x14ac:dyDescent="0.3">
      <c r="B127" s="176"/>
      <c r="C127" s="178"/>
      <c r="D127" s="180"/>
      <c r="E127" s="64" t="s">
        <v>27</v>
      </c>
      <c r="F127" s="83">
        <f t="shared" si="9"/>
        <v>9.4476190476190491E-2</v>
      </c>
      <c r="G127" s="84">
        <v>1008845.4826666666</v>
      </c>
      <c r="H127" s="12"/>
      <c r="I127" s="12"/>
    </row>
    <row r="128" spans="2:9" x14ac:dyDescent="0.3">
      <c r="B128" s="176"/>
      <c r="C128" s="178"/>
      <c r="D128" s="180"/>
      <c r="E128" s="64" t="s">
        <v>33</v>
      </c>
      <c r="F128" s="83">
        <f t="shared" si="9"/>
        <v>9.4476190476190491E-2</v>
      </c>
      <c r="G128" s="84">
        <v>1008845.4826666666</v>
      </c>
      <c r="H128" s="12"/>
      <c r="I128" s="12"/>
    </row>
    <row r="129" spans="2:9" x14ac:dyDescent="0.3">
      <c r="B129" s="176"/>
      <c r="C129" s="178"/>
      <c r="D129" s="180"/>
      <c r="E129" s="64" t="s">
        <v>66</v>
      </c>
      <c r="F129" s="83">
        <f t="shared" si="9"/>
        <v>0.10628571428571429</v>
      </c>
      <c r="G129" s="84">
        <v>1134951.1679999998</v>
      </c>
      <c r="H129" s="12"/>
      <c r="I129" s="12"/>
    </row>
    <row r="130" spans="2:9" x14ac:dyDescent="0.3">
      <c r="B130" s="176"/>
      <c r="C130" s="178"/>
      <c r="D130" s="180"/>
      <c r="E130" s="64" t="s">
        <v>67</v>
      </c>
      <c r="F130" s="83">
        <f t="shared" si="9"/>
        <v>4.7619047619047623E-2</v>
      </c>
      <c r="G130" s="84">
        <v>508490.66666666663</v>
      </c>
      <c r="H130" s="12"/>
      <c r="I130" s="12"/>
    </row>
    <row r="131" spans="2:9" x14ac:dyDescent="0.3">
      <c r="B131" s="176"/>
      <c r="C131" s="178"/>
      <c r="D131" s="180"/>
      <c r="E131" s="64" t="s">
        <v>34</v>
      </c>
      <c r="F131" s="83">
        <f t="shared" si="9"/>
        <v>2.3619047619047623E-2</v>
      </c>
      <c r="G131" s="84">
        <v>252211.37066666665</v>
      </c>
      <c r="H131" s="12"/>
      <c r="I131" s="12"/>
    </row>
    <row r="132" spans="2:9" x14ac:dyDescent="0.3">
      <c r="B132" s="176"/>
      <c r="C132" s="178"/>
      <c r="D132" s="180"/>
      <c r="E132" s="64" t="s">
        <v>35</v>
      </c>
      <c r="F132" s="83">
        <f t="shared" si="9"/>
        <v>0.10628571428571429</v>
      </c>
      <c r="G132" s="84">
        <v>1134951.1679999998</v>
      </c>
      <c r="H132" s="12"/>
      <c r="I132" s="12"/>
    </row>
    <row r="133" spans="2:9" x14ac:dyDescent="0.3">
      <c r="B133" s="176"/>
      <c r="C133" s="178"/>
      <c r="D133" s="180"/>
      <c r="E133" s="64" t="s">
        <v>68</v>
      </c>
      <c r="F133" s="83">
        <f t="shared" si="9"/>
        <v>7.0857142857142869E-2</v>
      </c>
      <c r="G133" s="84">
        <v>756634.11199999996</v>
      </c>
      <c r="H133" s="12"/>
      <c r="I133" s="12"/>
    </row>
    <row r="134" spans="2:9" x14ac:dyDescent="0.3">
      <c r="B134" s="176"/>
      <c r="C134" s="178"/>
      <c r="D134" s="180"/>
      <c r="E134" s="64" t="s">
        <v>36</v>
      </c>
      <c r="F134" s="83">
        <f t="shared" si="9"/>
        <v>1.2190476190476193E-2</v>
      </c>
      <c r="G134" s="84">
        <v>130173.61066666666</v>
      </c>
      <c r="H134" s="12"/>
      <c r="I134" s="12"/>
    </row>
    <row r="135" spans="2:9" x14ac:dyDescent="0.3">
      <c r="B135" s="176"/>
      <c r="C135" s="178"/>
      <c r="D135" s="180"/>
      <c r="E135" s="64" t="s">
        <v>37</v>
      </c>
      <c r="F135" s="83">
        <f t="shared" si="9"/>
        <v>4.5714285714285718E-3</v>
      </c>
      <c r="G135" s="84">
        <v>48815.103999999999</v>
      </c>
      <c r="H135" s="12"/>
      <c r="I135" s="12"/>
    </row>
    <row r="136" spans="2:9" x14ac:dyDescent="0.3">
      <c r="B136" s="176"/>
      <c r="C136" s="178"/>
      <c r="D136" s="180"/>
      <c r="E136" s="64" t="s">
        <v>69</v>
      </c>
      <c r="F136" s="83">
        <f t="shared" si="9"/>
        <v>7.0857142857142869E-2</v>
      </c>
      <c r="G136" s="84">
        <v>756634.11199999996</v>
      </c>
      <c r="H136" s="12"/>
      <c r="I136" s="12"/>
    </row>
    <row r="137" spans="2:9" x14ac:dyDescent="0.3">
      <c r="B137" s="176"/>
      <c r="C137" s="178"/>
      <c r="D137" s="180"/>
      <c r="E137" s="64" t="s">
        <v>38</v>
      </c>
      <c r="F137" s="83">
        <f t="shared" si="9"/>
        <v>7.0857142857142869E-2</v>
      </c>
      <c r="G137" s="84">
        <v>756634.11199999996</v>
      </c>
      <c r="H137" s="12"/>
      <c r="I137" s="12"/>
    </row>
    <row r="138" spans="2:9" x14ac:dyDescent="0.3">
      <c r="B138" s="194" t="s">
        <v>73</v>
      </c>
      <c r="C138" s="194"/>
      <c r="D138" s="194"/>
      <c r="E138" s="194"/>
      <c r="F138" s="82">
        <f>SUM(F123:F137)</f>
        <v>1.0000000000000002</v>
      </c>
      <c r="G138" s="79">
        <f>SUM(G123:G137)</f>
        <v>10678303.999999998</v>
      </c>
      <c r="H138" s="70">
        <f>SUM(H123:H137)</f>
        <v>0</v>
      </c>
      <c r="I138" s="70">
        <f>SUM(I123:I137)</f>
        <v>0</v>
      </c>
    </row>
    <row r="140" spans="2:9" ht="49.5" x14ac:dyDescent="0.3">
      <c r="B140" s="77" t="s">
        <v>11</v>
      </c>
      <c r="C140" s="77" t="s">
        <v>5</v>
      </c>
      <c r="D140" s="77" t="s">
        <v>6</v>
      </c>
      <c r="E140" s="77" t="s">
        <v>7</v>
      </c>
      <c r="F140" s="77" t="s">
        <v>52</v>
      </c>
      <c r="G140" s="79" t="s">
        <v>8</v>
      </c>
      <c r="H140" s="52" t="s">
        <v>9</v>
      </c>
      <c r="I140" s="52" t="s">
        <v>10</v>
      </c>
    </row>
    <row r="141" spans="2:9" x14ac:dyDescent="0.3">
      <c r="B141" s="175" t="s">
        <v>43</v>
      </c>
      <c r="C141" s="177">
        <v>10</v>
      </c>
      <c r="D141" s="179" t="s">
        <v>44</v>
      </c>
      <c r="E141" s="64" t="s">
        <v>29</v>
      </c>
      <c r="F141" s="83">
        <f>G141/$G$156</f>
        <v>2.6285714285714287E-2</v>
      </c>
      <c r="G141" s="84">
        <v>562100.86400000006</v>
      </c>
      <c r="H141" s="12"/>
      <c r="I141" s="12"/>
    </row>
    <row r="142" spans="2:9" x14ac:dyDescent="0.3">
      <c r="B142" s="176"/>
      <c r="C142" s="178"/>
      <c r="D142" s="180"/>
      <c r="E142" s="64" t="s">
        <v>30</v>
      </c>
      <c r="F142" s="83">
        <f t="shared" ref="F142:F155" si="10">G142/$G$156</f>
        <v>8.266666666666668E-2</v>
      </c>
      <c r="G142" s="84">
        <v>1767766.4853333335</v>
      </c>
      <c r="H142" s="12"/>
      <c r="I142" s="12"/>
    </row>
    <row r="143" spans="2:9" x14ac:dyDescent="0.3">
      <c r="B143" s="176"/>
      <c r="C143" s="178"/>
      <c r="D143" s="180"/>
      <c r="E143" s="64" t="s">
        <v>31</v>
      </c>
      <c r="F143" s="83">
        <f t="shared" si="10"/>
        <v>0.10628571428571428</v>
      </c>
      <c r="G143" s="84">
        <v>2272842.6239999998</v>
      </c>
      <c r="H143" s="12"/>
      <c r="I143" s="12"/>
    </row>
    <row r="144" spans="2:9" x14ac:dyDescent="0.3">
      <c r="B144" s="176"/>
      <c r="C144" s="178"/>
      <c r="D144" s="180"/>
      <c r="E144" s="64" t="s">
        <v>32</v>
      </c>
      <c r="F144" s="83">
        <f t="shared" si="10"/>
        <v>8.266666666666668E-2</v>
      </c>
      <c r="G144" s="84">
        <v>1767766.4853333335</v>
      </c>
      <c r="H144" s="12"/>
      <c r="I144" s="12"/>
    </row>
    <row r="145" spans="2:9" x14ac:dyDescent="0.3">
      <c r="B145" s="176"/>
      <c r="C145" s="178"/>
      <c r="D145" s="180"/>
      <c r="E145" s="64" t="s">
        <v>27</v>
      </c>
      <c r="F145" s="83">
        <f t="shared" si="10"/>
        <v>9.4476190476190477E-2</v>
      </c>
      <c r="G145" s="84">
        <v>2020304.5546666668</v>
      </c>
      <c r="H145" s="12"/>
      <c r="I145" s="12"/>
    </row>
    <row r="146" spans="2:9" x14ac:dyDescent="0.3">
      <c r="B146" s="176"/>
      <c r="C146" s="178"/>
      <c r="D146" s="180"/>
      <c r="E146" s="64" t="s">
        <v>33</v>
      </c>
      <c r="F146" s="83">
        <f t="shared" si="10"/>
        <v>9.4476190476190477E-2</v>
      </c>
      <c r="G146" s="84">
        <v>2020304.5546666668</v>
      </c>
      <c r="H146" s="12"/>
      <c r="I146" s="12"/>
    </row>
    <row r="147" spans="2:9" x14ac:dyDescent="0.3">
      <c r="B147" s="176"/>
      <c r="C147" s="178"/>
      <c r="D147" s="180"/>
      <c r="E147" s="64" t="s">
        <v>66</v>
      </c>
      <c r="F147" s="83">
        <f t="shared" si="10"/>
        <v>0.10628571428571428</v>
      </c>
      <c r="G147" s="84">
        <v>2272842.6239999998</v>
      </c>
      <c r="H147" s="12"/>
      <c r="I147" s="12"/>
    </row>
    <row r="148" spans="2:9" x14ac:dyDescent="0.3">
      <c r="B148" s="176"/>
      <c r="C148" s="178"/>
      <c r="D148" s="180"/>
      <c r="E148" s="64" t="s">
        <v>67</v>
      </c>
      <c r="F148" s="83">
        <f t="shared" si="10"/>
        <v>4.7619047619047623E-2</v>
      </c>
      <c r="G148" s="84">
        <v>1018298.6666666667</v>
      </c>
      <c r="H148" s="12"/>
      <c r="I148" s="12"/>
    </row>
    <row r="149" spans="2:9" x14ac:dyDescent="0.3">
      <c r="B149" s="176"/>
      <c r="C149" s="178"/>
      <c r="D149" s="180"/>
      <c r="E149" s="64" t="s">
        <v>34</v>
      </c>
      <c r="F149" s="83">
        <f t="shared" si="10"/>
        <v>2.3619047619047619E-2</v>
      </c>
      <c r="G149" s="84">
        <v>505076.13866666669</v>
      </c>
      <c r="H149" s="12"/>
      <c r="I149" s="12"/>
    </row>
    <row r="150" spans="2:9" x14ac:dyDescent="0.3">
      <c r="B150" s="176"/>
      <c r="C150" s="178"/>
      <c r="D150" s="180"/>
      <c r="E150" s="64" t="s">
        <v>35</v>
      </c>
      <c r="F150" s="83">
        <f t="shared" si="10"/>
        <v>0.10628571428571428</v>
      </c>
      <c r="G150" s="84">
        <v>2272842.6239999998</v>
      </c>
      <c r="H150" s="12"/>
      <c r="I150" s="12"/>
    </row>
    <row r="151" spans="2:9" x14ac:dyDescent="0.3">
      <c r="B151" s="176"/>
      <c r="C151" s="178"/>
      <c r="D151" s="180"/>
      <c r="E151" s="64" t="s">
        <v>68</v>
      </c>
      <c r="F151" s="83">
        <f t="shared" si="10"/>
        <v>7.0857142857142855E-2</v>
      </c>
      <c r="G151" s="84">
        <v>1515228.416</v>
      </c>
      <c r="H151" s="12"/>
      <c r="I151" s="12"/>
    </row>
    <row r="152" spans="2:9" x14ac:dyDescent="0.3">
      <c r="B152" s="176"/>
      <c r="C152" s="178"/>
      <c r="D152" s="180"/>
      <c r="E152" s="64" t="s">
        <v>36</v>
      </c>
      <c r="F152" s="83">
        <f t="shared" si="10"/>
        <v>1.2190476190476191E-2</v>
      </c>
      <c r="G152" s="84">
        <v>260684.45866666667</v>
      </c>
      <c r="H152" s="12"/>
      <c r="I152" s="12"/>
    </row>
    <row r="153" spans="2:9" x14ac:dyDescent="0.3">
      <c r="B153" s="176"/>
      <c r="C153" s="178"/>
      <c r="D153" s="180"/>
      <c r="E153" s="64" t="s">
        <v>37</v>
      </c>
      <c r="F153" s="83">
        <f t="shared" si="10"/>
        <v>4.5714285714285718E-3</v>
      </c>
      <c r="G153" s="84">
        <v>97756.672000000006</v>
      </c>
      <c r="H153" s="12"/>
      <c r="I153" s="12"/>
    </row>
    <row r="154" spans="2:9" x14ac:dyDescent="0.3">
      <c r="B154" s="176"/>
      <c r="C154" s="178"/>
      <c r="D154" s="180"/>
      <c r="E154" s="64" t="s">
        <v>69</v>
      </c>
      <c r="F154" s="83">
        <f t="shared" si="10"/>
        <v>7.0857142857142855E-2</v>
      </c>
      <c r="G154" s="84">
        <v>1515228.416</v>
      </c>
      <c r="H154" s="12"/>
      <c r="I154" s="12"/>
    </row>
    <row r="155" spans="2:9" x14ac:dyDescent="0.3">
      <c r="B155" s="176"/>
      <c r="C155" s="178"/>
      <c r="D155" s="180"/>
      <c r="E155" s="64" t="s">
        <v>38</v>
      </c>
      <c r="F155" s="83">
        <f t="shared" si="10"/>
        <v>7.0857142857142855E-2</v>
      </c>
      <c r="G155" s="84">
        <v>1515228.416</v>
      </c>
      <c r="H155" s="12"/>
      <c r="I155" s="12"/>
    </row>
    <row r="156" spans="2:9" x14ac:dyDescent="0.3">
      <c r="B156" s="194" t="s">
        <v>77</v>
      </c>
      <c r="C156" s="194"/>
      <c r="D156" s="194"/>
      <c r="E156" s="194"/>
      <c r="F156" s="82">
        <f>SUM(F141:F155)</f>
        <v>1.0000000000000002</v>
      </c>
      <c r="G156" s="79">
        <f>SUM(G141:G155)</f>
        <v>21384272</v>
      </c>
      <c r="H156" s="70">
        <f>SUM(H141:H155)</f>
        <v>0</v>
      </c>
      <c r="I156" s="70">
        <f>SUM(I141:I155)</f>
        <v>0</v>
      </c>
    </row>
    <row r="158" spans="2:9" ht="49.5" x14ac:dyDescent="0.3">
      <c r="B158" s="77" t="s">
        <v>11</v>
      </c>
      <c r="C158" s="77" t="s">
        <v>5</v>
      </c>
      <c r="D158" s="77" t="s">
        <v>6</v>
      </c>
      <c r="E158" s="77" t="s">
        <v>7</v>
      </c>
      <c r="F158" s="77" t="s">
        <v>52</v>
      </c>
      <c r="G158" s="79" t="s">
        <v>8</v>
      </c>
      <c r="H158" s="52" t="s">
        <v>9</v>
      </c>
      <c r="I158" s="52" t="s">
        <v>10</v>
      </c>
    </row>
    <row r="159" spans="2:9" x14ac:dyDescent="0.3">
      <c r="B159" s="175" t="s">
        <v>60</v>
      </c>
      <c r="C159" s="177">
        <v>10</v>
      </c>
      <c r="D159" s="179" t="s">
        <v>61</v>
      </c>
      <c r="E159" s="64" t="s">
        <v>29</v>
      </c>
      <c r="F159" s="83">
        <f>G159/$G$174</f>
        <v>2.628571428571428E-2</v>
      </c>
      <c r="G159" s="84">
        <v>1344689.4537142857</v>
      </c>
      <c r="H159" s="12"/>
      <c r="I159" s="12"/>
    </row>
    <row r="160" spans="2:9" x14ac:dyDescent="0.3">
      <c r="B160" s="176"/>
      <c r="C160" s="178"/>
      <c r="D160" s="180"/>
      <c r="E160" s="64" t="s">
        <v>30</v>
      </c>
      <c r="F160" s="83">
        <f t="shared" ref="F160:F173" si="11">G160/$G$174</f>
        <v>8.2666666666666652E-2</v>
      </c>
      <c r="G160" s="84">
        <v>4228950.8906666674</v>
      </c>
      <c r="H160" s="12"/>
      <c r="I160" s="12"/>
    </row>
    <row r="161" spans="2:9" x14ac:dyDescent="0.3">
      <c r="B161" s="176"/>
      <c r="C161" s="178"/>
      <c r="D161" s="180"/>
      <c r="E161" s="64" t="s">
        <v>31</v>
      </c>
      <c r="F161" s="83">
        <f t="shared" si="11"/>
        <v>0.10628571428571426</v>
      </c>
      <c r="G161" s="84">
        <v>5437222.5737142861</v>
      </c>
      <c r="H161" s="12"/>
      <c r="I161" s="12"/>
    </row>
    <row r="162" spans="2:9" x14ac:dyDescent="0.3">
      <c r="B162" s="176"/>
      <c r="C162" s="178"/>
      <c r="D162" s="180"/>
      <c r="E162" s="64" t="s">
        <v>32</v>
      </c>
      <c r="F162" s="83">
        <f t="shared" si="11"/>
        <v>8.2666666666666652E-2</v>
      </c>
      <c r="G162" s="84">
        <v>4228950.8906666674</v>
      </c>
      <c r="H162" s="12"/>
      <c r="I162" s="12"/>
    </row>
    <row r="163" spans="2:9" x14ac:dyDescent="0.3">
      <c r="B163" s="176"/>
      <c r="C163" s="178"/>
      <c r="D163" s="180"/>
      <c r="E163" s="64" t="s">
        <v>27</v>
      </c>
      <c r="F163" s="83">
        <f t="shared" si="11"/>
        <v>9.4476190476190464E-2</v>
      </c>
      <c r="G163" s="84">
        <v>4833086.7321904767</v>
      </c>
      <c r="H163" s="12"/>
      <c r="I163" s="12"/>
    </row>
    <row r="164" spans="2:9" x14ac:dyDescent="0.3">
      <c r="B164" s="176"/>
      <c r="C164" s="178"/>
      <c r="D164" s="180"/>
      <c r="E164" s="64" t="s">
        <v>33</v>
      </c>
      <c r="F164" s="83">
        <f t="shared" si="11"/>
        <v>9.4476190476190464E-2</v>
      </c>
      <c r="G164" s="84">
        <v>4833086.7321904767</v>
      </c>
      <c r="H164" s="12"/>
      <c r="I164" s="12"/>
    </row>
    <row r="165" spans="2:9" x14ac:dyDescent="0.3">
      <c r="B165" s="176"/>
      <c r="C165" s="178"/>
      <c r="D165" s="180"/>
      <c r="E165" s="64" t="s">
        <v>66</v>
      </c>
      <c r="F165" s="83">
        <f t="shared" si="11"/>
        <v>0.10628571428571426</v>
      </c>
      <c r="G165" s="84">
        <v>5437222.5737142861</v>
      </c>
      <c r="H165" s="12"/>
      <c r="I165" s="12"/>
    </row>
    <row r="166" spans="2:9" x14ac:dyDescent="0.3">
      <c r="B166" s="176"/>
      <c r="C166" s="178"/>
      <c r="D166" s="180"/>
      <c r="E166" s="64" t="s">
        <v>67</v>
      </c>
      <c r="F166" s="83">
        <f t="shared" si="11"/>
        <v>4.7619047619047609E-2</v>
      </c>
      <c r="G166" s="84">
        <v>2436031.6190476194</v>
      </c>
      <c r="H166" s="12"/>
      <c r="I166" s="12"/>
    </row>
    <row r="167" spans="2:9" x14ac:dyDescent="0.3">
      <c r="B167" s="176"/>
      <c r="C167" s="178"/>
      <c r="D167" s="180"/>
      <c r="E167" s="64" t="s">
        <v>34</v>
      </c>
      <c r="F167" s="83">
        <f t="shared" si="11"/>
        <v>2.3619047619047616E-2</v>
      </c>
      <c r="G167" s="84">
        <v>1208271.6830476192</v>
      </c>
      <c r="H167" s="12"/>
      <c r="I167" s="12"/>
    </row>
    <row r="168" spans="2:9" x14ac:dyDescent="0.3">
      <c r="B168" s="176"/>
      <c r="C168" s="178"/>
      <c r="D168" s="180"/>
      <c r="E168" s="64" t="s">
        <v>35</v>
      </c>
      <c r="F168" s="83">
        <f t="shared" si="11"/>
        <v>0.10628571428571426</v>
      </c>
      <c r="G168" s="84">
        <v>5437222.5737142861</v>
      </c>
      <c r="H168" s="12"/>
      <c r="I168" s="12"/>
    </row>
    <row r="169" spans="2:9" x14ac:dyDescent="0.3">
      <c r="B169" s="176"/>
      <c r="C169" s="178"/>
      <c r="D169" s="180"/>
      <c r="E169" s="64" t="s">
        <v>68</v>
      </c>
      <c r="F169" s="83">
        <f t="shared" si="11"/>
        <v>7.0857142857142841E-2</v>
      </c>
      <c r="G169" s="84">
        <v>3624815.0491428575</v>
      </c>
      <c r="H169" s="12"/>
      <c r="I169" s="12"/>
    </row>
    <row r="170" spans="2:9" x14ac:dyDescent="0.3">
      <c r="B170" s="176"/>
      <c r="C170" s="178"/>
      <c r="D170" s="180"/>
      <c r="E170" s="64" t="s">
        <v>36</v>
      </c>
      <c r="F170" s="83">
        <f t="shared" si="11"/>
        <v>1.2190476190476187E-2</v>
      </c>
      <c r="G170" s="84">
        <v>623624.09447619051</v>
      </c>
      <c r="H170" s="12"/>
      <c r="I170" s="12"/>
    </row>
    <row r="171" spans="2:9" x14ac:dyDescent="0.3">
      <c r="B171" s="176"/>
      <c r="C171" s="178"/>
      <c r="D171" s="180"/>
      <c r="E171" s="64" t="s">
        <v>37</v>
      </c>
      <c r="F171" s="83">
        <f t="shared" si="11"/>
        <v>4.5714285714285709E-3</v>
      </c>
      <c r="G171" s="84">
        <v>233859.03542857146</v>
      </c>
      <c r="H171" s="12"/>
      <c r="I171" s="12"/>
    </row>
    <row r="172" spans="2:9" x14ac:dyDescent="0.3">
      <c r="B172" s="176"/>
      <c r="C172" s="178"/>
      <c r="D172" s="180"/>
      <c r="E172" s="64" t="s">
        <v>69</v>
      </c>
      <c r="F172" s="83">
        <f t="shared" si="11"/>
        <v>7.0857142857142841E-2</v>
      </c>
      <c r="G172" s="84">
        <v>3624815.0491428575</v>
      </c>
      <c r="H172" s="12"/>
      <c r="I172" s="12"/>
    </row>
    <row r="173" spans="2:9" x14ac:dyDescent="0.3">
      <c r="B173" s="176"/>
      <c r="C173" s="178"/>
      <c r="D173" s="180"/>
      <c r="E173" s="64" t="s">
        <v>38</v>
      </c>
      <c r="F173" s="83">
        <f t="shared" si="11"/>
        <v>7.0857142857142841E-2</v>
      </c>
      <c r="G173" s="84">
        <v>3624815.0491428575</v>
      </c>
      <c r="H173" s="12"/>
      <c r="I173" s="12"/>
    </row>
    <row r="174" spans="2:9" x14ac:dyDescent="0.3">
      <c r="B174" s="194" t="s">
        <v>74</v>
      </c>
      <c r="C174" s="194"/>
      <c r="D174" s="194"/>
      <c r="E174" s="194"/>
      <c r="F174" s="82">
        <f>SUM(F159:F173)</f>
        <v>0.99999999999999967</v>
      </c>
      <c r="G174" s="79">
        <f>SUM(G159:G173)</f>
        <v>51156664.000000015</v>
      </c>
      <c r="H174" s="79">
        <f>SUM(H159:H173)</f>
        <v>0</v>
      </c>
      <c r="I174" s="79">
        <f>SUM(I159:I173)</f>
        <v>0</v>
      </c>
    </row>
    <row r="176" spans="2:9" ht="15.75" customHeight="1" x14ac:dyDescent="0.3">
      <c r="H176" s="18"/>
      <c r="I176" s="18"/>
    </row>
  </sheetData>
  <mergeCells count="36">
    <mergeCell ref="B174:E174"/>
    <mergeCell ref="B141:B155"/>
    <mergeCell ref="C141:C155"/>
    <mergeCell ref="D141:D155"/>
    <mergeCell ref="B156:E156"/>
    <mergeCell ref="B159:B173"/>
    <mergeCell ref="C159:C173"/>
    <mergeCell ref="D159:D173"/>
    <mergeCell ref="B120:E120"/>
    <mergeCell ref="B123:B137"/>
    <mergeCell ref="C123:C137"/>
    <mergeCell ref="D123:D137"/>
    <mergeCell ref="B138:E138"/>
    <mergeCell ref="B87:B101"/>
    <mergeCell ref="C87:C101"/>
    <mergeCell ref="D87:D101"/>
    <mergeCell ref="B102:E102"/>
    <mergeCell ref="B105:B119"/>
    <mergeCell ref="C105:C119"/>
    <mergeCell ref="D105:D119"/>
    <mergeCell ref="B66:E66"/>
    <mergeCell ref="B69:B83"/>
    <mergeCell ref="C69:C83"/>
    <mergeCell ref="D69:D83"/>
    <mergeCell ref="B84:E84"/>
    <mergeCell ref="C22:C28"/>
    <mergeCell ref="B29:E29"/>
    <mergeCell ref="B20:G20"/>
    <mergeCell ref="B51:B65"/>
    <mergeCell ref="C51:C65"/>
    <mergeCell ref="D51:D65"/>
    <mergeCell ref="C33:C47"/>
    <mergeCell ref="B33:B47"/>
    <mergeCell ref="B48:E48"/>
    <mergeCell ref="B31:G31"/>
    <mergeCell ref="D33:D47"/>
  </mergeCells>
  <pageMargins left="0.7" right="0.7" top="0.75" bottom="0.75" header="0.3" footer="0.3"/>
  <pageSetup paperSize="9" orientation="portrait" horizontalDpi="1200" verticalDpi="1200" r:id="rId1"/>
  <ignoredErrors>
    <ignoredError sqref="F33:G48 F51:G17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6DB4-34E1-4089-9DED-FE361F05A65C}">
  <dimension ref="B1:F107"/>
  <sheetViews>
    <sheetView showGridLines="0" zoomScale="85" zoomScaleNormal="85" workbookViewId="0">
      <selection activeCell="B2" sqref="B2:K23"/>
    </sheetView>
  </sheetViews>
  <sheetFormatPr baseColWidth="10" defaultRowHeight="15" x14ac:dyDescent="0.25"/>
  <cols>
    <col min="1" max="1" width="4.140625" customWidth="1"/>
    <col min="2" max="2" width="11.42578125" style="128"/>
    <col min="3" max="3" width="47.42578125" customWidth="1"/>
    <col min="4" max="4" width="16.28515625" customWidth="1"/>
    <col min="5" max="5" width="12.42578125" bestFit="1" customWidth="1"/>
    <col min="6" max="6" width="11.5703125" bestFit="1" customWidth="1"/>
  </cols>
  <sheetData>
    <row r="1" spans="2:6" s="2" customFormat="1" ht="16.5" x14ac:dyDescent="0.3">
      <c r="B1" s="6"/>
    </row>
    <row r="2" spans="2:6" s="6" customFormat="1" ht="41.25" customHeight="1" x14ac:dyDescent="0.25">
      <c r="B2" s="93" t="s">
        <v>159</v>
      </c>
      <c r="C2" s="93" t="s">
        <v>160</v>
      </c>
      <c r="D2" s="93" t="s">
        <v>157</v>
      </c>
      <c r="E2" s="93" t="s">
        <v>158</v>
      </c>
      <c r="F2" s="93" t="s">
        <v>161</v>
      </c>
    </row>
    <row r="3" spans="2:6" s="11" customFormat="1" ht="33" x14ac:dyDescent="0.25">
      <c r="B3" s="195" t="str">
        <f>'CANTIDADES ADJUDICACIÓN'!K3</f>
        <v>BAABS3</v>
      </c>
      <c r="C3" s="94" t="str">
        <f>'CANTIDADES ADJUDICACIÓN'!B2</f>
        <v>A-02-02-01-002-007 ARTÍCULOS TEXTILES (EXCEPTO PRENDAS DE VESTIR)</v>
      </c>
      <c r="D3" s="14"/>
      <c r="E3" s="14"/>
      <c r="F3" s="126"/>
    </row>
    <row r="4" spans="2:6" s="6" customFormat="1" ht="33" x14ac:dyDescent="0.25">
      <c r="B4" s="195"/>
      <c r="C4" s="94" t="str">
        <f>'CANTIDADES ADJUDICACIÓN'!B21</f>
        <v>A-02-02-01-002-008 DOTACIÓN (PRENDAS DE VESTIR Y CALZADO)</v>
      </c>
      <c r="D4" s="127"/>
      <c r="E4" s="127"/>
      <c r="F4" s="126"/>
    </row>
    <row r="5" spans="2:6" s="2" customFormat="1" ht="49.5" x14ac:dyDescent="0.3">
      <c r="B5" s="195"/>
      <c r="C5" s="124" t="str">
        <f>'CANTIDADES ADJUDICACIÓN'!B33</f>
        <v>A-02-02-01-003-002 PASTA O PULPA, PAPEL Y PRODUCTOS DE PAPEL; IMPRESOS Y ARTÍCULOS SIMILARES</v>
      </c>
      <c r="D5" s="14"/>
      <c r="E5" s="14"/>
      <c r="F5" s="126"/>
    </row>
    <row r="6" spans="2:6" s="2" customFormat="1" ht="49.5" x14ac:dyDescent="0.3">
      <c r="B6" s="195"/>
      <c r="C6" s="124" t="str">
        <f>'CANTIDADES ADJUDICACIÓN'!B43</f>
        <v>A-02-02-01-003-005 OTROS PRODUCTOS QUÍMICOS; FIBRAS ARTIFICIALES (O FIBRAS INDUSTRIALES HECHAS POR EL HOMBRE)</v>
      </c>
      <c r="D6" s="14"/>
      <c r="E6" s="14"/>
      <c r="F6" s="126"/>
    </row>
    <row r="7" spans="2:6" s="2" customFormat="1" ht="33" x14ac:dyDescent="0.3">
      <c r="B7" s="195"/>
      <c r="C7" s="124" t="str">
        <f>'CANTIDADES ADJUDICACIÓN'!B57</f>
        <v>A-02-02-01-003-006 PRODUCTOS DE CAUCHO Y PLÁSTICO</v>
      </c>
      <c r="D7" s="14"/>
      <c r="E7" s="14"/>
      <c r="F7" s="126"/>
    </row>
    <row r="8" spans="2:6" s="2" customFormat="1" ht="33" x14ac:dyDescent="0.3">
      <c r="B8" s="195"/>
      <c r="C8" s="124" t="str">
        <f>'CANTIDADES ADJUDICACIÓN'!B67</f>
        <v>A-02-02-01-003-008 OTROS BIENES TRANSPORTABLES N.C.P.</v>
      </c>
      <c r="D8" s="14"/>
      <c r="E8" s="14"/>
      <c r="F8" s="126"/>
    </row>
    <row r="9" spans="2:6" s="2" customFormat="1" ht="33" x14ac:dyDescent="0.3">
      <c r="B9" s="195"/>
      <c r="C9" s="124" t="str">
        <f>'CANTIDADES ADJUDICACIÓN'!B78</f>
        <v>A-02-02-01-004-002 PRODUCTOS METÁLICOS ELABORADOS (EXCEPTO MAQUINARIA Y EQUIPO)</v>
      </c>
      <c r="D9" s="14"/>
      <c r="E9" s="14"/>
      <c r="F9" s="126"/>
    </row>
    <row r="10" spans="2:6" s="2" customFormat="1" ht="16.5" x14ac:dyDescent="0.3">
      <c r="B10" s="195" t="str">
        <f>'CANTIDADES ADJUDICACIÓN'!L3</f>
        <v>BAACA10</v>
      </c>
      <c r="C10" s="123" t="s">
        <v>146</v>
      </c>
      <c r="D10" s="123"/>
      <c r="E10" s="123"/>
      <c r="F10" s="123"/>
    </row>
    <row r="11" spans="2:6" s="2" customFormat="1" ht="16.5" x14ac:dyDescent="0.3">
      <c r="B11" s="195"/>
      <c r="C11" s="123" t="s">
        <v>147</v>
      </c>
      <c r="D11" s="123"/>
      <c r="E11" s="123"/>
      <c r="F11" s="123"/>
    </row>
    <row r="12" spans="2:6" s="2" customFormat="1" ht="16.5" x14ac:dyDescent="0.3">
      <c r="B12" s="195"/>
      <c r="C12" s="123" t="s">
        <v>148</v>
      </c>
      <c r="D12" s="123"/>
      <c r="E12" s="123"/>
      <c r="F12" s="123"/>
    </row>
    <row r="13" spans="2:6" s="2" customFormat="1" ht="16.5" x14ac:dyDescent="0.3">
      <c r="B13" s="195"/>
      <c r="C13" s="123" t="s">
        <v>45</v>
      </c>
      <c r="D13" s="123"/>
      <c r="E13" s="123"/>
      <c r="F13" s="123"/>
    </row>
    <row r="14" spans="2:6" s="2" customFormat="1" ht="16.5" x14ac:dyDescent="0.3">
      <c r="B14" s="195"/>
      <c r="C14" s="123" t="s">
        <v>47</v>
      </c>
      <c r="D14" s="123"/>
      <c r="E14" s="123"/>
      <c r="F14" s="123"/>
    </row>
    <row r="15" spans="2:6" s="2" customFormat="1" ht="16.5" x14ac:dyDescent="0.3">
      <c r="B15" s="195"/>
      <c r="C15" s="123" t="s">
        <v>48</v>
      </c>
      <c r="D15" s="123"/>
      <c r="E15" s="123"/>
      <c r="F15" s="123"/>
    </row>
    <row r="16" spans="2:6" s="2" customFormat="1" ht="16.5" x14ac:dyDescent="0.3">
      <c r="B16" s="195"/>
      <c r="C16" s="123" t="s">
        <v>149</v>
      </c>
      <c r="D16" s="123"/>
      <c r="E16" s="123"/>
      <c r="F16" s="123"/>
    </row>
    <row r="17" spans="2:6" s="2" customFormat="1" ht="16.5" x14ac:dyDescent="0.3">
      <c r="B17" s="195" t="str">
        <f>'CANTIDADES ADJUDICACIÓN'!M3</f>
        <v>BAACA2</v>
      </c>
      <c r="C17" s="123" t="s">
        <v>146</v>
      </c>
      <c r="D17" s="123"/>
      <c r="E17" s="123"/>
      <c r="F17" s="123"/>
    </row>
    <row r="18" spans="2:6" s="2" customFormat="1" ht="16.5" x14ac:dyDescent="0.3">
      <c r="B18" s="195"/>
      <c r="C18" s="123" t="s">
        <v>147</v>
      </c>
      <c r="D18" s="123"/>
      <c r="E18" s="123"/>
      <c r="F18" s="123"/>
    </row>
    <row r="19" spans="2:6" s="2" customFormat="1" ht="16.5" x14ac:dyDescent="0.3">
      <c r="B19" s="195"/>
      <c r="C19" s="123" t="s">
        <v>148</v>
      </c>
      <c r="D19" s="123"/>
      <c r="E19" s="123"/>
      <c r="F19" s="123"/>
    </row>
    <row r="20" spans="2:6" s="31" customFormat="1" ht="16.5" x14ac:dyDescent="0.3">
      <c r="B20" s="195"/>
      <c r="C20" s="123" t="s">
        <v>45</v>
      </c>
      <c r="D20" s="123"/>
      <c r="E20" s="123"/>
      <c r="F20" s="123"/>
    </row>
    <row r="21" spans="2:6" ht="16.5" x14ac:dyDescent="0.3">
      <c r="B21" s="195"/>
      <c r="C21" s="123" t="s">
        <v>47</v>
      </c>
      <c r="D21" s="123"/>
      <c r="E21" s="123"/>
      <c r="F21" s="123"/>
    </row>
    <row r="22" spans="2:6" ht="28.5" customHeight="1" x14ac:dyDescent="0.3">
      <c r="B22" s="195"/>
      <c r="C22" s="123" t="s">
        <v>48</v>
      </c>
      <c r="D22" s="123"/>
      <c r="E22" s="123"/>
      <c r="F22" s="123"/>
    </row>
    <row r="23" spans="2:6" ht="28.5" customHeight="1" x14ac:dyDescent="0.3">
      <c r="B23" s="195"/>
      <c r="C23" s="123" t="s">
        <v>149</v>
      </c>
      <c r="D23" s="123"/>
      <c r="E23" s="123"/>
      <c r="F23" s="123"/>
    </row>
    <row r="24" spans="2:6" ht="16.5" x14ac:dyDescent="0.3">
      <c r="B24" s="195" t="str">
        <f>'CANTIDADES ADJUDICACIÓN'!N3</f>
        <v>BAADA1</v>
      </c>
      <c r="C24" s="123" t="s">
        <v>146</v>
      </c>
      <c r="D24" s="123"/>
      <c r="E24" s="123"/>
      <c r="F24" s="123"/>
    </row>
    <row r="25" spans="2:6" ht="16.5" x14ac:dyDescent="0.3">
      <c r="B25" s="195"/>
      <c r="C25" s="123" t="s">
        <v>147</v>
      </c>
      <c r="D25" s="123"/>
      <c r="E25" s="123"/>
      <c r="F25" s="123"/>
    </row>
    <row r="26" spans="2:6" ht="16.5" x14ac:dyDescent="0.3">
      <c r="B26" s="195"/>
      <c r="C26" s="123" t="s">
        <v>148</v>
      </c>
      <c r="D26" s="123"/>
      <c r="E26" s="123"/>
      <c r="F26" s="123"/>
    </row>
    <row r="27" spans="2:6" ht="16.5" x14ac:dyDescent="0.3">
      <c r="B27" s="195"/>
      <c r="C27" s="123" t="s">
        <v>45</v>
      </c>
      <c r="D27" s="123"/>
      <c r="E27" s="123"/>
      <c r="F27" s="123"/>
    </row>
    <row r="28" spans="2:6" ht="16.5" x14ac:dyDescent="0.3">
      <c r="B28" s="195"/>
      <c r="C28" s="123" t="s">
        <v>47</v>
      </c>
      <c r="D28" s="123"/>
      <c r="E28" s="123"/>
      <c r="F28" s="123"/>
    </row>
    <row r="29" spans="2:6" ht="16.5" x14ac:dyDescent="0.3">
      <c r="B29" s="195"/>
      <c r="C29" s="123" t="s">
        <v>48</v>
      </c>
      <c r="D29" s="123"/>
      <c r="E29" s="123"/>
      <c r="F29" s="123"/>
    </row>
    <row r="30" spans="2:6" ht="16.5" x14ac:dyDescent="0.3">
      <c r="B30" s="195"/>
      <c r="C30" s="123" t="s">
        <v>149</v>
      </c>
      <c r="D30" s="123"/>
      <c r="E30" s="123"/>
      <c r="F30" s="123"/>
    </row>
    <row r="31" spans="2:6" ht="16.5" x14ac:dyDescent="0.3">
      <c r="B31" s="195" t="str">
        <f>'CANTIDADES ADJUDICACIÓN'!O3</f>
        <v>BAEEV2</v>
      </c>
      <c r="C31" s="123" t="s">
        <v>146</v>
      </c>
      <c r="D31" s="123"/>
      <c r="E31" s="123"/>
      <c r="F31" s="123"/>
    </row>
    <row r="32" spans="2:6" ht="16.5" x14ac:dyDescent="0.3">
      <c r="B32" s="195"/>
      <c r="C32" s="123" t="s">
        <v>147</v>
      </c>
      <c r="D32" s="123"/>
      <c r="E32" s="123"/>
      <c r="F32" s="123"/>
    </row>
    <row r="33" spans="2:6" ht="16.5" x14ac:dyDescent="0.3">
      <c r="B33" s="195"/>
      <c r="C33" s="123" t="s">
        <v>148</v>
      </c>
      <c r="D33" s="123"/>
      <c r="E33" s="123"/>
      <c r="F33" s="123"/>
    </row>
    <row r="34" spans="2:6" ht="28.5" customHeight="1" x14ac:dyDescent="0.3">
      <c r="B34" s="195"/>
      <c r="C34" s="123" t="s">
        <v>45</v>
      </c>
      <c r="D34" s="123"/>
      <c r="E34" s="123"/>
      <c r="F34" s="123"/>
    </row>
    <row r="35" spans="2:6" ht="28.5" customHeight="1" x14ac:dyDescent="0.3">
      <c r="B35" s="195"/>
      <c r="C35" s="123" t="s">
        <v>47</v>
      </c>
      <c r="D35" s="123"/>
      <c r="E35" s="123"/>
      <c r="F35" s="123"/>
    </row>
    <row r="36" spans="2:6" ht="16.5" x14ac:dyDescent="0.3">
      <c r="B36" s="195"/>
      <c r="C36" s="123" t="s">
        <v>48</v>
      </c>
      <c r="D36" s="123"/>
      <c r="E36" s="123"/>
      <c r="F36" s="123"/>
    </row>
    <row r="37" spans="2:6" ht="16.5" x14ac:dyDescent="0.3">
      <c r="B37" s="195"/>
      <c r="C37" s="123" t="s">
        <v>149</v>
      </c>
      <c r="D37" s="123"/>
      <c r="E37" s="123"/>
      <c r="F37" s="123"/>
    </row>
    <row r="38" spans="2:6" ht="16.5" x14ac:dyDescent="0.3">
      <c r="B38" s="195" t="str">
        <f>'CANTIDADES ADJUDICACIÓN'!P3</f>
        <v>BAEEV3</v>
      </c>
      <c r="C38" s="123" t="s">
        <v>146</v>
      </c>
      <c r="D38" s="123"/>
      <c r="E38" s="123"/>
      <c r="F38" s="123"/>
    </row>
    <row r="39" spans="2:6" ht="16.5" x14ac:dyDescent="0.3">
      <c r="B39" s="195"/>
      <c r="C39" s="123" t="s">
        <v>147</v>
      </c>
      <c r="D39" s="123"/>
      <c r="E39" s="123"/>
      <c r="F39" s="123"/>
    </row>
    <row r="40" spans="2:6" ht="16.5" x14ac:dyDescent="0.3">
      <c r="B40" s="195"/>
      <c r="C40" s="123" t="s">
        <v>148</v>
      </c>
      <c r="D40" s="123"/>
      <c r="E40" s="123"/>
      <c r="F40" s="123"/>
    </row>
    <row r="41" spans="2:6" ht="16.5" x14ac:dyDescent="0.3">
      <c r="B41" s="195"/>
      <c r="C41" s="123" t="s">
        <v>45</v>
      </c>
      <c r="D41" s="123"/>
      <c r="E41" s="123"/>
      <c r="F41" s="123"/>
    </row>
    <row r="42" spans="2:6" ht="16.5" x14ac:dyDescent="0.3">
      <c r="B42" s="195"/>
      <c r="C42" s="123" t="s">
        <v>47</v>
      </c>
      <c r="D42" s="123"/>
      <c r="E42" s="123"/>
      <c r="F42" s="123"/>
    </row>
    <row r="43" spans="2:6" ht="16.5" x14ac:dyDescent="0.3">
      <c r="B43" s="195"/>
      <c r="C43" s="123" t="s">
        <v>48</v>
      </c>
      <c r="D43" s="123"/>
      <c r="E43" s="123"/>
      <c r="F43" s="123"/>
    </row>
    <row r="44" spans="2:6" ht="28.5" customHeight="1" x14ac:dyDescent="0.3">
      <c r="B44" s="195"/>
      <c r="C44" s="123" t="s">
        <v>149</v>
      </c>
      <c r="D44" s="123"/>
      <c r="E44" s="123"/>
      <c r="F44" s="123"/>
    </row>
    <row r="45" spans="2:6" ht="28.5" customHeight="1" x14ac:dyDescent="0.3">
      <c r="B45" s="195" t="str">
        <f>'CANTIDADES ADJUDICACIÓN'!Q3</f>
        <v>BAMMA7</v>
      </c>
      <c r="C45" s="123" t="s">
        <v>146</v>
      </c>
      <c r="D45" s="123"/>
      <c r="E45" s="123"/>
      <c r="F45" s="123"/>
    </row>
    <row r="46" spans="2:6" ht="16.5" x14ac:dyDescent="0.3">
      <c r="B46" s="195"/>
      <c r="C46" s="123" t="s">
        <v>147</v>
      </c>
      <c r="D46" s="123"/>
      <c r="E46" s="123"/>
      <c r="F46" s="123"/>
    </row>
    <row r="47" spans="2:6" ht="16.5" x14ac:dyDescent="0.3">
      <c r="B47" s="195"/>
      <c r="C47" s="123" t="s">
        <v>148</v>
      </c>
      <c r="D47" s="123"/>
      <c r="E47" s="123"/>
      <c r="F47" s="123"/>
    </row>
    <row r="48" spans="2:6" ht="16.5" x14ac:dyDescent="0.3">
      <c r="B48" s="195"/>
      <c r="C48" s="123" t="s">
        <v>45</v>
      </c>
      <c r="D48" s="123"/>
      <c r="E48" s="123"/>
      <c r="F48" s="123"/>
    </row>
    <row r="49" spans="2:6" ht="16.5" x14ac:dyDescent="0.3">
      <c r="B49" s="195"/>
      <c r="C49" s="123" t="s">
        <v>47</v>
      </c>
      <c r="D49" s="123"/>
      <c r="E49" s="123"/>
      <c r="F49" s="123"/>
    </row>
    <row r="50" spans="2:6" ht="16.5" x14ac:dyDescent="0.3">
      <c r="B50" s="195"/>
      <c r="C50" s="123" t="s">
        <v>48</v>
      </c>
      <c r="D50" s="123"/>
      <c r="E50" s="123"/>
      <c r="F50" s="123"/>
    </row>
    <row r="51" spans="2:6" ht="16.5" x14ac:dyDescent="0.3">
      <c r="B51" s="195"/>
      <c r="C51" s="123" t="s">
        <v>149</v>
      </c>
      <c r="D51" s="123"/>
      <c r="E51" s="123"/>
      <c r="F51" s="123"/>
    </row>
    <row r="52" spans="2:6" ht="16.5" x14ac:dyDescent="0.3">
      <c r="B52" s="195" t="str">
        <f>'CANTIDADES ADJUDICACIÓN'!R3</f>
        <v>BASPC10</v>
      </c>
      <c r="C52" s="123" t="s">
        <v>146</v>
      </c>
      <c r="D52" s="123"/>
      <c r="E52" s="123"/>
      <c r="F52" s="123"/>
    </row>
    <row r="53" spans="2:6" ht="16.5" x14ac:dyDescent="0.3">
      <c r="B53" s="195"/>
      <c r="C53" s="123" t="s">
        <v>147</v>
      </c>
      <c r="D53" s="123"/>
      <c r="E53" s="123"/>
      <c r="F53" s="123"/>
    </row>
    <row r="54" spans="2:6" ht="16.5" x14ac:dyDescent="0.3">
      <c r="B54" s="195"/>
      <c r="C54" s="123" t="s">
        <v>148</v>
      </c>
      <c r="D54" s="123"/>
      <c r="E54" s="123"/>
      <c r="F54" s="123"/>
    </row>
    <row r="55" spans="2:6" ht="16.5" x14ac:dyDescent="0.3">
      <c r="B55" s="195"/>
      <c r="C55" s="123" t="s">
        <v>45</v>
      </c>
      <c r="D55" s="123"/>
      <c r="E55" s="123"/>
      <c r="F55" s="123"/>
    </row>
    <row r="56" spans="2:6" ht="16.5" x14ac:dyDescent="0.3">
      <c r="B56" s="195"/>
      <c r="C56" s="123" t="s">
        <v>47</v>
      </c>
      <c r="D56" s="123"/>
      <c r="E56" s="123"/>
      <c r="F56" s="123"/>
    </row>
    <row r="57" spans="2:6" ht="16.5" x14ac:dyDescent="0.3">
      <c r="B57" s="195"/>
      <c r="C57" s="123" t="s">
        <v>48</v>
      </c>
      <c r="D57" s="123"/>
      <c r="E57" s="123"/>
      <c r="F57" s="123"/>
    </row>
    <row r="58" spans="2:6" ht="28.5" customHeight="1" x14ac:dyDescent="0.3">
      <c r="B58" s="195"/>
      <c r="C58" s="123" t="s">
        <v>149</v>
      </c>
      <c r="D58" s="123"/>
      <c r="E58" s="123"/>
      <c r="F58" s="123"/>
    </row>
    <row r="59" spans="2:6" ht="28.5" customHeight="1" x14ac:dyDescent="0.3">
      <c r="B59" s="195" t="str">
        <f>'CANTIDADES ADJUDICACIÓN'!S3</f>
        <v>BASAC</v>
      </c>
      <c r="C59" s="123" t="s">
        <v>146</v>
      </c>
      <c r="D59" s="123"/>
      <c r="E59" s="123"/>
      <c r="F59" s="123"/>
    </row>
    <row r="60" spans="2:6" ht="16.5" x14ac:dyDescent="0.3">
      <c r="B60" s="195"/>
      <c r="C60" s="123" t="s">
        <v>147</v>
      </c>
      <c r="D60" s="123"/>
      <c r="E60" s="123"/>
      <c r="F60" s="123"/>
    </row>
    <row r="61" spans="2:6" ht="16.5" x14ac:dyDescent="0.3">
      <c r="B61" s="195"/>
      <c r="C61" s="123" t="s">
        <v>148</v>
      </c>
      <c r="D61" s="123"/>
      <c r="E61" s="123"/>
      <c r="F61" s="123"/>
    </row>
    <row r="62" spans="2:6" ht="16.5" x14ac:dyDescent="0.3">
      <c r="B62" s="195"/>
      <c r="C62" s="123" t="s">
        <v>45</v>
      </c>
      <c r="D62" s="123"/>
      <c r="E62" s="123"/>
      <c r="F62" s="123"/>
    </row>
    <row r="63" spans="2:6" ht="16.5" x14ac:dyDescent="0.3">
      <c r="B63" s="195"/>
      <c r="C63" s="123" t="s">
        <v>47</v>
      </c>
      <c r="D63" s="123"/>
      <c r="E63" s="123"/>
      <c r="F63" s="123"/>
    </row>
    <row r="64" spans="2:6" ht="16.5" x14ac:dyDescent="0.3">
      <c r="B64" s="195"/>
      <c r="C64" s="123" t="s">
        <v>48</v>
      </c>
      <c r="D64" s="123"/>
      <c r="E64" s="123"/>
      <c r="F64" s="123"/>
    </row>
    <row r="65" spans="2:6" ht="16.5" x14ac:dyDescent="0.3">
      <c r="B65" s="195"/>
      <c r="C65" s="123" t="s">
        <v>149</v>
      </c>
      <c r="D65" s="123"/>
      <c r="E65" s="123"/>
      <c r="F65" s="123"/>
    </row>
    <row r="66" spans="2:6" ht="16.5" x14ac:dyDescent="0.3">
      <c r="B66" s="195" t="str">
        <f>'CANTIDADES ADJUDICACIÓN'!T3</f>
        <v>BICAR</v>
      </c>
      <c r="C66" s="123" t="s">
        <v>146</v>
      </c>
      <c r="D66" s="123"/>
      <c r="E66" s="123"/>
      <c r="F66" s="123"/>
    </row>
    <row r="67" spans="2:6" ht="16.5" x14ac:dyDescent="0.3">
      <c r="B67" s="195"/>
      <c r="C67" s="123" t="s">
        <v>147</v>
      </c>
      <c r="D67" s="123"/>
      <c r="E67" s="123"/>
      <c r="F67" s="123"/>
    </row>
    <row r="68" spans="2:6" ht="28.5" customHeight="1" x14ac:dyDescent="0.3">
      <c r="B68" s="195"/>
      <c r="C68" s="123" t="s">
        <v>148</v>
      </c>
      <c r="D68" s="123"/>
      <c r="E68" s="123"/>
      <c r="F68" s="123"/>
    </row>
    <row r="69" spans="2:6" ht="28.5" customHeight="1" x14ac:dyDescent="0.3">
      <c r="B69" s="195"/>
      <c r="C69" s="123" t="s">
        <v>45</v>
      </c>
      <c r="D69" s="123"/>
      <c r="E69" s="123"/>
      <c r="F69" s="123"/>
    </row>
    <row r="70" spans="2:6" ht="16.5" x14ac:dyDescent="0.3">
      <c r="B70" s="195"/>
      <c r="C70" s="123" t="s">
        <v>47</v>
      </c>
      <c r="D70" s="123"/>
      <c r="E70" s="123"/>
      <c r="F70" s="123"/>
    </row>
    <row r="71" spans="2:6" ht="16.5" x14ac:dyDescent="0.3">
      <c r="B71" s="195"/>
      <c r="C71" s="123" t="s">
        <v>48</v>
      </c>
      <c r="D71" s="123"/>
      <c r="E71" s="123"/>
      <c r="F71" s="123"/>
    </row>
    <row r="72" spans="2:6" ht="16.5" x14ac:dyDescent="0.3">
      <c r="B72" s="195"/>
      <c r="C72" s="123" t="s">
        <v>149</v>
      </c>
      <c r="D72" s="123"/>
      <c r="E72" s="123"/>
      <c r="F72" s="123"/>
    </row>
    <row r="73" spans="2:6" ht="16.5" x14ac:dyDescent="0.3">
      <c r="B73" s="195" t="str">
        <f>'CANTIDADES ADJUDICACIÓN'!U3</f>
        <v>BIMOC70</v>
      </c>
      <c r="C73" s="123" t="s">
        <v>146</v>
      </c>
      <c r="D73" s="123"/>
      <c r="E73" s="123"/>
      <c r="F73" s="123"/>
    </row>
    <row r="74" spans="2:6" ht="16.5" x14ac:dyDescent="0.3">
      <c r="B74" s="195"/>
      <c r="C74" s="123" t="s">
        <v>147</v>
      </c>
      <c r="D74" s="123"/>
      <c r="E74" s="123"/>
      <c r="F74" s="123"/>
    </row>
    <row r="75" spans="2:6" ht="16.5" x14ac:dyDescent="0.3">
      <c r="B75" s="195"/>
      <c r="C75" s="123" t="s">
        <v>148</v>
      </c>
      <c r="D75" s="123"/>
      <c r="E75" s="123"/>
      <c r="F75" s="123"/>
    </row>
    <row r="76" spans="2:6" ht="16.5" x14ac:dyDescent="0.3">
      <c r="B76" s="195"/>
      <c r="C76" s="123" t="s">
        <v>45</v>
      </c>
      <c r="D76" s="123"/>
      <c r="E76" s="123"/>
      <c r="F76" s="123"/>
    </row>
    <row r="77" spans="2:6" ht="16.5" x14ac:dyDescent="0.3">
      <c r="B77" s="195"/>
      <c r="C77" s="123" t="s">
        <v>47</v>
      </c>
      <c r="D77" s="123"/>
      <c r="E77" s="123"/>
      <c r="F77" s="123"/>
    </row>
    <row r="78" spans="2:6" ht="16.5" x14ac:dyDescent="0.3">
      <c r="B78" s="195"/>
      <c r="C78" s="123" t="s">
        <v>48</v>
      </c>
      <c r="D78" s="123"/>
      <c r="E78" s="123"/>
      <c r="F78" s="123"/>
    </row>
    <row r="79" spans="2:6" ht="28.5" customHeight="1" x14ac:dyDescent="0.3">
      <c r="B79" s="195"/>
      <c r="C79" s="123" t="s">
        <v>149</v>
      </c>
      <c r="D79" s="123"/>
      <c r="E79" s="123"/>
      <c r="F79" s="123"/>
    </row>
    <row r="80" spans="2:6" ht="28.5" customHeight="1" x14ac:dyDescent="0.3">
      <c r="B80" s="195" t="str">
        <f>'CANTIDADES ADJUDICACIÓN'!V3</f>
        <v>BITER10</v>
      </c>
      <c r="C80" s="123" t="s">
        <v>146</v>
      </c>
      <c r="D80" s="123"/>
      <c r="E80" s="123"/>
      <c r="F80" s="123"/>
    </row>
    <row r="81" spans="2:6" ht="16.5" x14ac:dyDescent="0.3">
      <c r="B81" s="195"/>
      <c r="C81" s="123" t="s">
        <v>147</v>
      </c>
      <c r="D81" s="123"/>
      <c r="E81" s="123"/>
      <c r="F81" s="123"/>
    </row>
    <row r="82" spans="2:6" ht="16.5" x14ac:dyDescent="0.3">
      <c r="B82" s="195"/>
      <c r="C82" s="123" t="s">
        <v>148</v>
      </c>
      <c r="D82" s="123"/>
      <c r="E82" s="123"/>
      <c r="F82" s="123"/>
    </row>
    <row r="83" spans="2:6" ht="16.5" x14ac:dyDescent="0.3">
      <c r="B83" s="195"/>
      <c r="C83" s="123" t="s">
        <v>45</v>
      </c>
      <c r="D83" s="123"/>
      <c r="E83" s="123"/>
      <c r="F83" s="123"/>
    </row>
    <row r="84" spans="2:6" ht="16.5" x14ac:dyDescent="0.3">
      <c r="B84" s="195"/>
      <c r="C84" s="123" t="s">
        <v>47</v>
      </c>
      <c r="D84" s="123"/>
      <c r="E84" s="123"/>
      <c r="F84" s="123"/>
    </row>
    <row r="85" spans="2:6" ht="16.5" x14ac:dyDescent="0.3">
      <c r="B85" s="195"/>
      <c r="C85" s="123" t="s">
        <v>48</v>
      </c>
      <c r="D85" s="123"/>
      <c r="E85" s="123"/>
      <c r="F85" s="123"/>
    </row>
    <row r="86" spans="2:6" ht="16.5" x14ac:dyDescent="0.3">
      <c r="B86" s="195"/>
      <c r="C86" s="123" t="s">
        <v>149</v>
      </c>
      <c r="D86" s="123"/>
      <c r="E86" s="123"/>
      <c r="F86" s="123"/>
    </row>
    <row r="87" spans="2:6" ht="16.5" x14ac:dyDescent="0.3">
      <c r="B87" s="195" t="str">
        <f>'CANTIDADES ADJUDICACIÓN'!W3</f>
        <v>DIM15</v>
      </c>
      <c r="C87" s="123" t="s">
        <v>146</v>
      </c>
      <c r="D87" s="123"/>
      <c r="E87" s="123"/>
      <c r="F87" s="123"/>
    </row>
    <row r="88" spans="2:6" ht="16.5" x14ac:dyDescent="0.3">
      <c r="B88" s="195"/>
      <c r="C88" s="123" t="s">
        <v>147</v>
      </c>
      <c r="D88" s="123"/>
      <c r="E88" s="123"/>
      <c r="F88" s="123"/>
    </row>
    <row r="89" spans="2:6" ht="16.5" x14ac:dyDescent="0.3">
      <c r="B89" s="195"/>
      <c r="C89" s="123" t="s">
        <v>148</v>
      </c>
      <c r="D89" s="123"/>
      <c r="E89" s="123"/>
      <c r="F89" s="123"/>
    </row>
    <row r="90" spans="2:6" ht="16.5" x14ac:dyDescent="0.3">
      <c r="B90" s="195"/>
      <c r="C90" s="123" t="s">
        <v>45</v>
      </c>
      <c r="D90" s="123"/>
      <c r="E90" s="123"/>
      <c r="F90" s="123"/>
    </row>
    <row r="91" spans="2:6" ht="16.5" x14ac:dyDescent="0.3">
      <c r="B91" s="195"/>
      <c r="C91" s="123" t="s">
        <v>47</v>
      </c>
      <c r="D91" s="123"/>
      <c r="E91" s="123"/>
      <c r="F91" s="123"/>
    </row>
    <row r="92" spans="2:6" ht="16.5" x14ac:dyDescent="0.3">
      <c r="B92" s="195"/>
      <c r="C92" s="123" t="s">
        <v>48</v>
      </c>
      <c r="D92" s="123"/>
      <c r="E92" s="123"/>
      <c r="F92" s="123"/>
    </row>
    <row r="93" spans="2:6" ht="16.5" x14ac:dyDescent="0.3">
      <c r="B93" s="195"/>
      <c r="C93" s="123" t="s">
        <v>149</v>
      </c>
      <c r="D93" s="123"/>
      <c r="E93" s="123"/>
      <c r="F93" s="123"/>
    </row>
    <row r="94" spans="2:6" ht="16.5" x14ac:dyDescent="0.3">
      <c r="B94" s="195" t="str">
        <f>'CANTIDADES ADJUDICACIÓN'!X3</f>
        <v>GMMAT</v>
      </c>
      <c r="C94" s="123" t="s">
        <v>146</v>
      </c>
      <c r="D94" s="123"/>
      <c r="E94" s="123"/>
      <c r="F94" s="123"/>
    </row>
    <row r="95" spans="2:6" ht="16.5" x14ac:dyDescent="0.3">
      <c r="B95" s="195"/>
      <c r="C95" s="123" t="s">
        <v>147</v>
      </c>
      <c r="D95" s="123"/>
      <c r="E95" s="123"/>
      <c r="F95" s="123"/>
    </row>
    <row r="96" spans="2:6" ht="16.5" x14ac:dyDescent="0.3">
      <c r="B96" s="195"/>
      <c r="C96" s="123" t="s">
        <v>148</v>
      </c>
      <c r="D96" s="123"/>
      <c r="E96" s="123"/>
      <c r="F96" s="123"/>
    </row>
    <row r="97" spans="2:6" ht="16.5" x14ac:dyDescent="0.3">
      <c r="B97" s="195"/>
      <c r="C97" s="123" t="s">
        <v>45</v>
      </c>
      <c r="D97" s="123"/>
      <c r="E97" s="123"/>
      <c r="F97" s="123"/>
    </row>
    <row r="98" spans="2:6" ht="16.5" x14ac:dyDescent="0.3">
      <c r="B98" s="195"/>
      <c r="C98" s="123" t="s">
        <v>47</v>
      </c>
      <c r="D98" s="123"/>
      <c r="E98" s="123"/>
      <c r="F98" s="123"/>
    </row>
    <row r="99" spans="2:6" ht="16.5" x14ac:dyDescent="0.3">
      <c r="B99" s="195"/>
      <c r="C99" s="123" t="s">
        <v>48</v>
      </c>
      <c r="D99" s="123"/>
      <c r="E99" s="123"/>
      <c r="F99" s="123"/>
    </row>
    <row r="100" spans="2:6" ht="16.5" x14ac:dyDescent="0.3">
      <c r="B100" s="195"/>
      <c r="C100" s="123" t="s">
        <v>149</v>
      </c>
      <c r="D100" s="123"/>
      <c r="E100" s="123"/>
      <c r="F100" s="123"/>
    </row>
    <row r="101" spans="2:6" ht="16.5" x14ac:dyDescent="0.3">
      <c r="B101" s="195" t="str">
        <f>'CANTIDADES ADJUDICACIÓN'!Y3</f>
        <v>GMRON</v>
      </c>
      <c r="C101" s="123" t="s">
        <v>146</v>
      </c>
      <c r="D101" s="123"/>
      <c r="E101" s="123"/>
      <c r="F101" s="123"/>
    </row>
    <row r="102" spans="2:6" ht="16.5" x14ac:dyDescent="0.3">
      <c r="B102" s="195"/>
      <c r="C102" s="123" t="s">
        <v>147</v>
      </c>
      <c r="D102" s="123"/>
      <c r="E102" s="123"/>
      <c r="F102" s="123"/>
    </row>
    <row r="103" spans="2:6" ht="16.5" x14ac:dyDescent="0.3">
      <c r="B103" s="195"/>
      <c r="C103" s="123" t="s">
        <v>148</v>
      </c>
      <c r="D103" s="123"/>
      <c r="E103" s="123"/>
      <c r="F103" s="123"/>
    </row>
    <row r="104" spans="2:6" ht="16.5" x14ac:dyDescent="0.3">
      <c r="B104" s="195"/>
      <c r="C104" s="123" t="s">
        <v>45</v>
      </c>
      <c r="D104" s="123"/>
      <c r="E104" s="123"/>
      <c r="F104" s="123"/>
    </row>
    <row r="105" spans="2:6" ht="16.5" x14ac:dyDescent="0.3">
      <c r="B105" s="195"/>
      <c r="C105" s="123" t="s">
        <v>47</v>
      </c>
      <c r="D105" s="123"/>
      <c r="E105" s="123"/>
      <c r="F105" s="123"/>
    </row>
    <row r="106" spans="2:6" ht="16.5" x14ac:dyDescent="0.3">
      <c r="B106" s="195"/>
      <c r="C106" s="123" t="s">
        <v>48</v>
      </c>
      <c r="D106" s="123"/>
      <c r="E106" s="123"/>
      <c r="F106" s="123"/>
    </row>
    <row r="107" spans="2:6" ht="16.5" x14ac:dyDescent="0.3">
      <c r="B107" s="195"/>
      <c r="C107" s="123" t="s">
        <v>149</v>
      </c>
      <c r="D107" s="123"/>
      <c r="E107" s="123"/>
      <c r="F107" s="123"/>
    </row>
  </sheetData>
  <mergeCells count="15">
    <mergeCell ref="B87:B93"/>
    <mergeCell ref="B94:B100"/>
    <mergeCell ref="B101:B107"/>
    <mergeCell ref="B3:B9"/>
    <mergeCell ref="B10:B16"/>
    <mergeCell ref="B17:B23"/>
    <mergeCell ref="B24:B30"/>
    <mergeCell ref="B31:B37"/>
    <mergeCell ref="B38:B44"/>
    <mergeCell ref="B73:B79"/>
    <mergeCell ref="B80:B86"/>
    <mergeCell ref="B66:B72"/>
    <mergeCell ref="B59:B65"/>
    <mergeCell ref="B52:B58"/>
    <mergeCell ref="B45:B5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413E1-C04D-4E44-B2FC-48BB761949F6}">
  <dimension ref="B2:K18"/>
  <sheetViews>
    <sheetView topLeftCell="A9" workbookViewId="0">
      <selection activeCell="HJ81" sqref="HJ81:HJ84"/>
    </sheetView>
  </sheetViews>
  <sheetFormatPr baseColWidth="10" defaultRowHeight="15" x14ac:dyDescent="0.25"/>
  <cols>
    <col min="1" max="1" width="9.42578125" customWidth="1"/>
    <col min="3" max="5" width="14" bestFit="1" customWidth="1"/>
    <col min="6" max="6" width="10" customWidth="1"/>
    <col min="8" max="8" width="8.85546875" bestFit="1" customWidth="1"/>
    <col min="9" max="9" width="14" bestFit="1" customWidth="1"/>
    <col min="10" max="10" width="15.42578125" bestFit="1" customWidth="1"/>
    <col min="11" max="11" width="7.140625" bestFit="1" customWidth="1"/>
  </cols>
  <sheetData>
    <row r="2" spans="2:11" ht="16.5" x14ac:dyDescent="0.25">
      <c r="B2" s="112" t="s">
        <v>85</v>
      </c>
      <c r="C2" s="112" t="s">
        <v>150</v>
      </c>
      <c r="D2" s="112" t="s">
        <v>151</v>
      </c>
      <c r="E2" s="112" t="s">
        <v>152</v>
      </c>
      <c r="F2" s="112" t="s">
        <v>21</v>
      </c>
      <c r="G2" s="63"/>
      <c r="H2" s="112" t="s">
        <v>85</v>
      </c>
      <c r="I2" s="112" t="s">
        <v>153</v>
      </c>
      <c r="J2" s="112" t="s">
        <v>154</v>
      </c>
      <c r="K2" s="112" t="s">
        <v>21</v>
      </c>
    </row>
    <row r="3" spans="2:11" ht="16.5" x14ac:dyDescent="0.25">
      <c r="B3" s="111" t="s">
        <v>29</v>
      </c>
      <c r="C3" s="65">
        <v>31</v>
      </c>
      <c r="D3" s="65">
        <v>20</v>
      </c>
      <c r="E3" s="65">
        <v>18</v>
      </c>
      <c r="F3" s="66">
        <f>SUM(C3:E3)</f>
        <v>69</v>
      </c>
      <c r="G3" s="63"/>
      <c r="H3" s="111" t="s">
        <v>29</v>
      </c>
      <c r="I3" s="65">
        <v>0</v>
      </c>
      <c r="J3" s="65">
        <v>69</v>
      </c>
      <c r="K3" s="65">
        <f>SUM(I3+J3)</f>
        <v>69</v>
      </c>
    </row>
    <row r="4" spans="2:11" ht="16.5" x14ac:dyDescent="0.25">
      <c r="B4" s="111" t="s">
        <v>30</v>
      </c>
      <c r="C4" s="65">
        <v>93</v>
      </c>
      <c r="D4" s="65">
        <v>62</v>
      </c>
      <c r="E4" s="65">
        <v>62</v>
      </c>
      <c r="F4" s="66">
        <f t="shared" ref="F4:F18" si="0">SUM(C4:E4)</f>
        <v>217</v>
      </c>
      <c r="G4" s="63"/>
      <c r="H4" s="111" t="s">
        <v>30</v>
      </c>
      <c r="I4" s="65">
        <v>0</v>
      </c>
      <c r="J4" s="65">
        <v>217</v>
      </c>
      <c r="K4" s="65">
        <f t="shared" ref="K4:K17" si="1">SUM(I4+J4)</f>
        <v>217</v>
      </c>
    </row>
    <row r="5" spans="2:11" ht="16.5" x14ac:dyDescent="0.25">
      <c r="B5" s="111" t="s">
        <v>31</v>
      </c>
      <c r="C5" s="65">
        <v>93</v>
      </c>
      <c r="D5" s="65">
        <v>62</v>
      </c>
      <c r="E5" s="65">
        <v>124</v>
      </c>
      <c r="F5" s="66">
        <f t="shared" si="0"/>
        <v>279</v>
      </c>
      <c r="G5" s="63"/>
      <c r="H5" s="111" t="s">
        <v>31</v>
      </c>
      <c r="I5" s="65">
        <v>0</v>
      </c>
      <c r="J5" s="65">
        <v>279</v>
      </c>
      <c r="K5" s="65">
        <f t="shared" si="1"/>
        <v>279</v>
      </c>
    </row>
    <row r="6" spans="2:11" ht="16.5" x14ac:dyDescent="0.25">
      <c r="B6" s="111" t="s">
        <v>32</v>
      </c>
      <c r="C6" s="65">
        <v>93</v>
      </c>
      <c r="D6" s="65">
        <v>62</v>
      </c>
      <c r="E6" s="65">
        <v>62</v>
      </c>
      <c r="F6" s="66">
        <f t="shared" si="0"/>
        <v>217</v>
      </c>
      <c r="G6" s="63"/>
      <c r="H6" s="111" t="s">
        <v>32</v>
      </c>
      <c r="I6" s="65">
        <v>0</v>
      </c>
      <c r="J6" s="65">
        <v>217</v>
      </c>
      <c r="K6" s="65">
        <f t="shared" si="1"/>
        <v>217</v>
      </c>
    </row>
    <row r="7" spans="2:11" ht="16.5" x14ac:dyDescent="0.25">
      <c r="B7" s="111" t="s">
        <v>27</v>
      </c>
      <c r="C7" s="65">
        <v>62</v>
      </c>
      <c r="D7" s="65">
        <v>62</v>
      </c>
      <c r="E7" s="65">
        <v>124</v>
      </c>
      <c r="F7" s="66">
        <f t="shared" si="0"/>
        <v>248</v>
      </c>
      <c r="G7" s="63"/>
      <c r="H7" s="111" t="s">
        <v>27</v>
      </c>
      <c r="I7" s="65">
        <v>0</v>
      </c>
      <c r="J7" s="65">
        <v>248</v>
      </c>
      <c r="K7" s="65">
        <f t="shared" si="1"/>
        <v>248</v>
      </c>
    </row>
    <row r="8" spans="2:11" ht="16.5" x14ac:dyDescent="0.25">
      <c r="B8" s="111" t="s">
        <v>33</v>
      </c>
      <c r="C8" s="65">
        <v>93</v>
      </c>
      <c r="D8" s="65">
        <v>93</v>
      </c>
      <c r="E8" s="65">
        <v>62</v>
      </c>
      <c r="F8" s="66">
        <f t="shared" si="0"/>
        <v>248</v>
      </c>
      <c r="G8" s="63"/>
      <c r="H8" s="111" t="s">
        <v>33</v>
      </c>
      <c r="I8" s="65">
        <v>0</v>
      </c>
      <c r="J8" s="65">
        <v>248</v>
      </c>
      <c r="K8" s="65">
        <f t="shared" si="1"/>
        <v>248</v>
      </c>
    </row>
    <row r="9" spans="2:11" ht="16.5" x14ac:dyDescent="0.25">
      <c r="B9" s="111" t="s">
        <v>66</v>
      </c>
      <c r="C9" s="65">
        <v>93</v>
      </c>
      <c r="D9" s="65">
        <v>124</v>
      </c>
      <c r="E9" s="65">
        <v>62</v>
      </c>
      <c r="F9" s="66">
        <f t="shared" si="0"/>
        <v>279</v>
      </c>
      <c r="G9" s="63"/>
      <c r="H9" s="111" t="s">
        <v>66</v>
      </c>
      <c r="I9" s="65">
        <v>0</v>
      </c>
      <c r="J9" s="65">
        <v>279</v>
      </c>
      <c r="K9" s="65">
        <f t="shared" si="1"/>
        <v>279</v>
      </c>
    </row>
    <row r="10" spans="2:11" ht="16.5" x14ac:dyDescent="0.25">
      <c r="B10" s="111" t="s">
        <v>67</v>
      </c>
      <c r="C10" s="65">
        <v>0</v>
      </c>
      <c r="D10" s="65">
        <v>62</v>
      </c>
      <c r="E10" s="65">
        <v>63</v>
      </c>
      <c r="F10" s="66">
        <f t="shared" si="0"/>
        <v>125</v>
      </c>
      <c r="G10" s="63"/>
      <c r="H10" s="111" t="s">
        <v>67</v>
      </c>
      <c r="I10" s="65">
        <v>62</v>
      </c>
      <c r="J10" s="65">
        <v>63</v>
      </c>
      <c r="K10" s="65">
        <f t="shared" si="1"/>
        <v>125</v>
      </c>
    </row>
    <row r="11" spans="2:11" ht="16.5" x14ac:dyDescent="0.25">
      <c r="B11" s="111" t="s">
        <v>34</v>
      </c>
      <c r="C11" s="65">
        <v>0</v>
      </c>
      <c r="D11" s="65">
        <v>62</v>
      </c>
      <c r="E11" s="65">
        <v>0</v>
      </c>
      <c r="F11" s="66">
        <f t="shared" si="0"/>
        <v>62</v>
      </c>
      <c r="G11" s="63"/>
      <c r="H11" s="111" t="s">
        <v>34</v>
      </c>
      <c r="I11" s="65">
        <v>0</v>
      </c>
      <c r="J11" s="65">
        <v>62</v>
      </c>
      <c r="K11" s="65">
        <f t="shared" si="1"/>
        <v>62</v>
      </c>
    </row>
    <row r="12" spans="2:11" ht="16.5" x14ac:dyDescent="0.25">
      <c r="B12" s="111" t="s">
        <v>35</v>
      </c>
      <c r="C12" s="65">
        <v>93</v>
      </c>
      <c r="D12" s="65">
        <v>93</v>
      </c>
      <c r="E12" s="65">
        <v>93</v>
      </c>
      <c r="F12" s="66">
        <f t="shared" si="0"/>
        <v>279</v>
      </c>
      <c r="G12" s="63"/>
      <c r="H12" s="111" t="s">
        <v>35</v>
      </c>
      <c r="I12" s="65">
        <v>0</v>
      </c>
      <c r="J12" s="65">
        <v>279</v>
      </c>
      <c r="K12" s="65">
        <f t="shared" si="1"/>
        <v>279</v>
      </c>
    </row>
    <row r="13" spans="2:11" ht="16.5" x14ac:dyDescent="0.25">
      <c r="B13" s="111" t="s">
        <v>68</v>
      </c>
      <c r="C13" s="65">
        <v>62</v>
      </c>
      <c r="D13" s="65">
        <v>62</v>
      </c>
      <c r="E13" s="65">
        <v>62</v>
      </c>
      <c r="F13" s="66">
        <f t="shared" si="0"/>
        <v>186</v>
      </c>
      <c r="G13" s="63"/>
      <c r="H13" s="111" t="s">
        <v>68</v>
      </c>
      <c r="I13" s="65">
        <v>0</v>
      </c>
      <c r="J13" s="65">
        <v>186</v>
      </c>
      <c r="K13" s="65">
        <f t="shared" si="1"/>
        <v>186</v>
      </c>
    </row>
    <row r="14" spans="2:11" ht="16.5" x14ac:dyDescent="0.25">
      <c r="B14" s="111" t="s">
        <v>36</v>
      </c>
      <c r="C14" s="65">
        <v>0</v>
      </c>
      <c r="D14" s="65">
        <v>16</v>
      </c>
      <c r="E14" s="65">
        <v>16</v>
      </c>
      <c r="F14" s="66">
        <f t="shared" si="0"/>
        <v>32</v>
      </c>
      <c r="G14" s="63"/>
      <c r="H14" s="111" t="s">
        <v>36</v>
      </c>
      <c r="I14" s="65">
        <v>0</v>
      </c>
      <c r="J14" s="65">
        <v>32</v>
      </c>
      <c r="K14" s="65">
        <f t="shared" si="1"/>
        <v>32</v>
      </c>
    </row>
    <row r="15" spans="2:11" ht="16.5" x14ac:dyDescent="0.25">
      <c r="B15" s="111" t="s">
        <v>37</v>
      </c>
      <c r="C15" s="65">
        <v>4</v>
      </c>
      <c r="D15" s="65">
        <v>4</v>
      </c>
      <c r="E15" s="65">
        <v>4</v>
      </c>
      <c r="F15" s="66">
        <f t="shared" si="0"/>
        <v>12</v>
      </c>
      <c r="G15" s="63"/>
      <c r="H15" s="111" t="s">
        <v>37</v>
      </c>
      <c r="I15" s="65">
        <v>0</v>
      </c>
      <c r="J15" s="65">
        <v>12</v>
      </c>
      <c r="K15" s="65">
        <f t="shared" si="1"/>
        <v>12</v>
      </c>
    </row>
    <row r="16" spans="2:11" ht="16.5" x14ac:dyDescent="0.25">
      <c r="B16" s="111" t="s">
        <v>69</v>
      </c>
      <c r="C16" s="65">
        <v>62</v>
      </c>
      <c r="D16" s="65">
        <v>62</v>
      </c>
      <c r="E16" s="65">
        <v>62</v>
      </c>
      <c r="F16" s="66">
        <f t="shared" si="0"/>
        <v>186</v>
      </c>
      <c r="G16" s="63"/>
      <c r="H16" s="111" t="s">
        <v>69</v>
      </c>
      <c r="I16" s="65">
        <v>0</v>
      </c>
      <c r="J16" s="65">
        <v>186</v>
      </c>
      <c r="K16" s="65">
        <f t="shared" si="1"/>
        <v>186</v>
      </c>
    </row>
    <row r="17" spans="2:11" ht="16.5" x14ac:dyDescent="0.25">
      <c r="B17" s="111" t="s">
        <v>38</v>
      </c>
      <c r="C17" s="65">
        <v>62</v>
      </c>
      <c r="D17" s="65">
        <v>62</v>
      </c>
      <c r="E17" s="65">
        <v>62</v>
      </c>
      <c r="F17" s="66">
        <f t="shared" si="0"/>
        <v>186</v>
      </c>
      <c r="G17" s="63"/>
      <c r="H17" s="111" t="s">
        <v>38</v>
      </c>
      <c r="I17" s="65">
        <v>0</v>
      </c>
      <c r="J17" s="65">
        <v>186</v>
      </c>
      <c r="K17" s="65">
        <f t="shared" si="1"/>
        <v>186</v>
      </c>
    </row>
    <row r="18" spans="2:11" ht="16.5" x14ac:dyDescent="0.25">
      <c r="B18" s="112" t="s">
        <v>21</v>
      </c>
      <c r="C18" s="67">
        <f>SUM(C3:C17)</f>
        <v>841</v>
      </c>
      <c r="D18" s="67">
        <f>SUM(D3:D17)</f>
        <v>908</v>
      </c>
      <c r="E18" s="67">
        <f>SUM(E3:E17)</f>
        <v>876</v>
      </c>
      <c r="F18" s="67">
        <f t="shared" si="0"/>
        <v>2625</v>
      </c>
      <c r="G18" s="63"/>
      <c r="H18" s="112" t="s">
        <v>21</v>
      </c>
      <c r="I18" s="67">
        <f>SUM(I3:I17)</f>
        <v>62</v>
      </c>
      <c r="J18" s="67">
        <f>SUM(J3:J17)</f>
        <v>2563</v>
      </c>
      <c r="K18" s="67">
        <f>SUM(I18+J18)</f>
        <v>2625</v>
      </c>
    </row>
  </sheetData>
  <pageMargins left="0.7" right="0.7" top="0.75" bottom="0.75" header="0.3" footer="0.3"/>
  <ignoredErrors>
    <ignoredError sqref="C3:F18 I3:K18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E625-5AFD-4D87-BAF7-F81296D079E4}">
  <dimension ref="B1:HP91"/>
  <sheetViews>
    <sheetView showGridLines="0" topLeftCell="D1" zoomScaleNormal="100" workbookViewId="0">
      <selection activeCell="HJ81" sqref="HJ81:HJ84"/>
    </sheetView>
  </sheetViews>
  <sheetFormatPr baseColWidth="10" defaultRowHeight="16.5" x14ac:dyDescent="0.3"/>
  <cols>
    <col min="1" max="1" width="4.140625" customWidth="1"/>
    <col min="2" max="2" width="7" style="2" customWidth="1"/>
    <col min="3" max="3" width="12.42578125" style="2" hidden="1" customWidth="1"/>
    <col min="4" max="4" width="35" style="11" customWidth="1"/>
    <col min="5" max="5" width="13.42578125" style="2" hidden="1" customWidth="1"/>
    <col min="6" max="6" width="20.7109375" style="2" hidden="1" customWidth="1"/>
    <col min="7" max="8" width="12.42578125" style="2" hidden="1" customWidth="1"/>
    <col min="9" max="9" width="19.140625" style="2" hidden="1" customWidth="1"/>
    <col min="10" max="10" width="12.28515625" style="2" customWidth="1"/>
    <col min="11" max="24" width="4.28515625" style="2" hidden="1" customWidth="1"/>
    <col min="25" max="25" width="4.28515625" style="2" customWidth="1"/>
    <col min="26" max="26" width="11.28515625" style="2" hidden="1" customWidth="1"/>
    <col min="27" max="27" width="9" style="2" hidden="1" customWidth="1"/>
    <col min="28" max="28" width="14.140625" style="2" hidden="1" customWidth="1"/>
    <col min="29" max="29" width="23" style="2" hidden="1" customWidth="1"/>
    <col min="30" max="30" width="4" style="9" hidden="1" customWidth="1"/>
    <col min="31" max="32" width="8.28515625" style="9" hidden="1" customWidth="1"/>
    <col min="33" max="35" width="16.140625" style="9" hidden="1" customWidth="1"/>
    <col min="36" max="36" width="8.140625" style="9" hidden="1" customWidth="1"/>
    <col min="37" max="37" width="16.140625" style="9" hidden="1" customWidth="1"/>
    <col min="38" max="38" width="8.140625" style="9" hidden="1" customWidth="1"/>
    <col min="39" max="39" width="16.140625" style="9" hidden="1" customWidth="1"/>
    <col min="40" max="40" width="8.140625" style="9" hidden="1" customWidth="1"/>
    <col min="41" max="42" width="16.140625" style="9" hidden="1" customWidth="1"/>
    <col min="43" max="45" width="6.85546875" style="9" hidden="1" customWidth="1"/>
    <col min="46" max="48" width="14.85546875" style="9" hidden="1" customWidth="1"/>
    <col min="49" max="49" width="8.140625" style="9" hidden="1" customWidth="1"/>
    <col min="50" max="50" width="14.85546875" style="9" hidden="1" customWidth="1"/>
    <col min="51" max="51" width="8.140625" style="9" hidden="1" customWidth="1"/>
    <col min="52" max="52" width="14.85546875" style="9" hidden="1" customWidth="1"/>
    <col min="53" max="53" width="8.140625" style="9" hidden="1" customWidth="1"/>
    <col min="54" max="54" width="14.85546875" style="9" hidden="1" customWidth="1"/>
    <col min="55" max="55" width="5.28515625" style="9" hidden="1" customWidth="1"/>
    <col min="56" max="58" width="5" style="9" hidden="1" customWidth="1"/>
    <col min="59" max="59" width="13.85546875" style="9" hidden="1" customWidth="1"/>
    <col min="60" max="60" width="13.85546875" style="135" hidden="1" customWidth="1"/>
    <col min="61" max="61" width="13.85546875" style="9" hidden="1" customWidth="1"/>
    <col min="62" max="62" width="8.140625" style="9" hidden="1" customWidth="1"/>
    <col min="63" max="63" width="13.85546875" style="9" hidden="1" customWidth="1"/>
    <col min="64" max="64" width="8.140625" style="9" hidden="1" customWidth="1"/>
    <col min="65" max="65" width="13.85546875" style="9" hidden="1" customWidth="1"/>
    <col min="66" max="66" width="9" style="9" hidden="1" customWidth="1"/>
    <col min="67" max="67" width="7.140625" style="9" hidden="1" customWidth="1"/>
    <col min="68" max="68" width="5.28515625" style="9" hidden="1" customWidth="1"/>
    <col min="69" max="71" width="5.5703125" style="9" hidden="1" customWidth="1"/>
    <col min="72" max="72" width="13.85546875" style="9" hidden="1" customWidth="1"/>
    <col min="73" max="74" width="13.85546875" style="135" hidden="1" customWidth="1"/>
    <col min="75" max="75" width="8.140625" style="135" hidden="1" customWidth="1"/>
    <col min="76" max="76" width="13.85546875" style="135" hidden="1" customWidth="1"/>
    <col min="77" max="77" width="8.140625" style="135" hidden="1" customWidth="1"/>
    <col min="78" max="78" width="13.85546875" style="135" hidden="1" customWidth="1"/>
    <col min="79" max="79" width="8.140625" style="135" hidden="1" customWidth="1"/>
    <col min="80" max="80" width="7.140625" style="135" hidden="1" customWidth="1"/>
    <col min="81" max="81" width="3.5703125" style="135" hidden="1" customWidth="1"/>
    <col min="82" max="84" width="6" style="9" hidden="1" customWidth="1"/>
    <col min="85" max="85" width="13.85546875" style="9" hidden="1" customWidth="1"/>
    <col min="86" max="86" width="13.85546875" style="146" hidden="1" customWidth="1"/>
    <col min="87" max="87" width="13.85546875" style="9" hidden="1" customWidth="1"/>
    <col min="88" max="88" width="8.140625" style="9" hidden="1" customWidth="1"/>
    <col min="89" max="89" width="13.85546875" style="9" hidden="1" customWidth="1"/>
    <col min="90" max="90" width="8.140625" style="9" hidden="1" customWidth="1"/>
    <col min="91" max="91" width="13.85546875" style="9" hidden="1" customWidth="1"/>
    <col min="92" max="92" width="9" style="9" hidden="1" customWidth="1"/>
    <col min="93" max="93" width="7.140625" style="9" hidden="1" customWidth="1"/>
    <col min="94" max="94" width="4" style="9" hidden="1" customWidth="1"/>
    <col min="95" max="97" width="7" style="9" hidden="1" customWidth="1"/>
    <col min="98" max="98" width="13.85546875" style="9" hidden="1" customWidth="1"/>
    <col min="99" max="100" width="13.85546875" style="146" hidden="1" customWidth="1"/>
    <col min="101" max="101" width="8.140625" style="146" hidden="1" customWidth="1"/>
    <col min="102" max="102" width="13.85546875" style="146" hidden="1" customWidth="1"/>
    <col min="103" max="103" width="8.140625" style="146" hidden="1" customWidth="1"/>
    <col min="104" max="104" width="13.85546875" style="146" hidden="1" customWidth="1"/>
    <col min="105" max="105" width="8.140625" style="146" hidden="1" customWidth="1"/>
    <col min="106" max="106" width="7.28515625" style="146" hidden="1" customWidth="1"/>
    <col min="107" max="107" width="4" style="146" hidden="1" customWidth="1"/>
    <col min="108" max="110" width="6.28515625" style="9" hidden="1" customWidth="1"/>
    <col min="111" max="111" width="13.85546875" style="9" hidden="1" customWidth="1"/>
    <col min="112" max="113" width="13.85546875" style="146" hidden="1" customWidth="1"/>
    <col min="114" max="114" width="8.140625" style="146" hidden="1" customWidth="1"/>
    <col min="115" max="115" width="13.85546875" style="146" hidden="1" customWidth="1"/>
    <col min="116" max="116" width="8.140625" style="146" hidden="1" customWidth="1"/>
    <col min="117" max="117" width="13.85546875" style="146" hidden="1" customWidth="1"/>
    <col min="118" max="118" width="8.140625" style="146" hidden="1" customWidth="1"/>
    <col min="119" max="119" width="7.28515625" style="146" hidden="1" customWidth="1"/>
    <col min="120" max="120" width="4" style="146" hidden="1" customWidth="1"/>
    <col min="121" max="123" width="6.7109375" style="9" hidden="1" customWidth="1"/>
    <col min="124" max="124" width="13.85546875" style="9" hidden="1" customWidth="1"/>
    <col min="125" max="126" width="13.85546875" style="146" hidden="1" customWidth="1"/>
    <col min="127" max="127" width="8.140625" style="146" hidden="1" customWidth="1"/>
    <col min="128" max="128" width="13.85546875" style="146" hidden="1" customWidth="1"/>
    <col min="129" max="129" width="8.140625" style="146" hidden="1" customWidth="1"/>
    <col min="130" max="130" width="13.85546875" style="146" hidden="1" customWidth="1"/>
    <col min="131" max="131" width="8.140625" style="146" hidden="1" customWidth="1"/>
    <col min="132" max="132" width="7.28515625" style="146" hidden="1" customWidth="1"/>
    <col min="133" max="133" width="4" style="146" hidden="1" customWidth="1"/>
    <col min="134" max="136" width="6.85546875" style="9" hidden="1" customWidth="1"/>
    <col min="137" max="137" width="13.85546875" style="9" hidden="1" customWidth="1"/>
    <col min="138" max="139" width="13.85546875" style="135" hidden="1" customWidth="1"/>
    <col min="140" max="140" width="8.140625" style="135" hidden="1" customWidth="1"/>
    <col min="141" max="141" width="13.85546875" style="135" hidden="1" customWidth="1"/>
    <col min="142" max="142" width="8.140625" style="135" hidden="1" customWidth="1"/>
    <col min="143" max="143" width="13.85546875" style="135" hidden="1" customWidth="1"/>
    <col min="144" max="144" width="8.140625" style="135" hidden="1" customWidth="1"/>
    <col min="145" max="145" width="7.140625" style="135" hidden="1" customWidth="1"/>
    <col min="146" max="146" width="3.7109375" style="135" hidden="1" customWidth="1"/>
    <col min="147" max="149" width="7.28515625" style="9" hidden="1" customWidth="1"/>
    <col min="150" max="150" width="13.85546875" style="9" hidden="1" customWidth="1"/>
    <col min="151" max="152" width="13.85546875" style="146" hidden="1" customWidth="1"/>
    <col min="153" max="153" width="8.140625" style="146" hidden="1" customWidth="1"/>
    <col min="154" max="154" width="13.85546875" style="146" hidden="1" customWidth="1"/>
    <col min="155" max="155" width="8.140625" style="146" hidden="1" customWidth="1"/>
    <col min="156" max="156" width="13.85546875" style="146" hidden="1" customWidth="1"/>
    <col min="157" max="157" width="8.140625" style="146" hidden="1" customWidth="1"/>
    <col min="158" max="158" width="7.28515625" style="146" hidden="1" customWidth="1"/>
    <col min="159" max="159" width="4.42578125" style="146" hidden="1" customWidth="1"/>
    <col min="160" max="162" width="6.85546875" style="9" hidden="1" customWidth="1"/>
    <col min="163" max="163" width="13.85546875" style="9" hidden="1" customWidth="1"/>
    <col min="164" max="165" width="13.85546875" style="135" hidden="1" customWidth="1"/>
    <col min="166" max="166" width="8.140625" style="135" hidden="1" customWidth="1"/>
    <col min="167" max="167" width="13.85546875" style="135" hidden="1" customWidth="1"/>
    <col min="168" max="168" width="8.140625" style="135" hidden="1" customWidth="1"/>
    <col min="169" max="169" width="13.85546875" style="135" hidden="1" customWidth="1"/>
    <col min="170" max="170" width="8.140625" style="135" hidden="1" customWidth="1"/>
    <col min="171" max="171" width="7.28515625" style="135" hidden="1" customWidth="1"/>
    <col min="172" max="172" width="5.42578125" style="135" hidden="1" customWidth="1"/>
    <col min="173" max="173" width="7.42578125" style="9" hidden="1" customWidth="1"/>
    <col min="174" max="174" width="3.85546875" style="9" hidden="1" customWidth="1"/>
    <col min="175" max="175" width="8.85546875" style="9" hidden="1" customWidth="1"/>
    <col min="176" max="176" width="13.85546875" style="9" hidden="1" customWidth="1"/>
    <col min="177" max="178" width="13.85546875" style="146" hidden="1" customWidth="1"/>
    <col min="179" max="179" width="8.140625" style="146" hidden="1" customWidth="1"/>
    <col min="180" max="180" width="13.85546875" style="146" hidden="1" customWidth="1"/>
    <col min="181" max="181" width="8.140625" style="146" hidden="1" customWidth="1"/>
    <col min="182" max="182" width="13.85546875" style="146" hidden="1" customWidth="1"/>
    <col min="183" max="183" width="8.140625" style="146" hidden="1" customWidth="1"/>
    <col min="184" max="184" width="7.28515625" style="146" hidden="1" customWidth="1"/>
    <col min="185" max="185" width="3" style="146" hidden="1" customWidth="1"/>
    <col min="186" max="188" width="6.7109375" style="9" hidden="1" customWidth="1"/>
    <col min="189" max="189" width="12.85546875" style="9" hidden="1" customWidth="1"/>
    <col min="190" max="190" width="14.5703125" style="146" hidden="1" customWidth="1"/>
    <col min="191" max="191" width="14" style="146" hidden="1" customWidth="1"/>
    <col min="192" max="192" width="8.140625" style="146" hidden="1" customWidth="1"/>
    <col min="193" max="193" width="13.85546875" style="146" hidden="1" customWidth="1"/>
    <col min="194" max="194" width="8.140625" style="146" hidden="1" customWidth="1"/>
    <col min="195" max="195" width="13.85546875" style="146" hidden="1" customWidth="1"/>
    <col min="196" max="196" width="8.140625" style="146" hidden="1" customWidth="1"/>
    <col min="197" max="197" width="7.140625" style="146" hidden="1" customWidth="1"/>
    <col min="198" max="198" width="3" style="146" hidden="1" customWidth="1"/>
    <col min="199" max="201" width="6.7109375" style="9" hidden="1" customWidth="1"/>
    <col min="202" max="202" width="16.140625" style="9" hidden="1" customWidth="1"/>
    <col min="203" max="204" width="16.140625" style="135" hidden="1" customWidth="1"/>
    <col min="205" max="205" width="8.140625" style="135" hidden="1" customWidth="1"/>
    <col min="206" max="206" width="16.140625" style="135" hidden="1" customWidth="1"/>
    <col min="207" max="207" width="8.140625" style="135" hidden="1" customWidth="1"/>
    <col min="208" max="208" width="16.140625" style="135" hidden="1" customWidth="1"/>
    <col min="209" max="209" width="8.140625" style="135" hidden="1" customWidth="1"/>
    <col min="210" max="210" width="7.28515625" style="135" hidden="1" customWidth="1"/>
    <col min="211" max="211" width="5.42578125" style="135" hidden="1" customWidth="1"/>
    <col min="212" max="214" width="6.85546875" style="9" customWidth="1"/>
    <col min="215" max="215" width="18.140625" style="9" customWidth="1"/>
    <col min="216" max="217" width="14" style="1" customWidth="1"/>
    <col min="218" max="218" width="8.140625" style="1" bestFit="1" customWidth="1"/>
    <col min="219" max="219" width="14" style="1" customWidth="1"/>
    <col min="220" max="220" width="8.140625" style="1" bestFit="1" customWidth="1"/>
    <col min="221" max="221" width="14" style="1" customWidth="1"/>
    <col min="222" max="222" width="8.140625" style="1" bestFit="1" customWidth="1"/>
    <col min="223" max="223" width="7.140625" style="1" bestFit="1" customWidth="1"/>
    <col min="224" max="224" width="3.85546875" style="1" customWidth="1"/>
  </cols>
  <sheetData>
    <row r="1" spans="2:224" s="2" customFormat="1" x14ac:dyDescent="0.3">
      <c r="D1" s="11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135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135"/>
      <c r="BV1" s="135"/>
      <c r="BW1" s="135"/>
      <c r="BX1" s="135"/>
      <c r="BY1" s="135"/>
      <c r="BZ1" s="135"/>
      <c r="CA1" s="135"/>
      <c r="CB1" s="135"/>
      <c r="CC1" s="135"/>
      <c r="CD1" s="9"/>
      <c r="CE1" s="9"/>
      <c r="CF1" s="9"/>
      <c r="CG1" s="9"/>
      <c r="CH1" s="146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146"/>
      <c r="CV1" s="146"/>
      <c r="CW1" s="146"/>
      <c r="CX1" s="146"/>
      <c r="CY1" s="146"/>
      <c r="CZ1" s="146"/>
      <c r="DA1" s="146"/>
      <c r="DB1" s="146"/>
      <c r="DC1" s="146"/>
      <c r="DD1" s="9"/>
      <c r="DE1" s="9"/>
      <c r="DF1" s="9"/>
      <c r="DG1" s="9"/>
      <c r="DH1" s="146"/>
      <c r="DI1" s="146"/>
      <c r="DJ1" s="146"/>
      <c r="DK1" s="146"/>
      <c r="DL1" s="146"/>
      <c r="DM1" s="146"/>
      <c r="DN1" s="146"/>
      <c r="DO1" s="146"/>
      <c r="DP1" s="146"/>
      <c r="DQ1" s="9"/>
      <c r="DR1" s="9"/>
      <c r="DS1" s="9"/>
      <c r="DT1" s="9"/>
      <c r="DU1" s="146"/>
      <c r="DV1" s="146"/>
      <c r="DW1" s="146"/>
      <c r="DX1" s="146"/>
      <c r="DY1" s="146"/>
      <c r="DZ1" s="146"/>
      <c r="EA1" s="146"/>
      <c r="EB1" s="146"/>
      <c r="EC1" s="146"/>
      <c r="ED1" s="9"/>
      <c r="EE1" s="9"/>
      <c r="EF1" s="9"/>
      <c r="EG1" s="9"/>
      <c r="EH1" s="135"/>
      <c r="EI1" s="135"/>
      <c r="EJ1" s="135"/>
      <c r="EK1" s="135"/>
      <c r="EL1" s="135"/>
      <c r="EM1" s="135"/>
      <c r="EN1" s="135"/>
      <c r="EO1" s="135"/>
      <c r="EP1" s="135"/>
      <c r="EQ1" s="9"/>
      <c r="ER1" s="9"/>
      <c r="ES1" s="9"/>
      <c r="ET1" s="9"/>
      <c r="EU1" s="146"/>
      <c r="EV1" s="146"/>
      <c r="EW1" s="146"/>
      <c r="EX1" s="146"/>
      <c r="EY1" s="146"/>
      <c r="EZ1" s="146"/>
      <c r="FA1" s="146"/>
      <c r="FB1" s="146"/>
      <c r="FC1" s="146"/>
      <c r="FD1" s="9"/>
      <c r="FE1" s="9"/>
      <c r="FF1" s="9"/>
      <c r="FG1" s="9"/>
      <c r="FH1" s="135"/>
      <c r="FI1" s="135"/>
      <c r="FJ1" s="135"/>
      <c r="FK1" s="135"/>
      <c r="FL1" s="135"/>
      <c r="FM1" s="135"/>
      <c r="FN1" s="135"/>
      <c r="FO1" s="135"/>
      <c r="FP1" s="135"/>
      <c r="FQ1" s="9"/>
      <c r="FR1" s="9"/>
      <c r="FS1" s="9"/>
      <c r="FT1" s="9"/>
      <c r="FU1" s="146"/>
      <c r="FV1" s="146"/>
      <c r="FW1" s="146"/>
      <c r="FX1" s="146"/>
      <c r="FY1" s="146"/>
      <c r="FZ1" s="146"/>
      <c r="GA1" s="146"/>
      <c r="GB1" s="146"/>
      <c r="GC1" s="146"/>
      <c r="GD1" s="9"/>
      <c r="GE1" s="9"/>
      <c r="GF1" s="9"/>
      <c r="GG1" s="9"/>
      <c r="GH1" s="146"/>
      <c r="GI1" s="146"/>
      <c r="GJ1" s="146"/>
      <c r="GK1" s="146"/>
      <c r="GL1" s="146"/>
      <c r="GM1" s="146"/>
      <c r="GN1" s="146"/>
      <c r="GO1" s="146"/>
      <c r="GP1" s="146"/>
      <c r="GQ1" s="9"/>
      <c r="GR1" s="9"/>
      <c r="GS1" s="9"/>
      <c r="GT1" s="9"/>
      <c r="GU1" s="135"/>
      <c r="GV1" s="135"/>
      <c r="GW1" s="135"/>
      <c r="GX1" s="135"/>
      <c r="GY1" s="135"/>
      <c r="GZ1" s="135"/>
      <c r="HA1" s="135"/>
      <c r="HB1" s="135"/>
      <c r="HC1" s="135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</row>
    <row r="2" spans="2:224" s="2" customFormat="1" ht="16.5" customHeight="1" x14ac:dyDescent="0.3">
      <c r="B2" s="199" t="s">
        <v>146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136"/>
      <c r="BV2" s="136"/>
      <c r="BW2" s="136"/>
      <c r="BX2" s="136"/>
      <c r="BY2" s="136"/>
      <c r="BZ2" s="136"/>
      <c r="CA2" s="136"/>
      <c r="CB2" s="136"/>
      <c r="CC2" s="136"/>
      <c r="CD2" s="59"/>
      <c r="CE2" s="59"/>
      <c r="CF2" s="59"/>
      <c r="CG2" s="59"/>
      <c r="CH2" s="147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147"/>
      <c r="CV2" s="147"/>
      <c r="CW2" s="147"/>
      <c r="CX2" s="147"/>
      <c r="CY2" s="147"/>
      <c r="CZ2" s="147"/>
      <c r="DA2" s="147"/>
      <c r="DB2" s="147"/>
      <c r="DC2" s="147"/>
      <c r="DD2" s="59"/>
      <c r="DE2" s="59"/>
      <c r="DF2" s="59"/>
      <c r="DG2" s="59"/>
      <c r="DH2" s="147"/>
      <c r="DI2" s="147"/>
      <c r="DJ2" s="147"/>
      <c r="DK2" s="147"/>
      <c r="DL2" s="147"/>
      <c r="DM2" s="147"/>
      <c r="DN2" s="147"/>
      <c r="DO2" s="147"/>
      <c r="DP2" s="147"/>
      <c r="DQ2" s="59"/>
      <c r="DR2" s="59"/>
      <c r="DS2" s="59"/>
      <c r="DT2" s="59"/>
      <c r="DU2" s="147"/>
      <c r="DV2" s="147"/>
      <c r="DW2" s="147"/>
      <c r="DX2" s="147"/>
      <c r="DY2" s="147"/>
      <c r="DZ2" s="147"/>
      <c r="EA2" s="147"/>
      <c r="EB2" s="147"/>
      <c r="EC2" s="147"/>
      <c r="ED2" s="59"/>
      <c r="EE2" s="59"/>
      <c r="EF2" s="59"/>
      <c r="EG2" s="59"/>
      <c r="EH2" s="136"/>
      <c r="EI2" s="136"/>
      <c r="EJ2" s="136"/>
      <c r="EK2" s="136"/>
      <c r="EL2" s="136"/>
      <c r="EM2" s="136"/>
      <c r="EN2" s="136"/>
      <c r="EO2" s="136"/>
      <c r="EP2" s="136"/>
      <c r="EQ2" s="59"/>
      <c r="ER2" s="59"/>
      <c r="ES2" s="59"/>
      <c r="ET2" s="59"/>
      <c r="EU2" s="147"/>
      <c r="EV2" s="147"/>
      <c r="EW2" s="147"/>
      <c r="EX2" s="147"/>
      <c r="EY2" s="147"/>
      <c r="EZ2" s="147"/>
      <c r="FA2" s="147"/>
      <c r="FB2" s="147"/>
      <c r="FC2" s="147"/>
      <c r="FD2" s="59"/>
      <c r="FE2" s="59"/>
      <c r="FF2" s="59"/>
      <c r="FG2" s="59"/>
      <c r="FH2" s="136"/>
      <c r="FI2" s="136"/>
      <c r="FJ2" s="136"/>
      <c r="FK2" s="136"/>
      <c r="FL2" s="136"/>
      <c r="FM2" s="136"/>
      <c r="FN2" s="136"/>
      <c r="FO2" s="136"/>
      <c r="FP2" s="136"/>
      <c r="FQ2" s="59"/>
      <c r="FR2" s="59"/>
      <c r="FS2" s="59"/>
      <c r="FT2" s="59"/>
      <c r="FU2" s="147"/>
      <c r="FV2" s="147"/>
      <c r="FW2" s="147"/>
      <c r="FX2" s="147"/>
      <c r="FY2" s="147"/>
      <c r="FZ2" s="147"/>
      <c r="GA2" s="147"/>
      <c r="GB2" s="147"/>
      <c r="GC2" s="147"/>
      <c r="GD2" s="59"/>
      <c r="GE2" s="59"/>
      <c r="GF2" s="59"/>
      <c r="GG2" s="59"/>
      <c r="GH2" s="147"/>
      <c r="GI2" s="147"/>
      <c r="GJ2" s="147"/>
      <c r="GK2" s="147"/>
      <c r="GL2" s="147"/>
      <c r="GM2" s="147"/>
      <c r="GN2" s="147"/>
      <c r="GO2" s="147"/>
      <c r="GP2" s="147"/>
      <c r="GQ2" s="59"/>
      <c r="GR2" s="59"/>
      <c r="GS2" s="59"/>
      <c r="GT2" s="59"/>
      <c r="GU2" s="136"/>
      <c r="GV2" s="136"/>
      <c r="GW2" s="136"/>
      <c r="GX2" s="136"/>
      <c r="GY2" s="136"/>
      <c r="GZ2" s="136"/>
      <c r="HA2" s="136"/>
      <c r="HB2" s="136"/>
      <c r="HC2" s="136"/>
      <c r="HD2" s="59"/>
      <c r="HE2" s="59"/>
      <c r="HF2" s="59"/>
      <c r="HG2" s="59"/>
      <c r="HH2" s="130"/>
      <c r="HI2" s="130"/>
      <c r="HJ2" s="130"/>
      <c r="HK2" s="130"/>
      <c r="HL2" s="130"/>
      <c r="HM2" s="130"/>
      <c r="HN2" s="130"/>
      <c r="HO2" s="130"/>
      <c r="HP2" s="130"/>
    </row>
    <row r="3" spans="2:224" s="11" customFormat="1" ht="28.5" customHeight="1" x14ac:dyDescent="0.25">
      <c r="B3" s="205" t="str">
        <f>'PLAN DE NECESIDADES'!B4</f>
        <v>ÍTEM</v>
      </c>
      <c r="C3" s="205" t="str">
        <f>'PLAN DE NECESIDADES'!C4</f>
        <v>CÓDIGO DANE</v>
      </c>
      <c r="D3" s="207" t="str">
        <f>'PLAN DE NECESIDADES'!D4</f>
        <v xml:space="preserve">DESCRIPCIÓN DEL BIEN Y/O SERVICIO </v>
      </c>
      <c r="E3" s="205" t="str">
        <f>'PLAN DE NECESIDADES'!E4</f>
        <v>UNIDAD MEDIDA</v>
      </c>
      <c r="F3" s="205" t="str">
        <f>'PLAN DE NECESIDADES'!F4</f>
        <v>EXISTENCIAS (STOCK - INVENTARIOS)</v>
      </c>
      <c r="G3" s="205" t="str">
        <f>'PLAN DE NECESIDADES'!H4</f>
        <v>UNSPSC (CCE)</v>
      </c>
      <c r="H3" s="205" t="str">
        <f>'PLAN DE NECESIDADES'!I4</f>
        <v xml:space="preserve">CÓDIGO MATERIAL SAP </v>
      </c>
      <c r="I3" s="205" t="str">
        <f>'PLAN DE NECESIDADES'!J4</f>
        <v xml:space="preserve">CÓDIGO OTAN - NOC </v>
      </c>
      <c r="J3" s="205" t="s">
        <v>155</v>
      </c>
      <c r="K3" s="203" t="str">
        <f>AD3</f>
        <v>BAABS3</v>
      </c>
      <c r="L3" s="203" t="str">
        <f>AQ3</f>
        <v>BAACA10</v>
      </c>
      <c r="M3" s="203" t="str">
        <f>BD3</f>
        <v>BAACA2</v>
      </c>
      <c r="N3" s="203" t="str">
        <f>BQ3</f>
        <v>BAADA1</v>
      </c>
      <c r="O3" s="203" t="str">
        <f>CD3</f>
        <v>BAEEV2</v>
      </c>
      <c r="P3" s="203" t="str">
        <f>CQ3</f>
        <v>BAEEV3</v>
      </c>
      <c r="Q3" s="203" t="str">
        <f>DD3</f>
        <v>BAMMA7</v>
      </c>
      <c r="R3" s="203" t="str">
        <f>DQ3</f>
        <v>BASPC10</v>
      </c>
      <c r="S3" s="203" t="str">
        <f>ED3</f>
        <v>BASAC</v>
      </c>
      <c r="T3" s="203" t="str">
        <f>EQ3</f>
        <v>BICAR</v>
      </c>
      <c r="U3" s="203" t="str">
        <f>FD3</f>
        <v>BIMOC70</v>
      </c>
      <c r="V3" s="203" t="str">
        <f>FQ3</f>
        <v>BITER10</v>
      </c>
      <c r="W3" s="203" t="str">
        <f>GD3</f>
        <v>DIM15</v>
      </c>
      <c r="X3" s="203" t="str">
        <f>GQ3</f>
        <v>GMMAT</v>
      </c>
      <c r="Y3" s="203" t="str">
        <f>HD3</f>
        <v>GMRON</v>
      </c>
      <c r="Z3" s="209" t="s">
        <v>13</v>
      </c>
      <c r="AA3" s="209" t="s">
        <v>14</v>
      </c>
      <c r="AB3" s="209" t="s">
        <v>12</v>
      </c>
      <c r="AC3" s="209" t="s">
        <v>4</v>
      </c>
      <c r="AD3" s="214" t="str">
        <f>PRESUPUESTO!E33</f>
        <v>BAABS3</v>
      </c>
      <c r="AE3" s="215"/>
      <c r="AF3" s="215"/>
      <c r="AG3" s="216"/>
      <c r="AH3" s="114"/>
      <c r="AI3" s="114"/>
      <c r="AJ3" s="114"/>
      <c r="AK3" s="114"/>
      <c r="AL3" s="114"/>
      <c r="AM3" s="114"/>
      <c r="AN3" s="114"/>
      <c r="AO3" s="114"/>
      <c r="AP3" s="114"/>
      <c r="AQ3" s="217" t="s">
        <v>30</v>
      </c>
      <c r="AR3" s="218"/>
      <c r="AS3" s="218"/>
      <c r="AT3" s="219"/>
      <c r="AU3" s="115"/>
      <c r="AV3" s="115"/>
      <c r="AW3" s="115"/>
      <c r="AX3" s="115"/>
      <c r="AY3" s="115"/>
      <c r="AZ3" s="115"/>
      <c r="BA3" s="115"/>
      <c r="BB3" s="115"/>
      <c r="BC3" s="115"/>
      <c r="BD3" s="196" t="s">
        <v>31</v>
      </c>
      <c r="BE3" s="197"/>
      <c r="BF3" s="197"/>
      <c r="BG3" s="198"/>
      <c r="BH3" s="137"/>
      <c r="BI3" s="116"/>
      <c r="BJ3" s="116"/>
      <c r="BK3" s="116"/>
      <c r="BL3" s="116"/>
      <c r="BM3" s="116"/>
      <c r="BN3" s="116"/>
      <c r="BO3" s="116"/>
      <c r="BP3" s="116"/>
      <c r="BQ3" s="211" t="s">
        <v>32</v>
      </c>
      <c r="BR3" s="212"/>
      <c r="BS3" s="212"/>
      <c r="BT3" s="213"/>
      <c r="BU3" s="144"/>
      <c r="BV3" s="144"/>
      <c r="BW3" s="144"/>
      <c r="BX3" s="144"/>
      <c r="BY3" s="144"/>
      <c r="BZ3" s="144"/>
      <c r="CA3" s="144"/>
      <c r="CB3" s="144"/>
      <c r="CC3" s="144"/>
      <c r="CD3" s="214" t="s">
        <v>27</v>
      </c>
      <c r="CE3" s="215"/>
      <c r="CF3" s="215"/>
      <c r="CG3" s="216"/>
      <c r="CH3" s="148"/>
      <c r="CI3" s="114"/>
      <c r="CJ3" s="114"/>
      <c r="CK3" s="114"/>
      <c r="CL3" s="114"/>
      <c r="CM3" s="114"/>
      <c r="CN3" s="114"/>
      <c r="CO3" s="114"/>
      <c r="CP3" s="114"/>
      <c r="CQ3" s="217" t="s">
        <v>33</v>
      </c>
      <c r="CR3" s="218"/>
      <c r="CS3" s="218"/>
      <c r="CT3" s="219"/>
      <c r="CU3" s="156"/>
      <c r="CV3" s="156"/>
      <c r="CW3" s="156"/>
      <c r="CX3" s="156"/>
      <c r="CY3" s="156"/>
      <c r="CZ3" s="156"/>
      <c r="DA3" s="156"/>
      <c r="DB3" s="156"/>
      <c r="DC3" s="156"/>
      <c r="DD3" s="196" t="s">
        <v>66</v>
      </c>
      <c r="DE3" s="197"/>
      <c r="DF3" s="197"/>
      <c r="DG3" s="198"/>
      <c r="DH3" s="158"/>
      <c r="DI3" s="158"/>
      <c r="DJ3" s="158"/>
      <c r="DK3" s="158"/>
      <c r="DL3" s="158"/>
      <c r="DM3" s="158"/>
      <c r="DN3" s="158"/>
      <c r="DO3" s="158"/>
      <c r="DP3" s="158"/>
      <c r="DQ3" s="211" t="s">
        <v>67</v>
      </c>
      <c r="DR3" s="212"/>
      <c r="DS3" s="212"/>
      <c r="DT3" s="213"/>
      <c r="DU3" s="160"/>
      <c r="DV3" s="160"/>
      <c r="DW3" s="160"/>
      <c r="DX3" s="160"/>
      <c r="DY3" s="160"/>
      <c r="DZ3" s="160"/>
      <c r="EA3" s="160"/>
      <c r="EB3" s="160"/>
      <c r="EC3" s="160"/>
      <c r="ED3" s="214" t="s">
        <v>34</v>
      </c>
      <c r="EE3" s="215"/>
      <c r="EF3" s="215"/>
      <c r="EG3" s="216"/>
      <c r="EH3" s="162"/>
      <c r="EI3" s="162"/>
      <c r="EJ3" s="162"/>
      <c r="EK3" s="162"/>
      <c r="EL3" s="162"/>
      <c r="EM3" s="162"/>
      <c r="EN3" s="162"/>
      <c r="EO3" s="162"/>
      <c r="EP3" s="162"/>
      <c r="EQ3" s="217" t="s">
        <v>35</v>
      </c>
      <c r="ER3" s="218"/>
      <c r="ES3" s="218"/>
      <c r="ET3" s="219"/>
      <c r="EU3" s="156"/>
      <c r="EV3" s="156"/>
      <c r="EW3" s="156"/>
      <c r="EX3" s="156"/>
      <c r="EY3" s="156"/>
      <c r="EZ3" s="156"/>
      <c r="FA3" s="156"/>
      <c r="FB3" s="156"/>
      <c r="FC3" s="156"/>
      <c r="FD3" s="196" t="s">
        <v>68</v>
      </c>
      <c r="FE3" s="197"/>
      <c r="FF3" s="197"/>
      <c r="FG3" s="198"/>
      <c r="FH3" s="137"/>
      <c r="FI3" s="137"/>
      <c r="FJ3" s="137"/>
      <c r="FK3" s="137"/>
      <c r="FL3" s="137"/>
      <c r="FM3" s="137"/>
      <c r="FN3" s="137"/>
      <c r="FO3" s="137"/>
      <c r="FP3" s="137"/>
      <c r="FQ3" s="211" t="s">
        <v>36</v>
      </c>
      <c r="FR3" s="212"/>
      <c r="FS3" s="212"/>
      <c r="FT3" s="213"/>
      <c r="FU3" s="160"/>
      <c r="FV3" s="160"/>
      <c r="FW3" s="160"/>
      <c r="FX3" s="160"/>
      <c r="FY3" s="160"/>
      <c r="FZ3" s="160"/>
      <c r="GA3" s="160"/>
      <c r="GB3" s="160"/>
      <c r="GC3" s="160"/>
      <c r="GD3" s="214" t="s">
        <v>37</v>
      </c>
      <c r="GE3" s="215"/>
      <c r="GF3" s="215"/>
      <c r="GG3" s="216"/>
      <c r="GH3" s="148"/>
      <c r="GI3" s="148"/>
      <c r="GJ3" s="148"/>
      <c r="GK3" s="148"/>
      <c r="GL3" s="148"/>
      <c r="GM3" s="148"/>
      <c r="GN3" s="148"/>
      <c r="GO3" s="148"/>
      <c r="GP3" s="148"/>
      <c r="GQ3" s="217" t="s">
        <v>69</v>
      </c>
      <c r="GR3" s="218"/>
      <c r="GS3" s="218"/>
      <c r="GT3" s="219"/>
      <c r="GU3" s="164"/>
      <c r="GV3" s="164"/>
      <c r="GW3" s="164"/>
      <c r="GX3" s="164"/>
      <c r="GY3" s="164"/>
      <c r="GZ3" s="164"/>
      <c r="HA3" s="164"/>
      <c r="HB3" s="164"/>
      <c r="HC3" s="164"/>
      <c r="HD3" s="196" t="s">
        <v>38</v>
      </c>
      <c r="HE3" s="197"/>
      <c r="HF3" s="197"/>
      <c r="HG3" s="198"/>
      <c r="HH3" s="196"/>
      <c r="HI3" s="197"/>
      <c r="HJ3" s="197"/>
      <c r="HK3" s="197"/>
      <c r="HL3" s="197"/>
      <c r="HM3" s="197"/>
      <c r="HN3" s="197"/>
      <c r="HO3" s="197"/>
      <c r="HP3" s="198"/>
    </row>
    <row r="4" spans="2:224" s="6" customFormat="1" ht="47.25" customHeight="1" x14ac:dyDescent="0.25">
      <c r="B4" s="206"/>
      <c r="C4" s="206"/>
      <c r="D4" s="208"/>
      <c r="E4" s="206"/>
      <c r="F4" s="206"/>
      <c r="G4" s="206"/>
      <c r="H4" s="206"/>
      <c r="I4" s="206"/>
      <c r="J4" s="206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10"/>
      <c r="AA4" s="210"/>
      <c r="AB4" s="210"/>
      <c r="AC4" s="210"/>
      <c r="AD4" s="20" t="s">
        <v>15</v>
      </c>
      <c r="AE4" s="21" t="s">
        <v>16</v>
      </c>
      <c r="AF4" s="22" t="s">
        <v>17</v>
      </c>
      <c r="AG4" s="20" t="s">
        <v>20</v>
      </c>
      <c r="AH4" s="20" t="s">
        <v>166</v>
      </c>
      <c r="AI4" s="20" t="s">
        <v>163</v>
      </c>
      <c r="AJ4" s="20" t="s">
        <v>162</v>
      </c>
      <c r="AK4" s="20" t="s">
        <v>164</v>
      </c>
      <c r="AL4" s="20" t="s">
        <v>162</v>
      </c>
      <c r="AM4" s="20" t="s">
        <v>165</v>
      </c>
      <c r="AN4" s="20" t="s">
        <v>162</v>
      </c>
      <c r="AO4" s="20" t="s">
        <v>21</v>
      </c>
      <c r="AP4" s="20"/>
      <c r="AQ4" s="3" t="s">
        <v>15</v>
      </c>
      <c r="AR4" s="4" t="s">
        <v>16</v>
      </c>
      <c r="AS4" s="5" t="s">
        <v>17</v>
      </c>
      <c r="AT4" s="3" t="s">
        <v>20</v>
      </c>
      <c r="AU4" s="3" t="s">
        <v>166</v>
      </c>
      <c r="AV4" s="3" t="s">
        <v>163</v>
      </c>
      <c r="AW4" s="3" t="s">
        <v>162</v>
      </c>
      <c r="AX4" s="3" t="s">
        <v>164</v>
      </c>
      <c r="AY4" s="3" t="s">
        <v>162</v>
      </c>
      <c r="AZ4" s="3" t="s">
        <v>165</v>
      </c>
      <c r="BA4" s="3" t="s">
        <v>162</v>
      </c>
      <c r="BB4" s="3" t="s">
        <v>21</v>
      </c>
      <c r="BC4" s="3"/>
      <c r="BD4" s="117" t="s">
        <v>15</v>
      </c>
      <c r="BE4" s="23" t="s">
        <v>16</v>
      </c>
      <c r="BF4" s="24" t="s">
        <v>17</v>
      </c>
      <c r="BG4" s="117" t="s">
        <v>20</v>
      </c>
      <c r="BH4" s="138" t="s">
        <v>166</v>
      </c>
      <c r="BI4" s="117" t="s">
        <v>163</v>
      </c>
      <c r="BJ4" s="117" t="s">
        <v>162</v>
      </c>
      <c r="BK4" s="117" t="s">
        <v>164</v>
      </c>
      <c r="BL4" s="117" t="s">
        <v>162</v>
      </c>
      <c r="BM4" s="117" t="s">
        <v>165</v>
      </c>
      <c r="BN4" s="117" t="s">
        <v>162</v>
      </c>
      <c r="BO4" s="117" t="s">
        <v>21</v>
      </c>
      <c r="BP4" s="117"/>
      <c r="BQ4" s="25" t="s">
        <v>15</v>
      </c>
      <c r="BR4" s="26" t="s">
        <v>16</v>
      </c>
      <c r="BS4" s="27" t="s">
        <v>17</v>
      </c>
      <c r="BT4" s="25" t="s">
        <v>20</v>
      </c>
      <c r="BU4" s="143" t="s">
        <v>166</v>
      </c>
      <c r="BV4" s="143" t="s">
        <v>163</v>
      </c>
      <c r="BW4" s="143" t="s">
        <v>162</v>
      </c>
      <c r="BX4" s="143" t="s">
        <v>164</v>
      </c>
      <c r="BY4" s="143" t="s">
        <v>162</v>
      </c>
      <c r="BZ4" s="143" t="s">
        <v>165</v>
      </c>
      <c r="CA4" s="143" t="s">
        <v>162</v>
      </c>
      <c r="CB4" s="143" t="s">
        <v>21</v>
      </c>
      <c r="CC4" s="143"/>
      <c r="CD4" s="20" t="s">
        <v>15</v>
      </c>
      <c r="CE4" s="21" t="s">
        <v>16</v>
      </c>
      <c r="CF4" s="22" t="s">
        <v>17</v>
      </c>
      <c r="CG4" s="20" t="s">
        <v>20</v>
      </c>
      <c r="CH4" s="149" t="s">
        <v>166</v>
      </c>
      <c r="CI4" s="145" t="s">
        <v>163</v>
      </c>
      <c r="CJ4" s="145" t="s">
        <v>162</v>
      </c>
      <c r="CK4" s="145" t="s">
        <v>164</v>
      </c>
      <c r="CL4" s="145" t="s">
        <v>162</v>
      </c>
      <c r="CM4" s="145" t="s">
        <v>165</v>
      </c>
      <c r="CN4" s="145" t="s">
        <v>162</v>
      </c>
      <c r="CO4" s="145" t="s">
        <v>21</v>
      </c>
      <c r="CP4" s="145"/>
      <c r="CQ4" s="3" t="s">
        <v>15</v>
      </c>
      <c r="CR4" s="4" t="s">
        <v>16</v>
      </c>
      <c r="CS4" s="5" t="s">
        <v>17</v>
      </c>
      <c r="CT4" s="3" t="s">
        <v>20</v>
      </c>
      <c r="CU4" s="157" t="s">
        <v>166</v>
      </c>
      <c r="CV4" s="157" t="s">
        <v>163</v>
      </c>
      <c r="CW4" s="157" t="s">
        <v>162</v>
      </c>
      <c r="CX4" s="157" t="s">
        <v>164</v>
      </c>
      <c r="CY4" s="157" t="s">
        <v>162</v>
      </c>
      <c r="CZ4" s="157" t="s">
        <v>165</v>
      </c>
      <c r="DA4" s="157" t="s">
        <v>162</v>
      </c>
      <c r="DB4" s="157" t="s">
        <v>21</v>
      </c>
      <c r="DC4" s="157"/>
      <c r="DD4" s="117" t="s">
        <v>15</v>
      </c>
      <c r="DE4" s="23" t="s">
        <v>16</v>
      </c>
      <c r="DF4" s="24" t="s">
        <v>17</v>
      </c>
      <c r="DG4" s="117" t="s">
        <v>20</v>
      </c>
      <c r="DH4" s="159" t="s">
        <v>166</v>
      </c>
      <c r="DI4" s="159" t="s">
        <v>163</v>
      </c>
      <c r="DJ4" s="159" t="s">
        <v>162</v>
      </c>
      <c r="DK4" s="159" t="s">
        <v>164</v>
      </c>
      <c r="DL4" s="159" t="s">
        <v>162</v>
      </c>
      <c r="DM4" s="159" t="s">
        <v>165</v>
      </c>
      <c r="DN4" s="159" t="s">
        <v>162</v>
      </c>
      <c r="DO4" s="159" t="s">
        <v>21</v>
      </c>
      <c r="DP4" s="159"/>
      <c r="DQ4" s="25" t="s">
        <v>15</v>
      </c>
      <c r="DR4" s="26" t="s">
        <v>16</v>
      </c>
      <c r="DS4" s="27" t="s">
        <v>17</v>
      </c>
      <c r="DT4" s="25" t="s">
        <v>20</v>
      </c>
      <c r="DU4" s="161" t="s">
        <v>166</v>
      </c>
      <c r="DV4" s="161" t="s">
        <v>163</v>
      </c>
      <c r="DW4" s="161" t="s">
        <v>162</v>
      </c>
      <c r="DX4" s="161" t="s">
        <v>164</v>
      </c>
      <c r="DY4" s="161" t="s">
        <v>162</v>
      </c>
      <c r="DZ4" s="161" t="s">
        <v>165</v>
      </c>
      <c r="EA4" s="161" t="s">
        <v>162</v>
      </c>
      <c r="EB4" s="161" t="s">
        <v>21</v>
      </c>
      <c r="EC4" s="161"/>
      <c r="ED4" s="20" t="s">
        <v>15</v>
      </c>
      <c r="EE4" s="21" t="s">
        <v>16</v>
      </c>
      <c r="EF4" s="22" t="s">
        <v>17</v>
      </c>
      <c r="EG4" s="20" t="s">
        <v>20</v>
      </c>
      <c r="EH4" s="145" t="s">
        <v>166</v>
      </c>
      <c r="EI4" s="145" t="s">
        <v>163</v>
      </c>
      <c r="EJ4" s="145" t="s">
        <v>162</v>
      </c>
      <c r="EK4" s="145" t="s">
        <v>164</v>
      </c>
      <c r="EL4" s="145" t="s">
        <v>162</v>
      </c>
      <c r="EM4" s="145" t="s">
        <v>165</v>
      </c>
      <c r="EN4" s="145" t="s">
        <v>162</v>
      </c>
      <c r="EO4" s="145" t="s">
        <v>21</v>
      </c>
      <c r="EP4" s="145"/>
      <c r="EQ4" s="3" t="s">
        <v>15</v>
      </c>
      <c r="ER4" s="4" t="s">
        <v>16</v>
      </c>
      <c r="ES4" s="5" t="s">
        <v>17</v>
      </c>
      <c r="ET4" s="3" t="s">
        <v>20</v>
      </c>
      <c r="EU4" s="157" t="s">
        <v>166</v>
      </c>
      <c r="EV4" s="157" t="s">
        <v>163</v>
      </c>
      <c r="EW4" s="157" t="s">
        <v>162</v>
      </c>
      <c r="EX4" s="157" t="s">
        <v>164</v>
      </c>
      <c r="EY4" s="157" t="s">
        <v>162</v>
      </c>
      <c r="EZ4" s="157" t="s">
        <v>165</v>
      </c>
      <c r="FA4" s="157" t="s">
        <v>162</v>
      </c>
      <c r="FB4" s="157" t="s">
        <v>21</v>
      </c>
      <c r="FC4" s="157"/>
      <c r="FD4" s="117" t="s">
        <v>15</v>
      </c>
      <c r="FE4" s="23" t="s">
        <v>16</v>
      </c>
      <c r="FF4" s="24" t="s">
        <v>17</v>
      </c>
      <c r="FG4" s="117" t="s">
        <v>20</v>
      </c>
      <c r="FH4" s="138" t="s">
        <v>166</v>
      </c>
      <c r="FI4" s="138" t="s">
        <v>163</v>
      </c>
      <c r="FJ4" s="138" t="s">
        <v>162</v>
      </c>
      <c r="FK4" s="138" t="s">
        <v>164</v>
      </c>
      <c r="FL4" s="138" t="s">
        <v>162</v>
      </c>
      <c r="FM4" s="138" t="s">
        <v>165</v>
      </c>
      <c r="FN4" s="138" t="s">
        <v>162</v>
      </c>
      <c r="FO4" s="138" t="s">
        <v>21</v>
      </c>
      <c r="FP4" s="138"/>
      <c r="FQ4" s="25" t="s">
        <v>15</v>
      </c>
      <c r="FR4" s="26" t="s">
        <v>16</v>
      </c>
      <c r="FS4" s="27" t="s">
        <v>17</v>
      </c>
      <c r="FT4" s="25" t="s">
        <v>20</v>
      </c>
      <c r="FU4" s="161" t="s">
        <v>166</v>
      </c>
      <c r="FV4" s="161" t="s">
        <v>163</v>
      </c>
      <c r="FW4" s="161" t="s">
        <v>162</v>
      </c>
      <c r="FX4" s="161" t="s">
        <v>164</v>
      </c>
      <c r="FY4" s="161" t="s">
        <v>162</v>
      </c>
      <c r="FZ4" s="161" t="s">
        <v>165</v>
      </c>
      <c r="GA4" s="161" t="s">
        <v>162</v>
      </c>
      <c r="GB4" s="161" t="s">
        <v>21</v>
      </c>
      <c r="GC4" s="161"/>
      <c r="GD4" s="20" t="s">
        <v>15</v>
      </c>
      <c r="GE4" s="21" t="s">
        <v>16</v>
      </c>
      <c r="GF4" s="22" t="s">
        <v>17</v>
      </c>
      <c r="GG4" s="20" t="s">
        <v>20</v>
      </c>
      <c r="GH4" s="149" t="s">
        <v>166</v>
      </c>
      <c r="GI4" s="149" t="s">
        <v>163</v>
      </c>
      <c r="GJ4" s="149" t="s">
        <v>162</v>
      </c>
      <c r="GK4" s="149" t="s">
        <v>164</v>
      </c>
      <c r="GL4" s="149" t="s">
        <v>162</v>
      </c>
      <c r="GM4" s="149" t="s">
        <v>165</v>
      </c>
      <c r="GN4" s="149" t="s">
        <v>162</v>
      </c>
      <c r="GO4" s="149" t="s">
        <v>21</v>
      </c>
      <c r="GP4" s="149"/>
      <c r="GQ4" s="3" t="s">
        <v>15</v>
      </c>
      <c r="GR4" s="4" t="s">
        <v>16</v>
      </c>
      <c r="GS4" s="5" t="s">
        <v>17</v>
      </c>
      <c r="GT4" s="3" t="s">
        <v>20</v>
      </c>
      <c r="GU4" s="165" t="s">
        <v>166</v>
      </c>
      <c r="GV4" s="165" t="s">
        <v>163</v>
      </c>
      <c r="GW4" s="165" t="s">
        <v>162</v>
      </c>
      <c r="GX4" s="165" t="s">
        <v>164</v>
      </c>
      <c r="GY4" s="165" t="s">
        <v>162</v>
      </c>
      <c r="GZ4" s="165" t="s">
        <v>165</v>
      </c>
      <c r="HA4" s="165" t="s">
        <v>162</v>
      </c>
      <c r="HB4" s="165" t="s">
        <v>21</v>
      </c>
      <c r="HC4" s="165"/>
      <c r="HD4" s="117" t="s">
        <v>15</v>
      </c>
      <c r="HE4" s="23" t="s">
        <v>16</v>
      </c>
      <c r="HF4" s="24" t="s">
        <v>17</v>
      </c>
      <c r="HG4" s="117" t="s">
        <v>20</v>
      </c>
      <c r="HH4" s="132" t="s">
        <v>166</v>
      </c>
      <c r="HI4" s="132" t="s">
        <v>163</v>
      </c>
      <c r="HJ4" s="132" t="s">
        <v>162</v>
      </c>
      <c r="HK4" s="132" t="s">
        <v>164</v>
      </c>
      <c r="HL4" s="132" t="s">
        <v>162</v>
      </c>
      <c r="HM4" s="132" t="s">
        <v>165</v>
      </c>
      <c r="HN4" s="132" t="s">
        <v>162</v>
      </c>
      <c r="HO4" s="132" t="s">
        <v>21</v>
      </c>
      <c r="HP4" s="132"/>
    </row>
    <row r="5" spans="2:224" s="2" customFormat="1" x14ac:dyDescent="0.3">
      <c r="B5" s="7">
        <f>'PLAN DE NECESIDADES'!B5</f>
        <v>1</v>
      </c>
      <c r="C5" s="7">
        <f>'PLAN DE NECESIDADES'!C5</f>
        <v>2791301</v>
      </c>
      <c r="D5" s="60" t="str">
        <f>'PLAN DE NECESIDADES'!D5</f>
        <v>PARCHE DE IDENTIFICACIÓN PERSONAL: 
ESPECIFICACIONES  TÉCNICAS DE ACUERDO NORMA TÉCNICA KIT DE DOTACIÓN NO. NTMD-0356 - A2</v>
      </c>
      <c r="E5" s="7" t="str">
        <f>'PLAN DE NECESIDADES'!E5</f>
        <v>UNIDAD</v>
      </c>
      <c r="F5" s="7">
        <f>'PLAN DE NECESIDADES'!F5</f>
        <v>0</v>
      </c>
      <c r="G5" s="7">
        <f>'PLAN DE NECESIDADES'!H5</f>
        <v>11161701</v>
      </c>
      <c r="H5" s="7">
        <f>'PLAN DE NECESIDADES'!I5</f>
        <v>1047066</v>
      </c>
      <c r="I5" s="7" t="str">
        <f>'PLAN DE NECESIDADES'!J5</f>
        <v>SIN CREAR</v>
      </c>
      <c r="J5" s="7">
        <v>4</v>
      </c>
      <c r="K5" s="87">
        <v>69</v>
      </c>
      <c r="L5" s="87">
        <v>217</v>
      </c>
      <c r="M5" s="87">
        <v>279</v>
      </c>
      <c r="N5" s="87">
        <v>217</v>
      </c>
      <c r="O5" s="87">
        <v>248</v>
      </c>
      <c r="P5" s="87">
        <v>248</v>
      </c>
      <c r="Q5" s="87">
        <v>279</v>
      </c>
      <c r="R5" s="87">
        <v>125</v>
      </c>
      <c r="S5" s="87">
        <v>62</v>
      </c>
      <c r="T5" s="87">
        <v>279</v>
      </c>
      <c r="U5" s="87">
        <v>186</v>
      </c>
      <c r="V5" s="87">
        <v>32</v>
      </c>
      <c r="W5" s="87">
        <v>12</v>
      </c>
      <c r="X5" s="85">
        <v>186</v>
      </c>
      <c r="Y5" s="85">
        <v>186</v>
      </c>
      <c r="Z5" s="85">
        <f t="shared" ref="Z5:Z16" si="0">SUM(AD5,AQ5,BD5,BQ5,CD5,CQ5,DD5,DQ5,ED5,EQ5,FD5,FQ5,GD5,GQ5,HD5)</f>
        <v>10624</v>
      </c>
      <c r="AA5" s="7">
        <f t="shared" ref="AA5:AA16" si="1">SUM(AE5,AR5,BE5,BR5,CE5,CR5,DE5,DR5,EE5,ER5,FE5,FR5,GE5,GR5,HE5)</f>
        <v>5080</v>
      </c>
      <c r="AB5" s="7">
        <f t="shared" ref="AB5:AB16" si="2">SUM(AF5,AS5,BF5,BS5,CF5,CS5,DF5,DS5,EF5,ES5,FF5,FS5,GF5,GS5,HF5)</f>
        <v>5544</v>
      </c>
      <c r="AC5" s="13">
        <v>3100</v>
      </c>
      <c r="AD5" s="7">
        <f t="shared" ref="AD5:AD15" si="3">K5*J5</f>
        <v>276</v>
      </c>
      <c r="AE5" s="7">
        <f>J5*34</f>
        <v>136</v>
      </c>
      <c r="AF5" s="8">
        <f t="shared" ref="AF5:AF15" si="4">AD5-AE5</f>
        <v>140</v>
      </c>
      <c r="AG5" s="14">
        <f t="shared" ref="AG5:AG15" si="5">AC5*AE5</f>
        <v>421600</v>
      </c>
      <c r="AH5" s="133">
        <f>AE5/J5</f>
        <v>34</v>
      </c>
      <c r="AI5" s="133">
        <v>31</v>
      </c>
      <c r="AJ5" s="134"/>
      <c r="AK5" s="133">
        <v>20</v>
      </c>
      <c r="AL5" s="133">
        <v>17</v>
      </c>
      <c r="AM5" s="133">
        <v>18</v>
      </c>
      <c r="AN5" s="133">
        <v>18</v>
      </c>
      <c r="AO5" s="133">
        <f>AL5+AN5</f>
        <v>35</v>
      </c>
      <c r="AP5" s="133">
        <f>AH5+AJ5+AL5+AN5</f>
        <v>69</v>
      </c>
      <c r="AQ5" s="7">
        <f t="shared" ref="AQ5:AQ15" si="6">L5*J5</f>
        <v>868</v>
      </c>
      <c r="AR5" s="7">
        <f>J5*105</f>
        <v>420</v>
      </c>
      <c r="AS5" s="8">
        <f>AQ5-AR5</f>
        <v>448</v>
      </c>
      <c r="AT5" s="14">
        <f t="shared" ref="AT5:AT15" si="7">AC5*AR5</f>
        <v>1302000</v>
      </c>
      <c r="AU5" s="133">
        <f>AR5/J5</f>
        <v>105</v>
      </c>
      <c r="AV5" s="133">
        <v>93</v>
      </c>
      <c r="AW5" s="133"/>
      <c r="AX5" s="133">
        <v>62</v>
      </c>
      <c r="AY5" s="133">
        <v>50</v>
      </c>
      <c r="AZ5" s="133">
        <v>62</v>
      </c>
      <c r="BA5" s="133">
        <v>62</v>
      </c>
      <c r="BB5" s="133">
        <f>AW5+AY5+BA5</f>
        <v>112</v>
      </c>
      <c r="BC5" s="133">
        <f>AU5+AW5+AY5+BA5</f>
        <v>217</v>
      </c>
      <c r="BD5" s="7">
        <f t="shared" ref="BD5:BD15" si="8">M5*J5</f>
        <v>1116</v>
      </c>
      <c r="BE5" s="7">
        <f t="shared" ref="BE5:BE10" si="9">J5*135</f>
        <v>540</v>
      </c>
      <c r="BF5" s="8">
        <f>BD5-BE5</f>
        <v>576</v>
      </c>
      <c r="BG5" s="14">
        <f t="shared" ref="BG5:BG15" si="10">AC5*BE5</f>
        <v>1674000</v>
      </c>
      <c r="BH5" s="133">
        <f>BE5/J5</f>
        <v>135</v>
      </c>
      <c r="BI5" s="133">
        <v>93</v>
      </c>
      <c r="BJ5" s="133"/>
      <c r="BK5" s="133">
        <v>62</v>
      </c>
      <c r="BL5" s="133">
        <v>20</v>
      </c>
      <c r="BM5" s="133">
        <v>124</v>
      </c>
      <c r="BN5" s="133">
        <v>124</v>
      </c>
      <c r="BO5" s="133">
        <f>BJ5+BL5+BN5</f>
        <v>144</v>
      </c>
      <c r="BP5" s="133">
        <f>BH5+BJ5+BL5+BN5</f>
        <v>279</v>
      </c>
      <c r="BQ5" s="7">
        <f t="shared" ref="BQ5:BQ15" si="11">N5*J5</f>
        <v>868</v>
      </c>
      <c r="BR5" s="7">
        <f t="shared" ref="BR5:BR12" si="12">J5*105</f>
        <v>420</v>
      </c>
      <c r="BS5" s="8">
        <f t="shared" ref="BS5:BS15" si="13">BQ5-BR5</f>
        <v>448</v>
      </c>
      <c r="BT5" s="14">
        <f t="shared" ref="BT5:BT15" si="14">AC5*BR5</f>
        <v>1302000</v>
      </c>
      <c r="BU5" s="133">
        <f>BR5/J5</f>
        <v>105</v>
      </c>
      <c r="BV5" s="133">
        <v>93</v>
      </c>
      <c r="BW5" s="133"/>
      <c r="BX5" s="133">
        <v>62</v>
      </c>
      <c r="BY5" s="133">
        <v>50</v>
      </c>
      <c r="BZ5" s="133">
        <v>62</v>
      </c>
      <c r="CA5" s="133">
        <v>62</v>
      </c>
      <c r="CB5" s="133">
        <f>BW5+BY5+CA5</f>
        <v>112</v>
      </c>
      <c r="CC5" s="133">
        <f>BU5+BW5+BY5+CA5</f>
        <v>217</v>
      </c>
      <c r="CD5" s="7">
        <f t="shared" ref="CD5:CD15" si="15">M5*J5</f>
        <v>1116</v>
      </c>
      <c r="CE5" s="7">
        <f t="shared" ref="CE5:CE12" si="16">J5*120</f>
        <v>480</v>
      </c>
      <c r="CF5" s="8">
        <f>CD5-CE5</f>
        <v>636</v>
      </c>
      <c r="CG5" s="14">
        <f t="shared" ref="CG5:CG15" si="17">CE5*AC5</f>
        <v>1488000</v>
      </c>
      <c r="CH5" s="134">
        <f>CE5/J5</f>
        <v>120</v>
      </c>
      <c r="CI5" s="134">
        <v>62</v>
      </c>
      <c r="CJ5" s="134"/>
      <c r="CK5" s="134">
        <v>62</v>
      </c>
      <c r="CL5" s="134">
        <v>4</v>
      </c>
      <c r="CM5" s="134">
        <v>124</v>
      </c>
      <c r="CN5" s="133">
        <v>124</v>
      </c>
      <c r="CO5" s="133">
        <f>CJ5+CL5+CN5</f>
        <v>128</v>
      </c>
      <c r="CP5" s="133">
        <f>CH5+CJ5+CL5+CN5</f>
        <v>248</v>
      </c>
      <c r="CQ5" s="7">
        <f t="shared" ref="CQ5:CQ15" si="18">P5*J5</f>
        <v>992</v>
      </c>
      <c r="CR5" s="7">
        <f t="shared" ref="CR5:CR10" si="19">J5*120</f>
        <v>480</v>
      </c>
      <c r="CS5" s="8">
        <f>CQ5-CR5</f>
        <v>512</v>
      </c>
      <c r="CT5" s="14">
        <f t="shared" ref="CT5:CT15" si="20">AC5*CR5</f>
        <v>1488000</v>
      </c>
      <c r="CU5" s="134">
        <f>CR5/J5</f>
        <v>120</v>
      </c>
      <c r="CV5" s="134">
        <v>93</v>
      </c>
      <c r="CW5" s="134"/>
      <c r="CX5" s="134">
        <v>93</v>
      </c>
      <c r="CY5" s="134">
        <v>66</v>
      </c>
      <c r="CZ5" s="134">
        <v>62</v>
      </c>
      <c r="DA5" s="134">
        <v>62</v>
      </c>
      <c r="DB5" s="134">
        <f>CW5+CY5+DA5</f>
        <v>128</v>
      </c>
      <c r="DC5" s="134">
        <f>CU5+CW5+CY5+DA5</f>
        <v>248</v>
      </c>
      <c r="DD5" s="7">
        <f t="shared" ref="DD5:DD15" si="21">Q5*J5</f>
        <v>1116</v>
      </c>
      <c r="DE5" s="7">
        <f t="shared" ref="DE5:DE10" si="22">J5*135</f>
        <v>540</v>
      </c>
      <c r="DF5" s="8">
        <f>DD5-DE5</f>
        <v>576</v>
      </c>
      <c r="DG5" s="14">
        <f t="shared" ref="DG5:DG15" si="23">DE5*AC5</f>
        <v>1674000</v>
      </c>
      <c r="DH5" s="134">
        <f>DE5/J5</f>
        <v>135</v>
      </c>
      <c r="DI5" s="134">
        <v>93</v>
      </c>
      <c r="DJ5" s="134"/>
      <c r="DK5" s="134">
        <v>124</v>
      </c>
      <c r="DL5" s="134">
        <v>82</v>
      </c>
      <c r="DM5" s="134">
        <v>62</v>
      </c>
      <c r="DN5" s="134">
        <v>62</v>
      </c>
      <c r="DO5" s="134">
        <f>DJ5+DL5+DN5</f>
        <v>144</v>
      </c>
      <c r="DP5" s="134">
        <f>DH5+DJ5+DL5+DN5</f>
        <v>279</v>
      </c>
      <c r="DQ5" s="7">
        <f t="shared" ref="DQ5:DQ16" si="24">R5*J5</f>
        <v>500</v>
      </c>
      <c r="DR5" s="7">
        <f>J5*59</f>
        <v>236</v>
      </c>
      <c r="DS5" s="8">
        <f>DQ5-DR5</f>
        <v>264</v>
      </c>
      <c r="DT5" s="14">
        <f t="shared" ref="DT5:DT16" si="25">DR5*AC5</f>
        <v>731600</v>
      </c>
      <c r="DU5" s="134">
        <f>DR5/J5</f>
        <v>59</v>
      </c>
      <c r="DV5" s="134">
        <v>0</v>
      </c>
      <c r="DW5" s="134"/>
      <c r="DX5" s="134">
        <v>62</v>
      </c>
      <c r="DY5" s="134">
        <v>3</v>
      </c>
      <c r="DZ5" s="134">
        <v>63</v>
      </c>
      <c r="EA5" s="134">
        <v>63</v>
      </c>
      <c r="EB5" s="134">
        <f>DW5+DY5+EA5</f>
        <v>66</v>
      </c>
      <c r="EC5" s="134">
        <f>DU5+DW5+DY5+EA5</f>
        <v>125</v>
      </c>
      <c r="ED5" s="7">
        <f t="shared" ref="ED5:ED15" si="26">S5*J5</f>
        <v>248</v>
      </c>
      <c r="EE5" s="7">
        <f t="shared" ref="EE5:EE12" si="27">J5*30</f>
        <v>120</v>
      </c>
      <c r="EF5" s="8">
        <f>ED5-EE5</f>
        <v>128</v>
      </c>
      <c r="EG5" s="14">
        <f t="shared" ref="EG5:EG15" si="28">EE5*AC5</f>
        <v>372000</v>
      </c>
      <c r="EH5" s="133">
        <f>EE5/J5</f>
        <v>30</v>
      </c>
      <c r="EI5" s="133">
        <v>0</v>
      </c>
      <c r="EJ5" s="133"/>
      <c r="EK5" s="133">
        <v>62</v>
      </c>
      <c r="EL5" s="133">
        <f>EK5-EH5</f>
        <v>32</v>
      </c>
      <c r="EM5" s="133">
        <v>0</v>
      </c>
      <c r="EN5" s="133"/>
      <c r="EO5" s="133">
        <f>EJ5+EL5+EN5</f>
        <v>32</v>
      </c>
      <c r="EP5" s="133">
        <f>EH5+EJ5+EL5+EN5</f>
        <v>62</v>
      </c>
      <c r="EQ5" s="7">
        <f t="shared" ref="EQ5:EQ15" si="29">T5*J5</f>
        <v>1116</v>
      </c>
      <c r="ER5" s="7">
        <f t="shared" ref="ER5:ER12" si="30">J5*135</f>
        <v>540</v>
      </c>
      <c r="ES5" s="8">
        <f>EQ5-ER5</f>
        <v>576</v>
      </c>
      <c r="ET5" s="14">
        <f t="shared" ref="ET5:ET15" si="31">ER5*AC5</f>
        <v>1674000</v>
      </c>
      <c r="EU5" s="134">
        <f>ER5/J5</f>
        <v>135</v>
      </c>
      <c r="EV5" s="134">
        <v>93</v>
      </c>
      <c r="EW5" s="134"/>
      <c r="EX5" s="134">
        <v>93</v>
      </c>
      <c r="EY5" s="134">
        <v>51</v>
      </c>
      <c r="EZ5" s="134">
        <v>93</v>
      </c>
      <c r="FA5" s="134">
        <v>93</v>
      </c>
      <c r="FB5" s="134">
        <f>EW5+EY5+FA5</f>
        <v>144</v>
      </c>
      <c r="FC5" s="134">
        <f>EU5+EW5+EY5+FA5</f>
        <v>279</v>
      </c>
      <c r="FD5" s="7">
        <f t="shared" ref="FD5:FD15" si="32">U5*J5</f>
        <v>744</v>
      </c>
      <c r="FE5" s="7">
        <f t="shared" ref="FE5:FE10" si="33">J5*90</f>
        <v>360</v>
      </c>
      <c r="FF5" s="8">
        <f>FD5-FE5</f>
        <v>384</v>
      </c>
      <c r="FG5" s="14">
        <f t="shared" ref="FG5:FG15" si="34">FE5*AC5</f>
        <v>1116000</v>
      </c>
      <c r="FH5" s="133">
        <f>FE5/J5</f>
        <v>90</v>
      </c>
      <c r="FI5" s="133">
        <v>62</v>
      </c>
      <c r="FJ5" s="133"/>
      <c r="FK5" s="133">
        <v>62</v>
      </c>
      <c r="FL5" s="133">
        <v>34</v>
      </c>
      <c r="FM5" s="133">
        <v>62</v>
      </c>
      <c r="FN5" s="133">
        <v>62</v>
      </c>
      <c r="FO5" s="133">
        <f>FJ5+FL5+FN5</f>
        <v>96</v>
      </c>
      <c r="FP5" s="133">
        <f>FH5+FJ5+FL5+FN5</f>
        <v>186</v>
      </c>
      <c r="FQ5" s="7">
        <f t="shared" ref="FQ5:FQ15" si="35">V5*J5</f>
        <v>128</v>
      </c>
      <c r="FR5" s="7">
        <f>J5*16</f>
        <v>64</v>
      </c>
      <c r="FS5" s="8">
        <f>FQ5-FR5</f>
        <v>64</v>
      </c>
      <c r="FT5" s="14">
        <f t="shared" ref="FT5:FT15" si="36">FR5*AC5</f>
        <v>198400</v>
      </c>
      <c r="FU5" s="134">
        <f>FR5/J5</f>
        <v>16</v>
      </c>
      <c r="FV5" s="134">
        <v>0</v>
      </c>
      <c r="FW5" s="134"/>
      <c r="FX5" s="134">
        <v>16</v>
      </c>
      <c r="FY5" s="134">
        <v>0</v>
      </c>
      <c r="FZ5" s="134">
        <v>16</v>
      </c>
      <c r="GA5" s="134">
        <v>16</v>
      </c>
      <c r="GB5" s="134">
        <f>FW5+FY5+GA5</f>
        <v>16</v>
      </c>
      <c r="GC5" s="134">
        <f>FU5+FW5+FY5+GA5</f>
        <v>32</v>
      </c>
      <c r="GD5" s="7">
        <f t="shared" ref="GD5:GD15" si="37">W5*J5</f>
        <v>48</v>
      </c>
      <c r="GE5" s="7">
        <f t="shared" ref="GE5:GE10" si="38">J5*6</f>
        <v>24</v>
      </c>
      <c r="GF5" s="8">
        <f>GD5-GE5</f>
        <v>24</v>
      </c>
      <c r="GG5" s="14">
        <f t="shared" ref="GG5:GG15" si="39">GE5*AC5</f>
        <v>74400</v>
      </c>
      <c r="GH5" s="134">
        <f>GE5/J5</f>
        <v>6</v>
      </c>
      <c r="GI5" s="134">
        <v>4</v>
      </c>
      <c r="GJ5" s="134"/>
      <c r="GK5" s="134">
        <v>4</v>
      </c>
      <c r="GL5" s="134">
        <v>2</v>
      </c>
      <c r="GM5" s="134">
        <v>4</v>
      </c>
      <c r="GN5" s="134">
        <v>4</v>
      </c>
      <c r="GO5" s="134">
        <f>GJ5+GL5+GN5</f>
        <v>6</v>
      </c>
      <c r="GP5" s="134">
        <f>GH5+GJ5+GL5+GN5</f>
        <v>12</v>
      </c>
      <c r="GQ5" s="7">
        <f t="shared" ref="GQ5:GQ15" si="40">X5*J5</f>
        <v>744</v>
      </c>
      <c r="GR5" s="7">
        <f t="shared" ref="GR5:GR10" si="41">J5*90</f>
        <v>360</v>
      </c>
      <c r="GS5" s="8">
        <f>GQ5-GR5</f>
        <v>384</v>
      </c>
      <c r="GT5" s="14">
        <f t="shared" ref="GT5:GT15" si="42">GR5*AC5</f>
        <v>1116000</v>
      </c>
      <c r="GU5" s="133">
        <f>GR5/J5</f>
        <v>90</v>
      </c>
      <c r="GV5" s="133">
        <v>62</v>
      </c>
      <c r="GW5" s="133"/>
      <c r="GX5" s="133">
        <v>62</v>
      </c>
      <c r="GY5" s="133">
        <v>34</v>
      </c>
      <c r="GZ5" s="133">
        <v>62</v>
      </c>
      <c r="HA5" s="133">
        <v>62</v>
      </c>
      <c r="HB5" s="133">
        <f>GW5+GY5+HA5</f>
        <v>96</v>
      </c>
      <c r="HC5" s="133">
        <f>GU5+GW5+GY5+HA5</f>
        <v>186</v>
      </c>
      <c r="HD5" s="7">
        <f t="shared" ref="HD5:HD15" si="43">Y5*J5</f>
        <v>744</v>
      </c>
      <c r="HE5" s="7">
        <f t="shared" ref="HE5:HE10" si="44">J5*90</f>
        <v>360</v>
      </c>
      <c r="HF5" s="8">
        <f>HD5-HE5</f>
        <v>384</v>
      </c>
      <c r="HG5" s="14">
        <f t="shared" ref="HG5:HG15" si="45">HE5*AC5</f>
        <v>1116000</v>
      </c>
      <c r="HH5" s="7">
        <f>HE5/J5</f>
        <v>90</v>
      </c>
      <c r="HI5" s="7">
        <v>62</v>
      </c>
      <c r="HJ5" s="7"/>
      <c r="HK5" s="7">
        <v>62</v>
      </c>
      <c r="HL5" s="7">
        <v>34</v>
      </c>
      <c r="HM5" s="7">
        <v>62</v>
      </c>
      <c r="HN5" s="7">
        <v>62</v>
      </c>
      <c r="HO5" s="133">
        <f>HJ5+HL5+HN5</f>
        <v>96</v>
      </c>
      <c r="HP5" s="133">
        <f>HH5+HJ5+HL5+HN5</f>
        <v>186</v>
      </c>
    </row>
    <row r="6" spans="2:224" s="2" customFormat="1" x14ac:dyDescent="0.3">
      <c r="B6" s="7">
        <f>'PLAN DE NECESIDADES'!B6</f>
        <v>2</v>
      </c>
      <c r="C6" s="7">
        <f>'PLAN DE NECESIDADES'!C6</f>
        <v>2791301</v>
      </c>
      <c r="D6" s="60" t="str">
        <f>'PLAN DE NECESIDADES'!D6</f>
        <v>PARCHE DE EJÉRCITO: 
ESPECIFICACIONES  TÉCNICAS   DE  ACUERDO A LA NORMA TÉCNICA KIT DE DOTACIÓN. NO. NTMD-0356 - A2.</v>
      </c>
      <c r="E6" s="7" t="str">
        <f>'PLAN DE NECESIDADES'!E6</f>
        <v>UNIDAD</v>
      </c>
      <c r="F6" s="7">
        <f>'PLAN DE NECESIDADES'!F6</f>
        <v>0</v>
      </c>
      <c r="G6" s="7">
        <f>'PLAN DE NECESIDADES'!H6</f>
        <v>11161701</v>
      </c>
      <c r="H6" s="7">
        <f>'PLAN DE NECESIDADES'!I6</f>
        <v>1898472</v>
      </c>
      <c r="I6" s="7" t="str">
        <f>'PLAN DE NECESIDADES'!J6</f>
        <v>SIN CREAR</v>
      </c>
      <c r="J6" s="7">
        <v>2</v>
      </c>
      <c r="K6" s="87">
        <v>69</v>
      </c>
      <c r="L6" s="87">
        <v>217</v>
      </c>
      <c r="M6" s="87">
        <v>279</v>
      </c>
      <c r="N6" s="87">
        <v>217</v>
      </c>
      <c r="O6" s="87">
        <v>248</v>
      </c>
      <c r="P6" s="87">
        <v>248</v>
      </c>
      <c r="Q6" s="87">
        <v>279</v>
      </c>
      <c r="R6" s="87">
        <v>125</v>
      </c>
      <c r="S6" s="87">
        <v>62</v>
      </c>
      <c r="T6" s="87">
        <v>279</v>
      </c>
      <c r="U6" s="87">
        <v>186</v>
      </c>
      <c r="V6" s="87">
        <v>32</v>
      </c>
      <c r="W6" s="87">
        <v>12</v>
      </c>
      <c r="X6" s="85">
        <v>186</v>
      </c>
      <c r="Y6" s="85">
        <v>186</v>
      </c>
      <c r="Z6" s="85">
        <f t="shared" si="0"/>
        <v>5312</v>
      </c>
      <c r="AA6" s="7">
        <f t="shared" si="1"/>
        <v>2538</v>
      </c>
      <c r="AB6" s="7">
        <f t="shared" si="2"/>
        <v>2774</v>
      </c>
      <c r="AC6" s="13">
        <v>3900</v>
      </c>
      <c r="AD6" s="7">
        <f t="shared" si="3"/>
        <v>138</v>
      </c>
      <c r="AE6" s="7">
        <f>J6*34</f>
        <v>68</v>
      </c>
      <c r="AF6" s="8">
        <f t="shared" si="4"/>
        <v>70</v>
      </c>
      <c r="AG6" s="14">
        <f t="shared" si="5"/>
        <v>265200</v>
      </c>
      <c r="AH6" s="133">
        <f t="shared" ref="AH6:AH15" si="46">AE6/J6</f>
        <v>34</v>
      </c>
      <c r="AI6" s="133">
        <v>31</v>
      </c>
      <c r="AJ6" s="134"/>
      <c r="AK6" s="133">
        <v>20</v>
      </c>
      <c r="AL6" s="133">
        <v>17</v>
      </c>
      <c r="AM6" s="133">
        <v>18</v>
      </c>
      <c r="AN6" s="133">
        <v>18</v>
      </c>
      <c r="AO6" s="133">
        <f t="shared" ref="AO6:AO15" si="47">AL6+AN6</f>
        <v>35</v>
      </c>
      <c r="AP6" s="133">
        <f t="shared" ref="AP6:AP15" si="48">AH6+AJ6+AL6+AN6</f>
        <v>69</v>
      </c>
      <c r="AQ6" s="7">
        <f t="shared" si="6"/>
        <v>434</v>
      </c>
      <c r="AR6" s="7">
        <f>J6*105</f>
        <v>210</v>
      </c>
      <c r="AS6" s="8">
        <f t="shared" ref="AS6:AS15" si="49">AQ6-AR6</f>
        <v>224</v>
      </c>
      <c r="AT6" s="14">
        <f t="shared" si="7"/>
        <v>819000</v>
      </c>
      <c r="AU6" s="133">
        <f t="shared" ref="AU6:AU15" si="50">AR6/J6</f>
        <v>105</v>
      </c>
      <c r="AV6" s="133">
        <v>93</v>
      </c>
      <c r="AW6" s="133"/>
      <c r="AX6" s="133">
        <v>62</v>
      </c>
      <c r="AY6" s="133">
        <v>50</v>
      </c>
      <c r="AZ6" s="133">
        <v>62</v>
      </c>
      <c r="BA6" s="133">
        <v>62</v>
      </c>
      <c r="BB6" s="133">
        <f t="shared" ref="BB6:BB15" si="51">AW6+AY6+BA6</f>
        <v>112</v>
      </c>
      <c r="BC6" s="133">
        <f t="shared" ref="BC6:BC15" si="52">AU6+AW6+AY6+BA6</f>
        <v>217</v>
      </c>
      <c r="BD6" s="7">
        <f t="shared" si="8"/>
        <v>558</v>
      </c>
      <c r="BE6" s="7">
        <f t="shared" si="9"/>
        <v>270</v>
      </c>
      <c r="BF6" s="8">
        <f>BD6-BE6</f>
        <v>288</v>
      </c>
      <c r="BG6" s="14">
        <f t="shared" si="10"/>
        <v>1053000</v>
      </c>
      <c r="BH6" s="133">
        <f t="shared" ref="BH6:BH15" si="53">BE6/J6</f>
        <v>135</v>
      </c>
      <c r="BI6" s="133">
        <v>93</v>
      </c>
      <c r="BJ6" s="133"/>
      <c r="BK6" s="133">
        <v>62</v>
      </c>
      <c r="BL6" s="133">
        <v>20</v>
      </c>
      <c r="BM6" s="133">
        <v>124</v>
      </c>
      <c r="BN6" s="133">
        <v>124</v>
      </c>
      <c r="BO6" s="133">
        <f t="shared" ref="BO6:BO15" si="54">BJ6+BL6+BN6</f>
        <v>144</v>
      </c>
      <c r="BP6" s="133">
        <f t="shared" ref="BP6:BP15" si="55">BH6+BJ6+BL6+BN6</f>
        <v>279</v>
      </c>
      <c r="BQ6" s="7">
        <f t="shared" si="11"/>
        <v>434</v>
      </c>
      <c r="BR6" s="7">
        <f t="shared" si="12"/>
        <v>210</v>
      </c>
      <c r="BS6" s="8">
        <f t="shared" si="13"/>
        <v>224</v>
      </c>
      <c r="BT6" s="14">
        <f t="shared" si="14"/>
        <v>819000</v>
      </c>
      <c r="BU6" s="133">
        <f t="shared" ref="BU6:BU15" si="56">BR6/J6</f>
        <v>105</v>
      </c>
      <c r="BV6" s="133">
        <v>93</v>
      </c>
      <c r="BW6" s="133"/>
      <c r="BX6" s="133">
        <v>62</v>
      </c>
      <c r="BY6" s="133">
        <v>50</v>
      </c>
      <c r="BZ6" s="133">
        <v>62</v>
      </c>
      <c r="CA6" s="133">
        <v>62</v>
      </c>
      <c r="CB6" s="133">
        <f t="shared" ref="CB6:CB15" si="57">BW6+BY6+CA6</f>
        <v>112</v>
      </c>
      <c r="CC6" s="133">
        <f t="shared" ref="CC6:CC15" si="58">BU6+BW6+BY6+CA6</f>
        <v>217</v>
      </c>
      <c r="CD6" s="7">
        <f t="shared" si="15"/>
        <v>558</v>
      </c>
      <c r="CE6" s="7">
        <f t="shared" si="16"/>
        <v>240</v>
      </c>
      <c r="CF6" s="8">
        <f t="shared" ref="CF6:CF15" si="59">CD6-CE6</f>
        <v>318</v>
      </c>
      <c r="CG6" s="14">
        <f t="shared" si="17"/>
        <v>936000</v>
      </c>
      <c r="CH6" s="134">
        <f t="shared" ref="CH6:CH15" si="60">CE6/J6</f>
        <v>120</v>
      </c>
      <c r="CI6" s="134">
        <v>62</v>
      </c>
      <c r="CJ6" s="134"/>
      <c r="CK6" s="134">
        <v>62</v>
      </c>
      <c r="CL6" s="134">
        <v>4</v>
      </c>
      <c r="CM6" s="134">
        <v>124</v>
      </c>
      <c r="CN6" s="133">
        <v>124</v>
      </c>
      <c r="CO6" s="133">
        <f t="shared" ref="CO6:CO15" si="61">CJ6+CL6+CN6</f>
        <v>128</v>
      </c>
      <c r="CP6" s="133">
        <f t="shared" ref="CP6:CP15" si="62">CH6+CJ6+CL6+CN6</f>
        <v>248</v>
      </c>
      <c r="CQ6" s="7">
        <f t="shared" si="18"/>
        <v>496</v>
      </c>
      <c r="CR6" s="7">
        <f t="shared" si="19"/>
        <v>240</v>
      </c>
      <c r="CS6" s="8">
        <f t="shared" ref="CS6:CS15" si="63">CQ6-CR6</f>
        <v>256</v>
      </c>
      <c r="CT6" s="14">
        <f t="shared" si="20"/>
        <v>936000</v>
      </c>
      <c r="CU6" s="134">
        <f t="shared" ref="CU6:CU15" si="64">CR6/J6</f>
        <v>120</v>
      </c>
      <c r="CV6" s="134">
        <v>93</v>
      </c>
      <c r="CW6" s="134"/>
      <c r="CX6" s="134">
        <v>93</v>
      </c>
      <c r="CY6" s="134">
        <v>66</v>
      </c>
      <c r="CZ6" s="134">
        <v>62</v>
      </c>
      <c r="DA6" s="134">
        <v>62</v>
      </c>
      <c r="DB6" s="134">
        <f t="shared" ref="DB6:DB15" si="65">CW6+CY6+DA6</f>
        <v>128</v>
      </c>
      <c r="DC6" s="134">
        <f t="shared" ref="DC6:DC15" si="66">CU6+CW6+CY6+DA6</f>
        <v>248</v>
      </c>
      <c r="DD6" s="7">
        <f t="shared" si="21"/>
        <v>558</v>
      </c>
      <c r="DE6" s="7">
        <f t="shared" si="22"/>
        <v>270</v>
      </c>
      <c r="DF6" s="8">
        <f t="shared" ref="DF6:DF15" si="67">DD6-DE6</f>
        <v>288</v>
      </c>
      <c r="DG6" s="14">
        <f t="shared" si="23"/>
        <v>1053000</v>
      </c>
      <c r="DH6" s="134">
        <f t="shared" ref="DH6:DH15" si="68">DE6/J6</f>
        <v>135</v>
      </c>
      <c r="DI6" s="134">
        <v>93</v>
      </c>
      <c r="DJ6" s="134"/>
      <c r="DK6" s="134">
        <v>124</v>
      </c>
      <c r="DL6" s="134">
        <v>82</v>
      </c>
      <c r="DM6" s="134">
        <v>62</v>
      </c>
      <c r="DN6" s="134">
        <v>62</v>
      </c>
      <c r="DO6" s="134">
        <f t="shared" ref="DO6:DO15" si="69">DJ6+DL6+DN6</f>
        <v>144</v>
      </c>
      <c r="DP6" s="134">
        <f t="shared" ref="DP6:DP15" si="70">DH6+DJ6+DL6+DN6</f>
        <v>279</v>
      </c>
      <c r="DQ6" s="7">
        <f t="shared" si="24"/>
        <v>250</v>
      </c>
      <c r="DR6" s="7">
        <f t="shared" ref="DR6:DR16" si="71">J6*58</f>
        <v>116</v>
      </c>
      <c r="DS6" s="8">
        <f t="shared" ref="DS6:DS16" si="72">DQ6-DR6</f>
        <v>134</v>
      </c>
      <c r="DT6" s="14">
        <f t="shared" si="25"/>
        <v>452400</v>
      </c>
      <c r="DU6" s="134">
        <f t="shared" ref="DU6:DU16" si="73">DR6/J6</f>
        <v>58</v>
      </c>
      <c r="DV6" s="134">
        <v>0</v>
      </c>
      <c r="DW6" s="134"/>
      <c r="DX6" s="134">
        <v>62</v>
      </c>
      <c r="DY6" s="134">
        <v>4</v>
      </c>
      <c r="DZ6" s="134">
        <v>63</v>
      </c>
      <c r="EA6" s="134">
        <v>63</v>
      </c>
      <c r="EB6" s="134">
        <f t="shared" ref="EB6:EB16" si="74">DW6+DY6+EA6</f>
        <v>67</v>
      </c>
      <c r="EC6" s="134">
        <f t="shared" ref="EC6:EC16" si="75">DU6+DW6+DY6+EA6</f>
        <v>125</v>
      </c>
      <c r="ED6" s="7">
        <f t="shared" si="26"/>
        <v>124</v>
      </c>
      <c r="EE6" s="7">
        <f t="shared" si="27"/>
        <v>60</v>
      </c>
      <c r="EF6" s="8">
        <f t="shared" ref="EF6:EF15" si="76">ED6-EE6</f>
        <v>64</v>
      </c>
      <c r="EG6" s="14">
        <f t="shared" si="28"/>
        <v>234000</v>
      </c>
      <c r="EH6" s="133">
        <f t="shared" ref="EH6:EH15" si="77">EE6/J6</f>
        <v>30</v>
      </c>
      <c r="EI6" s="133">
        <v>0</v>
      </c>
      <c r="EJ6" s="133"/>
      <c r="EK6" s="133">
        <v>62</v>
      </c>
      <c r="EL6" s="133">
        <f t="shared" ref="EL6:EL15" si="78">EK6-EH6</f>
        <v>32</v>
      </c>
      <c r="EM6" s="133">
        <v>0</v>
      </c>
      <c r="EN6" s="133"/>
      <c r="EO6" s="133">
        <f t="shared" ref="EO6:EO15" si="79">EJ6+EL6+EN6</f>
        <v>32</v>
      </c>
      <c r="EP6" s="133">
        <f t="shared" ref="EP6:EP15" si="80">EH6+EJ6+EL6+EN6</f>
        <v>62</v>
      </c>
      <c r="EQ6" s="7">
        <f t="shared" si="29"/>
        <v>558</v>
      </c>
      <c r="ER6" s="7">
        <f t="shared" si="30"/>
        <v>270</v>
      </c>
      <c r="ES6" s="8">
        <f t="shared" ref="ES6:ES15" si="81">EQ6-ER6</f>
        <v>288</v>
      </c>
      <c r="ET6" s="14">
        <f t="shared" si="31"/>
        <v>1053000</v>
      </c>
      <c r="EU6" s="134">
        <f t="shared" ref="EU6:EU15" si="82">ER6/J6</f>
        <v>135</v>
      </c>
      <c r="EV6" s="134">
        <v>93</v>
      </c>
      <c r="EW6" s="134"/>
      <c r="EX6" s="134">
        <v>93</v>
      </c>
      <c r="EY6" s="134">
        <v>51</v>
      </c>
      <c r="EZ6" s="134">
        <v>93</v>
      </c>
      <c r="FA6" s="134">
        <v>93</v>
      </c>
      <c r="FB6" s="134">
        <f t="shared" ref="FB6:FB15" si="83">EW6+EY6+FA6</f>
        <v>144</v>
      </c>
      <c r="FC6" s="134">
        <f t="shared" ref="FC6:FC15" si="84">EU6+EW6+EY6+FA6</f>
        <v>279</v>
      </c>
      <c r="FD6" s="7">
        <f t="shared" si="32"/>
        <v>372</v>
      </c>
      <c r="FE6" s="7">
        <f t="shared" si="33"/>
        <v>180</v>
      </c>
      <c r="FF6" s="8">
        <f t="shared" ref="FF6:FF15" si="85">FD6-FE6</f>
        <v>192</v>
      </c>
      <c r="FG6" s="14">
        <f t="shared" si="34"/>
        <v>702000</v>
      </c>
      <c r="FH6" s="133">
        <f t="shared" ref="FH6:FH15" si="86">FE6/J6</f>
        <v>90</v>
      </c>
      <c r="FI6" s="133">
        <v>62</v>
      </c>
      <c r="FJ6" s="133"/>
      <c r="FK6" s="133">
        <v>62</v>
      </c>
      <c r="FL6" s="133">
        <v>34</v>
      </c>
      <c r="FM6" s="133">
        <v>62</v>
      </c>
      <c r="FN6" s="133">
        <v>62</v>
      </c>
      <c r="FO6" s="133">
        <f t="shared" ref="FO6:FO15" si="87">FJ6+FL6+FN6</f>
        <v>96</v>
      </c>
      <c r="FP6" s="133">
        <f t="shared" ref="FP6:FP15" si="88">FH6+FJ6+FL6+FN6</f>
        <v>186</v>
      </c>
      <c r="FQ6" s="7">
        <f t="shared" si="35"/>
        <v>64</v>
      </c>
      <c r="FR6" s="7">
        <f>J6*16</f>
        <v>32</v>
      </c>
      <c r="FS6" s="8">
        <f t="shared" ref="FS6:FS15" si="89">FQ6-FR6</f>
        <v>32</v>
      </c>
      <c r="FT6" s="14">
        <f t="shared" si="36"/>
        <v>124800</v>
      </c>
      <c r="FU6" s="134">
        <f t="shared" ref="FU6:FU15" si="90">FR6/J6</f>
        <v>16</v>
      </c>
      <c r="FV6" s="134">
        <v>0</v>
      </c>
      <c r="FW6" s="134"/>
      <c r="FX6" s="134">
        <v>16</v>
      </c>
      <c r="FY6" s="134">
        <v>0</v>
      </c>
      <c r="FZ6" s="134">
        <v>16</v>
      </c>
      <c r="GA6" s="134">
        <v>16</v>
      </c>
      <c r="GB6" s="134">
        <f t="shared" ref="GB6:GB15" si="91">FW6+FY6+GA6</f>
        <v>16</v>
      </c>
      <c r="GC6" s="134">
        <f t="shared" ref="GC6:GC15" si="92">FU6+FW6+FY6+GA6</f>
        <v>32</v>
      </c>
      <c r="GD6" s="7">
        <f t="shared" si="37"/>
        <v>24</v>
      </c>
      <c r="GE6" s="7">
        <f t="shared" si="38"/>
        <v>12</v>
      </c>
      <c r="GF6" s="8">
        <f t="shared" ref="GF6:GF15" si="93">GD6-GE6</f>
        <v>12</v>
      </c>
      <c r="GG6" s="14">
        <f t="shared" si="39"/>
        <v>46800</v>
      </c>
      <c r="GH6" s="134">
        <f t="shared" ref="GH6:GH15" si="94">GE6/J6</f>
        <v>6</v>
      </c>
      <c r="GI6" s="134">
        <v>4</v>
      </c>
      <c r="GJ6" s="134"/>
      <c r="GK6" s="134">
        <v>4</v>
      </c>
      <c r="GL6" s="134">
        <v>2</v>
      </c>
      <c r="GM6" s="134">
        <v>4</v>
      </c>
      <c r="GN6" s="134">
        <v>4</v>
      </c>
      <c r="GO6" s="134">
        <f t="shared" ref="GO6:GO15" si="95">GJ6+GL6+GN6</f>
        <v>6</v>
      </c>
      <c r="GP6" s="134">
        <f t="shared" ref="GP6:GP15" si="96">GH6+GJ6+GL6+GN6</f>
        <v>12</v>
      </c>
      <c r="GQ6" s="7">
        <f t="shared" si="40"/>
        <v>372</v>
      </c>
      <c r="GR6" s="7">
        <f t="shared" si="41"/>
        <v>180</v>
      </c>
      <c r="GS6" s="8">
        <f t="shared" ref="GS6:GS15" si="97">GQ6-GR6</f>
        <v>192</v>
      </c>
      <c r="GT6" s="14">
        <f t="shared" si="42"/>
        <v>702000</v>
      </c>
      <c r="GU6" s="133">
        <f t="shared" ref="GU6:GU15" si="98">GR6/J6</f>
        <v>90</v>
      </c>
      <c r="GV6" s="133">
        <v>62</v>
      </c>
      <c r="GW6" s="133"/>
      <c r="GX6" s="133">
        <v>62</v>
      </c>
      <c r="GY6" s="133">
        <v>34</v>
      </c>
      <c r="GZ6" s="133">
        <v>62</v>
      </c>
      <c r="HA6" s="133">
        <v>62</v>
      </c>
      <c r="HB6" s="133">
        <f t="shared" ref="HB6:HB15" si="99">GW6+GY6+HA6</f>
        <v>96</v>
      </c>
      <c r="HC6" s="133">
        <f t="shared" ref="HC6:HC15" si="100">GU6+GW6+GY6+HA6</f>
        <v>186</v>
      </c>
      <c r="HD6" s="7">
        <f t="shared" si="43"/>
        <v>372</v>
      </c>
      <c r="HE6" s="7">
        <f t="shared" si="44"/>
        <v>180</v>
      </c>
      <c r="HF6" s="8">
        <f t="shared" ref="HF6:HF15" si="101">HD6-HE6</f>
        <v>192</v>
      </c>
      <c r="HG6" s="14">
        <f t="shared" si="45"/>
        <v>702000</v>
      </c>
      <c r="HH6" s="7">
        <f t="shared" ref="HH6:HH15" si="102">HE6/J6</f>
        <v>90</v>
      </c>
      <c r="HI6" s="7">
        <v>62</v>
      </c>
      <c r="HJ6" s="7"/>
      <c r="HK6" s="7">
        <v>62</v>
      </c>
      <c r="HL6" s="7">
        <v>34</v>
      </c>
      <c r="HM6" s="7">
        <v>62</v>
      </c>
      <c r="HN6" s="7">
        <v>62</v>
      </c>
      <c r="HO6" s="133">
        <f t="shared" ref="HO6:HO15" si="103">HJ6+HL6+HN6</f>
        <v>96</v>
      </c>
      <c r="HP6" s="133">
        <f t="shared" ref="HP6:HP15" si="104">HH6+HJ6+HL6+HN6</f>
        <v>186</v>
      </c>
    </row>
    <row r="7" spans="2:224" s="2" customFormat="1" x14ac:dyDescent="0.3">
      <c r="B7" s="7">
        <f>'PLAN DE NECESIDADES'!B7</f>
        <v>3</v>
      </c>
      <c r="C7" s="7">
        <f>'PLAN DE NECESIDADES'!C7</f>
        <v>2791301</v>
      </c>
      <c r="D7" s="60" t="str">
        <f>'PLAN DE NECESIDADES'!D7</f>
        <v>PARCHES DE LA UNIDAD SUPERIOR Y SUBALTERNA:
ESPECIFICACIONES  TÉCNICAS   DE  ACUERDO A LA NORMA TÉCNICA KIT DE DOTACIÓN N°. NTMD-0356 - A2.</v>
      </c>
      <c r="E7" s="7" t="str">
        <f>'PLAN DE NECESIDADES'!E7</f>
        <v>UNIDAD</v>
      </c>
      <c r="F7" s="7">
        <f>'PLAN DE NECESIDADES'!F7</f>
        <v>0</v>
      </c>
      <c r="G7" s="7">
        <f>'PLAN DE NECESIDADES'!H7</f>
        <v>11161701</v>
      </c>
      <c r="H7" s="7">
        <f>'PLAN DE NECESIDADES'!I7</f>
        <v>1343999</v>
      </c>
      <c r="I7" s="7" t="str">
        <f>'PLAN DE NECESIDADES'!J7</f>
        <v>SIN CREAR</v>
      </c>
      <c r="J7" s="7">
        <v>4</v>
      </c>
      <c r="K7" s="87">
        <v>69</v>
      </c>
      <c r="L7" s="87">
        <v>217</v>
      </c>
      <c r="M7" s="87">
        <v>279</v>
      </c>
      <c r="N7" s="87">
        <v>217</v>
      </c>
      <c r="O7" s="87">
        <v>248</v>
      </c>
      <c r="P7" s="87">
        <v>248</v>
      </c>
      <c r="Q7" s="87">
        <v>279</v>
      </c>
      <c r="R7" s="87">
        <v>125</v>
      </c>
      <c r="S7" s="87">
        <v>62</v>
      </c>
      <c r="T7" s="87">
        <v>279</v>
      </c>
      <c r="U7" s="87">
        <v>186</v>
      </c>
      <c r="V7" s="87">
        <v>32</v>
      </c>
      <c r="W7" s="87">
        <v>12</v>
      </c>
      <c r="X7" s="85">
        <v>186</v>
      </c>
      <c r="Y7" s="85">
        <v>186</v>
      </c>
      <c r="Z7" s="85">
        <f t="shared" si="0"/>
        <v>10624</v>
      </c>
      <c r="AA7" s="7">
        <f t="shared" si="1"/>
        <v>5076</v>
      </c>
      <c r="AB7" s="7">
        <f t="shared" si="2"/>
        <v>5548</v>
      </c>
      <c r="AC7" s="13">
        <v>4100</v>
      </c>
      <c r="AD7" s="7">
        <f t="shared" si="3"/>
        <v>276</v>
      </c>
      <c r="AE7" s="7">
        <f>J7*34</f>
        <v>136</v>
      </c>
      <c r="AF7" s="8">
        <f t="shared" si="4"/>
        <v>140</v>
      </c>
      <c r="AG7" s="14">
        <f t="shared" si="5"/>
        <v>557600</v>
      </c>
      <c r="AH7" s="133">
        <f t="shared" si="46"/>
        <v>34</v>
      </c>
      <c r="AI7" s="133">
        <v>31</v>
      </c>
      <c r="AJ7" s="134"/>
      <c r="AK7" s="133">
        <v>20</v>
      </c>
      <c r="AL7" s="133">
        <v>17</v>
      </c>
      <c r="AM7" s="133">
        <v>18</v>
      </c>
      <c r="AN7" s="133">
        <v>18</v>
      </c>
      <c r="AO7" s="133">
        <f t="shared" si="47"/>
        <v>35</v>
      </c>
      <c r="AP7" s="133">
        <f t="shared" si="48"/>
        <v>69</v>
      </c>
      <c r="AQ7" s="7">
        <f t="shared" si="6"/>
        <v>868</v>
      </c>
      <c r="AR7" s="7">
        <f>J7*105</f>
        <v>420</v>
      </c>
      <c r="AS7" s="8">
        <f t="shared" si="49"/>
        <v>448</v>
      </c>
      <c r="AT7" s="14">
        <f t="shared" si="7"/>
        <v>1722000</v>
      </c>
      <c r="AU7" s="133">
        <f t="shared" si="50"/>
        <v>105</v>
      </c>
      <c r="AV7" s="133">
        <v>93</v>
      </c>
      <c r="AW7" s="133"/>
      <c r="AX7" s="133">
        <v>62</v>
      </c>
      <c r="AY7" s="133">
        <v>50</v>
      </c>
      <c r="AZ7" s="133">
        <v>62</v>
      </c>
      <c r="BA7" s="133">
        <v>62</v>
      </c>
      <c r="BB7" s="133">
        <f t="shared" si="51"/>
        <v>112</v>
      </c>
      <c r="BC7" s="133">
        <f t="shared" si="52"/>
        <v>217</v>
      </c>
      <c r="BD7" s="7">
        <f t="shared" si="8"/>
        <v>1116</v>
      </c>
      <c r="BE7" s="7">
        <f t="shared" si="9"/>
        <v>540</v>
      </c>
      <c r="BF7" s="8">
        <f t="shared" ref="BF7:BF15" si="105">BD7-BE7</f>
        <v>576</v>
      </c>
      <c r="BG7" s="14">
        <f t="shared" si="10"/>
        <v>2214000</v>
      </c>
      <c r="BH7" s="133">
        <f t="shared" si="53"/>
        <v>135</v>
      </c>
      <c r="BI7" s="133">
        <v>93</v>
      </c>
      <c r="BJ7" s="133"/>
      <c r="BK7" s="133">
        <v>62</v>
      </c>
      <c r="BL7" s="133">
        <v>20</v>
      </c>
      <c r="BM7" s="133">
        <v>124</v>
      </c>
      <c r="BN7" s="133">
        <v>124</v>
      </c>
      <c r="BO7" s="133">
        <f t="shared" si="54"/>
        <v>144</v>
      </c>
      <c r="BP7" s="133">
        <f t="shared" si="55"/>
        <v>279</v>
      </c>
      <c r="BQ7" s="7">
        <f t="shared" si="11"/>
        <v>868</v>
      </c>
      <c r="BR7" s="7">
        <f t="shared" si="12"/>
        <v>420</v>
      </c>
      <c r="BS7" s="8">
        <f t="shared" si="13"/>
        <v>448</v>
      </c>
      <c r="BT7" s="14">
        <f t="shared" si="14"/>
        <v>1722000</v>
      </c>
      <c r="BU7" s="133">
        <f t="shared" si="56"/>
        <v>105</v>
      </c>
      <c r="BV7" s="133">
        <v>93</v>
      </c>
      <c r="BW7" s="133"/>
      <c r="BX7" s="133">
        <v>62</v>
      </c>
      <c r="BY7" s="133">
        <v>50</v>
      </c>
      <c r="BZ7" s="133">
        <v>62</v>
      </c>
      <c r="CA7" s="133">
        <v>62</v>
      </c>
      <c r="CB7" s="133">
        <f t="shared" si="57"/>
        <v>112</v>
      </c>
      <c r="CC7" s="133">
        <f t="shared" si="58"/>
        <v>217</v>
      </c>
      <c r="CD7" s="7">
        <f t="shared" si="15"/>
        <v>1116</v>
      </c>
      <c r="CE7" s="7">
        <f t="shared" si="16"/>
        <v>480</v>
      </c>
      <c r="CF7" s="8">
        <f t="shared" si="59"/>
        <v>636</v>
      </c>
      <c r="CG7" s="14">
        <f t="shared" si="17"/>
        <v>1968000</v>
      </c>
      <c r="CH7" s="134">
        <f t="shared" si="60"/>
        <v>120</v>
      </c>
      <c r="CI7" s="134">
        <v>62</v>
      </c>
      <c r="CJ7" s="134"/>
      <c r="CK7" s="134">
        <v>62</v>
      </c>
      <c r="CL7" s="134">
        <v>4</v>
      </c>
      <c r="CM7" s="134">
        <v>124</v>
      </c>
      <c r="CN7" s="133">
        <v>124</v>
      </c>
      <c r="CO7" s="133">
        <f t="shared" si="61"/>
        <v>128</v>
      </c>
      <c r="CP7" s="133">
        <f t="shared" si="62"/>
        <v>248</v>
      </c>
      <c r="CQ7" s="7">
        <f t="shared" si="18"/>
        <v>992</v>
      </c>
      <c r="CR7" s="7">
        <f t="shared" si="19"/>
        <v>480</v>
      </c>
      <c r="CS7" s="8">
        <f t="shared" si="63"/>
        <v>512</v>
      </c>
      <c r="CT7" s="14">
        <f t="shared" si="20"/>
        <v>1968000</v>
      </c>
      <c r="CU7" s="134">
        <f t="shared" si="64"/>
        <v>120</v>
      </c>
      <c r="CV7" s="134">
        <v>93</v>
      </c>
      <c r="CW7" s="134"/>
      <c r="CX7" s="134">
        <v>93</v>
      </c>
      <c r="CY7" s="134">
        <v>66</v>
      </c>
      <c r="CZ7" s="134">
        <v>62</v>
      </c>
      <c r="DA7" s="134">
        <v>62</v>
      </c>
      <c r="DB7" s="134">
        <f t="shared" si="65"/>
        <v>128</v>
      </c>
      <c r="DC7" s="134">
        <f t="shared" si="66"/>
        <v>248</v>
      </c>
      <c r="DD7" s="7">
        <f t="shared" si="21"/>
        <v>1116</v>
      </c>
      <c r="DE7" s="7">
        <f t="shared" si="22"/>
        <v>540</v>
      </c>
      <c r="DF7" s="8">
        <f t="shared" si="67"/>
        <v>576</v>
      </c>
      <c r="DG7" s="14">
        <f t="shared" si="23"/>
        <v>2214000</v>
      </c>
      <c r="DH7" s="134">
        <f t="shared" si="68"/>
        <v>135</v>
      </c>
      <c r="DI7" s="134">
        <v>93</v>
      </c>
      <c r="DJ7" s="134"/>
      <c r="DK7" s="134">
        <v>124</v>
      </c>
      <c r="DL7" s="134">
        <v>82</v>
      </c>
      <c r="DM7" s="134">
        <v>62</v>
      </c>
      <c r="DN7" s="134">
        <v>62</v>
      </c>
      <c r="DO7" s="134">
        <f t="shared" si="69"/>
        <v>144</v>
      </c>
      <c r="DP7" s="134">
        <f t="shared" si="70"/>
        <v>279</v>
      </c>
      <c r="DQ7" s="7">
        <f t="shared" si="24"/>
        <v>500</v>
      </c>
      <c r="DR7" s="7">
        <f t="shared" si="71"/>
        <v>232</v>
      </c>
      <c r="DS7" s="8">
        <f t="shared" si="72"/>
        <v>268</v>
      </c>
      <c r="DT7" s="14">
        <f t="shared" si="25"/>
        <v>951200</v>
      </c>
      <c r="DU7" s="134">
        <f t="shared" si="73"/>
        <v>58</v>
      </c>
      <c r="DV7" s="134">
        <v>0</v>
      </c>
      <c r="DW7" s="134"/>
      <c r="DX7" s="134">
        <v>62</v>
      </c>
      <c r="DY7" s="134">
        <v>4</v>
      </c>
      <c r="DZ7" s="134">
        <v>63</v>
      </c>
      <c r="EA7" s="134">
        <v>63</v>
      </c>
      <c r="EB7" s="134">
        <f t="shared" si="74"/>
        <v>67</v>
      </c>
      <c r="EC7" s="134">
        <f t="shared" si="75"/>
        <v>125</v>
      </c>
      <c r="ED7" s="7">
        <f t="shared" si="26"/>
        <v>248</v>
      </c>
      <c r="EE7" s="7">
        <f t="shared" si="27"/>
        <v>120</v>
      </c>
      <c r="EF7" s="8">
        <f t="shared" si="76"/>
        <v>128</v>
      </c>
      <c r="EG7" s="14">
        <f t="shared" si="28"/>
        <v>492000</v>
      </c>
      <c r="EH7" s="133">
        <f t="shared" si="77"/>
        <v>30</v>
      </c>
      <c r="EI7" s="133">
        <v>0</v>
      </c>
      <c r="EJ7" s="133"/>
      <c r="EK7" s="133">
        <v>62</v>
      </c>
      <c r="EL7" s="133">
        <f t="shared" si="78"/>
        <v>32</v>
      </c>
      <c r="EM7" s="133">
        <v>0</v>
      </c>
      <c r="EN7" s="133"/>
      <c r="EO7" s="133">
        <f t="shared" si="79"/>
        <v>32</v>
      </c>
      <c r="EP7" s="133">
        <f t="shared" si="80"/>
        <v>62</v>
      </c>
      <c r="EQ7" s="7">
        <f t="shared" si="29"/>
        <v>1116</v>
      </c>
      <c r="ER7" s="7">
        <f t="shared" si="30"/>
        <v>540</v>
      </c>
      <c r="ES7" s="8">
        <f t="shared" si="81"/>
        <v>576</v>
      </c>
      <c r="ET7" s="14">
        <f t="shared" si="31"/>
        <v>2214000</v>
      </c>
      <c r="EU7" s="134">
        <f t="shared" si="82"/>
        <v>135</v>
      </c>
      <c r="EV7" s="134">
        <v>93</v>
      </c>
      <c r="EW7" s="134"/>
      <c r="EX7" s="134">
        <v>93</v>
      </c>
      <c r="EY7" s="134">
        <v>51</v>
      </c>
      <c r="EZ7" s="134">
        <v>93</v>
      </c>
      <c r="FA7" s="134">
        <v>93</v>
      </c>
      <c r="FB7" s="134">
        <f t="shared" si="83"/>
        <v>144</v>
      </c>
      <c r="FC7" s="134">
        <f t="shared" si="84"/>
        <v>279</v>
      </c>
      <c r="FD7" s="7">
        <f t="shared" si="32"/>
        <v>744</v>
      </c>
      <c r="FE7" s="7">
        <f t="shared" si="33"/>
        <v>360</v>
      </c>
      <c r="FF7" s="8">
        <f t="shared" si="85"/>
        <v>384</v>
      </c>
      <c r="FG7" s="14">
        <f t="shared" si="34"/>
        <v>1476000</v>
      </c>
      <c r="FH7" s="133">
        <f t="shared" si="86"/>
        <v>90</v>
      </c>
      <c r="FI7" s="133">
        <v>62</v>
      </c>
      <c r="FJ7" s="133"/>
      <c r="FK7" s="133">
        <v>62</v>
      </c>
      <c r="FL7" s="133">
        <v>34</v>
      </c>
      <c r="FM7" s="133">
        <v>62</v>
      </c>
      <c r="FN7" s="133">
        <v>62</v>
      </c>
      <c r="FO7" s="133">
        <f t="shared" si="87"/>
        <v>96</v>
      </c>
      <c r="FP7" s="133">
        <f t="shared" si="88"/>
        <v>186</v>
      </c>
      <c r="FQ7" s="7">
        <f t="shared" si="35"/>
        <v>128</v>
      </c>
      <c r="FR7" s="7">
        <f>J7*16</f>
        <v>64</v>
      </c>
      <c r="FS7" s="8">
        <f t="shared" si="89"/>
        <v>64</v>
      </c>
      <c r="FT7" s="14">
        <f t="shared" si="36"/>
        <v>262400</v>
      </c>
      <c r="FU7" s="134">
        <f t="shared" si="90"/>
        <v>16</v>
      </c>
      <c r="FV7" s="134">
        <v>0</v>
      </c>
      <c r="FW7" s="134"/>
      <c r="FX7" s="134">
        <v>16</v>
      </c>
      <c r="FY7" s="134">
        <v>0</v>
      </c>
      <c r="FZ7" s="134">
        <v>16</v>
      </c>
      <c r="GA7" s="134">
        <v>16</v>
      </c>
      <c r="GB7" s="134">
        <f t="shared" si="91"/>
        <v>16</v>
      </c>
      <c r="GC7" s="134">
        <f t="shared" si="92"/>
        <v>32</v>
      </c>
      <c r="GD7" s="7">
        <f t="shared" si="37"/>
        <v>48</v>
      </c>
      <c r="GE7" s="7">
        <f t="shared" si="38"/>
        <v>24</v>
      </c>
      <c r="GF7" s="8">
        <f t="shared" si="93"/>
        <v>24</v>
      </c>
      <c r="GG7" s="14">
        <f t="shared" si="39"/>
        <v>98400</v>
      </c>
      <c r="GH7" s="134">
        <f t="shared" si="94"/>
        <v>6</v>
      </c>
      <c r="GI7" s="134">
        <v>4</v>
      </c>
      <c r="GJ7" s="134"/>
      <c r="GK7" s="134">
        <v>4</v>
      </c>
      <c r="GL7" s="134">
        <v>2</v>
      </c>
      <c r="GM7" s="134">
        <v>4</v>
      </c>
      <c r="GN7" s="134">
        <v>4</v>
      </c>
      <c r="GO7" s="134">
        <f t="shared" si="95"/>
        <v>6</v>
      </c>
      <c r="GP7" s="134">
        <f t="shared" si="96"/>
        <v>12</v>
      </c>
      <c r="GQ7" s="7">
        <f t="shared" si="40"/>
        <v>744</v>
      </c>
      <c r="GR7" s="7">
        <f t="shared" si="41"/>
        <v>360</v>
      </c>
      <c r="GS7" s="8">
        <f t="shared" si="97"/>
        <v>384</v>
      </c>
      <c r="GT7" s="14">
        <f t="shared" si="42"/>
        <v>1476000</v>
      </c>
      <c r="GU7" s="133">
        <f t="shared" si="98"/>
        <v>90</v>
      </c>
      <c r="GV7" s="133">
        <v>62</v>
      </c>
      <c r="GW7" s="133"/>
      <c r="GX7" s="133">
        <v>62</v>
      </c>
      <c r="GY7" s="133">
        <v>34</v>
      </c>
      <c r="GZ7" s="133">
        <v>62</v>
      </c>
      <c r="HA7" s="133">
        <v>62</v>
      </c>
      <c r="HB7" s="133">
        <f t="shared" si="99"/>
        <v>96</v>
      </c>
      <c r="HC7" s="133">
        <f t="shared" si="100"/>
        <v>186</v>
      </c>
      <c r="HD7" s="7">
        <f t="shared" si="43"/>
        <v>744</v>
      </c>
      <c r="HE7" s="7">
        <f t="shared" si="44"/>
        <v>360</v>
      </c>
      <c r="HF7" s="8">
        <f t="shared" si="101"/>
        <v>384</v>
      </c>
      <c r="HG7" s="14">
        <f t="shared" si="45"/>
        <v>1476000</v>
      </c>
      <c r="HH7" s="7">
        <f t="shared" si="102"/>
        <v>90</v>
      </c>
      <c r="HI7" s="7">
        <v>62</v>
      </c>
      <c r="HJ7" s="7"/>
      <c r="HK7" s="7">
        <v>62</v>
      </c>
      <c r="HL7" s="7">
        <v>34</v>
      </c>
      <c r="HM7" s="7">
        <v>62</v>
      </c>
      <c r="HN7" s="7">
        <v>62</v>
      </c>
      <c r="HO7" s="133">
        <f t="shared" si="103"/>
        <v>96</v>
      </c>
      <c r="HP7" s="133">
        <f t="shared" si="104"/>
        <v>186</v>
      </c>
    </row>
    <row r="8" spans="2:224" s="2" customFormat="1" x14ac:dyDescent="0.3">
      <c r="B8" s="7">
        <f>'PLAN DE NECESIDADES'!B8</f>
        <v>4</v>
      </c>
      <c r="C8" s="7">
        <f>'PLAN DE NECESIDADES'!C8</f>
        <v>2791301</v>
      </c>
      <c r="D8" s="60" t="str">
        <f>'PLAN DE NECESIDADES'!D8</f>
        <v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v>
      </c>
      <c r="E8" s="7" t="str">
        <f>'PLAN DE NECESIDADES'!E8</f>
        <v>UNIDAD</v>
      </c>
      <c r="F8" s="7">
        <f>'PLAN DE NECESIDADES'!F8</f>
        <v>0</v>
      </c>
      <c r="G8" s="7">
        <f>'PLAN DE NECESIDADES'!H8</f>
        <v>11161701</v>
      </c>
      <c r="H8" s="7">
        <f>'PLAN DE NECESIDADES'!I8</f>
        <v>1347326</v>
      </c>
      <c r="I8" s="7" t="str">
        <f>'PLAN DE NECESIDADES'!J8</f>
        <v>SIN CREAR</v>
      </c>
      <c r="J8" s="7">
        <v>2</v>
      </c>
      <c r="K8" s="87">
        <v>69</v>
      </c>
      <c r="L8" s="87">
        <v>217</v>
      </c>
      <c r="M8" s="87">
        <v>279</v>
      </c>
      <c r="N8" s="87">
        <v>217</v>
      </c>
      <c r="O8" s="87">
        <v>248</v>
      </c>
      <c r="P8" s="87">
        <v>248</v>
      </c>
      <c r="Q8" s="87">
        <v>279</v>
      </c>
      <c r="R8" s="87">
        <v>125</v>
      </c>
      <c r="S8" s="87">
        <v>62</v>
      </c>
      <c r="T8" s="87">
        <v>279</v>
      </c>
      <c r="U8" s="87">
        <v>186</v>
      </c>
      <c r="V8" s="87">
        <v>32</v>
      </c>
      <c r="W8" s="87">
        <v>12</v>
      </c>
      <c r="X8" s="85">
        <v>186</v>
      </c>
      <c r="Y8" s="85">
        <v>186</v>
      </c>
      <c r="Z8" s="85">
        <f t="shared" si="0"/>
        <v>5312</v>
      </c>
      <c r="AA8" s="7">
        <f t="shared" si="1"/>
        <v>2536</v>
      </c>
      <c r="AB8" s="7">
        <f t="shared" si="2"/>
        <v>2776</v>
      </c>
      <c r="AC8" s="13">
        <v>5300</v>
      </c>
      <c r="AD8" s="7">
        <f t="shared" si="3"/>
        <v>138</v>
      </c>
      <c r="AE8" s="7">
        <f>J8*33</f>
        <v>66</v>
      </c>
      <c r="AF8" s="8">
        <f t="shared" si="4"/>
        <v>72</v>
      </c>
      <c r="AG8" s="14">
        <f t="shared" si="5"/>
        <v>349800</v>
      </c>
      <c r="AH8" s="133">
        <f t="shared" si="46"/>
        <v>33</v>
      </c>
      <c r="AI8" s="133">
        <v>31</v>
      </c>
      <c r="AJ8" s="133"/>
      <c r="AK8" s="133">
        <v>20</v>
      </c>
      <c r="AL8" s="133">
        <v>18</v>
      </c>
      <c r="AM8" s="133">
        <v>18</v>
      </c>
      <c r="AN8" s="133">
        <v>18</v>
      </c>
      <c r="AO8" s="133">
        <f t="shared" si="47"/>
        <v>36</v>
      </c>
      <c r="AP8" s="133">
        <f t="shared" si="48"/>
        <v>69</v>
      </c>
      <c r="AQ8" s="7">
        <f t="shared" si="6"/>
        <v>434</v>
      </c>
      <c r="AR8" s="7">
        <f>J8*105</f>
        <v>210</v>
      </c>
      <c r="AS8" s="8">
        <f t="shared" si="49"/>
        <v>224</v>
      </c>
      <c r="AT8" s="14">
        <f t="shared" si="7"/>
        <v>1113000</v>
      </c>
      <c r="AU8" s="133">
        <f t="shared" si="50"/>
        <v>105</v>
      </c>
      <c r="AV8" s="133">
        <v>93</v>
      </c>
      <c r="AW8" s="133"/>
      <c r="AX8" s="133">
        <v>62</v>
      </c>
      <c r="AY8" s="133">
        <v>50</v>
      </c>
      <c r="AZ8" s="133">
        <v>62</v>
      </c>
      <c r="BA8" s="133">
        <v>62</v>
      </c>
      <c r="BB8" s="133">
        <f t="shared" si="51"/>
        <v>112</v>
      </c>
      <c r="BC8" s="133">
        <f t="shared" si="52"/>
        <v>217</v>
      </c>
      <c r="BD8" s="7">
        <f t="shared" si="8"/>
        <v>558</v>
      </c>
      <c r="BE8" s="7">
        <f t="shared" si="9"/>
        <v>270</v>
      </c>
      <c r="BF8" s="8">
        <f t="shared" si="105"/>
        <v>288</v>
      </c>
      <c r="BG8" s="14">
        <f t="shared" si="10"/>
        <v>1431000</v>
      </c>
      <c r="BH8" s="133">
        <f t="shared" si="53"/>
        <v>135</v>
      </c>
      <c r="BI8" s="133">
        <v>93</v>
      </c>
      <c r="BJ8" s="133"/>
      <c r="BK8" s="133">
        <v>62</v>
      </c>
      <c r="BL8" s="133">
        <v>20</v>
      </c>
      <c r="BM8" s="133">
        <v>124</v>
      </c>
      <c r="BN8" s="133">
        <v>124</v>
      </c>
      <c r="BO8" s="133">
        <f t="shared" si="54"/>
        <v>144</v>
      </c>
      <c r="BP8" s="133">
        <f t="shared" si="55"/>
        <v>279</v>
      </c>
      <c r="BQ8" s="7">
        <f t="shared" si="11"/>
        <v>434</v>
      </c>
      <c r="BR8" s="7">
        <f t="shared" si="12"/>
        <v>210</v>
      </c>
      <c r="BS8" s="8">
        <f t="shared" si="13"/>
        <v>224</v>
      </c>
      <c r="BT8" s="14">
        <f t="shared" si="14"/>
        <v>1113000</v>
      </c>
      <c r="BU8" s="133">
        <f t="shared" si="56"/>
        <v>105</v>
      </c>
      <c r="BV8" s="133">
        <v>93</v>
      </c>
      <c r="BW8" s="133"/>
      <c r="BX8" s="133">
        <v>62</v>
      </c>
      <c r="BY8" s="133">
        <v>50</v>
      </c>
      <c r="BZ8" s="133">
        <v>62</v>
      </c>
      <c r="CA8" s="133">
        <v>62</v>
      </c>
      <c r="CB8" s="133">
        <f t="shared" si="57"/>
        <v>112</v>
      </c>
      <c r="CC8" s="133">
        <f t="shared" si="58"/>
        <v>217</v>
      </c>
      <c r="CD8" s="7">
        <f t="shared" si="15"/>
        <v>558</v>
      </c>
      <c r="CE8" s="7">
        <f t="shared" si="16"/>
        <v>240</v>
      </c>
      <c r="CF8" s="8">
        <f t="shared" si="59"/>
        <v>318</v>
      </c>
      <c r="CG8" s="14">
        <f t="shared" si="17"/>
        <v>1272000</v>
      </c>
      <c r="CH8" s="134">
        <f t="shared" si="60"/>
        <v>120</v>
      </c>
      <c r="CI8" s="134">
        <v>62</v>
      </c>
      <c r="CJ8" s="134"/>
      <c r="CK8" s="134">
        <v>62</v>
      </c>
      <c r="CL8" s="134">
        <v>4</v>
      </c>
      <c r="CM8" s="134">
        <v>124</v>
      </c>
      <c r="CN8" s="133">
        <v>124</v>
      </c>
      <c r="CO8" s="133">
        <f t="shared" si="61"/>
        <v>128</v>
      </c>
      <c r="CP8" s="133">
        <f t="shared" si="62"/>
        <v>248</v>
      </c>
      <c r="CQ8" s="7">
        <f t="shared" si="18"/>
        <v>496</v>
      </c>
      <c r="CR8" s="7">
        <f t="shared" si="19"/>
        <v>240</v>
      </c>
      <c r="CS8" s="8">
        <f t="shared" si="63"/>
        <v>256</v>
      </c>
      <c r="CT8" s="14">
        <f t="shared" si="20"/>
        <v>1272000</v>
      </c>
      <c r="CU8" s="134">
        <f t="shared" si="64"/>
        <v>120</v>
      </c>
      <c r="CV8" s="134">
        <v>93</v>
      </c>
      <c r="CW8" s="134"/>
      <c r="CX8" s="134">
        <v>93</v>
      </c>
      <c r="CY8" s="134">
        <v>66</v>
      </c>
      <c r="CZ8" s="134">
        <v>62</v>
      </c>
      <c r="DA8" s="134">
        <v>62</v>
      </c>
      <c r="DB8" s="134">
        <f t="shared" si="65"/>
        <v>128</v>
      </c>
      <c r="DC8" s="134">
        <f t="shared" si="66"/>
        <v>248</v>
      </c>
      <c r="DD8" s="7">
        <f t="shared" si="21"/>
        <v>558</v>
      </c>
      <c r="DE8" s="7">
        <f t="shared" si="22"/>
        <v>270</v>
      </c>
      <c r="DF8" s="8">
        <f t="shared" si="67"/>
        <v>288</v>
      </c>
      <c r="DG8" s="14">
        <f t="shared" si="23"/>
        <v>1431000</v>
      </c>
      <c r="DH8" s="134">
        <f t="shared" si="68"/>
        <v>135</v>
      </c>
      <c r="DI8" s="134">
        <v>93</v>
      </c>
      <c r="DJ8" s="134"/>
      <c r="DK8" s="134">
        <v>124</v>
      </c>
      <c r="DL8" s="134">
        <v>82</v>
      </c>
      <c r="DM8" s="134">
        <v>62</v>
      </c>
      <c r="DN8" s="134">
        <v>62</v>
      </c>
      <c r="DO8" s="134">
        <f t="shared" si="69"/>
        <v>144</v>
      </c>
      <c r="DP8" s="134">
        <f t="shared" si="70"/>
        <v>279</v>
      </c>
      <c r="DQ8" s="7">
        <f t="shared" si="24"/>
        <v>250</v>
      </c>
      <c r="DR8" s="7">
        <f t="shared" si="71"/>
        <v>116</v>
      </c>
      <c r="DS8" s="8">
        <f t="shared" si="72"/>
        <v>134</v>
      </c>
      <c r="DT8" s="14">
        <f t="shared" si="25"/>
        <v>614800</v>
      </c>
      <c r="DU8" s="134">
        <f t="shared" si="73"/>
        <v>58</v>
      </c>
      <c r="DV8" s="134">
        <v>0</v>
      </c>
      <c r="DW8" s="134"/>
      <c r="DX8" s="134">
        <v>62</v>
      </c>
      <c r="DY8" s="134">
        <v>4</v>
      </c>
      <c r="DZ8" s="134">
        <v>63</v>
      </c>
      <c r="EA8" s="134">
        <v>63</v>
      </c>
      <c r="EB8" s="134">
        <f t="shared" si="74"/>
        <v>67</v>
      </c>
      <c r="EC8" s="134">
        <f t="shared" si="75"/>
        <v>125</v>
      </c>
      <c r="ED8" s="7">
        <f t="shared" si="26"/>
        <v>124</v>
      </c>
      <c r="EE8" s="7">
        <f t="shared" si="27"/>
        <v>60</v>
      </c>
      <c r="EF8" s="8">
        <f t="shared" si="76"/>
        <v>64</v>
      </c>
      <c r="EG8" s="14">
        <f t="shared" si="28"/>
        <v>318000</v>
      </c>
      <c r="EH8" s="133">
        <f t="shared" si="77"/>
        <v>30</v>
      </c>
      <c r="EI8" s="133">
        <v>0</v>
      </c>
      <c r="EJ8" s="133"/>
      <c r="EK8" s="133">
        <v>62</v>
      </c>
      <c r="EL8" s="133">
        <f t="shared" si="78"/>
        <v>32</v>
      </c>
      <c r="EM8" s="133">
        <v>0</v>
      </c>
      <c r="EN8" s="133"/>
      <c r="EO8" s="133">
        <f t="shared" si="79"/>
        <v>32</v>
      </c>
      <c r="EP8" s="133">
        <f t="shared" si="80"/>
        <v>62</v>
      </c>
      <c r="EQ8" s="7">
        <f t="shared" si="29"/>
        <v>558</v>
      </c>
      <c r="ER8" s="7">
        <f t="shared" si="30"/>
        <v>270</v>
      </c>
      <c r="ES8" s="8">
        <f t="shared" si="81"/>
        <v>288</v>
      </c>
      <c r="ET8" s="14">
        <f t="shared" si="31"/>
        <v>1431000</v>
      </c>
      <c r="EU8" s="134">
        <f t="shared" si="82"/>
        <v>135</v>
      </c>
      <c r="EV8" s="134">
        <v>93</v>
      </c>
      <c r="EW8" s="134"/>
      <c r="EX8" s="134">
        <v>93</v>
      </c>
      <c r="EY8" s="134">
        <v>51</v>
      </c>
      <c r="EZ8" s="134">
        <v>93</v>
      </c>
      <c r="FA8" s="134">
        <v>93</v>
      </c>
      <c r="FB8" s="134">
        <f t="shared" si="83"/>
        <v>144</v>
      </c>
      <c r="FC8" s="134">
        <f t="shared" si="84"/>
        <v>279</v>
      </c>
      <c r="FD8" s="7">
        <f t="shared" si="32"/>
        <v>372</v>
      </c>
      <c r="FE8" s="7">
        <f t="shared" si="33"/>
        <v>180</v>
      </c>
      <c r="FF8" s="8">
        <f t="shared" si="85"/>
        <v>192</v>
      </c>
      <c r="FG8" s="14">
        <f t="shared" si="34"/>
        <v>954000</v>
      </c>
      <c r="FH8" s="133">
        <f t="shared" si="86"/>
        <v>90</v>
      </c>
      <c r="FI8" s="133">
        <v>62</v>
      </c>
      <c r="FJ8" s="133"/>
      <c r="FK8" s="133">
        <v>62</v>
      </c>
      <c r="FL8" s="133">
        <v>34</v>
      </c>
      <c r="FM8" s="133">
        <v>62</v>
      </c>
      <c r="FN8" s="133">
        <v>62</v>
      </c>
      <c r="FO8" s="133">
        <f t="shared" si="87"/>
        <v>96</v>
      </c>
      <c r="FP8" s="133">
        <f t="shared" si="88"/>
        <v>186</v>
      </c>
      <c r="FQ8" s="7">
        <f t="shared" si="35"/>
        <v>64</v>
      </c>
      <c r="FR8" s="7">
        <f>J8*16</f>
        <v>32</v>
      </c>
      <c r="FS8" s="8">
        <f t="shared" si="89"/>
        <v>32</v>
      </c>
      <c r="FT8" s="14">
        <f t="shared" si="36"/>
        <v>169600</v>
      </c>
      <c r="FU8" s="134">
        <f t="shared" si="90"/>
        <v>16</v>
      </c>
      <c r="FV8" s="134">
        <v>0</v>
      </c>
      <c r="FW8" s="134"/>
      <c r="FX8" s="134">
        <v>16</v>
      </c>
      <c r="FY8" s="134">
        <v>0</v>
      </c>
      <c r="FZ8" s="134">
        <v>16</v>
      </c>
      <c r="GA8" s="134">
        <v>16</v>
      </c>
      <c r="GB8" s="134">
        <f t="shared" si="91"/>
        <v>16</v>
      </c>
      <c r="GC8" s="134">
        <f t="shared" si="92"/>
        <v>32</v>
      </c>
      <c r="GD8" s="7">
        <f t="shared" si="37"/>
        <v>24</v>
      </c>
      <c r="GE8" s="7">
        <f t="shared" si="38"/>
        <v>12</v>
      </c>
      <c r="GF8" s="8">
        <f t="shared" si="93"/>
        <v>12</v>
      </c>
      <c r="GG8" s="14">
        <f t="shared" si="39"/>
        <v>63600</v>
      </c>
      <c r="GH8" s="134">
        <f t="shared" si="94"/>
        <v>6</v>
      </c>
      <c r="GI8" s="134">
        <v>4</v>
      </c>
      <c r="GJ8" s="134"/>
      <c r="GK8" s="134">
        <v>4</v>
      </c>
      <c r="GL8" s="134">
        <v>2</v>
      </c>
      <c r="GM8" s="134">
        <v>4</v>
      </c>
      <c r="GN8" s="134">
        <v>4</v>
      </c>
      <c r="GO8" s="134">
        <f t="shared" si="95"/>
        <v>6</v>
      </c>
      <c r="GP8" s="134">
        <f t="shared" si="96"/>
        <v>12</v>
      </c>
      <c r="GQ8" s="7">
        <f t="shared" si="40"/>
        <v>372</v>
      </c>
      <c r="GR8" s="7">
        <f t="shared" si="41"/>
        <v>180</v>
      </c>
      <c r="GS8" s="8">
        <f t="shared" si="97"/>
        <v>192</v>
      </c>
      <c r="GT8" s="14">
        <f t="shared" si="42"/>
        <v>954000</v>
      </c>
      <c r="GU8" s="133">
        <f t="shared" si="98"/>
        <v>90</v>
      </c>
      <c r="GV8" s="133">
        <v>62</v>
      </c>
      <c r="GW8" s="133"/>
      <c r="GX8" s="133">
        <v>62</v>
      </c>
      <c r="GY8" s="133">
        <v>34</v>
      </c>
      <c r="GZ8" s="133">
        <v>62</v>
      </c>
      <c r="HA8" s="133">
        <v>62</v>
      </c>
      <c r="HB8" s="133">
        <f t="shared" si="99"/>
        <v>96</v>
      </c>
      <c r="HC8" s="133">
        <f t="shared" si="100"/>
        <v>186</v>
      </c>
      <c r="HD8" s="7">
        <f t="shared" si="43"/>
        <v>372</v>
      </c>
      <c r="HE8" s="7">
        <f t="shared" si="44"/>
        <v>180</v>
      </c>
      <c r="HF8" s="8">
        <f t="shared" si="101"/>
        <v>192</v>
      </c>
      <c r="HG8" s="14">
        <f t="shared" si="45"/>
        <v>954000</v>
      </c>
      <c r="HH8" s="7">
        <f t="shared" si="102"/>
        <v>90</v>
      </c>
      <c r="HI8" s="7">
        <v>62</v>
      </c>
      <c r="HJ8" s="7"/>
      <c r="HK8" s="7">
        <v>62</v>
      </c>
      <c r="HL8" s="7">
        <v>34</v>
      </c>
      <c r="HM8" s="7">
        <v>62</v>
      </c>
      <c r="HN8" s="7">
        <v>62</v>
      </c>
      <c r="HO8" s="133">
        <f t="shared" si="103"/>
        <v>96</v>
      </c>
      <c r="HP8" s="133">
        <f t="shared" si="104"/>
        <v>186</v>
      </c>
    </row>
    <row r="9" spans="2:224" s="2" customFormat="1" x14ac:dyDescent="0.3">
      <c r="B9" s="7">
        <f>'PLAN DE NECESIDADES'!B9</f>
        <v>5</v>
      </c>
      <c r="C9" s="7">
        <f>'PLAN DE NECESIDADES'!C9</f>
        <v>2791301</v>
      </c>
      <c r="D9" s="60" t="str">
        <f>'PLAN DE NECESIDADES'!D9</f>
        <v>PARCHE PARA IDENTIFICACIÓN GRUPO SANGUÍNEO:
ESPECIFICACIONES  TÉCNICAS   DE  ACUERDO A LA NORMA TÉCNICA KIT DE DOTACIÓN N°. NTMD-0356 - A2.</v>
      </c>
      <c r="E9" s="7" t="str">
        <f>'PLAN DE NECESIDADES'!E9</f>
        <v>UNIDAD</v>
      </c>
      <c r="F9" s="7">
        <f>'PLAN DE NECESIDADES'!F9</f>
        <v>0</v>
      </c>
      <c r="G9" s="7">
        <f>'PLAN DE NECESIDADES'!H9</f>
        <v>11161701</v>
      </c>
      <c r="H9" s="7">
        <f>'PLAN DE NECESIDADES'!I9</f>
        <v>1143174</v>
      </c>
      <c r="I9" s="7" t="str">
        <f>'PLAN DE NECESIDADES'!J9</f>
        <v>SIN CREAR</v>
      </c>
      <c r="J9" s="7">
        <v>2</v>
      </c>
      <c r="K9" s="87">
        <v>69</v>
      </c>
      <c r="L9" s="87">
        <v>217</v>
      </c>
      <c r="M9" s="87">
        <v>279</v>
      </c>
      <c r="N9" s="87">
        <v>217</v>
      </c>
      <c r="O9" s="87">
        <v>248</v>
      </c>
      <c r="P9" s="87">
        <v>248</v>
      </c>
      <c r="Q9" s="87">
        <v>279</v>
      </c>
      <c r="R9" s="87">
        <v>125</v>
      </c>
      <c r="S9" s="87">
        <v>62</v>
      </c>
      <c r="T9" s="87">
        <v>279</v>
      </c>
      <c r="U9" s="87">
        <v>186</v>
      </c>
      <c r="V9" s="87">
        <v>32</v>
      </c>
      <c r="W9" s="87">
        <v>12</v>
      </c>
      <c r="X9" s="85">
        <v>186</v>
      </c>
      <c r="Y9" s="85">
        <v>186</v>
      </c>
      <c r="Z9" s="85">
        <f t="shared" si="0"/>
        <v>5312</v>
      </c>
      <c r="AA9" s="7">
        <f t="shared" si="1"/>
        <v>2534</v>
      </c>
      <c r="AB9" s="7">
        <f t="shared" si="2"/>
        <v>2778</v>
      </c>
      <c r="AC9" s="13">
        <v>3700</v>
      </c>
      <c r="AD9" s="7">
        <f t="shared" si="3"/>
        <v>138</v>
      </c>
      <c r="AE9" s="7">
        <f>J9*33</f>
        <v>66</v>
      </c>
      <c r="AF9" s="8">
        <f t="shared" si="4"/>
        <v>72</v>
      </c>
      <c r="AG9" s="14">
        <f t="shared" si="5"/>
        <v>244200</v>
      </c>
      <c r="AH9" s="133">
        <f t="shared" si="46"/>
        <v>33</v>
      </c>
      <c r="AI9" s="133">
        <v>31</v>
      </c>
      <c r="AJ9" s="133"/>
      <c r="AK9" s="133">
        <v>20</v>
      </c>
      <c r="AL9" s="133">
        <v>18</v>
      </c>
      <c r="AM9" s="133">
        <v>18</v>
      </c>
      <c r="AN9" s="133">
        <v>18</v>
      </c>
      <c r="AO9" s="133">
        <f t="shared" si="47"/>
        <v>36</v>
      </c>
      <c r="AP9" s="133">
        <f t="shared" si="48"/>
        <v>69</v>
      </c>
      <c r="AQ9" s="7">
        <f t="shared" si="6"/>
        <v>434</v>
      </c>
      <c r="AR9" s="7">
        <f>J9*104</f>
        <v>208</v>
      </c>
      <c r="AS9" s="8">
        <f t="shared" si="49"/>
        <v>226</v>
      </c>
      <c r="AT9" s="14">
        <f t="shared" si="7"/>
        <v>769600</v>
      </c>
      <c r="AU9" s="133">
        <f t="shared" si="50"/>
        <v>104</v>
      </c>
      <c r="AV9" s="133">
        <v>93</v>
      </c>
      <c r="AW9" s="133"/>
      <c r="AX9" s="133">
        <v>62</v>
      </c>
      <c r="AY9" s="133">
        <v>51</v>
      </c>
      <c r="AZ9" s="133">
        <v>62</v>
      </c>
      <c r="BA9" s="133">
        <v>62</v>
      </c>
      <c r="BB9" s="133">
        <f t="shared" si="51"/>
        <v>113</v>
      </c>
      <c r="BC9" s="133">
        <f t="shared" si="52"/>
        <v>217</v>
      </c>
      <c r="BD9" s="7">
        <f t="shared" si="8"/>
        <v>558</v>
      </c>
      <c r="BE9" s="7">
        <f t="shared" si="9"/>
        <v>270</v>
      </c>
      <c r="BF9" s="8">
        <f t="shared" si="105"/>
        <v>288</v>
      </c>
      <c r="BG9" s="14">
        <f t="shared" si="10"/>
        <v>999000</v>
      </c>
      <c r="BH9" s="133">
        <f t="shared" si="53"/>
        <v>135</v>
      </c>
      <c r="BI9" s="133">
        <v>93</v>
      </c>
      <c r="BJ9" s="133"/>
      <c r="BK9" s="133">
        <v>62</v>
      </c>
      <c r="BL9" s="133">
        <v>20</v>
      </c>
      <c r="BM9" s="133">
        <v>124</v>
      </c>
      <c r="BN9" s="133">
        <v>124</v>
      </c>
      <c r="BO9" s="133">
        <f t="shared" si="54"/>
        <v>144</v>
      </c>
      <c r="BP9" s="133">
        <f t="shared" si="55"/>
        <v>279</v>
      </c>
      <c r="BQ9" s="7">
        <f t="shared" si="11"/>
        <v>434</v>
      </c>
      <c r="BR9" s="7">
        <f t="shared" si="12"/>
        <v>210</v>
      </c>
      <c r="BS9" s="8">
        <f t="shared" si="13"/>
        <v>224</v>
      </c>
      <c r="BT9" s="14">
        <f t="shared" si="14"/>
        <v>777000</v>
      </c>
      <c r="BU9" s="133">
        <f t="shared" si="56"/>
        <v>105</v>
      </c>
      <c r="BV9" s="133">
        <v>93</v>
      </c>
      <c r="BW9" s="133"/>
      <c r="BX9" s="133">
        <v>62</v>
      </c>
      <c r="BY9" s="133">
        <v>50</v>
      </c>
      <c r="BZ9" s="133">
        <v>62</v>
      </c>
      <c r="CA9" s="133">
        <v>62</v>
      </c>
      <c r="CB9" s="133">
        <f t="shared" si="57"/>
        <v>112</v>
      </c>
      <c r="CC9" s="133">
        <f t="shared" si="58"/>
        <v>217</v>
      </c>
      <c r="CD9" s="7">
        <f t="shared" si="15"/>
        <v>558</v>
      </c>
      <c r="CE9" s="7">
        <f t="shared" si="16"/>
        <v>240</v>
      </c>
      <c r="CF9" s="8">
        <f t="shared" si="59"/>
        <v>318</v>
      </c>
      <c r="CG9" s="14">
        <f t="shared" si="17"/>
        <v>888000</v>
      </c>
      <c r="CH9" s="134">
        <f t="shared" si="60"/>
        <v>120</v>
      </c>
      <c r="CI9" s="134">
        <v>62</v>
      </c>
      <c r="CJ9" s="134"/>
      <c r="CK9" s="134">
        <v>62</v>
      </c>
      <c r="CL9" s="134">
        <v>4</v>
      </c>
      <c r="CM9" s="134">
        <v>124</v>
      </c>
      <c r="CN9" s="133">
        <v>124</v>
      </c>
      <c r="CO9" s="133">
        <f t="shared" si="61"/>
        <v>128</v>
      </c>
      <c r="CP9" s="133">
        <f t="shared" si="62"/>
        <v>248</v>
      </c>
      <c r="CQ9" s="7">
        <f t="shared" si="18"/>
        <v>496</v>
      </c>
      <c r="CR9" s="7">
        <f t="shared" si="19"/>
        <v>240</v>
      </c>
      <c r="CS9" s="8">
        <f t="shared" si="63"/>
        <v>256</v>
      </c>
      <c r="CT9" s="14">
        <f t="shared" si="20"/>
        <v>888000</v>
      </c>
      <c r="CU9" s="134">
        <f t="shared" si="64"/>
        <v>120</v>
      </c>
      <c r="CV9" s="134">
        <v>93</v>
      </c>
      <c r="CW9" s="134"/>
      <c r="CX9" s="134">
        <v>93</v>
      </c>
      <c r="CY9" s="134">
        <v>66</v>
      </c>
      <c r="CZ9" s="134">
        <v>62</v>
      </c>
      <c r="DA9" s="134">
        <v>62</v>
      </c>
      <c r="DB9" s="134">
        <f t="shared" si="65"/>
        <v>128</v>
      </c>
      <c r="DC9" s="134">
        <f t="shared" si="66"/>
        <v>248</v>
      </c>
      <c r="DD9" s="7">
        <f t="shared" si="21"/>
        <v>558</v>
      </c>
      <c r="DE9" s="7">
        <f t="shared" si="22"/>
        <v>270</v>
      </c>
      <c r="DF9" s="8">
        <f t="shared" si="67"/>
        <v>288</v>
      </c>
      <c r="DG9" s="14">
        <f t="shared" si="23"/>
        <v>999000</v>
      </c>
      <c r="DH9" s="134">
        <f t="shared" si="68"/>
        <v>135</v>
      </c>
      <c r="DI9" s="134">
        <v>93</v>
      </c>
      <c r="DJ9" s="134"/>
      <c r="DK9" s="134">
        <v>124</v>
      </c>
      <c r="DL9" s="134">
        <v>82</v>
      </c>
      <c r="DM9" s="134">
        <v>62</v>
      </c>
      <c r="DN9" s="134">
        <v>62</v>
      </c>
      <c r="DO9" s="134">
        <f t="shared" si="69"/>
        <v>144</v>
      </c>
      <c r="DP9" s="134">
        <f t="shared" si="70"/>
        <v>279</v>
      </c>
      <c r="DQ9" s="7">
        <f t="shared" si="24"/>
        <v>250</v>
      </c>
      <c r="DR9" s="7">
        <f t="shared" si="71"/>
        <v>116</v>
      </c>
      <c r="DS9" s="8">
        <f t="shared" si="72"/>
        <v>134</v>
      </c>
      <c r="DT9" s="14">
        <f t="shared" si="25"/>
        <v>429200</v>
      </c>
      <c r="DU9" s="134">
        <f t="shared" si="73"/>
        <v>58</v>
      </c>
      <c r="DV9" s="134">
        <v>0</v>
      </c>
      <c r="DW9" s="134"/>
      <c r="DX9" s="134">
        <v>62</v>
      </c>
      <c r="DY9" s="134">
        <v>4</v>
      </c>
      <c r="DZ9" s="134">
        <v>63</v>
      </c>
      <c r="EA9" s="134">
        <v>63</v>
      </c>
      <c r="EB9" s="134">
        <f t="shared" si="74"/>
        <v>67</v>
      </c>
      <c r="EC9" s="134">
        <f t="shared" si="75"/>
        <v>125</v>
      </c>
      <c r="ED9" s="7">
        <f t="shared" si="26"/>
        <v>124</v>
      </c>
      <c r="EE9" s="7">
        <f t="shared" si="27"/>
        <v>60</v>
      </c>
      <c r="EF9" s="8">
        <f t="shared" si="76"/>
        <v>64</v>
      </c>
      <c r="EG9" s="14">
        <f t="shared" si="28"/>
        <v>222000</v>
      </c>
      <c r="EH9" s="133">
        <f t="shared" si="77"/>
        <v>30</v>
      </c>
      <c r="EI9" s="133">
        <v>0</v>
      </c>
      <c r="EJ9" s="133"/>
      <c r="EK9" s="133">
        <v>62</v>
      </c>
      <c r="EL9" s="133">
        <f t="shared" si="78"/>
        <v>32</v>
      </c>
      <c r="EM9" s="133">
        <v>0</v>
      </c>
      <c r="EN9" s="133"/>
      <c r="EO9" s="133">
        <f t="shared" si="79"/>
        <v>32</v>
      </c>
      <c r="EP9" s="133">
        <f t="shared" si="80"/>
        <v>62</v>
      </c>
      <c r="EQ9" s="7">
        <f t="shared" si="29"/>
        <v>558</v>
      </c>
      <c r="ER9" s="7">
        <f t="shared" si="30"/>
        <v>270</v>
      </c>
      <c r="ES9" s="8">
        <f t="shared" si="81"/>
        <v>288</v>
      </c>
      <c r="ET9" s="14">
        <f t="shared" si="31"/>
        <v>999000</v>
      </c>
      <c r="EU9" s="134">
        <f t="shared" si="82"/>
        <v>135</v>
      </c>
      <c r="EV9" s="134">
        <v>93</v>
      </c>
      <c r="EW9" s="134"/>
      <c r="EX9" s="134">
        <v>93</v>
      </c>
      <c r="EY9" s="134">
        <v>51</v>
      </c>
      <c r="EZ9" s="134">
        <v>93</v>
      </c>
      <c r="FA9" s="134">
        <v>93</v>
      </c>
      <c r="FB9" s="134">
        <f t="shared" si="83"/>
        <v>144</v>
      </c>
      <c r="FC9" s="134">
        <f t="shared" si="84"/>
        <v>279</v>
      </c>
      <c r="FD9" s="7">
        <f t="shared" si="32"/>
        <v>372</v>
      </c>
      <c r="FE9" s="7">
        <f t="shared" si="33"/>
        <v>180</v>
      </c>
      <c r="FF9" s="8">
        <f t="shared" si="85"/>
        <v>192</v>
      </c>
      <c r="FG9" s="14">
        <f t="shared" si="34"/>
        <v>666000</v>
      </c>
      <c r="FH9" s="133">
        <f t="shared" si="86"/>
        <v>90</v>
      </c>
      <c r="FI9" s="133">
        <v>62</v>
      </c>
      <c r="FJ9" s="133"/>
      <c r="FK9" s="133">
        <v>62</v>
      </c>
      <c r="FL9" s="133">
        <v>34</v>
      </c>
      <c r="FM9" s="133">
        <v>62</v>
      </c>
      <c r="FN9" s="133">
        <v>62</v>
      </c>
      <c r="FO9" s="133">
        <f t="shared" si="87"/>
        <v>96</v>
      </c>
      <c r="FP9" s="133">
        <f t="shared" si="88"/>
        <v>186</v>
      </c>
      <c r="FQ9" s="7">
        <f t="shared" si="35"/>
        <v>64</v>
      </c>
      <c r="FR9" s="7">
        <f>J9*16</f>
        <v>32</v>
      </c>
      <c r="FS9" s="8">
        <f t="shared" si="89"/>
        <v>32</v>
      </c>
      <c r="FT9" s="14">
        <f t="shared" si="36"/>
        <v>118400</v>
      </c>
      <c r="FU9" s="134">
        <f t="shared" si="90"/>
        <v>16</v>
      </c>
      <c r="FV9" s="134">
        <v>0</v>
      </c>
      <c r="FW9" s="134"/>
      <c r="FX9" s="134">
        <v>16</v>
      </c>
      <c r="FY9" s="134">
        <v>0</v>
      </c>
      <c r="FZ9" s="134">
        <v>16</v>
      </c>
      <c r="GA9" s="134">
        <v>16</v>
      </c>
      <c r="GB9" s="134">
        <f t="shared" si="91"/>
        <v>16</v>
      </c>
      <c r="GC9" s="134">
        <f t="shared" si="92"/>
        <v>32</v>
      </c>
      <c r="GD9" s="7">
        <f t="shared" si="37"/>
        <v>24</v>
      </c>
      <c r="GE9" s="7">
        <f t="shared" si="38"/>
        <v>12</v>
      </c>
      <c r="GF9" s="8">
        <f t="shared" si="93"/>
        <v>12</v>
      </c>
      <c r="GG9" s="14">
        <f t="shared" si="39"/>
        <v>44400</v>
      </c>
      <c r="GH9" s="134">
        <f t="shared" si="94"/>
        <v>6</v>
      </c>
      <c r="GI9" s="134">
        <v>4</v>
      </c>
      <c r="GJ9" s="134"/>
      <c r="GK9" s="134">
        <v>4</v>
      </c>
      <c r="GL9" s="134">
        <v>2</v>
      </c>
      <c r="GM9" s="134">
        <v>4</v>
      </c>
      <c r="GN9" s="134">
        <v>4</v>
      </c>
      <c r="GO9" s="134">
        <f t="shared" si="95"/>
        <v>6</v>
      </c>
      <c r="GP9" s="134">
        <f t="shared" si="96"/>
        <v>12</v>
      </c>
      <c r="GQ9" s="7">
        <f t="shared" si="40"/>
        <v>372</v>
      </c>
      <c r="GR9" s="7">
        <f t="shared" si="41"/>
        <v>180</v>
      </c>
      <c r="GS9" s="8">
        <f t="shared" si="97"/>
        <v>192</v>
      </c>
      <c r="GT9" s="14">
        <f t="shared" si="42"/>
        <v>666000</v>
      </c>
      <c r="GU9" s="133">
        <f t="shared" si="98"/>
        <v>90</v>
      </c>
      <c r="GV9" s="133">
        <v>62</v>
      </c>
      <c r="GW9" s="133"/>
      <c r="GX9" s="133">
        <v>62</v>
      </c>
      <c r="GY9" s="133">
        <v>34</v>
      </c>
      <c r="GZ9" s="133">
        <v>62</v>
      </c>
      <c r="HA9" s="133">
        <v>62</v>
      </c>
      <c r="HB9" s="133">
        <f t="shared" si="99"/>
        <v>96</v>
      </c>
      <c r="HC9" s="133">
        <f t="shared" si="100"/>
        <v>186</v>
      </c>
      <c r="HD9" s="7">
        <f t="shared" si="43"/>
        <v>372</v>
      </c>
      <c r="HE9" s="7">
        <f t="shared" si="44"/>
        <v>180</v>
      </c>
      <c r="HF9" s="8">
        <f t="shared" si="101"/>
        <v>192</v>
      </c>
      <c r="HG9" s="14">
        <f t="shared" si="45"/>
        <v>666000</v>
      </c>
      <c r="HH9" s="7">
        <f t="shared" si="102"/>
        <v>90</v>
      </c>
      <c r="HI9" s="7">
        <v>62</v>
      </c>
      <c r="HJ9" s="7"/>
      <c r="HK9" s="7">
        <v>62</v>
      </c>
      <c r="HL9" s="7">
        <v>34</v>
      </c>
      <c r="HM9" s="7">
        <v>62</v>
      </c>
      <c r="HN9" s="7">
        <v>62</v>
      </c>
      <c r="HO9" s="133">
        <f t="shared" si="103"/>
        <v>96</v>
      </c>
      <c r="HP9" s="133">
        <f t="shared" si="104"/>
        <v>186</v>
      </c>
    </row>
    <row r="10" spans="2:224" s="2" customFormat="1" x14ac:dyDescent="0.3">
      <c r="B10" s="7">
        <f>'PLAN DE NECESIDADES'!B10</f>
        <v>6</v>
      </c>
      <c r="C10" s="7">
        <f>'PLAN DE NECESIDADES'!C10</f>
        <v>2791301</v>
      </c>
      <c r="D10" s="60" t="str">
        <f>'PLAN DE NECESIDADES'!D10</f>
        <v>INSIGNIA DEL GRADO SOLDADO:
ESPECIFICACIONES  TÉCNICAS   DE  ACUERDO A LA NORMA TÉCNICA KIT DE DOTACIÓN N°. NTMD-0356 - A2.</v>
      </c>
      <c r="E10" s="7" t="str">
        <f>'PLAN DE NECESIDADES'!E10</f>
        <v>JUEGO</v>
      </c>
      <c r="F10" s="7">
        <f>'PLAN DE NECESIDADES'!F10</f>
        <v>0</v>
      </c>
      <c r="G10" s="7">
        <f>'PLAN DE NECESIDADES'!H10</f>
        <v>11161701</v>
      </c>
      <c r="H10" s="7">
        <f>'PLAN DE NECESIDADES'!I10</f>
        <v>1047424</v>
      </c>
      <c r="I10" s="7" t="str">
        <f>'PLAN DE NECESIDADES'!J10</f>
        <v>SIN CREAR</v>
      </c>
      <c r="J10" s="7">
        <v>2</v>
      </c>
      <c r="K10" s="87">
        <v>69</v>
      </c>
      <c r="L10" s="87">
        <v>217</v>
      </c>
      <c r="M10" s="87">
        <v>279</v>
      </c>
      <c r="N10" s="87">
        <v>217</v>
      </c>
      <c r="O10" s="87">
        <v>248</v>
      </c>
      <c r="P10" s="87">
        <v>248</v>
      </c>
      <c r="Q10" s="87">
        <v>279</v>
      </c>
      <c r="R10" s="87">
        <v>125</v>
      </c>
      <c r="S10" s="87">
        <v>62</v>
      </c>
      <c r="T10" s="87">
        <v>279</v>
      </c>
      <c r="U10" s="87">
        <v>186</v>
      </c>
      <c r="V10" s="87">
        <v>32</v>
      </c>
      <c r="W10" s="87">
        <v>12</v>
      </c>
      <c r="X10" s="85">
        <v>186</v>
      </c>
      <c r="Y10" s="85">
        <v>186</v>
      </c>
      <c r="Z10" s="85">
        <f t="shared" si="0"/>
        <v>5312</v>
      </c>
      <c r="AA10" s="7">
        <f t="shared" si="1"/>
        <v>2534</v>
      </c>
      <c r="AB10" s="7">
        <f t="shared" si="2"/>
        <v>2778</v>
      </c>
      <c r="AC10" s="13">
        <v>14900</v>
      </c>
      <c r="AD10" s="7">
        <f t="shared" si="3"/>
        <v>138</v>
      </c>
      <c r="AE10" s="7">
        <f>J10*33</f>
        <v>66</v>
      </c>
      <c r="AF10" s="8">
        <f t="shared" si="4"/>
        <v>72</v>
      </c>
      <c r="AG10" s="14">
        <f t="shared" si="5"/>
        <v>983400</v>
      </c>
      <c r="AH10" s="133">
        <f t="shared" si="46"/>
        <v>33</v>
      </c>
      <c r="AI10" s="133">
        <v>31</v>
      </c>
      <c r="AJ10" s="133"/>
      <c r="AK10" s="133">
        <v>20</v>
      </c>
      <c r="AL10" s="133">
        <v>18</v>
      </c>
      <c r="AM10" s="133">
        <v>18</v>
      </c>
      <c r="AN10" s="133">
        <v>18</v>
      </c>
      <c r="AO10" s="133">
        <f t="shared" si="47"/>
        <v>36</v>
      </c>
      <c r="AP10" s="133">
        <f t="shared" si="48"/>
        <v>69</v>
      </c>
      <c r="AQ10" s="7">
        <f t="shared" si="6"/>
        <v>434</v>
      </c>
      <c r="AR10" s="7">
        <f>J10*105</f>
        <v>210</v>
      </c>
      <c r="AS10" s="8">
        <f t="shared" si="49"/>
        <v>224</v>
      </c>
      <c r="AT10" s="14">
        <f t="shared" si="7"/>
        <v>3129000</v>
      </c>
      <c r="AU10" s="133">
        <f t="shared" si="50"/>
        <v>105</v>
      </c>
      <c r="AV10" s="133">
        <v>93</v>
      </c>
      <c r="AW10" s="133"/>
      <c r="AX10" s="133">
        <v>62</v>
      </c>
      <c r="AY10" s="133">
        <v>50</v>
      </c>
      <c r="AZ10" s="133">
        <v>62</v>
      </c>
      <c r="BA10" s="133">
        <v>62</v>
      </c>
      <c r="BB10" s="133">
        <f t="shared" si="51"/>
        <v>112</v>
      </c>
      <c r="BC10" s="133">
        <f t="shared" si="52"/>
        <v>217</v>
      </c>
      <c r="BD10" s="7">
        <f t="shared" si="8"/>
        <v>558</v>
      </c>
      <c r="BE10" s="7">
        <f t="shared" si="9"/>
        <v>270</v>
      </c>
      <c r="BF10" s="8">
        <f t="shared" si="105"/>
        <v>288</v>
      </c>
      <c r="BG10" s="14">
        <f t="shared" si="10"/>
        <v>4023000</v>
      </c>
      <c r="BH10" s="133">
        <f t="shared" si="53"/>
        <v>135</v>
      </c>
      <c r="BI10" s="133">
        <v>93</v>
      </c>
      <c r="BJ10" s="133"/>
      <c r="BK10" s="133">
        <v>62</v>
      </c>
      <c r="BL10" s="133">
        <v>20</v>
      </c>
      <c r="BM10" s="133">
        <v>124</v>
      </c>
      <c r="BN10" s="133">
        <v>124</v>
      </c>
      <c r="BO10" s="133">
        <f t="shared" si="54"/>
        <v>144</v>
      </c>
      <c r="BP10" s="133">
        <f t="shared" si="55"/>
        <v>279</v>
      </c>
      <c r="BQ10" s="7">
        <f t="shared" si="11"/>
        <v>434</v>
      </c>
      <c r="BR10" s="7">
        <f t="shared" si="12"/>
        <v>210</v>
      </c>
      <c r="BS10" s="8">
        <f t="shared" si="13"/>
        <v>224</v>
      </c>
      <c r="BT10" s="14">
        <f t="shared" si="14"/>
        <v>3129000</v>
      </c>
      <c r="BU10" s="133">
        <f t="shared" si="56"/>
        <v>105</v>
      </c>
      <c r="BV10" s="133">
        <v>93</v>
      </c>
      <c r="BW10" s="133"/>
      <c r="BX10" s="133">
        <v>62</v>
      </c>
      <c r="BY10" s="133">
        <v>50</v>
      </c>
      <c r="BZ10" s="133">
        <v>62</v>
      </c>
      <c r="CA10" s="133">
        <v>62</v>
      </c>
      <c r="CB10" s="133">
        <f t="shared" si="57"/>
        <v>112</v>
      </c>
      <c r="CC10" s="133">
        <f t="shared" si="58"/>
        <v>217</v>
      </c>
      <c r="CD10" s="7">
        <f t="shared" si="15"/>
        <v>558</v>
      </c>
      <c r="CE10" s="7">
        <f t="shared" si="16"/>
        <v>240</v>
      </c>
      <c r="CF10" s="8">
        <f t="shared" si="59"/>
        <v>318</v>
      </c>
      <c r="CG10" s="14">
        <f t="shared" si="17"/>
        <v>3576000</v>
      </c>
      <c r="CH10" s="134">
        <f t="shared" si="60"/>
        <v>120</v>
      </c>
      <c r="CI10" s="134">
        <v>62</v>
      </c>
      <c r="CJ10" s="134"/>
      <c r="CK10" s="134">
        <v>62</v>
      </c>
      <c r="CL10" s="134">
        <v>4</v>
      </c>
      <c r="CM10" s="134">
        <v>124</v>
      </c>
      <c r="CN10" s="133">
        <v>124</v>
      </c>
      <c r="CO10" s="133">
        <f t="shared" si="61"/>
        <v>128</v>
      </c>
      <c r="CP10" s="133">
        <f t="shared" si="62"/>
        <v>248</v>
      </c>
      <c r="CQ10" s="7">
        <f t="shared" si="18"/>
        <v>496</v>
      </c>
      <c r="CR10" s="7">
        <f t="shared" si="19"/>
        <v>240</v>
      </c>
      <c r="CS10" s="8">
        <f t="shared" si="63"/>
        <v>256</v>
      </c>
      <c r="CT10" s="14">
        <f t="shared" si="20"/>
        <v>3576000</v>
      </c>
      <c r="CU10" s="134">
        <f t="shared" si="64"/>
        <v>120</v>
      </c>
      <c r="CV10" s="134">
        <v>93</v>
      </c>
      <c r="CW10" s="134"/>
      <c r="CX10" s="134">
        <v>93</v>
      </c>
      <c r="CY10" s="134">
        <v>66</v>
      </c>
      <c r="CZ10" s="134">
        <v>62</v>
      </c>
      <c r="DA10" s="134">
        <v>62</v>
      </c>
      <c r="DB10" s="134">
        <f t="shared" si="65"/>
        <v>128</v>
      </c>
      <c r="DC10" s="134">
        <f t="shared" si="66"/>
        <v>248</v>
      </c>
      <c r="DD10" s="7">
        <f t="shared" si="21"/>
        <v>558</v>
      </c>
      <c r="DE10" s="7">
        <f t="shared" si="22"/>
        <v>270</v>
      </c>
      <c r="DF10" s="8">
        <f t="shared" si="67"/>
        <v>288</v>
      </c>
      <c r="DG10" s="14">
        <f t="shared" si="23"/>
        <v>4023000</v>
      </c>
      <c r="DH10" s="134">
        <f t="shared" si="68"/>
        <v>135</v>
      </c>
      <c r="DI10" s="134">
        <v>93</v>
      </c>
      <c r="DJ10" s="134"/>
      <c r="DK10" s="134">
        <v>124</v>
      </c>
      <c r="DL10" s="134">
        <v>82</v>
      </c>
      <c r="DM10" s="134">
        <v>62</v>
      </c>
      <c r="DN10" s="134">
        <v>62</v>
      </c>
      <c r="DO10" s="134">
        <f t="shared" si="69"/>
        <v>144</v>
      </c>
      <c r="DP10" s="134">
        <f t="shared" si="70"/>
        <v>279</v>
      </c>
      <c r="DQ10" s="7">
        <f t="shared" si="24"/>
        <v>250</v>
      </c>
      <c r="DR10" s="7">
        <f t="shared" si="71"/>
        <v>116</v>
      </c>
      <c r="DS10" s="8">
        <f t="shared" si="72"/>
        <v>134</v>
      </c>
      <c r="DT10" s="14">
        <f t="shared" si="25"/>
        <v>1728400</v>
      </c>
      <c r="DU10" s="134">
        <f t="shared" si="73"/>
        <v>58</v>
      </c>
      <c r="DV10" s="134">
        <v>0</v>
      </c>
      <c r="DW10" s="134"/>
      <c r="DX10" s="134">
        <v>62</v>
      </c>
      <c r="DY10" s="134">
        <v>4</v>
      </c>
      <c r="DZ10" s="134">
        <v>63</v>
      </c>
      <c r="EA10" s="134">
        <v>63</v>
      </c>
      <c r="EB10" s="134">
        <f t="shared" si="74"/>
        <v>67</v>
      </c>
      <c r="EC10" s="134">
        <f t="shared" si="75"/>
        <v>125</v>
      </c>
      <c r="ED10" s="7">
        <f t="shared" si="26"/>
        <v>124</v>
      </c>
      <c r="EE10" s="7">
        <f t="shared" si="27"/>
        <v>60</v>
      </c>
      <c r="EF10" s="8">
        <f t="shared" si="76"/>
        <v>64</v>
      </c>
      <c r="EG10" s="14">
        <f t="shared" si="28"/>
        <v>894000</v>
      </c>
      <c r="EH10" s="133">
        <f t="shared" si="77"/>
        <v>30</v>
      </c>
      <c r="EI10" s="133">
        <v>0</v>
      </c>
      <c r="EJ10" s="133"/>
      <c r="EK10" s="133">
        <v>62</v>
      </c>
      <c r="EL10" s="133">
        <f t="shared" si="78"/>
        <v>32</v>
      </c>
      <c r="EM10" s="133">
        <v>0</v>
      </c>
      <c r="EN10" s="133"/>
      <c r="EO10" s="133">
        <f t="shared" si="79"/>
        <v>32</v>
      </c>
      <c r="EP10" s="133">
        <f t="shared" si="80"/>
        <v>62</v>
      </c>
      <c r="EQ10" s="7">
        <f t="shared" si="29"/>
        <v>558</v>
      </c>
      <c r="ER10" s="7">
        <f t="shared" si="30"/>
        <v>270</v>
      </c>
      <c r="ES10" s="8">
        <f t="shared" si="81"/>
        <v>288</v>
      </c>
      <c r="ET10" s="14">
        <f t="shared" si="31"/>
        <v>4023000</v>
      </c>
      <c r="EU10" s="134">
        <f t="shared" si="82"/>
        <v>135</v>
      </c>
      <c r="EV10" s="134">
        <v>93</v>
      </c>
      <c r="EW10" s="134"/>
      <c r="EX10" s="134">
        <v>93</v>
      </c>
      <c r="EY10" s="134">
        <v>51</v>
      </c>
      <c r="EZ10" s="134">
        <v>93</v>
      </c>
      <c r="FA10" s="134">
        <v>93</v>
      </c>
      <c r="FB10" s="134">
        <f t="shared" si="83"/>
        <v>144</v>
      </c>
      <c r="FC10" s="134">
        <f t="shared" si="84"/>
        <v>279</v>
      </c>
      <c r="FD10" s="7">
        <f t="shared" si="32"/>
        <v>372</v>
      </c>
      <c r="FE10" s="7">
        <f t="shared" si="33"/>
        <v>180</v>
      </c>
      <c r="FF10" s="8">
        <f t="shared" si="85"/>
        <v>192</v>
      </c>
      <c r="FG10" s="14">
        <f t="shared" si="34"/>
        <v>2682000</v>
      </c>
      <c r="FH10" s="133">
        <f t="shared" si="86"/>
        <v>90</v>
      </c>
      <c r="FI10" s="133">
        <v>62</v>
      </c>
      <c r="FJ10" s="133"/>
      <c r="FK10" s="133">
        <v>62</v>
      </c>
      <c r="FL10" s="133">
        <v>34</v>
      </c>
      <c r="FM10" s="133">
        <v>62</v>
      </c>
      <c r="FN10" s="133">
        <v>62</v>
      </c>
      <c r="FO10" s="133">
        <f t="shared" si="87"/>
        <v>96</v>
      </c>
      <c r="FP10" s="133">
        <f t="shared" si="88"/>
        <v>186</v>
      </c>
      <c r="FQ10" s="7">
        <f t="shared" si="35"/>
        <v>64</v>
      </c>
      <c r="FR10" s="7">
        <f t="shared" ref="FR10:FR15" si="106">J10*15</f>
        <v>30</v>
      </c>
      <c r="FS10" s="8">
        <f t="shared" si="89"/>
        <v>34</v>
      </c>
      <c r="FT10" s="14">
        <f t="shared" si="36"/>
        <v>447000</v>
      </c>
      <c r="FU10" s="134">
        <f t="shared" si="90"/>
        <v>15</v>
      </c>
      <c r="FV10" s="134">
        <v>0</v>
      </c>
      <c r="FW10" s="134"/>
      <c r="FX10" s="134">
        <v>16</v>
      </c>
      <c r="FY10" s="134">
        <v>1</v>
      </c>
      <c r="FZ10" s="134">
        <v>16</v>
      </c>
      <c r="GA10" s="134">
        <v>16</v>
      </c>
      <c r="GB10" s="134">
        <f t="shared" si="91"/>
        <v>17</v>
      </c>
      <c r="GC10" s="134">
        <f t="shared" si="92"/>
        <v>32</v>
      </c>
      <c r="GD10" s="7">
        <f t="shared" si="37"/>
        <v>24</v>
      </c>
      <c r="GE10" s="7">
        <f t="shared" si="38"/>
        <v>12</v>
      </c>
      <c r="GF10" s="8">
        <f t="shared" si="93"/>
        <v>12</v>
      </c>
      <c r="GG10" s="14">
        <f t="shared" si="39"/>
        <v>178800</v>
      </c>
      <c r="GH10" s="134">
        <f t="shared" si="94"/>
        <v>6</v>
      </c>
      <c r="GI10" s="134">
        <v>4</v>
      </c>
      <c r="GJ10" s="134"/>
      <c r="GK10" s="134">
        <v>4</v>
      </c>
      <c r="GL10" s="134">
        <v>2</v>
      </c>
      <c r="GM10" s="134">
        <v>4</v>
      </c>
      <c r="GN10" s="134">
        <v>4</v>
      </c>
      <c r="GO10" s="134">
        <f t="shared" si="95"/>
        <v>6</v>
      </c>
      <c r="GP10" s="134">
        <f t="shared" si="96"/>
        <v>12</v>
      </c>
      <c r="GQ10" s="7">
        <f t="shared" si="40"/>
        <v>372</v>
      </c>
      <c r="GR10" s="7">
        <f t="shared" si="41"/>
        <v>180</v>
      </c>
      <c r="GS10" s="8">
        <f t="shared" si="97"/>
        <v>192</v>
      </c>
      <c r="GT10" s="14">
        <f t="shared" si="42"/>
        <v>2682000</v>
      </c>
      <c r="GU10" s="133">
        <f t="shared" si="98"/>
        <v>90</v>
      </c>
      <c r="GV10" s="133">
        <v>62</v>
      </c>
      <c r="GW10" s="133"/>
      <c r="GX10" s="133">
        <v>62</v>
      </c>
      <c r="GY10" s="133">
        <v>34</v>
      </c>
      <c r="GZ10" s="133">
        <v>62</v>
      </c>
      <c r="HA10" s="133">
        <v>62</v>
      </c>
      <c r="HB10" s="133">
        <f t="shared" si="99"/>
        <v>96</v>
      </c>
      <c r="HC10" s="133">
        <f t="shared" si="100"/>
        <v>186</v>
      </c>
      <c r="HD10" s="7">
        <f t="shared" si="43"/>
        <v>372</v>
      </c>
      <c r="HE10" s="7">
        <f t="shared" si="44"/>
        <v>180</v>
      </c>
      <c r="HF10" s="8">
        <f t="shared" si="101"/>
        <v>192</v>
      </c>
      <c r="HG10" s="14">
        <f t="shared" si="45"/>
        <v>2682000</v>
      </c>
      <c r="HH10" s="7">
        <f t="shared" si="102"/>
        <v>90</v>
      </c>
      <c r="HI10" s="7">
        <v>62</v>
      </c>
      <c r="HJ10" s="7"/>
      <c r="HK10" s="7">
        <v>62</v>
      </c>
      <c r="HL10" s="7">
        <v>34</v>
      </c>
      <c r="HM10" s="7">
        <v>62</v>
      </c>
      <c r="HN10" s="7">
        <v>62</v>
      </c>
      <c r="HO10" s="133">
        <f t="shared" si="103"/>
        <v>96</v>
      </c>
      <c r="HP10" s="133">
        <f t="shared" si="104"/>
        <v>186</v>
      </c>
    </row>
    <row r="11" spans="2:224" s="2" customFormat="1" x14ac:dyDescent="0.3">
      <c r="B11" s="7">
        <f>'PLAN DE NECESIDADES'!B11</f>
        <v>7</v>
      </c>
      <c r="C11" s="7">
        <f>'PLAN DE NECESIDADES'!C11</f>
        <v>2791301</v>
      </c>
      <c r="D11" s="60" t="str">
        <f>'PLAN DE NECESIDADES'!D11</f>
        <v>BRAZALETES TÁCTICOS X JUEGO DE 4:
ESPECIFICACIONES  TÉCNICAS   DE  ACUERDO A LA NORMA TÉCNICA KIT DE DOTACIÓN N°. NTMD-0356 - A2.</v>
      </c>
      <c r="E11" s="7" t="str">
        <f>'PLAN DE NECESIDADES'!E11</f>
        <v>JUEGO</v>
      </c>
      <c r="F11" s="7">
        <f>'PLAN DE NECESIDADES'!F11</f>
        <v>0</v>
      </c>
      <c r="G11" s="7">
        <f>'PLAN DE NECESIDADES'!H11</f>
        <v>11161701</v>
      </c>
      <c r="H11" s="7">
        <f>'PLAN DE NECESIDADES'!I11</f>
        <v>1248964</v>
      </c>
      <c r="I11" s="7" t="str">
        <f>'PLAN DE NECESIDADES'!J11</f>
        <v>8455-80-0011302</v>
      </c>
      <c r="J11" s="7">
        <v>1</v>
      </c>
      <c r="K11" s="87">
        <v>69</v>
      </c>
      <c r="L11" s="87">
        <v>217</v>
      </c>
      <c r="M11" s="87">
        <v>279</v>
      </c>
      <c r="N11" s="87">
        <v>217</v>
      </c>
      <c r="O11" s="87">
        <v>248</v>
      </c>
      <c r="P11" s="87">
        <v>248</v>
      </c>
      <c r="Q11" s="87">
        <v>279</v>
      </c>
      <c r="R11" s="87">
        <v>125</v>
      </c>
      <c r="S11" s="87">
        <v>62</v>
      </c>
      <c r="T11" s="87">
        <v>279</v>
      </c>
      <c r="U11" s="87">
        <v>186</v>
      </c>
      <c r="V11" s="87">
        <v>32</v>
      </c>
      <c r="W11" s="87">
        <v>12</v>
      </c>
      <c r="X11" s="85">
        <v>186</v>
      </c>
      <c r="Y11" s="85">
        <v>186</v>
      </c>
      <c r="Z11" s="85">
        <f t="shared" si="0"/>
        <v>2656</v>
      </c>
      <c r="AA11" s="7">
        <f t="shared" si="1"/>
        <v>1260</v>
      </c>
      <c r="AB11" s="7">
        <f t="shared" si="2"/>
        <v>1396</v>
      </c>
      <c r="AC11" s="13">
        <v>8200</v>
      </c>
      <c r="AD11" s="7">
        <f t="shared" si="3"/>
        <v>69</v>
      </c>
      <c r="AE11" s="7">
        <f>J11*33</f>
        <v>33</v>
      </c>
      <c r="AF11" s="8">
        <f t="shared" si="4"/>
        <v>36</v>
      </c>
      <c r="AG11" s="14">
        <f t="shared" si="5"/>
        <v>270600</v>
      </c>
      <c r="AH11" s="133">
        <f t="shared" si="46"/>
        <v>33</v>
      </c>
      <c r="AI11" s="133">
        <v>31</v>
      </c>
      <c r="AJ11" s="133"/>
      <c r="AK11" s="133">
        <v>20</v>
      </c>
      <c r="AL11" s="133">
        <v>18</v>
      </c>
      <c r="AM11" s="133">
        <v>18</v>
      </c>
      <c r="AN11" s="133">
        <v>18</v>
      </c>
      <c r="AO11" s="133">
        <f t="shared" si="47"/>
        <v>36</v>
      </c>
      <c r="AP11" s="133">
        <f t="shared" si="48"/>
        <v>69</v>
      </c>
      <c r="AQ11" s="7">
        <f t="shared" si="6"/>
        <v>217</v>
      </c>
      <c r="AR11" s="7">
        <f>J11*105</f>
        <v>105</v>
      </c>
      <c r="AS11" s="8">
        <f t="shared" si="49"/>
        <v>112</v>
      </c>
      <c r="AT11" s="14">
        <f t="shared" si="7"/>
        <v>861000</v>
      </c>
      <c r="AU11" s="133">
        <f t="shared" si="50"/>
        <v>105</v>
      </c>
      <c r="AV11" s="133">
        <v>93</v>
      </c>
      <c r="AW11" s="133"/>
      <c r="AX11" s="133">
        <v>62</v>
      </c>
      <c r="AY11" s="133">
        <v>50</v>
      </c>
      <c r="AZ11" s="133">
        <v>62</v>
      </c>
      <c r="BA11" s="133">
        <v>62</v>
      </c>
      <c r="BB11" s="133">
        <f t="shared" si="51"/>
        <v>112</v>
      </c>
      <c r="BC11" s="133">
        <f t="shared" si="52"/>
        <v>217</v>
      </c>
      <c r="BD11" s="7">
        <f t="shared" si="8"/>
        <v>279</v>
      </c>
      <c r="BE11" s="7">
        <f>J11*134</f>
        <v>134</v>
      </c>
      <c r="BF11" s="8">
        <f t="shared" si="105"/>
        <v>145</v>
      </c>
      <c r="BG11" s="14">
        <f t="shared" si="10"/>
        <v>1098800</v>
      </c>
      <c r="BH11" s="133">
        <f t="shared" si="53"/>
        <v>134</v>
      </c>
      <c r="BI11" s="133">
        <v>93</v>
      </c>
      <c r="BJ11" s="133"/>
      <c r="BK11" s="133">
        <v>62</v>
      </c>
      <c r="BL11" s="133">
        <v>21</v>
      </c>
      <c r="BM11" s="133">
        <v>124</v>
      </c>
      <c r="BN11" s="133">
        <v>124</v>
      </c>
      <c r="BO11" s="133">
        <f t="shared" si="54"/>
        <v>145</v>
      </c>
      <c r="BP11" s="133">
        <f t="shared" si="55"/>
        <v>279</v>
      </c>
      <c r="BQ11" s="7">
        <f t="shared" si="11"/>
        <v>217</v>
      </c>
      <c r="BR11" s="7">
        <f t="shared" si="12"/>
        <v>105</v>
      </c>
      <c r="BS11" s="8">
        <f t="shared" si="13"/>
        <v>112</v>
      </c>
      <c r="BT11" s="14">
        <f t="shared" si="14"/>
        <v>861000</v>
      </c>
      <c r="BU11" s="133">
        <f t="shared" si="56"/>
        <v>105</v>
      </c>
      <c r="BV11" s="133">
        <v>93</v>
      </c>
      <c r="BW11" s="133"/>
      <c r="BX11" s="133">
        <v>62</v>
      </c>
      <c r="BY11" s="133">
        <v>50</v>
      </c>
      <c r="BZ11" s="133">
        <v>62</v>
      </c>
      <c r="CA11" s="133">
        <v>62</v>
      </c>
      <c r="CB11" s="133">
        <f t="shared" si="57"/>
        <v>112</v>
      </c>
      <c r="CC11" s="133">
        <f t="shared" si="58"/>
        <v>217</v>
      </c>
      <c r="CD11" s="7">
        <f t="shared" si="15"/>
        <v>279</v>
      </c>
      <c r="CE11" s="7">
        <f t="shared" si="16"/>
        <v>120</v>
      </c>
      <c r="CF11" s="8">
        <f t="shared" si="59"/>
        <v>159</v>
      </c>
      <c r="CG11" s="14">
        <f t="shared" si="17"/>
        <v>984000</v>
      </c>
      <c r="CH11" s="134">
        <f t="shared" si="60"/>
        <v>120</v>
      </c>
      <c r="CI11" s="134">
        <v>62</v>
      </c>
      <c r="CJ11" s="134"/>
      <c r="CK11" s="134">
        <v>62</v>
      </c>
      <c r="CL11" s="134">
        <v>4</v>
      </c>
      <c r="CM11" s="134">
        <v>124</v>
      </c>
      <c r="CN11" s="133">
        <v>124</v>
      </c>
      <c r="CO11" s="133">
        <f t="shared" si="61"/>
        <v>128</v>
      </c>
      <c r="CP11" s="133">
        <f t="shared" si="62"/>
        <v>248</v>
      </c>
      <c r="CQ11" s="7">
        <f t="shared" si="18"/>
        <v>248</v>
      </c>
      <c r="CR11" s="7">
        <f>J11*119</f>
        <v>119</v>
      </c>
      <c r="CS11" s="8">
        <f t="shared" si="63"/>
        <v>129</v>
      </c>
      <c r="CT11" s="14">
        <f t="shared" si="20"/>
        <v>975800</v>
      </c>
      <c r="CU11" s="134">
        <f t="shared" si="64"/>
        <v>119</v>
      </c>
      <c r="CV11" s="134">
        <v>93</v>
      </c>
      <c r="CW11" s="134"/>
      <c r="CX11" s="134">
        <v>93</v>
      </c>
      <c r="CY11" s="134">
        <v>67</v>
      </c>
      <c r="CZ11" s="134">
        <v>62</v>
      </c>
      <c r="DA11" s="134">
        <v>62</v>
      </c>
      <c r="DB11" s="134">
        <f t="shared" si="65"/>
        <v>129</v>
      </c>
      <c r="DC11" s="134">
        <f t="shared" si="66"/>
        <v>248</v>
      </c>
      <c r="DD11" s="7">
        <f t="shared" si="21"/>
        <v>279</v>
      </c>
      <c r="DE11" s="7">
        <f>J11*134</f>
        <v>134</v>
      </c>
      <c r="DF11" s="8">
        <f t="shared" si="67"/>
        <v>145</v>
      </c>
      <c r="DG11" s="14">
        <f t="shared" si="23"/>
        <v>1098800</v>
      </c>
      <c r="DH11" s="134">
        <f t="shared" si="68"/>
        <v>134</v>
      </c>
      <c r="DI11" s="134">
        <v>93</v>
      </c>
      <c r="DJ11" s="134"/>
      <c r="DK11" s="134">
        <v>124</v>
      </c>
      <c r="DL11" s="134">
        <v>83</v>
      </c>
      <c r="DM11" s="134">
        <v>62</v>
      </c>
      <c r="DN11" s="134">
        <v>62</v>
      </c>
      <c r="DO11" s="134">
        <f t="shared" si="69"/>
        <v>145</v>
      </c>
      <c r="DP11" s="134">
        <f t="shared" si="70"/>
        <v>279</v>
      </c>
      <c r="DQ11" s="7">
        <f t="shared" si="24"/>
        <v>125</v>
      </c>
      <c r="DR11" s="7">
        <f t="shared" si="71"/>
        <v>58</v>
      </c>
      <c r="DS11" s="8">
        <f t="shared" si="72"/>
        <v>67</v>
      </c>
      <c r="DT11" s="14">
        <f t="shared" si="25"/>
        <v>475600</v>
      </c>
      <c r="DU11" s="134">
        <f t="shared" si="73"/>
        <v>58</v>
      </c>
      <c r="DV11" s="134">
        <v>0</v>
      </c>
      <c r="DW11" s="134"/>
      <c r="DX11" s="134">
        <v>62</v>
      </c>
      <c r="DY11" s="134">
        <v>4</v>
      </c>
      <c r="DZ11" s="134">
        <v>63</v>
      </c>
      <c r="EA11" s="134">
        <v>63</v>
      </c>
      <c r="EB11" s="134">
        <f t="shared" si="74"/>
        <v>67</v>
      </c>
      <c r="EC11" s="134">
        <f t="shared" si="75"/>
        <v>125</v>
      </c>
      <c r="ED11" s="7">
        <f t="shared" si="26"/>
        <v>62</v>
      </c>
      <c r="EE11" s="7">
        <f t="shared" si="27"/>
        <v>30</v>
      </c>
      <c r="EF11" s="8">
        <f t="shared" si="76"/>
        <v>32</v>
      </c>
      <c r="EG11" s="14">
        <f t="shared" si="28"/>
        <v>246000</v>
      </c>
      <c r="EH11" s="133">
        <f t="shared" si="77"/>
        <v>30</v>
      </c>
      <c r="EI11" s="133">
        <v>0</v>
      </c>
      <c r="EJ11" s="133"/>
      <c r="EK11" s="133">
        <v>62</v>
      </c>
      <c r="EL11" s="133">
        <f t="shared" si="78"/>
        <v>32</v>
      </c>
      <c r="EM11" s="133">
        <v>0</v>
      </c>
      <c r="EN11" s="133"/>
      <c r="EO11" s="133">
        <f t="shared" si="79"/>
        <v>32</v>
      </c>
      <c r="EP11" s="133">
        <f t="shared" si="80"/>
        <v>62</v>
      </c>
      <c r="EQ11" s="7">
        <f t="shared" si="29"/>
        <v>279</v>
      </c>
      <c r="ER11" s="7">
        <f t="shared" si="30"/>
        <v>135</v>
      </c>
      <c r="ES11" s="8">
        <f t="shared" si="81"/>
        <v>144</v>
      </c>
      <c r="ET11" s="14">
        <f t="shared" si="31"/>
        <v>1107000</v>
      </c>
      <c r="EU11" s="134">
        <f t="shared" si="82"/>
        <v>135</v>
      </c>
      <c r="EV11" s="134">
        <v>93</v>
      </c>
      <c r="EW11" s="134"/>
      <c r="EX11" s="134">
        <v>93</v>
      </c>
      <c r="EY11" s="134">
        <v>51</v>
      </c>
      <c r="EZ11" s="134">
        <v>93</v>
      </c>
      <c r="FA11" s="134">
        <v>93</v>
      </c>
      <c r="FB11" s="134">
        <f t="shared" si="83"/>
        <v>144</v>
      </c>
      <c r="FC11" s="134">
        <f t="shared" si="84"/>
        <v>279</v>
      </c>
      <c r="FD11" s="7">
        <f t="shared" si="32"/>
        <v>186</v>
      </c>
      <c r="FE11" s="7">
        <f>J11*89</f>
        <v>89</v>
      </c>
      <c r="FF11" s="8">
        <f t="shared" si="85"/>
        <v>97</v>
      </c>
      <c r="FG11" s="14">
        <f t="shared" si="34"/>
        <v>729800</v>
      </c>
      <c r="FH11" s="133">
        <f t="shared" si="86"/>
        <v>89</v>
      </c>
      <c r="FI11" s="133">
        <v>62</v>
      </c>
      <c r="FJ11" s="133"/>
      <c r="FK11" s="133">
        <v>62</v>
      </c>
      <c r="FL11" s="133">
        <v>35</v>
      </c>
      <c r="FM11" s="133">
        <v>62</v>
      </c>
      <c r="FN11" s="133">
        <v>62</v>
      </c>
      <c r="FO11" s="133">
        <f t="shared" si="87"/>
        <v>97</v>
      </c>
      <c r="FP11" s="133">
        <f t="shared" si="88"/>
        <v>186</v>
      </c>
      <c r="FQ11" s="7">
        <f t="shared" si="35"/>
        <v>32</v>
      </c>
      <c r="FR11" s="7">
        <f t="shared" si="106"/>
        <v>15</v>
      </c>
      <c r="FS11" s="8">
        <f t="shared" si="89"/>
        <v>17</v>
      </c>
      <c r="FT11" s="14">
        <f t="shared" si="36"/>
        <v>123000</v>
      </c>
      <c r="FU11" s="134">
        <f t="shared" si="90"/>
        <v>15</v>
      </c>
      <c r="FV11" s="134">
        <v>0</v>
      </c>
      <c r="FW11" s="134"/>
      <c r="FX11" s="134">
        <v>16</v>
      </c>
      <c r="FY11" s="134">
        <v>1</v>
      </c>
      <c r="FZ11" s="134">
        <v>16</v>
      </c>
      <c r="GA11" s="134">
        <v>16</v>
      </c>
      <c r="GB11" s="134">
        <f t="shared" si="91"/>
        <v>17</v>
      </c>
      <c r="GC11" s="134">
        <f t="shared" si="92"/>
        <v>32</v>
      </c>
      <c r="GD11" s="7">
        <f t="shared" si="37"/>
        <v>12</v>
      </c>
      <c r="GE11" s="7">
        <f>J11*5</f>
        <v>5</v>
      </c>
      <c r="GF11" s="8">
        <f t="shared" si="93"/>
        <v>7</v>
      </c>
      <c r="GG11" s="14">
        <f t="shared" si="39"/>
        <v>41000</v>
      </c>
      <c r="GH11" s="134">
        <f t="shared" si="94"/>
        <v>5</v>
      </c>
      <c r="GI11" s="134">
        <v>4</v>
      </c>
      <c r="GJ11" s="134"/>
      <c r="GK11" s="134">
        <v>4</v>
      </c>
      <c r="GL11" s="134">
        <v>3</v>
      </c>
      <c r="GM11" s="134">
        <v>4</v>
      </c>
      <c r="GN11" s="134">
        <v>4</v>
      </c>
      <c r="GO11" s="134">
        <f t="shared" si="95"/>
        <v>7</v>
      </c>
      <c r="GP11" s="134">
        <f t="shared" si="96"/>
        <v>12</v>
      </c>
      <c r="GQ11" s="7">
        <f t="shared" si="40"/>
        <v>186</v>
      </c>
      <c r="GR11" s="7">
        <f>J11*89</f>
        <v>89</v>
      </c>
      <c r="GS11" s="8">
        <f t="shared" si="97"/>
        <v>97</v>
      </c>
      <c r="GT11" s="14">
        <f t="shared" si="42"/>
        <v>729800</v>
      </c>
      <c r="GU11" s="133">
        <f t="shared" si="98"/>
        <v>89</v>
      </c>
      <c r="GV11" s="133">
        <v>62</v>
      </c>
      <c r="GW11" s="133"/>
      <c r="GX11" s="133">
        <v>62</v>
      </c>
      <c r="GY11" s="133">
        <v>35</v>
      </c>
      <c r="GZ11" s="133">
        <v>62</v>
      </c>
      <c r="HA11" s="133">
        <v>62</v>
      </c>
      <c r="HB11" s="133">
        <f t="shared" si="99"/>
        <v>97</v>
      </c>
      <c r="HC11" s="133">
        <f t="shared" si="100"/>
        <v>186</v>
      </c>
      <c r="HD11" s="7">
        <f t="shared" si="43"/>
        <v>186</v>
      </c>
      <c r="HE11" s="7">
        <f>J11*89</f>
        <v>89</v>
      </c>
      <c r="HF11" s="8">
        <f t="shared" si="101"/>
        <v>97</v>
      </c>
      <c r="HG11" s="14">
        <f t="shared" si="45"/>
        <v>729800</v>
      </c>
      <c r="HH11" s="7">
        <f t="shared" si="102"/>
        <v>89</v>
      </c>
      <c r="HI11" s="7">
        <v>62</v>
      </c>
      <c r="HJ11" s="7"/>
      <c r="HK11" s="7">
        <v>62</v>
      </c>
      <c r="HL11" s="7">
        <v>35</v>
      </c>
      <c r="HM11" s="7">
        <v>62</v>
      </c>
      <c r="HN11" s="7">
        <v>62</v>
      </c>
      <c r="HO11" s="133">
        <f t="shared" si="103"/>
        <v>97</v>
      </c>
      <c r="HP11" s="133">
        <f t="shared" si="104"/>
        <v>186</v>
      </c>
    </row>
    <row r="12" spans="2:224" s="2" customFormat="1" x14ac:dyDescent="0.3">
      <c r="B12" s="7">
        <f>'PLAN DE NECESIDADES'!B12</f>
        <v>8</v>
      </c>
      <c r="C12" s="7">
        <f>'PLAN DE NECESIDADES'!C12</f>
        <v>2791301</v>
      </c>
      <c r="D12" s="60" t="str">
        <f>'PLAN DE NECESIDADES'!D12</f>
        <v>OJOS DE GATO:
ESPECIFICACIONES  TÉCNICAS   DE  ACUERDO A LA NORMA TÉCNICA KIT DE DOTACIÓN N°. NTMD-0356 - A2.</v>
      </c>
      <c r="E12" s="7" t="str">
        <f>'PLAN DE NECESIDADES'!E12</f>
        <v>UNIDAD</v>
      </c>
      <c r="F12" s="7">
        <f>'PLAN DE NECESIDADES'!F12</f>
        <v>0</v>
      </c>
      <c r="G12" s="7">
        <f>'PLAN DE NECESIDADES'!H12</f>
        <v>11161701</v>
      </c>
      <c r="H12" s="7">
        <f>'PLAN DE NECESIDADES'!I12</f>
        <v>1082391</v>
      </c>
      <c r="I12" s="7" t="str">
        <f>'PLAN DE NECESIDADES'!J12</f>
        <v>SIN CREAR</v>
      </c>
      <c r="J12" s="7">
        <v>2</v>
      </c>
      <c r="K12" s="87">
        <v>69</v>
      </c>
      <c r="L12" s="87">
        <v>217</v>
      </c>
      <c r="M12" s="87">
        <v>279</v>
      </c>
      <c r="N12" s="87">
        <v>217</v>
      </c>
      <c r="O12" s="87">
        <v>248</v>
      </c>
      <c r="P12" s="87">
        <v>248</v>
      </c>
      <c r="Q12" s="87">
        <v>279</v>
      </c>
      <c r="R12" s="87">
        <v>125</v>
      </c>
      <c r="S12" s="87">
        <v>62</v>
      </c>
      <c r="T12" s="87">
        <v>279</v>
      </c>
      <c r="U12" s="87">
        <v>186</v>
      </c>
      <c r="V12" s="87">
        <v>32</v>
      </c>
      <c r="W12" s="87">
        <v>12</v>
      </c>
      <c r="X12" s="85">
        <v>186</v>
      </c>
      <c r="Y12" s="85">
        <v>186</v>
      </c>
      <c r="Z12" s="85">
        <f t="shared" si="0"/>
        <v>5312</v>
      </c>
      <c r="AA12" s="7">
        <f t="shared" si="1"/>
        <v>2534</v>
      </c>
      <c r="AB12" s="7">
        <f t="shared" si="2"/>
        <v>2778</v>
      </c>
      <c r="AC12" s="13">
        <v>4100</v>
      </c>
      <c r="AD12" s="7">
        <f t="shared" si="3"/>
        <v>138</v>
      </c>
      <c r="AE12" s="7">
        <f>J12*33</f>
        <v>66</v>
      </c>
      <c r="AF12" s="8">
        <f t="shared" si="4"/>
        <v>72</v>
      </c>
      <c r="AG12" s="14">
        <f t="shared" si="5"/>
        <v>270600</v>
      </c>
      <c r="AH12" s="133">
        <f t="shared" si="46"/>
        <v>33</v>
      </c>
      <c r="AI12" s="133">
        <v>31</v>
      </c>
      <c r="AJ12" s="133"/>
      <c r="AK12" s="133">
        <v>20</v>
      </c>
      <c r="AL12" s="133">
        <v>18</v>
      </c>
      <c r="AM12" s="133">
        <v>18</v>
      </c>
      <c r="AN12" s="133">
        <v>18</v>
      </c>
      <c r="AO12" s="133">
        <f t="shared" si="47"/>
        <v>36</v>
      </c>
      <c r="AP12" s="133">
        <f t="shared" si="48"/>
        <v>69</v>
      </c>
      <c r="AQ12" s="7">
        <f t="shared" si="6"/>
        <v>434</v>
      </c>
      <c r="AR12" s="7">
        <f>J12*105</f>
        <v>210</v>
      </c>
      <c r="AS12" s="8">
        <f t="shared" si="49"/>
        <v>224</v>
      </c>
      <c r="AT12" s="14">
        <f t="shared" si="7"/>
        <v>861000</v>
      </c>
      <c r="AU12" s="133">
        <f t="shared" si="50"/>
        <v>105</v>
      </c>
      <c r="AV12" s="133">
        <v>93</v>
      </c>
      <c r="AW12" s="133"/>
      <c r="AX12" s="133">
        <v>62</v>
      </c>
      <c r="AY12" s="133">
        <v>50</v>
      </c>
      <c r="AZ12" s="133">
        <v>62</v>
      </c>
      <c r="BA12" s="133">
        <v>62</v>
      </c>
      <c r="BB12" s="133">
        <f t="shared" si="51"/>
        <v>112</v>
      </c>
      <c r="BC12" s="133">
        <f t="shared" si="52"/>
        <v>217</v>
      </c>
      <c r="BD12" s="7">
        <f t="shared" si="8"/>
        <v>558</v>
      </c>
      <c r="BE12" s="7">
        <f>J12*135</f>
        <v>270</v>
      </c>
      <c r="BF12" s="8">
        <f t="shared" si="105"/>
        <v>288</v>
      </c>
      <c r="BG12" s="14">
        <f t="shared" si="10"/>
        <v>1107000</v>
      </c>
      <c r="BH12" s="133">
        <f t="shared" si="53"/>
        <v>135</v>
      </c>
      <c r="BI12" s="133">
        <v>93</v>
      </c>
      <c r="BJ12" s="133"/>
      <c r="BK12" s="133">
        <v>62</v>
      </c>
      <c r="BL12" s="133">
        <v>20</v>
      </c>
      <c r="BM12" s="133">
        <v>124</v>
      </c>
      <c r="BN12" s="133">
        <v>124</v>
      </c>
      <c r="BO12" s="133">
        <f t="shared" si="54"/>
        <v>144</v>
      </c>
      <c r="BP12" s="133">
        <f t="shared" si="55"/>
        <v>279</v>
      </c>
      <c r="BQ12" s="7">
        <f t="shared" si="11"/>
        <v>434</v>
      </c>
      <c r="BR12" s="7">
        <f t="shared" si="12"/>
        <v>210</v>
      </c>
      <c r="BS12" s="8">
        <f t="shared" si="13"/>
        <v>224</v>
      </c>
      <c r="BT12" s="14">
        <f t="shared" si="14"/>
        <v>861000</v>
      </c>
      <c r="BU12" s="133">
        <f t="shared" si="56"/>
        <v>105</v>
      </c>
      <c r="BV12" s="133">
        <v>93</v>
      </c>
      <c r="BW12" s="133"/>
      <c r="BX12" s="133">
        <v>62</v>
      </c>
      <c r="BY12" s="133">
        <v>50</v>
      </c>
      <c r="BZ12" s="133">
        <v>62</v>
      </c>
      <c r="CA12" s="133">
        <v>62</v>
      </c>
      <c r="CB12" s="133">
        <f t="shared" si="57"/>
        <v>112</v>
      </c>
      <c r="CC12" s="133">
        <f t="shared" si="58"/>
        <v>217</v>
      </c>
      <c r="CD12" s="7">
        <f t="shared" si="15"/>
        <v>558</v>
      </c>
      <c r="CE12" s="7">
        <f t="shared" si="16"/>
        <v>240</v>
      </c>
      <c r="CF12" s="8">
        <f t="shared" si="59"/>
        <v>318</v>
      </c>
      <c r="CG12" s="14">
        <f t="shared" si="17"/>
        <v>984000</v>
      </c>
      <c r="CH12" s="134">
        <f t="shared" si="60"/>
        <v>120</v>
      </c>
      <c r="CI12" s="134">
        <v>62</v>
      </c>
      <c r="CJ12" s="134"/>
      <c r="CK12" s="134">
        <v>62</v>
      </c>
      <c r="CL12" s="134">
        <v>4</v>
      </c>
      <c r="CM12" s="134">
        <v>124</v>
      </c>
      <c r="CN12" s="133">
        <v>124</v>
      </c>
      <c r="CO12" s="133">
        <f t="shared" si="61"/>
        <v>128</v>
      </c>
      <c r="CP12" s="133">
        <f t="shared" si="62"/>
        <v>248</v>
      </c>
      <c r="CQ12" s="7">
        <f t="shared" si="18"/>
        <v>496</v>
      </c>
      <c r="CR12" s="7">
        <f>J12*120</f>
        <v>240</v>
      </c>
      <c r="CS12" s="8">
        <f t="shared" si="63"/>
        <v>256</v>
      </c>
      <c r="CT12" s="14">
        <f t="shared" si="20"/>
        <v>984000</v>
      </c>
      <c r="CU12" s="134">
        <f t="shared" si="64"/>
        <v>120</v>
      </c>
      <c r="CV12" s="134">
        <v>93</v>
      </c>
      <c r="CW12" s="134"/>
      <c r="CX12" s="134">
        <v>93</v>
      </c>
      <c r="CY12" s="134">
        <v>66</v>
      </c>
      <c r="CZ12" s="134">
        <v>62</v>
      </c>
      <c r="DA12" s="134">
        <v>62</v>
      </c>
      <c r="DB12" s="134">
        <f t="shared" si="65"/>
        <v>128</v>
      </c>
      <c r="DC12" s="134">
        <f t="shared" si="66"/>
        <v>248</v>
      </c>
      <c r="DD12" s="7">
        <f t="shared" si="21"/>
        <v>558</v>
      </c>
      <c r="DE12" s="7">
        <f>J12*135</f>
        <v>270</v>
      </c>
      <c r="DF12" s="8">
        <f t="shared" si="67"/>
        <v>288</v>
      </c>
      <c r="DG12" s="14">
        <f t="shared" si="23"/>
        <v>1107000</v>
      </c>
      <c r="DH12" s="134">
        <f t="shared" si="68"/>
        <v>135</v>
      </c>
      <c r="DI12" s="134">
        <v>93</v>
      </c>
      <c r="DJ12" s="134"/>
      <c r="DK12" s="134">
        <v>124</v>
      </c>
      <c r="DL12" s="134">
        <v>82</v>
      </c>
      <c r="DM12" s="134">
        <v>62</v>
      </c>
      <c r="DN12" s="134">
        <v>62</v>
      </c>
      <c r="DO12" s="134">
        <f t="shared" si="69"/>
        <v>144</v>
      </c>
      <c r="DP12" s="134">
        <f t="shared" si="70"/>
        <v>279</v>
      </c>
      <c r="DQ12" s="7">
        <f t="shared" si="24"/>
        <v>250</v>
      </c>
      <c r="DR12" s="7">
        <f t="shared" si="71"/>
        <v>116</v>
      </c>
      <c r="DS12" s="8">
        <f t="shared" si="72"/>
        <v>134</v>
      </c>
      <c r="DT12" s="14">
        <f t="shared" si="25"/>
        <v>475600</v>
      </c>
      <c r="DU12" s="134">
        <f t="shared" si="73"/>
        <v>58</v>
      </c>
      <c r="DV12" s="134">
        <v>0</v>
      </c>
      <c r="DW12" s="134"/>
      <c r="DX12" s="134">
        <v>62</v>
      </c>
      <c r="DY12" s="134">
        <v>4</v>
      </c>
      <c r="DZ12" s="134">
        <v>63</v>
      </c>
      <c r="EA12" s="134">
        <v>63</v>
      </c>
      <c r="EB12" s="134">
        <f t="shared" si="74"/>
        <v>67</v>
      </c>
      <c r="EC12" s="134">
        <f t="shared" si="75"/>
        <v>125</v>
      </c>
      <c r="ED12" s="7">
        <f t="shared" si="26"/>
        <v>124</v>
      </c>
      <c r="EE12" s="7">
        <f t="shared" si="27"/>
        <v>60</v>
      </c>
      <c r="EF12" s="8">
        <f t="shared" si="76"/>
        <v>64</v>
      </c>
      <c r="EG12" s="14">
        <f t="shared" si="28"/>
        <v>246000</v>
      </c>
      <c r="EH12" s="133">
        <f t="shared" si="77"/>
        <v>30</v>
      </c>
      <c r="EI12" s="133">
        <v>0</v>
      </c>
      <c r="EJ12" s="133"/>
      <c r="EK12" s="133">
        <v>62</v>
      </c>
      <c r="EL12" s="133">
        <f t="shared" si="78"/>
        <v>32</v>
      </c>
      <c r="EM12" s="133">
        <v>0</v>
      </c>
      <c r="EN12" s="133"/>
      <c r="EO12" s="133">
        <f t="shared" si="79"/>
        <v>32</v>
      </c>
      <c r="EP12" s="133">
        <f t="shared" si="80"/>
        <v>62</v>
      </c>
      <c r="EQ12" s="7">
        <f t="shared" si="29"/>
        <v>558</v>
      </c>
      <c r="ER12" s="7">
        <f t="shared" si="30"/>
        <v>270</v>
      </c>
      <c r="ES12" s="8">
        <f t="shared" si="81"/>
        <v>288</v>
      </c>
      <c r="ET12" s="14">
        <f t="shared" si="31"/>
        <v>1107000</v>
      </c>
      <c r="EU12" s="134">
        <f t="shared" si="82"/>
        <v>135</v>
      </c>
      <c r="EV12" s="134">
        <v>93</v>
      </c>
      <c r="EW12" s="134"/>
      <c r="EX12" s="134">
        <v>93</v>
      </c>
      <c r="EY12" s="134">
        <v>51</v>
      </c>
      <c r="EZ12" s="134">
        <v>93</v>
      </c>
      <c r="FA12" s="134">
        <v>93</v>
      </c>
      <c r="FB12" s="134">
        <f t="shared" si="83"/>
        <v>144</v>
      </c>
      <c r="FC12" s="134">
        <f t="shared" si="84"/>
        <v>279</v>
      </c>
      <c r="FD12" s="7">
        <f t="shared" si="32"/>
        <v>372</v>
      </c>
      <c r="FE12" s="7">
        <f>J12*90</f>
        <v>180</v>
      </c>
      <c r="FF12" s="8">
        <f t="shared" si="85"/>
        <v>192</v>
      </c>
      <c r="FG12" s="14">
        <f t="shared" si="34"/>
        <v>738000</v>
      </c>
      <c r="FH12" s="133">
        <f t="shared" si="86"/>
        <v>90</v>
      </c>
      <c r="FI12" s="133">
        <v>62</v>
      </c>
      <c r="FJ12" s="133"/>
      <c r="FK12" s="133">
        <v>62</v>
      </c>
      <c r="FL12" s="133">
        <v>34</v>
      </c>
      <c r="FM12" s="133">
        <v>62</v>
      </c>
      <c r="FN12" s="133">
        <v>62</v>
      </c>
      <c r="FO12" s="133">
        <f t="shared" si="87"/>
        <v>96</v>
      </c>
      <c r="FP12" s="133">
        <f t="shared" si="88"/>
        <v>186</v>
      </c>
      <c r="FQ12" s="7">
        <f t="shared" si="35"/>
        <v>64</v>
      </c>
      <c r="FR12" s="7">
        <f t="shared" si="106"/>
        <v>30</v>
      </c>
      <c r="FS12" s="8">
        <f t="shared" si="89"/>
        <v>34</v>
      </c>
      <c r="FT12" s="14">
        <f t="shared" si="36"/>
        <v>123000</v>
      </c>
      <c r="FU12" s="134">
        <f t="shared" si="90"/>
        <v>15</v>
      </c>
      <c r="FV12" s="134">
        <v>0</v>
      </c>
      <c r="FW12" s="134"/>
      <c r="FX12" s="134">
        <v>16</v>
      </c>
      <c r="FY12" s="134">
        <v>1</v>
      </c>
      <c r="FZ12" s="134">
        <v>16</v>
      </c>
      <c r="GA12" s="134">
        <v>16</v>
      </c>
      <c r="GB12" s="134">
        <f t="shared" si="91"/>
        <v>17</v>
      </c>
      <c r="GC12" s="134">
        <f t="shared" si="92"/>
        <v>32</v>
      </c>
      <c r="GD12" s="7">
        <f t="shared" si="37"/>
        <v>24</v>
      </c>
      <c r="GE12" s="7">
        <f>J12*6</f>
        <v>12</v>
      </c>
      <c r="GF12" s="8">
        <f t="shared" si="93"/>
        <v>12</v>
      </c>
      <c r="GG12" s="14">
        <f t="shared" si="39"/>
        <v>49200</v>
      </c>
      <c r="GH12" s="134">
        <f t="shared" si="94"/>
        <v>6</v>
      </c>
      <c r="GI12" s="134">
        <v>4</v>
      </c>
      <c r="GJ12" s="134"/>
      <c r="GK12" s="134">
        <v>4</v>
      </c>
      <c r="GL12" s="134">
        <v>2</v>
      </c>
      <c r="GM12" s="134">
        <v>4</v>
      </c>
      <c r="GN12" s="134">
        <v>4</v>
      </c>
      <c r="GO12" s="134">
        <f t="shared" si="95"/>
        <v>6</v>
      </c>
      <c r="GP12" s="134">
        <f t="shared" si="96"/>
        <v>12</v>
      </c>
      <c r="GQ12" s="7">
        <f t="shared" si="40"/>
        <v>372</v>
      </c>
      <c r="GR12" s="7">
        <f>J12*90</f>
        <v>180</v>
      </c>
      <c r="GS12" s="8">
        <f t="shared" si="97"/>
        <v>192</v>
      </c>
      <c r="GT12" s="14">
        <f t="shared" si="42"/>
        <v>738000</v>
      </c>
      <c r="GU12" s="133">
        <f t="shared" si="98"/>
        <v>90</v>
      </c>
      <c r="GV12" s="133">
        <v>62</v>
      </c>
      <c r="GW12" s="133"/>
      <c r="GX12" s="133">
        <v>62</v>
      </c>
      <c r="GY12" s="133">
        <v>34</v>
      </c>
      <c r="GZ12" s="133">
        <v>62</v>
      </c>
      <c r="HA12" s="133">
        <v>62</v>
      </c>
      <c r="HB12" s="133">
        <f t="shared" si="99"/>
        <v>96</v>
      </c>
      <c r="HC12" s="133">
        <f t="shared" si="100"/>
        <v>186</v>
      </c>
      <c r="HD12" s="7">
        <f t="shared" si="43"/>
        <v>372</v>
      </c>
      <c r="HE12" s="7">
        <f>J12*90</f>
        <v>180</v>
      </c>
      <c r="HF12" s="8">
        <f t="shared" si="101"/>
        <v>192</v>
      </c>
      <c r="HG12" s="14">
        <f t="shared" si="45"/>
        <v>738000</v>
      </c>
      <c r="HH12" s="7">
        <f t="shared" si="102"/>
        <v>90</v>
      </c>
      <c r="HI12" s="7">
        <v>62</v>
      </c>
      <c r="HJ12" s="7"/>
      <c r="HK12" s="7">
        <v>62</v>
      </c>
      <c r="HL12" s="7">
        <v>34</v>
      </c>
      <c r="HM12" s="7">
        <v>62</v>
      </c>
      <c r="HN12" s="7">
        <v>62</v>
      </c>
      <c r="HO12" s="133">
        <f t="shared" si="103"/>
        <v>96</v>
      </c>
      <c r="HP12" s="133">
        <f t="shared" si="104"/>
        <v>186</v>
      </c>
    </row>
    <row r="13" spans="2:224" s="2" customFormat="1" x14ac:dyDescent="0.3">
      <c r="B13" s="7">
        <f>'PLAN DE NECESIDADES'!B13</f>
        <v>9</v>
      </c>
      <c r="C13" s="7">
        <f>'PLAN DE NECESIDADES'!C13</f>
        <v>2792201</v>
      </c>
      <c r="D13" s="60" t="str">
        <f>'PLAN DE NECESIDADES'!D13</f>
        <v>LIGAS PARA BOTA MANGA PANTALÓN CAMUFLADO:
ESPECIFICACIONES  TÉCNICAS   DE  ACUERDO A LA NORMA TÉCNICA KIT DE DOTACIÓN N°. NTMD-0356 - A2.</v>
      </c>
      <c r="E13" s="7" t="str">
        <f>'PLAN DE NECESIDADES'!E13</f>
        <v>PAR</v>
      </c>
      <c r="F13" s="7">
        <f>'PLAN DE NECESIDADES'!F13</f>
        <v>0</v>
      </c>
      <c r="G13" s="7">
        <f>'PLAN DE NECESIDADES'!H13</f>
        <v>53102509</v>
      </c>
      <c r="H13" s="7">
        <f>'PLAN DE NECESIDADES'!I13</f>
        <v>1127360</v>
      </c>
      <c r="I13" s="7" t="str">
        <f>'PLAN DE NECESIDADES'!J13</f>
        <v>8440-80-0011394</v>
      </c>
      <c r="J13" s="7">
        <v>1</v>
      </c>
      <c r="K13" s="87">
        <v>69</v>
      </c>
      <c r="L13" s="87">
        <v>217</v>
      </c>
      <c r="M13" s="87">
        <v>279</v>
      </c>
      <c r="N13" s="87">
        <v>217</v>
      </c>
      <c r="O13" s="87">
        <v>248</v>
      </c>
      <c r="P13" s="87">
        <v>248</v>
      </c>
      <c r="Q13" s="87">
        <v>279</v>
      </c>
      <c r="R13" s="87">
        <v>125</v>
      </c>
      <c r="S13" s="87">
        <v>62</v>
      </c>
      <c r="T13" s="87">
        <v>279</v>
      </c>
      <c r="U13" s="87">
        <v>186</v>
      </c>
      <c r="V13" s="87">
        <v>32</v>
      </c>
      <c r="W13" s="87">
        <v>12</v>
      </c>
      <c r="X13" s="85">
        <v>186</v>
      </c>
      <c r="Y13" s="85">
        <v>186</v>
      </c>
      <c r="Z13" s="85">
        <f t="shared" si="0"/>
        <v>2656</v>
      </c>
      <c r="AA13" s="7">
        <f t="shared" si="1"/>
        <v>1258</v>
      </c>
      <c r="AB13" s="7">
        <f t="shared" si="2"/>
        <v>1398</v>
      </c>
      <c r="AC13" s="13">
        <v>3400</v>
      </c>
      <c r="AD13" s="7">
        <f t="shared" si="3"/>
        <v>69</v>
      </c>
      <c r="AE13" s="7">
        <f>J13*34</f>
        <v>34</v>
      </c>
      <c r="AF13" s="8">
        <f t="shared" si="4"/>
        <v>35</v>
      </c>
      <c r="AG13" s="14">
        <f t="shared" si="5"/>
        <v>115600</v>
      </c>
      <c r="AH13" s="133">
        <f t="shared" si="46"/>
        <v>34</v>
      </c>
      <c r="AI13" s="133">
        <v>31</v>
      </c>
      <c r="AJ13" s="133"/>
      <c r="AK13" s="133">
        <v>20</v>
      </c>
      <c r="AL13" s="133">
        <v>17</v>
      </c>
      <c r="AM13" s="133">
        <v>18</v>
      </c>
      <c r="AN13" s="133">
        <v>18</v>
      </c>
      <c r="AO13" s="133">
        <f t="shared" si="47"/>
        <v>35</v>
      </c>
      <c r="AP13" s="133">
        <f t="shared" si="48"/>
        <v>69</v>
      </c>
      <c r="AQ13" s="7">
        <f t="shared" si="6"/>
        <v>217</v>
      </c>
      <c r="AR13" s="7">
        <f>J13*104</f>
        <v>104</v>
      </c>
      <c r="AS13" s="8">
        <f t="shared" si="49"/>
        <v>113</v>
      </c>
      <c r="AT13" s="14">
        <f t="shared" si="7"/>
        <v>353600</v>
      </c>
      <c r="AU13" s="133">
        <f t="shared" si="50"/>
        <v>104</v>
      </c>
      <c r="AV13" s="133">
        <v>93</v>
      </c>
      <c r="AW13" s="133"/>
      <c r="AX13" s="133">
        <v>62</v>
      </c>
      <c r="AY13" s="133">
        <v>51</v>
      </c>
      <c r="AZ13" s="133">
        <v>62</v>
      </c>
      <c r="BA13" s="133">
        <v>62</v>
      </c>
      <c r="BB13" s="133">
        <f t="shared" si="51"/>
        <v>113</v>
      </c>
      <c r="BC13" s="133">
        <f t="shared" si="52"/>
        <v>217</v>
      </c>
      <c r="BD13" s="7">
        <f t="shared" si="8"/>
        <v>279</v>
      </c>
      <c r="BE13" s="7">
        <f>J13*134</f>
        <v>134</v>
      </c>
      <c r="BF13" s="8">
        <f t="shared" si="105"/>
        <v>145</v>
      </c>
      <c r="BG13" s="14">
        <f t="shared" si="10"/>
        <v>455600</v>
      </c>
      <c r="BH13" s="133">
        <f t="shared" si="53"/>
        <v>134</v>
      </c>
      <c r="BI13" s="133">
        <v>93</v>
      </c>
      <c r="BJ13" s="133"/>
      <c r="BK13" s="133">
        <v>62</v>
      </c>
      <c r="BL13" s="133">
        <v>21</v>
      </c>
      <c r="BM13" s="133">
        <v>124</v>
      </c>
      <c r="BN13" s="133">
        <v>124</v>
      </c>
      <c r="BO13" s="133">
        <f t="shared" si="54"/>
        <v>145</v>
      </c>
      <c r="BP13" s="133">
        <f t="shared" si="55"/>
        <v>279</v>
      </c>
      <c r="BQ13" s="7">
        <f t="shared" si="11"/>
        <v>217</v>
      </c>
      <c r="BR13" s="7">
        <f>J13*106</f>
        <v>106</v>
      </c>
      <c r="BS13" s="8">
        <f t="shared" si="13"/>
        <v>111</v>
      </c>
      <c r="BT13" s="14">
        <f t="shared" si="14"/>
        <v>360400</v>
      </c>
      <c r="BU13" s="133">
        <f t="shared" si="56"/>
        <v>106</v>
      </c>
      <c r="BV13" s="133">
        <v>93</v>
      </c>
      <c r="BW13" s="133"/>
      <c r="BX13" s="133">
        <v>62</v>
      </c>
      <c r="BY13" s="133">
        <v>49</v>
      </c>
      <c r="BZ13" s="133">
        <v>62</v>
      </c>
      <c r="CA13" s="133">
        <v>62</v>
      </c>
      <c r="CB13" s="133">
        <f t="shared" si="57"/>
        <v>111</v>
      </c>
      <c r="CC13" s="133">
        <f t="shared" si="58"/>
        <v>217</v>
      </c>
      <c r="CD13" s="7">
        <f t="shared" si="15"/>
        <v>279</v>
      </c>
      <c r="CE13" s="7">
        <f>J13*118</f>
        <v>118</v>
      </c>
      <c r="CF13" s="8">
        <f t="shared" si="59"/>
        <v>161</v>
      </c>
      <c r="CG13" s="14">
        <f t="shared" si="17"/>
        <v>401200</v>
      </c>
      <c r="CH13" s="134">
        <f t="shared" si="60"/>
        <v>118</v>
      </c>
      <c r="CI13" s="134">
        <v>62</v>
      </c>
      <c r="CJ13" s="134"/>
      <c r="CK13" s="134">
        <v>62</v>
      </c>
      <c r="CL13" s="134">
        <v>6</v>
      </c>
      <c r="CM13" s="134">
        <v>124</v>
      </c>
      <c r="CN13" s="133">
        <v>124</v>
      </c>
      <c r="CO13" s="133">
        <f t="shared" si="61"/>
        <v>130</v>
      </c>
      <c r="CP13" s="133">
        <f t="shared" si="62"/>
        <v>248</v>
      </c>
      <c r="CQ13" s="7">
        <f t="shared" si="18"/>
        <v>248</v>
      </c>
      <c r="CR13" s="7">
        <f>J13*119</f>
        <v>119</v>
      </c>
      <c r="CS13" s="8">
        <f t="shared" si="63"/>
        <v>129</v>
      </c>
      <c r="CT13" s="14">
        <f t="shared" si="20"/>
        <v>404600</v>
      </c>
      <c r="CU13" s="134">
        <f t="shared" si="64"/>
        <v>119</v>
      </c>
      <c r="CV13" s="134">
        <v>93</v>
      </c>
      <c r="CW13" s="134"/>
      <c r="CX13" s="134">
        <v>93</v>
      </c>
      <c r="CY13" s="134">
        <v>67</v>
      </c>
      <c r="CZ13" s="134">
        <v>62</v>
      </c>
      <c r="DA13" s="134">
        <v>62</v>
      </c>
      <c r="DB13" s="134">
        <f t="shared" si="65"/>
        <v>129</v>
      </c>
      <c r="DC13" s="134">
        <f t="shared" si="66"/>
        <v>248</v>
      </c>
      <c r="DD13" s="7">
        <f t="shared" si="21"/>
        <v>279</v>
      </c>
      <c r="DE13" s="7">
        <f>J13*134</f>
        <v>134</v>
      </c>
      <c r="DF13" s="8">
        <f t="shared" si="67"/>
        <v>145</v>
      </c>
      <c r="DG13" s="14">
        <f t="shared" si="23"/>
        <v>455600</v>
      </c>
      <c r="DH13" s="134">
        <f t="shared" si="68"/>
        <v>134</v>
      </c>
      <c r="DI13" s="134">
        <v>93</v>
      </c>
      <c r="DJ13" s="134"/>
      <c r="DK13" s="134">
        <v>124</v>
      </c>
      <c r="DL13" s="134">
        <v>83</v>
      </c>
      <c r="DM13" s="134">
        <v>62</v>
      </c>
      <c r="DN13" s="134">
        <v>62</v>
      </c>
      <c r="DO13" s="134">
        <f t="shared" si="69"/>
        <v>145</v>
      </c>
      <c r="DP13" s="134">
        <f t="shared" si="70"/>
        <v>279</v>
      </c>
      <c r="DQ13" s="7">
        <f t="shared" si="24"/>
        <v>125</v>
      </c>
      <c r="DR13" s="7">
        <f t="shared" si="71"/>
        <v>58</v>
      </c>
      <c r="DS13" s="8">
        <f t="shared" si="72"/>
        <v>67</v>
      </c>
      <c r="DT13" s="14">
        <f t="shared" si="25"/>
        <v>197200</v>
      </c>
      <c r="DU13" s="134">
        <f t="shared" si="73"/>
        <v>58</v>
      </c>
      <c r="DV13" s="134">
        <v>0</v>
      </c>
      <c r="DW13" s="134"/>
      <c r="DX13" s="134">
        <v>62</v>
      </c>
      <c r="DY13" s="134">
        <v>4</v>
      </c>
      <c r="DZ13" s="134">
        <v>63</v>
      </c>
      <c r="EA13" s="134">
        <v>63</v>
      </c>
      <c r="EB13" s="134">
        <f t="shared" si="74"/>
        <v>67</v>
      </c>
      <c r="EC13" s="134">
        <f t="shared" si="75"/>
        <v>125</v>
      </c>
      <c r="ED13" s="7">
        <f t="shared" si="26"/>
        <v>62</v>
      </c>
      <c r="EE13" s="7">
        <f>J13*29</f>
        <v>29</v>
      </c>
      <c r="EF13" s="8">
        <f t="shared" si="76"/>
        <v>33</v>
      </c>
      <c r="EG13" s="14">
        <f t="shared" si="28"/>
        <v>98600</v>
      </c>
      <c r="EH13" s="133">
        <f t="shared" si="77"/>
        <v>29</v>
      </c>
      <c r="EI13" s="133">
        <v>0</v>
      </c>
      <c r="EJ13" s="133"/>
      <c r="EK13" s="133">
        <v>62</v>
      </c>
      <c r="EL13" s="133">
        <f t="shared" si="78"/>
        <v>33</v>
      </c>
      <c r="EM13" s="133">
        <v>0</v>
      </c>
      <c r="EN13" s="133"/>
      <c r="EO13" s="133">
        <f t="shared" si="79"/>
        <v>33</v>
      </c>
      <c r="EP13" s="133">
        <f t="shared" si="80"/>
        <v>62</v>
      </c>
      <c r="EQ13" s="7">
        <f t="shared" si="29"/>
        <v>279</v>
      </c>
      <c r="ER13" s="7">
        <f>J13*133</f>
        <v>133</v>
      </c>
      <c r="ES13" s="8">
        <f t="shared" si="81"/>
        <v>146</v>
      </c>
      <c r="ET13" s="14">
        <f t="shared" si="31"/>
        <v>452200</v>
      </c>
      <c r="EU13" s="134">
        <f t="shared" si="82"/>
        <v>133</v>
      </c>
      <c r="EV13" s="134">
        <v>93</v>
      </c>
      <c r="EW13" s="134"/>
      <c r="EX13" s="134">
        <v>93</v>
      </c>
      <c r="EY13" s="134">
        <v>53</v>
      </c>
      <c r="EZ13" s="134">
        <v>93</v>
      </c>
      <c r="FA13" s="134">
        <v>93</v>
      </c>
      <c r="FB13" s="134">
        <f t="shared" si="83"/>
        <v>146</v>
      </c>
      <c r="FC13" s="134">
        <f t="shared" si="84"/>
        <v>279</v>
      </c>
      <c r="FD13" s="7">
        <f t="shared" si="32"/>
        <v>186</v>
      </c>
      <c r="FE13" s="7">
        <f>J13*90</f>
        <v>90</v>
      </c>
      <c r="FF13" s="8">
        <f t="shared" si="85"/>
        <v>96</v>
      </c>
      <c r="FG13" s="14">
        <f t="shared" si="34"/>
        <v>306000</v>
      </c>
      <c r="FH13" s="133">
        <f t="shared" si="86"/>
        <v>90</v>
      </c>
      <c r="FI13" s="133">
        <v>62</v>
      </c>
      <c r="FJ13" s="133"/>
      <c r="FK13" s="133">
        <v>62</v>
      </c>
      <c r="FL13" s="133">
        <v>34</v>
      </c>
      <c r="FM13" s="133">
        <v>62</v>
      </c>
      <c r="FN13" s="133">
        <v>62</v>
      </c>
      <c r="FO13" s="133">
        <f t="shared" si="87"/>
        <v>96</v>
      </c>
      <c r="FP13" s="133">
        <f t="shared" si="88"/>
        <v>186</v>
      </c>
      <c r="FQ13" s="7">
        <f t="shared" si="35"/>
        <v>32</v>
      </c>
      <c r="FR13" s="7">
        <f t="shared" si="106"/>
        <v>15</v>
      </c>
      <c r="FS13" s="8">
        <f t="shared" si="89"/>
        <v>17</v>
      </c>
      <c r="FT13" s="14">
        <f t="shared" si="36"/>
        <v>51000</v>
      </c>
      <c r="FU13" s="134">
        <f t="shared" si="90"/>
        <v>15</v>
      </c>
      <c r="FV13" s="134">
        <v>0</v>
      </c>
      <c r="FW13" s="134"/>
      <c r="FX13" s="134">
        <v>16</v>
      </c>
      <c r="FY13" s="134">
        <v>1</v>
      </c>
      <c r="FZ13" s="134">
        <v>16</v>
      </c>
      <c r="GA13" s="134">
        <v>16</v>
      </c>
      <c r="GB13" s="134">
        <f t="shared" si="91"/>
        <v>17</v>
      </c>
      <c r="GC13" s="134">
        <f t="shared" si="92"/>
        <v>32</v>
      </c>
      <c r="GD13" s="7">
        <f t="shared" si="37"/>
        <v>12</v>
      </c>
      <c r="GE13" s="7">
        <f>J13*4</f>
        <v>4</v>
      </c>
      <c r="GF13" s="8">
        <f t="shared" si="93"/>
        <v>8</v>
      </c>
      <c r="GG13" s="14">
        <f t="shared" si="39"/>
        <v>13600</v>
      </c>
      <c r="GH13" s="134">
        <f t="shared" si="94"/>
        <v>4</v>
      </c>
      <c r="GI13" s="134">
        <v>4</v>
      </c>
      <c r="GJ13" s="134"/>
      <c r="GK13" s="134">
        <v>4</v>
      </c>
      <c r="GL13" s="134">
        <v>4</v>
      </c>
      <c r="GM13" s="134">
        <v>4</v>
      </c>
      <c r="GN13" s="134">
        <v>4</v>
      </c>
      <c r="GO13" s="134">
        <f t="shared" si="95"/>
        <v>8</v>
      </c>
      <c r="GP13" s="134">
        <f t="shared" si="96"/>
        <v>12</v>
      </c>
      <c r="GQ13" s="7">
        <f t="shared" si="40"/>
        <v>186</v>
      </c>
      <c r="GR13" s="7">
        <f>J13*90</f>
        <v>90</v>
      </c>
      <c r="GS13" s="8">
        <f t="shared" si="97"/>
        <v>96</v>
      </c>
      <c r="GT13" s="14">
        <f t="shared" si="42"/>
        <v>306000</v>
      </c>
      <c r="GU13" s="133">
        <f t="shared" si="98"/>
        <v>90</v>
      </c>
      <c r="GV13" s="133">
        <v>62</v>
      </c>
      <c r="GW13" s="133"/>
      <c r="GX13" s="133">
        <v>62</v>
      </c>
      <c r="GY13" s="133">
        <v>34</v>
      </c>
      <c r="GZ13" s="133">
        <v>62</v>
      </c>
      <c r="HA13" s="133">
        <v>62</v>
      </c>
      <c r="HB13" s="133">
        <f t="shared" si="99"/>
        <v>96</v>
      </c>
      <c r="HC13" s="133">
        <f t="shared" si="100"/>
        <v>186</v>
      </c>
      <c r="HD13" s="7">
        <f t="shared" si="43"/>
        <v>186</v>
      </c>
      <c r="HE13" s="7">
        <f>J13*90</f>
        <v>90</v>
      </c>
      <c r="HF13" s="8">
        <f t="shared" si="101"/>
        <v>96</v>
      </c>
      <c r="HG13" s="14">
        <f t="shared" si="45"/>
        <v>306000</v>
      </c>
      <c r="HH13" s="7">
        <f t="shared" si="102"/>
        <v>90</v>
      </c>
      <c r="HI13" s="7">
        <v>62</v>
      </c>
      <c r="HJ13" s="7"/>
      <c r="HK13" s="7">
        <v>62</v>
      </c>
      <c r="HL13" s="7">
        <v>34</v>
      </c>
      <c r="HM13" s="7">
        <v>62</v>
      </c>
      <c r="HN13" s="7">
        <v>62</v>
      </c>
      <c r="HO13" s="133">
        <f t="shared" si="103"/>
        <v>96</v>
      </c>
      <c r="HP13" s="133">
        <f t="shared" si="104"/>
        <v>186</v>
      </c>
    </row>
    <row r="14" spans="2:224" s="2" customFormat="1" x14ac:dyDescent="0.3">
      <c r="B14" s="7">
        <f>'PLAN DE NECESIDADES'!B14</f>
        <v>10</v>
      </c>
      <c r="C14" s="7">
        <f>'PLAN DE NECESIDADES'!C14</f>
        <v>2712007</v>
      </c>
      <c r="D14" s="60" t="str">
        <f>'PLAN DE NECESIDADES'!D14</f>
        <v>PAÑUELO:
ESPECIFICACIONES  TÉCNICAS   DE  ACUERDO A LA NORMA TÉCNICA KIT DE DOTACIÓN N°. NTMD-0356 - A2.</v>
      </c>
      <c r="E14" s="7" t="str">
        <f>'PLAN DE NECESIDADES'!E14</f>
        <v>UNIDAD</v>
      </c>
      <c r="F14" s="7">
        <f>'PLAN DE NECESIDADES'!F14</f>
        <v>0</v>
      </c>
      <c r="G14" s="7">
        <f>'PLAN DE NECESIDADES'!H14</f>
        <v>53102512</v>
      </c>
      <c r="H14" s="7">
        <f>'PLAN DE NECESIDADES'!I14</f>
        <v>1316012</v>
      </c>
      <c r="I14" s="7" t="str">
        <f>'PLAN DE NECESIDADES'!J14</f>
        <v>8440-80-0011303</v>
      </c>
      <c r="J14" s="7">
        <v>2</v>
      </c>
      <c r="K14" s="87">
        <v>69</v>
      </c>
      <c r="L14" s="87">
        <v>217</v>
      </c>
      <c r="M14" s="87">
        <v>279</v>
      </c>
      <c r="N14" s="87">
        <v>217</v>
      </c>
      <c r="O14" s="87">
        <v>248</v>
      </c>
      <c r="P14" s="87">
        <v>248</v>
      </c>
      <c r="Q14" s="87">
        <v>279</v>
      </c>
      <c r="R14" s="87">
        <v>125</v>
      </c>
      <c r="S14" s="87">
        <v>62</v>
      </c>
      <c r="T14" s="87">
        <v>279</v>
      </c>
      <c r="U14" s="87">
        <v>186</v>
      </c>
      <c r="V14" s="87">
        <v>32</v>
      </c>
      <c r="W14" s="87">
        <v>12</v>
      </c>
      <c r="X14" s="85">
        <v>186</v>
      </c>
      <c r="Y14" s="85">
        <v>186</v>
      </c>
      <c r="Z14" s="85">
        <f t="shared" si="0"/>
        <v>5312</v>
      </c>
      <c r="AA14" s="7">
        <f t="shared" si="1"/>
        <v>2532</v>
      </c>
      <c r="AB14" s="7">
        <f t="shared" si="2"/>
        <v>2780</v>
      </c>
      <c r="AC14" s="13">
        <v>4000</v>
      </c>
      <c r="AD14" s="7">
        <f t="shared" si="3"/>
        <v>138</v>
      </c>
      <c r="AE14" s="7">
        <f>J14*33</f>
        <v>66</v>
      </c>
      <c r="AF14" s="8">
        <f t="shared" si="4"/>
        <v>72</v>
      </c>
      <c r="AG14" s="14">
        <f t="shared" si="5"/>
        <v>264000</v>
      </c>
      <c r="AH14" s="133">
        <f t="shared" si="46"/>
        <v>33</v>
      </c>
      <c r="AI14" s="133">
        <v>31</v>
      </c>
      <c r="AJ14" s="133"/>
      <c r="AK14" s="133">
        <v>20</v>
      </c>
      <c r="AL14" s="133">
        <v>18</v>
      </c>
      <c r="AM14" s="133">
        <v>18</v>
      </c>
      <c r="AN14" s="133">
        <v>18</v>
      </c>
      <c r="AO14" s="133">
        <f t="shared" si="47"/>
        <v>36</v>
      </c>
      <c r="AP14" s="133">
        <f t="shared" si="48"/>
        <v>69</v>
      </c>
      <c r="AQ14" s="7">
        <f t="shared" si="6"/>
        <v>434</v>
      </c>
      <c r="AR14" s="7">
        <f>J14*105</f>
        <v>210</v>
      </c>
      <c r="AS14" s="8">
        <f t="shared" si="49"/>
        <v>224</v>
      </c>
      <c r="AT14" s="14">
        <f t="shared" si="7"/>
        <v>840000</v>
      </c>
      <c r="AU14" s="133">
        <f t="shared" si="50"/>
        <v>105</v>
      </c>
      <c r="AV14" s="133">
        <v>93</v>
      </c>
      <c r="AW14" s="133"/>
      <c r="AX14" s="133">
        <v>62</v>
      </c>
      <c r="AY14" s="133">
        <v>50</v>
      </c>
      <c r="AZ14" s="133">
        <v>62</v>
      </c>
      <c r="BA14" s="133">
        <v>62</v>
      </c>
      <c r="BB14" s="133">
        <f t="shared" si="51"/>
        <v>112</v>
      </c>
      <c r="BC14" s="133">
        <f t="shared" si="52"/>
        <v>217</v>
      </c>
      <c r="BD14" s="7">
        <f t="shared" si="8"/>
        <v>558</v>
      </c>
      <c r="BE14" s="7">
        <f>J14*135</f>
        <v>270</v>
      </c>
      <c r="BF14" s="8">
        <f t="shared" si="105"/>
        <v>288</v>
      </c>
      <c r="BG14" s="14">
        <f t="shared" si="10"/>
        <v>1080000</v>
      </c>
      <c r="BH14" s="133">
        <f t="shared" si="53"/>
        <v>135</v>
      </c>
      <c r="BI14" s="133">
        <v>93</v>
      </c>
      <c r="BJ14" s="133"/>
      <c r="BK14" s="133">
        <v>62</v>
      </c>
      <c r="BL14" s="133">
        <v>20</v>
      </c>
      <c r="BM14" s="133">
        <v>124</v>
      </c>
      <c r="BN14" s="133">
        <v>124</v>
      </c>
      <c r="BO14" s="133">
        <f t="shared" si="54"/>
        <v>144</v>
      </c>
      <c r="BP14" s="133">
        <f t="shared" si="55"/>
        <v>279</v>
      </c>
      <c r="BQ14" s="7">
        <f t="shared" si="11"/>
        <v>434</v>
      </c>
      <c r="BR14" s="7">
        <f>J14*104</f>
        <v>208</v>
      </c>
      <c r="BS14" s="8">
        <f t="shared" si="13"/>
        <v>226</v>
      </c>
      <c r="BT14" s="14">
        <f t="shared" si="14"/>
        <v>832000</v>
      </c>
      <c r="BU14" s="133">
        <f t="shared" si="56"/>
        <v>104</v>
      </c>
      <c r="BV14" s="133">
        <v>93</v>
      </c>
      <c r="BW14" s="133"/>
      <c r="BX14" s="133">
        <v>62</v>
      </c>
      <c r="BY14" s="133">
        <v>51</v>
      </c>
      <c r="BZ14" s="133">
        <v>62</v>
      </c>
      <c r="CA14" s="133">
        <v>62</v>
      </c>
      <c r="CB14" s="133">
        <f t="shared" si="57"/>
        <v>113</v>
      </c>
      <c r="CC14" s="133">
        <f t="shared" si="58"/>
        <v>217</v>
      </c>
      <c r="CD14" s="7">
        <f t="shared" si="15"/>
        <v>558</v>
      </c>
      <c r="CE14" s="7">
        <f>J14*120</f>
        <v>240</v>
      </c>
      <c r="CF14" s="8">
        <f t="shared" si="59"/>
        <v>318</v>
      </c>
      <c r="CG14" s="14">
        <f t="shared" si="17"/>
        <v>960000</v>
      </c>
      <c r="CH14" s="134">
        <f t="shared" si="60"/>
        <v>120</v>
      </c>
      <c r="CI14" s="134">
        <v>62</v>
      </c>
      <c r="CJ14" s="134"/>
      <c r="CK14" s="134">
        <v>62</v>
      </c>
      <c r="CL14" s="134">
        <v>4</v>
      </c>
      <c r="CM14" s="134">
        <v>124</v>
      </c>
      <c r="CN14" s="133">
        <v>124</v>
      </c>
      <c r="CO14" s="133">
        <f t="shared" si="61"/>
        <v>128</v>
      </c>
      <c r="CP14" s="133">
        <f t="shared" si="62"/>
        <v>248</v>
      </c>
      <c r="CQ14" s="7">
        <f t="shared" si="18"/>
        <v>496</v>
      </c>
      <c r="CR14" s="7">
        <f>J14*120</f>
        <v>240</v>
      </c>
      <c r="CS14" s="8">
        <f t="shared" si="63"/>
        <v>256</v>
      </c>
      <c r="CT14" s="14">
        <f t="shared" si="20"/>
        <v>960000</v>
      </c>
      <c r="CU14" s="134">
        <f t="shared" si="64"/>
        <v>120</v>
      </c>
      <c r="CV14" s="134">
        <v>93</v>
      </c>
      <c r="CW14" s="134"/>
      <c r="CX14" s="134">
        <v>93</v>
      </c>
      <c r="CY14" s="134">
        <v>66</v>
      </c>
      <c r="CZ14" s="134">
        <v>62</v>
      </c>
      <c r="DA14" s="134">
        <v>62</v>
      </c>
      <c r="DB14" s="134">
        <f t="shared" si="65"/>
        <v>128</v>
      </c>
      <c r="DC14" s="134">
        <f t="shared" si="66"/>
        <v>248</v>
      </c>
      <c r="DD14" s="7">
        <f t="shared" si="21"/>
        <v>558</v>
      </c>
      <c r="DE14" s="7">
        <f>J14*135</f>
        <v>270</v>
      </c>
      <c r="DF14" s="8">
        <f t="shared" si="67"/>
        <v>288</v>
      </c>
      <c r="DG14" s="14">
        <f t="shared" si="23"/>
        <v>1080000</v>
      </c>
      <c r="DH14" s="134">
        <f t="shared" si="68"/>
        <v>135</v>
      </c>
      <c r="DI14" s="134">
        <v>93</v>
      </c>
      <c r="DJ14" s="134"/>
      <c r="DK14" s="134">
        <v>124</v>
      </c>
      <c r="DL14" s="134">
        <v>82</v>
      </c>
      <c r="DM14" s="134">
        <v>62</v>
      </c>
      <c r="DN14" s="134">
        <v>62</v>
      </c>
      <c r="DO14" s="134">
        <f t="shared" si="69"/>
        <v>144</v>
      </c>
      <c r="DP14" s="134">
        <f t="shared" si="70"/>
        <v>279</v>
      </c>
      <c r="DQ14" s="7">
        <f t="shared" si="24"/>
        <v>250</v>
      </c>
      <c r="DR14" s="7">
        <f t="shared" si="71"/>
        <v>116</v>
      </c>
      <c r="DS14" s="8">
        <f t="shared" si="72"/>
        <v>134</v>
      </c>
      <c r="DT14" s="14">
        <f t="shared" si="25"/>
        <v>464000</v>
      </c>
      <c r="DU14" s="134">
        <f t="shared" si="73"/>
        <v>58</v>
      </c>
      <c r="DV14" s="134">
        <v>0</v>
      </c>
      <c r="DW14" s="134"/>
      <c r="DX14" s="134">
        <v>62</v>
      </c>
      <c r="DY14" s="134">
        <v>4</v>
      </c>
      <c r="DZ14" s="134">
        <v>63</v>
      </c>
      <c r="EA14" s="134">
        <v>63</v>
      </c>
      <c r="EB14" s="134">
        <f t="shared" si="74"/>
        <v>67</v>
      </c>
      <c r="EC14" s="134">
        <f t="shared" si="75"/>
        <v>125</v>
      </c>
      <c r="ED14" s="7">
        <f t="shared" si="26"/>
        <v>124</v>
      </c>
      <c r="EE14" s="7">
        <f>J14*30</f>
        <v>60</v>
      </c>
      <c r="EF14" s="8">
        <f t="shared" si="76"/>
        <v>64</v>
      </c>
      <c r="EG14" s="14">
        <f t="shared" si="28"/>
        <v>240000</v>
      </c>
      <c r="EH14" s="133">
        <f t="shared" si="77"/>
        <v>30</v>
      </c>
      <c r="EI14" s="133">
        <v>0</v>
      </c>
      <c r="EJ14" s="133"/>
      <c r="EK14" s="133">
        <v>62</v>
      </c>
      <c r="EL14" s="133">
        <f t="shared" si="78"/>
        <v>32</v>
      </c>
      <c r="EM14" s="133">
        <v>0</v>
      </c>
      <c r="EN14" s="133"/>
      <c r="EO14" s="133">
        <f t="shared" si="79"/>
        <v>32</v>
      </c>
      <c r="EP14" s="133">
        <f t="shared" si="80"/>
        <v>62</v>
      </c>
      <c r="EQ14" s="7">
        <f t="shared" si="29"/>
        <v>558</v>
      </c>
      <c r="ER14" s="7">
        <f>J14*135</f>
        <v>270</v>
      </c>
      <c r="ES14" s="8">
        <f t="shared" si="81"/>
        <v>288</v>
      </c>
      <c r="ET14" s="14">
        <f t="shared" si="31"/>
        <v>1080000</v>
      </c>
      <c r="EU14" s="134">
        <f t="shared" si="82"/>
        <v>135</v>
      </c>
      <c r="EV14" s="134">
        <v>93</v>
      </c>
      <c r="EW14" s="134"/>
      <c r="EX14" s="134">
        <v>93</v>
      </c>
      <c r="EY14" s="134">
        <v>51</v>
      </c>
      <c r="EZ14" s="134">
        <v>93</v>
      </c>
      <c r="FA14" s="134">
        <v>93</v>
      </c>
      <c r="FB14" s="134">
        <f t="shared" si="83"/>
        <v>144</v>
      </c>
      <c r="FC14" s="134">
        <f t="shared" si="84"/>
        <v>279</v>
      </c>
      <c r="FD14" s="7">
        <f t="shared" si="32"/>
        <v>372</v>
      </c>
      <c r="FE14" s="7">
        <f>J14*90</f>
        <v>180</v>
      </c>
      <c r="FF14" s="8">
        <f t="shared" si="85"/>
        <v>192</v>
      </c>
      <c r="FG14" s="14">
        <f t="shared" si="34"/>
        <v>720000</v>
      </c>
      <c r="FH14" s="133">
        <f t="shared" si="86"/>
        <v>90</v>
      </c>
      <c r="FI14" s="133">
        <v>62</v>
      </c>
      <c r="FJ14" s="133"/>
      <c r="FK14" s="133">
        <v>62</v>
      </c>
      <c r="FL14" s="133">
        <v>34</v>
      </c>
      <c r="FM14" s="133">
        <v>62</v>
      </c>
      <c r="FN14" s="133">
        <v>62</v>
      </c>
      <c r="FO14" s="133">
        <f t="shared" si="87"/>
        <v>96</v>
      </c>
      <c r="FP14" s="133">
        <f t="shared" si="88"/>
        <v>186</v>
      </c>
      <c r="FQ14" s="7">
        <f t="shared" si="35"/>
        <v>64</v>
      </c>
      <c r="FR14" s="7">
        <f t="shared" si="106"/>
        <v>30</v>
      </c>
      <c r="FS14" s="8">
        <f t="shared" si="89"/>
        <v>34</v>
      </c>
      <c r="FT14" s="14">
        <f t="shared" si="36"/>
        <v>120000</v>
      </c>
      <c r="FU14" s="134">
        <f t="shared" si="90"/>
        <v>15</v>
      </c>
      <c r="FV14" s="134">
        <v>0</v>
      </c>
      <c r="FW14" s="134"/>
      <c r="FX14" s="134">
        <v>16</v>
      </c>
      <c r="FY14" s="134">
        <v>1</v>
      </c>
      <c r="FZ14" s="134">
        <v>16</v>
      </c>
      <c r="GA14" s="134">
        <v>16</v>
      </c>
      <c r="GB14" s="134">
        <f t="shared" si="91"/>
        <v>17</v>
      </c>
      <c r="GC14" s="134">
        <f t="shared" si="92"/>
        <v>32</v>
      </c>
      <c r="GD14" s="7">
        <f t="shared" si="37"/>
        <v>24</v>
      </c>
      <c r="GE14" s="7">
        <f>J14*6</f>
        <v>12</v>
      </c>
      <c r="GF14" s="8">
        <f t="shared" si="93"/>
        <v>12</v>
      </c>
      <c r="GG14" s="14">
        <f t="shared" si="39"/>
        <v>48000</v>
      </c>
      <c r="GH14" s="134">
        <f t="shared" si="94"/>
        <v>6</v>
      </c>
      <c r="GI14" s="134">
        <v>4</v>
      </c>
      <c r="GJ14" s="134"/>
      <c r="GK14" s="134">
        <v>4</v>
      </c>
      <c r="GL14" s="134">
        <v>2</v>
      </c>
      <c r="GM14" s="134">
        <v>4</v>
      </c>
      <c r="GN14" s="134">
        <v>4</v>
      </c>
      <c r="GO14" s="134">
        <f t="shared" si="95"/>
        <v>6</v>
      </c>
      <c r="GP14" s="134">
        <f t="shared" si="96"/>
        <v>12</v>
      </c>
      <c r="GQ14" s="7">
        <f t="shared" si="40"/>
        <v>372</v>
      </c>
      <c r="GR14" s="7">
        <f>J14*90</f>
        <v>180</v>
      </c>
      <c r="GS14" s="8">
        <f t="shared" si="97"/>
        <v>192</v>
      </c>
      <c r="GT14" s="14">
        <f t="shared" si="42"/>
        <v>720000</v>
      </c>
      <c r="GU14" s="133">
        <f t="shared" si="98"/>
        <v>90</v>
      </c>
      <c r="GV14" s="133">
        <v>62</v>
      </c>
      <c r="GW14" s="133"/>
      <c r="GX14" s="133">
        <v>62</v>
      </c>
      <c r="GY14" s="133">
        <v>34</v>
      </c>
      <c r="GZ14" s="133">
        <v>62</v>
      </c>
      <c r="HA14" s="133">
        <v>62</v>
      </c>
      <c r="HB14" s="133">
        <f t="shared" si="99"/>
        <v>96</v>
      </c>
      <c r="HC14" s="133">
        <f t="shared" si="100"/>
        <v>186</v>
      </c>
      <c r="HD14" s="7">
        <f t="shared" si="43"/>
        <v>372</v>
      </c>
      <c r="HE14" s="7">
        <f>J14*90</f>
        <v>180</v>
      </c>
      <c r="HF14" s="8">
        <f t="shared" si="101"/>
        <v>192</v>
      </c>
      <c r="HG14" s="14">
        <f t="shared" si="45"/>
        <v>720000</v>
      </c>
      <c r="HH14" s="7">
        <f t="shared" si="102"/>
        <v>90</v>
      </c>
      <c r="HI14" s="7">
        <v>62</v>
      </c>
      <c r="HJ14" s="7"/>
      <c r="HK14" s="7">
        <v>62</v>
      </c>
      <c r="HL14" s="7">
        <v>34</v>
      </c>
      <c r="HM14" s="7">
        <v>62</v>
      </c>
      <c r="HN14" s="7">
        <v>62</v>
      </c>
      <c r="HO14" s="133">
        <f t="shared" si="103"/>
        <v>96</v>
      </c>
      <c r="HP14" s="133">
        <f t="shared" si="104"/>
        <v>186</v>
      </c>
    </row>
    <row r="15" spans="2:224" s="2" customFormat="1" x14ac:dyDescent="0.3">
      <c r="B15" s="7">
        <f>'PLAN DE NECESIDADES'!B15</f>
        <v>11</v>
      </c>
      <c r="C15" s="7">
        <f>'PLAN DE NECESIDADES'!C15</f>
        <v>2799701</v>
      </c>
      <c r="D15" s="60" t="str">
        <f>'PLAN DE NECESIDADES'!D15</f>
        <v>BOLSO PARA ÚTILES DE ASEO:
ESPECIFICACIONES  TÉCNICAS   DE  ACUERDO A LA NORMA TÉCNICA KIT DE DOTACIÓN N°. NTMD-0356 - A2.</v>
      </c>
      <c r="E15" s="7" t="str">
        <f>'PLAN DE NECESIDADES'!E15</f>
        <v>UNIDAD</v>
      </c>
      <c r="F15" s="7">
        <f>'PLAN DE NECESIDADES'!F15</f>
        <v>0</v>
      </c>
      <c r="G15" s="7">
        <f>'PLAN DE NECESIDADES'!H15</f>
        <v>53121503</v>
      </c>
      <c r="H15" s="7">
        <f>'PLAN DE NECESIDADES'!I15</f>
        <v>1082376</v>
      </c>
      <c r="I15" s="7" t="str">
        <f>'PLAN DE NECESIDADES'!J15</f>
        <v>SIN CREAR</v>
      </c>
      <c r="J15" s="7">
        <v>1</v>
      </c>
      <c r="K15" s="87">
        <v>69</v>
      </c>
      <c r="L15" s="87">
        <v>217</v>
      </c>
      <c r="M15" s="87">
        <v>279</v>
      </c>
      <c r="N15" s="87">
        <v>217</v>
      </c>
      <c r="O15" s="87">
        <v>248</v>
      </c>
      <c r="P15" s="87">
        <v>248</v>
      </c>
      <c r="Q15" s="87">
        <v>279</v>
      </c>
      <c r="R15" s="87">
        <v>125</v>
      </c>
      <c r="S15" s="87">
        <v>62</v>
      </c>
      <c r="T15" s="87">
        <v>279</v>
      </c>
      <c r="U15" s="87">
        <v>186</v>
      </c>
      <c r="V15" s="87">
        <v>32</v>
      </c>
      <c r="W15" s="87">
        <v>12</v>
      </c>
      <c r="X15" s="85">
        <v>186</v>
      </c>
      <c r="Y15" s="85">
        <v>186</v>
      </c>
      <c r="Z15" s="85">
        <f t="shared" si="0"/>
        <v>2656</v>
      </c>
      <c r="AA15" s="7">
        <f t="shared" si="1"/>
        <v>1262</v>
      </c>
      <c r="AB15" s="7">
        <f t="shared" si="2"/>
        <v>1394</v>
      </c>
      <c r="AC15" s="13">
        <v>5400</v>
      </c>
      <c r="AD15" s="7">
        <f t="shared" si="3"/>
        <v>69</v>
      </c>
      <c r="AE15" s="7">
        <f>J15*33</f>
        <v>33</v>
      </c>
      <c r="AF15" s="8">
        <f t="shared" si="4"/>
        <v>36</v>
      </c>
      <c r="AG15" s="14">
        <f t="shared" si="5"/>
        <v>178200</v>
      </c>
      <c r="AH15" s="133">
        <f t="shared" si="46"/>
        <v>33</v>
      </c>
      <c r="AI15" s="133">
        <v>31</v>
      </c>
      <c r="AJ15" s="133"/>
      <c r="AK15" s="133">
        <v>20</v>
      </c>
      <c r="AL15" s="133">
        <v>18</v>
      </c>
      <c r="AM15" s="133">
        <v>18</v>
      </c>
      <c r="AN15" s="133">
        <v>18</v>
      </c>
      <c r="AO15" s="133">
        <f t="shared" si="47"/>
        <v>36</v>
      </c>
      <c r="AP15" s="133">
        <f t="shared" si="48"/>
        <v>69</v>
      </c>
      <c r="AQ15" s="7">
        <f t="shared" si="6"/>
        <v>217</v>
      </c>
      <c r="AR15" s="7">
        <f>J15*105</f>
        <v>105</v>
      </c>
      <c r="AS15" s="8">
        <f t="shared" si="49"/>
        <v>112</v>
      </c>
      <c r="AT15" s="14">
        <f t="shared" si="7"/>
        <v>567000</v>
      </c>
      <c r="AU15" s="133">
        <f t="shared" si="50"/>
        <v>105</v>
      </c>
      <c r="AV15" s="133">
        <v>93</v>
      </c>
      <c r="AW15" s="133"/>
      <c r="AX15" s="133">
        <v>62</v>
      </c>
      <c r="AY15" s="133">
        <v>50</v>
      </c>
      <c r="AZ15" s="133">
        <v>62</v>
      </c>
      <c r="BA15" s="133">
        <v>62</v>
      </c>
      <c r="BB15" s="133">
        <f t="shared" si="51"/>
        <v>112</v>
      </c>
      <c r="BC15" s="133">
        <f t="shared" si="52"/>
        <v>217</v>
      </c>
      <c r="BD15" s="7">
        <f t="shared" si="8"/>
        <v>279</v>
      </c>
      <c r="BE15" s="7">
        <f>J15*135</f>
        <v>135</v>
      </c>
      <c r="BF15" s="8">
        <f t="shared" si="105"/>
        <v>144</v>
      </c>
      <c r="BG15" s="14">
        <f t="shared" si="10"/>
        <v>729000</v>
      </c>
      <c r="BH15" s="133">
        <f t="shared" si="53"/>
        <v>135</v>
      </c>
      <c r="BI15" s="133">
        <v>93</v>
      </c>
      <c r="BJ15" s="133"/>
      <c r="BK15" s="133">
        <v>62</v>
      </c>
      <c r="BL15" s="133">
        <v>20</v>
      </c>
      <c r="BM15" s="133">
        <v>124</v>
      </c>
      <c r="BN15" s="133">
        <v>124</v>
      </c>
      <c r="BO15" s="133">
        <f t="shared" si="54"/>
        <v>144</v>
      </c>
      <c r="BP15" s="133">
        <f t="shared" si="55"/>
        <v>279</v>
      </c>
      <c r="BQ15" s="7">
        <f t="shared" si="11"/>
        <v>217</v>
      </c>
      <c r="BR15" s="7">
        <f>J15*104</f>
        <v>104</v>
      </c>
      <c r="BS15" s="8">
        <f t="shared" si="13"/>
        <v>113</v>
      </c>
      <c r="BT15" s="14">
        <f t="shared" si="14"/>
        <v>561600</v>
      </c>
      <c r="BU15" s="133">
        <f t="shared" si="56"/>
        <v>104</v>
      </c>
      <c r="BV15" s="133">
        <v>93</v>
      </c>
      <c r="BW15" s="133"/>
      <c r="BX15" s="133">
        <v>62</v>
      </c>
      <c r="BY15" s="133">
        <v>51</v>
      </c>
      <c r="BZ15" s="133">
        <v>62</v>
      </c>
      <c r="CA15" s="133">
        <v>62</v>
      </c>
      <c r="CB15" s="133">
        <f t="shared" si="57"/>
        <v>113</v>
      </c>
      <c r="CC15" s="133">
        <f t="shared" si="58"/>
        <v>217</v>
      </c>
      <c r="CD15" s="7">
        <f t="shared" si="15"/>
        <v>279</v>
      </c>
      <c r="CE15" s="7">
        <f>J15*119</f>
        <v>119</v>
      </c>
      <c r="CF15" s="8">
        <f t="shared" si="59"/>
        <v>160</v>
      </c>
      <c r="CG15" s="14">
        <f t="shared" si="17"/>
        <v>642600</v>
      </c>
      <c r="CH15" s="134">
        <f t="shared" si="60"/>
        <v>119</v>
      </c>
      <c r="CI15" s="134">
        <v>62</v>
      </c>
      <c r="CJ15" s="134"/>
      <c r="CK15" s="134">
        <v>62</v>
      </c>
      <c r="CL15" s="134">
        <v>5</v>
      </c>
      <c r="CM15" s="134">
        <v>124</v>
      </c>
      <c r="CN15" s="133">
        <v>124</v>
      </c>
      <c r="CO15" s="133">
        <f t="shared" si="61"/>
        <v>129</v>
      </c>
      <c r="CP15" s="133">
        <f t="shared" si="62"/>
        <v>248</v>
      </c>
      <c r="CQ15" s="7">
        <f t="shared" si="18"/>
        <v>248</v>
      </c>
      <c r="CR15" s="7">
        <f>J15*120</f>
        <v>120</v>
      </c>
      <c r="CS15" s="8">
        <f t="shared" si="63"/>
        <v>128</v>
      </c>
      <c r="CT15" s="14">
        <f t="shared" si="20"/>
        <v>648000</v>
      </c>
      <c r="CU15" s="134">
        <f t="shared" si="64"/>
        <v>120</v>
      </c>
      <c r="CV15" s="134">
        <v>93</v>
      </c>
      <c r="CW15" s="134"/>
      <c r="CX15" s="134">
        <v>93</v>
      </c>
      <c r="CY15" s="134">
        <v>66</v>
      </c>
      <c r="CZ15" s="134">
        <v>62</v>
      </c>
      <c r="DA15" s="134">
        <v>62</v>
      </c>
      <c r="DB15" s="134">
        <f t="shared" si="65"/>
        <v>128</v>
      </c>
      <c r="DC15" s="134">
        <f t="shared" si="66"/>
        <v>248</v>
      </c>
      <c r="DD15" s="7">
        <f t="shared" si="21"/>
        <v>279</v>
      </c>
      <c r="DE15" s="7">
        <f>J15*135</f>
        <v>135</v>
      </c>
      <c r="DF15" s="8">
        <f t="shared" si="67"/>
        <v>144</v>
      </c>
      <c r="DG15" s="14">
        <f t="shared" si="23"/>
        <v>729000</v>
      </c>
      <c r="DH15" s="134">
        <f t="shared" si="68"/>
        <v>135</v>
      </c>
      <c r="DI15" s="134">
        <v>93</v>
      </c>
      <c r="DJ15" s="134"/>
      <c r="DK15" s="134">
        <v>124</v>
      </c>
      <c r="DL15" s="134">
        <v>82</v>
      </c>
      <c r="DM15" s="134">
        <v>62</v>
      </c>
      <c r="DN15" s="134">
        <v>62</v>
      </c>
      <c r="DO15" s="134">
        <f t="shared" si="69"/>
        <v>144</v>
      </c>
      <c r="DP15" s="134">
        <f t="shared" si="70"/>
        <v>279</v>
      </c>
      <c r="DQ15" s="7">
        <f t="shared" si="24"/>
        <v>125</v>
      </c>
      <c r="DR15" s="7">
        <f t="shared" si="71"/>
        <v>58</v>
      </c>
      <c r="DS15" s="8">
        <f t="shared" si="72"/>
        <v>67</v>
      </c>
      <c r="DT15" s="14">
        <f t="shared" si="25"/>
        <v>313200</v>
      </c>
      <c r="DU15" s="134">
        <f t="shared" si="73"/>
        <v>58</v>
      </c>
      <c r="DV15" s="134">
        <v>0</v>
      </c>
      <c r="DW15" s="134"/>
      <c r="DX15" s="134">
        <v>62</v>
      </c>
      <c r="DY15" s="134">
        <v>4</v>
      </c>
      <c r="DZ15" s="134">
        <v>63</v>
      </c>
      <c r="EA15" s="134">
        <v>63</v>
      </c>
      <c r="EB15" s="134">
        <f t="shared" si="74"/>
        <v>67</v>
      </c>
      <c r="EC15" s="134">
        <f t="shared" si="75"/>
        <v>125</v>
      </c>
      <c r="ED15" s="7">
        <f t="shared" si="26"/>
        <v>62</v>
      </c>
      <c r="EE15" s="7">
        <f>J15*30</f>
        <v>30</v>
      </c>
      <c r="EF15" s="8">
        <f t="shared" si="76"/>
        <v>32</v>
      </c>
      <c r="EG15" s="14">
        <f t="shared" si="28"/>
        <v>162000</v>
      </c>
      <c r="EH15" s="133">
        <f t="shared" si="77"/>
        <v>30</v>
      </c>
      <c r="EI15" s="133">
        <v>0</v>
      </c>
      <c r="EJ15" s="133"/>
      <c r="EK15" s="133">
        <v>62</v>
      </c>
      <c r="EL15" s="133">
        <f t="shared" si="78"/>
        <v>32</v>
      </c>
      <c r="EM15" s="133">
        <v>0</v>
      </c>
      <c r="EN15" s="133"/>
      <c r="EO15" s="133">
        <f t="shared" si="79"/>
        <v>32</v>
      </c>
      <c r="EP15" s="133">
        <f t="shared" si="80"/>
        <v>62</v>
      </c>
      <c r="EQ15" s="7">
        <f t="shared" si="29"/>
        <v>279</v>
      </c>
      <c r="ER15" s="7">
        <f>J15*134</f>
        <v>134</v>
      </c>
      <c r="ES15" s="8">
        <f t="shared" si="81"/>
        <v>145</v>
      </c>
      <c r="ET15" s="14">
        <f t="shared" si="31"/>
        <v>723600</v>
      </c>
      <c r="EU15" s="134">
        <f t="shared" si="82"/>
        <v>134</v>
      </c>
      <c r="EV15" s="134">
        <v>93</v>
      </c>
      <c r="EW15" s="134"/>
      <c r="EX15" s="134">
        <v>93</v>
      </c>
      <c r="EY15" s="134">
        <v>52</v>
      </c>
      <c r="EZ15" s="134">
        <v>93</v>
      </c>
      <c r="FA15" s="134">
        <v>93</v>
      </c>
      <c r="FB15" s="134">
        <f t="shared" si="83"/>
        <v>145</v>
      </c>
      <c r="FC15" s="134">
        <f t="shared" si="84"/>
        <v>279</v>
      </c>
      <c r="FD15" s="7">
        <f t="shared" si="32"/>
        <v>186</v>
      </c>
      <c r="FE15" s="7">
        <f>J15*90</f>
        <v>90</v>
      </c>
      <c r="FF15" s="8">
        <f t="shared" si="85"/>
        <v>96</v>
      </c>
      <c r="FG15" s="14">
        <f t="shared" si="34"/>
        <v>486000</v>
      </c>
      <c r="FH15" s="133">
        <f t="shared" si="86"/>
        <v>90</v>
      </c>
      <c r="FI15" s="133">
        <v>62</v>
      </c>
      <c r="FJ15" s="133"/>
      <c r="FK15" s="133">
        <v>62</v>
      </c>
      <c r="FL15" s="133">
        <v>34</v>
      </c>
      <c r="FM15" s="133">
        <v>62</v>
      </c>
      <c r="FN15" s="133">
        <v>62</v>
      </c>
      <c r="FO15" s="133">
        <f t="shared" si="87"/>
        <v>96</v>
      </c>
      <c r="FP15" s="133">
        <f t="shared" si="88"/>
        <v>186</v>
      </c>
      <c r="FQ15" s="7">
        <f t="shared" si="35"/>
        <v>32</v>
      </c>
      <c r="FR15" s="7">
        <f t="shared" si="106"/>
        <v>15</v>
      </c>
      <c r="FS15" s="8">
        <f t="shared" si="89"/>
        <v>17</v>
      </c>
      <c r="FT15" s="14">
        <f t="shared" si="36"/>
        <v>81000</v>
      </c>
      <c r="FU15" s="134">
        <f t="shared" si="90"/>
        <v>15</v>
      </c>
      <c r="FV15" s="134">
        <v>0</v>
      </c>
      <c r="FW15" s="134"/>
      <c r="FX15" s="134">
        <v>16</v>
      </c>
      <c r="FY15" s="134">
        <v>1</v>
      </c>
      <c r="FZ15" s="134">
        <v>16</v>
      </c>
      <c r="GA15" s="134">
        <v>16</v>
      </c>
      <c r="GB15" s="134">
        <f t="shared" si="91"/>
        <v>17</v>
      </c>
      <c r="GC15" s="134">
        <f t="shared" si="92"/>
        <v>32</v>
      </c>
      <c r="GD15" s="7">
        <f t="shared" si="37"/>
        <v>12</v>
      </c>
      <c r="GE15" s="7">
        <f>J15*4</f>
        <v>4</v>
      </c>
      <c r="GF15" s="8">
        <f t="shared" si="93"/>
        <v>8</v>
      </c>
      <c r="GG15" s="14">
        <f t="shared" si="39"/>
        <v>21600</v>
      </c>
      <c r="GH15" s="134">
        <f t="shared" si="94"/>
        <v>4</v>
      </c>
      <c r="GI15" s="134">
        <v>4</v>
      </c>
      <c r="GJ15" s="134"/>
      <c r="GK15" s="134">
        <v>4</v>
      </c>
      <c r="GL15" s="134">
        <v>4</v>
      </c>
      <c r="GM15" s="134">
        <v>4</v>
      </c>
      <c r="GN15" s="134">
        <v>4</v>
      </c>
      <c r="GO15" s="134">
        <f t="shared" si="95"/>
        <v>8</v>
      </c>
      <c r="GP15" s="134">
        <f t="shared" si="96"/>
        <v>12</v>
      </c>
      <c r="GQ15" s="7">
        <f t="shared" si="40"/>
        <v>186</v>
      </c>
      <c r="GR15" s="7">
        <f>J15*90</f>
        <v>90</v>
      </c>
      <c r="GS15" s="8">
        <f t="shared" si="97"/>
        <v>96</v>
      </c>
      <c r="GT15" s="14">
        <f t="shared" si="42"/>
        <v>486000</v>
      </c>
      <c r="GU15" s="133">
        <f t="shared" si="98"/>
        <v>90</v>
      </c>
      <c r="GV15" s="133">
        <v>62</v>
      </c>
      <c r="GW15" s="133"/>
      <c r="GX15" s="133">
        <v>62</v>
      </c>
      <c r="GY15" s="133">
        <v>34</v>
      </c>
      <c r="GZ15" s="133">
        <v>62</v>
      </c>
      <c r="HA15" s="133">
        <v>62</v>
      </c>
      <c r="HB15" s="133">
        <f t="shared" si="99"/>
        <v>96</v>
      </c>
      <c r="HC15" s="133">
        <f t="shared" si="100"/>
        <v>186</v>
      </c>
      <c r="HD15" s="7">
        <f t="shared" si="43"/>
        <v>186</v>
      </c>
      <c r="HE15" s="7">
        <f>J15*90</f>
        <v>90</v>
      </c>
      <c r="HF15" s="8">
        <f t="shared" si="101"/>
        <v>96</v>
      </c>
      <c r="HG15" s="14">
        <f t="shared" si="45"/>
        <v>486000</v>
      </c>
      <c r="HH15" s="7">
        <f t="shared" si="102"/>
        <v>90</v>
      </c>
      <c r="HI15" s="7">
        <v>62</v>
      </c>
      <c r="HJ15" s="7"/>
      <c r="HK15" s="7">
        <v>62</v>
      </c>
      <c r="HL15" s="7">
        <v>34</v>
      </c>
      <c r="HM15" s="7">
        <v>62</v>
      </c>
      <c r="HN15" s="7">
        <v>62</v>
      </c>
      <c r="HO15" s="133">
        <f t="shared" si="103"/>
        <v>96</v>
      </c>
      <c r="HP15" s="133">
        <f t="shared" si="104"/>
        <v>186</v>
      </c>
    </row>
    <row r="16" spans="2:224" s="2" customFormat="1" x14ac:dyDescent="0.3">
      <c r="B16" s="7">
        <f>'PLAN DE NECESIDADES'!B16</f>
        <v>12</v>
      </c>
      <c r="C16" s="7">
        <f>'PLAN DE NECESIDADES'!C16</f>
        <v>2732099</v>
      </c>
      <c r="D16" s="60" t="str">
        <f>'PLAN DE NECESIDADES'!D16</f>
        <v>MALLA PARA CABELLO COLOR NEGRO
DE ACUERDO A ESPECIFICACIONES TÉCNICAS JEMPP-CEDE4-DIETE-ET-04937/INT-0</v>
      </c>
      <c r="E16" s="7" t="str">
        <f>'PLAN DE NECESIDADES'!E16</f>
        <v>UNIDAD</v>
      </c>
      <c r="F16" s="7">
        <f>'PLAN DE NECESIDADES'!F16</f>
        <v>0</v>
      </c>
      <c r="G16" s="7">
        <f>'PLAN DE NECESIDADES'!H16</f>
        <v>53102513</v>
      </c>
      <c r="H16" s="7">
        <f>'PLAN DE NECESIDADES'!I16</f>
        <v>1893958</v>
      </c>
      <c r="I16" s="7" t="str">
        <f>'PLAN DE NECESIDADES'!J16</f>
        <v>SIN CREAR</v>
      </c>
      <c r="J16" s="7">
        <v>1</v>
      </c>
      <c r="K16" s="88"/>
      <c r="L16" s="88"/>
      <c r="M16" s="88"/>
      <c r="N16" s="88"/>
      <c r="O16" s="87"/>
      <c r="P16" s="88"/>
      <c r="Q16" s="87"/>
      <c r="R16" s="87">
        <v>125</v>
      </c>
      <c r="S16" s="88"/>
      <c r="T16" s="88"/>
      <c r="U16" s="88"/>
      <c r="V16" s="88"/>
      <c r="W16" s="88"/>
      <c r="X16" s="7"/>
      <c r="Y16" s="7"/>
      <c r="Z16" s="85">
        <f t="shared" si="0"/>
        <v>125</v>
      </c>
      <c r="AA16" s="7">
        <f t="shared" si="1"/>
        <v>58</v>
      </c>
      <c r="AB16" s="7">
        <f t="shared" si="2"/>
        <v>67</v>
      </c>
      <c r="AC16" s="13">
        <v>4700</v>
      </c>
      <c r="AD16" s="7"/>
      <c r="AE16" s="7"/>
      <c r="AF16" s="8"/>
      <c r="AG16" s="14"/>
      <c r="AH16" s="133"/>
      <c r="AI16" s="133"/>
      <c r="AJ16" s="133"/>
      <c r="AK16" s="133"/>
      <c r="AL16" s="133"/>
      <c r="AM16" s="133"/>
      <c r="AN16" s="133"/>
      <c r="AO16" s="133"/>
      <c r="AP16" s="133"/>
      <c r="AQ16" s="7"/>
      <c r="AR16" s="7"/>
      <c r="AS16" s="8"/>
      <c r="AT16" s="14"/>
      <c r="AU16" s="133"/>
      <c r="AV16" s="133"/>
      <c r="AW16" s="133"/>
      <c r="AX16" s="133"/>
      <c r="AY16" s="133"/>
      <c r="AZ16" s="133"/>
      <c r="BA16" s="133"/>
      <c r="BB16" s="133"/>
      <c r="BC16" s="133"/>
      <c r="BD16" s="7"/>
      <c r="BE16" s="7"/>
      <c r="BF16" s="8"/>
      <c r="BG16" s="14"/>
      <c r="BH16" s="133"/>
      <c r="BI16" s="14"/>
      <c r="BJ16" s="14"/>
      <c r="BK16" s="14"/>
      <c r="BL16" s="14"/>
      <c r="BM16" s="14"/>
      <c r="BN16" s="14"/>
      <c r="BO16" s="14"/>
      <c r="BP16" s="14"/>
      <c r="BQ16" s="7"/>
      <c r="BR16" s="7"/>
      <c r="BS16" s="8"/>
      <c r="BT16" s="14"/>
      <c r="BU16" s="133"/>
      <c r="BV16" s="133"/>
      <c r="BW16" s="133"/>
      <c r="BX16" s="133"/>
      <c r="BY16" s="133"/>
      <c r="BZ16" s="133"/>
      <c r="CA16" s="133"/>
      <c r="CB16" s="133"/>
      <c r="CC16" s="133"/>
      <c r="CD16" s="7"/>
      <c r="CE16" s="7"/>
      <c r="CF16" s="8"/>
      <c r="CG16" s="14"/>
      <c r="CH16" s="134"/>
      <c r="CI16" s="14"/>
      <c r="CJ16" s="14"/>
      <c r="CK16" s="14"/>
      <c r="CL16" s="14"/>
      <c r="CM16" s="14"/>
      <c r="CN16" s="14"/>
      <c r="CO16" s="14"/>
      <c r="CP16" s="14"/>
      <c r="CQ16" s="7"/>
      <c r="CR16" s="7"/>
      <c r="CS16" s="8"/>
      <c r="CT16" s="14"/>
      <c r="CU16" s="134"/>
      <c r="CV16" s="134"/>
      <c r="CW16" s="134"/>
      <c r="CX16" s="134"/>
      <c r="CY16" s="134"/>
      <c r="CZ16" s="134"/>
      <c r="DA16" s="134"/>
      <c r="DB16" s="134"/>
      <c r="DC16" s="134"/>
      <c r="DD16" s="7"/>
      <c r="DE16" s="7"/>
      <c r="DF16" s="8"/>
      <c r="DG16" s="14"/>
      <c r="DH16" s="134"/>
      <c r="DI16" s="134"/>
      <c r="DJ16" s="134"/>
      <c r="DK16" s="134"/>
      <c r="DL16" s="134"/>
      <c r="DM16" s="134"/>
      <c r="DN16" s="134"/>
      <c r="DO16" s="134"/>
      <c r="DP16" s="134"/>
      <c r="DQ16" s="7">
        <f t="shared" si="24"/>
        <v>125</v>
      </c>
      <c r="DR16" s="7">
        <f t="shared" si="71"/>
        <v>58</v>
      </c>
      <c r="DS16" s="8">
        <f t="shared" si="72"/>
        <v>67</v>
      </c>
      <c r="DT16" s="14">
        <f t="shared" si="25"/>
        <v>272600</v>
      </c>
      <c r="DU16" s="134">
        <f t="shared" si="73"/>
        <v>58</v>
      </c>
      <c r="DV16" s="134">
        <v>0</v>
      </c>
      <c r="DW16" s="134"/>
      <c r="DX16" s="134">
        <v>62</v>
      </c>
      <c r="DY16" s="134">
        <v>4</v>
      </c>
      <c r="DZ16" s="134">
        <v>63</v>
      </c>
      <c r="EA16" s="134">
        <v>63</v>
      </c>
      <c r="EB16" s="134">
        <f t="shared" si="74"/>
        <v>67</v>
      </c>
      <c r="EC16" s="134">
        <f t="shared" si="75"/>
        <v>125</v>
      </c>
      <c r="ED16" s="7"/>
      <c r="EE16" s="7"/>
      <c r="EF16" s="8"/>
      <c r="EG16" s="14"/>
      <c r="EH16" s="133"/>
      <c r="EI16" s="133"/>
      <c r="EJ16" s="133"/>
      <c r="EK16" s="133"/>
      <c r="EL16" s="133"/>
      <c r="EM16" s="133"/>
      <c r="EN16" s="133"/>
      <c r="EO16" s="133"/>
      <c r="EP16" s="133"/>
      <c r="EQ16" s="7"/>
      <c r="ER16" s="7"/>
      <c r="ES16" s="8"/>
      <c r="ET16" s="14"/>
      <c r="EU16" s="134"/>
      <c r="EV16" s="134"/>
      <c r="EW16" s="134"/>
      <c r="EX16" s="134"/>
      <c r="EY16" s="134"/>
      <c r="EZ16" s="134"/>
      <c r="FA16" s="134"/>
      <c r="FB16" s="134"/>
      <c r="FC16" s="134"/>
      <c r="FD16" s="7"/>
      <c r="FE16" s="7"/>
      <c r="FF16" s="8"/>
      <c r="FG16" s="14"/>
      <c r="FH16" s="133"/>
      <c r="FI16" s="133"/>
      <c r="FJ16" s="133"/>
      <c r="FK16" s="133"/>
      <c r="FL16" s="133"/>
      <c r="FM16" s="133"/>
      <c r="FN16" s="133"/>
      <c r="FO16" s="133"/>
      <c r="FP16" s="133"/>
      <c r="FQ16" s="7"/>
      <c r="FR16" s="7"/>
      <c r="FS16" s="8"/>
      <c r="FT16" s="14"/>
      <c r="FU16" s="134"/>
      <c r="FV16" s="134"/>
      <c r="FW16" s="134"/>
      <c r="FX16" s="134"/>
      <c r="FY16" s="134"/>
      <c r="FZ16" s="134"/>
      <c r="GA16" s="134"/>
      <c r="GB16" s="134"/>
      <c r="GC16" s="134"/>
      <c r="GD16" s="7"/>
      <c r="GE16" s="7"/>
      <c r="GF16" s="8"/>
      <c r="GG16" s="14"/>
      <c r="GH16" s="134"/>
      <c r="GI16" s="134"/>
      <c r="GJ16" s="134"/>
      <c r="GK16" s="134"/>
      <c r="GL16" s="134"/>
      <c r="GM16" s="134"/>
      <c r="GN16" s="134"/>
      <c r="GO16" s="134"/>
      <c r="GP16" s="134"/>
      <c r="GQ16" s="7"/>
      <c r="GR16" s="7"/>
      <c r="GS16" s="8"/>
      <c r="GT16" s="14"/>
      <c r="GU16" s="133"/>
      <c r="GV16" s="133"/>
      <c r="GW16" s="133"/>
      <c r="GX16" s="133"/>
      <c r="GY16" s="133"/>
      <c r="GZ16" s="133"/>
      <c r="HA16" s="133"/>
      <c r="HB16" s="133"/>
      <c r="HC16" s="133"/>
      <c r="HD16" s="7"/>
      <c r="HE16" s="7"/>
      <c r="HF16" s="8"/>
      <c r="HG16" s="14"/>
      <c r="HH16" s="7"/>
      <c r="HI16" s="7"/>
      <c r="HJ16" s="7"/>
      <c r="HK16" s="7"/>
      <c r="HL16" s="7"/>
      <c r="HM16" s="7"/>
      <c r="HN16" s="7"/>
      <c r="HO16" s="7"/>
      <c r="HP16" s="7"/>
    </row>
    <row r="17" spans="2:224" s="2" customFormat="1" hidden="1" x14ac:dyDescent="0.3">
      <c r="B17" s="220" t="s">
        <v>18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1">
        <f>SUM(AG5:AG16)</f>
        <v>3920800</v>
      </c>
      <c r="AE17" s="222"/>
      <c r="AF17" s="222"/>
      <c r="AG17" s="223"/>
      <c r="AH17" s="119"/>
      <c r="AI17" s="119"/>
      <c r="AJ17" s="119"/>
      <c r="AK17" s="119"/>
      <c r="AL17" s="119"/>
      <c r="AM17" s="119"/>
      <c r="AN17" s="119"/>
      <c r="AO17" s="119"/>
      <c r="AP17" s="119"/>
      <c r="AQ17" s="221">
        <f t="shared" ref="AQ17" si="107">SUM(AT5:AT16)</f>
        <v>12337200</v>
      </c>
      <c r="AR17" s="222"/>
      <c r="AS17" s="222"/>
      <c r="AT17" s="223"/>
      <c r="AU17" s="119"/>
      <c r="AV17" s="119"/>
      <c r="AW17" s="119"/>
      <c r="AX17" s="119"/>
      <c r="AY17" s="119"/>
      <c r="AZ17" s="119"/>
      <c r="BA17" s="119"/>
      <c r="BB17" s="119"/>
      <c r="BC17" s="119"/>
      <c r="BD17" s="221">
        <f t="shared" ref="BD17" si="108">SUM(BG5:BG16)</f>
        <v>15864400</v>
      </c>
      <c r="BE17" s="222"/>
      <c r="BF17" s="222"/>
      <c r="BG17" s="223"/>
      <c r="BH17" s="139"/>
      <c r="BI17" s="119"/>
      <c r="BJ17" s="119"/>
      <c r="BK17" s="119"/>
      <c r="BL17" s="119"/>
      <c r="BM17" s="119"/>
      <c r="BN17" s="119"/>
      <c r="BO17" s="119"/>
      <c r="BP17" s="119"/>
      <c r="BQ17" s="221">
        <f t="shared" ref="BQ17" si="109">SUM(BT5:BT16)</f>
        <v>12338000</v>
      </c>
      <c r="BR17" s="222"/>
      <c r="BS17" s="222"/>
      <c r="BT17" s="223"/>
      <c r="BU17" s="139"/>
      <c r="BV17" s="139"/>
      <c r="BW17" s="139"/>
      <c r="BX17" s="139"/>
      <c r="BY17" s="139"/>
      <c r="BZ17" s="139"/>
      <c r="CA17" s="139"/>
      <c r="CB17" s="139"/>
      <c r="CC17" s="139"/>
      <c r="CD17" s="221">
        <f t="shared" ref="CD17" si="110">SUM(CG5:CG16)</f>
        <v>14099800</v>
      </c>
      <c r="CE17" s="222"/>
      <c r="CF17" s="222"/>
      <c r="CG17" s="223"/>
      <c r="CH17" s="150"/>
      <c r="CI17" s="119"/>
      <c r="CJ17" s="119"/>
      <c r="CK17" s="119"/>
      <c r="CL17" s="119"/>
      <c r="CM17" s="119"/>
      <c r="CN17" s="119"/>
      <c r="CO17" s="119"/>
      <c r="CP17" s="119"/>
      <c r="CQ17" s="221">
        <f t="shared" ref="CQ17" si="111">SUM(CT5:CT16)</f>
        <v>14100400</v>
      </c>
      <c r="CR17" s="222"/>
      <c r="CS17" s="222"/>
      <c r="CT17" s="223"/>
      <c r="CU17" s="150"/>
      <c r="CV17" s="150"/>
      <c r="CW17" s="150"/>
      <c r="CX17" s="150"/>
      <c r="CY17" s="150"/>
      <c r="CZ17" s="150"/>
      <c r="DA17" s="150"/>
      <c r="DB17" s="150"/>
      <c r="DC17" s="150"/>
      <c r="DD17" s="221">
        <f t="shared" ref="DD17" si="112">SUM(DG5:DG16)</f>
        <v>15864400</v>
      </c>
      <c r="DE17" s="222"/>
      <c r="DF17" s="222"/>
      <c r="DG17" s="223"/>
      <c r="DH17" s="150"/>
      <c r="DI17" s="150"/>
      <c r="DJ17" s="150"/>
      <c r="DK17" s="150"/>
      <c r="DL17" s="150"/>
      <c r="DM17" s="150"/>
      <c r="DN17" s="150"/>
      <c r="DO17" s="150"/>
      <c r="DP17" s="150"/>
      <c r="DQ17" s="221">
        <f t="shared" ref="DQ17" si="113">SUM(DT5:DT16)</f>
        <v>7105800</v>
      </c>
      <c r="DR17" s="222"/>
      <c r="DS17" s="222"/>
      <c r="DT17" s="223"/>
      <c r="DU17" s="134" t="e">
        <f t="shared" ref="DU17:DU19" si="114">DR17/J17</f>
        <v>#DIV/0!</v>
      </c>
      <c r="DV17" s="150"/>
      <c r="DW17" s="150"/>
      <c r="DX17" s="150"/>
      <c r="DY17" s="150"/>
      <c r="DZ17" s="150"/>
      <c r="EA17" s="150"/>
      <c r="EB17" s="150"/>
      <c r="EC17" s="150"/>
      <c r="ED17" s="221">
        <f t="shared" ref="ED17" si="115">SUM(EG5:EG16)</f>
        <v>3524600</v>
      </c>
      <c r="EE17" s="222"/>
      <c r="EF17" s="222"/>
      <c r="EG17" s="223"/>
      <c r="EH17" s="139"/>
      <c r="EI17" s="139"/>
      <c r="EJ17" s="139"/>
      <c r="EK17" s="139"/>
      <c r="EL17" s="139"/>
      <c r="EM17" s="139"/>
      <c r="EN17" s="139"/>
      <c r="EO17" s="139"/>
      <c r="EP17" s="139"/>
      <c r="EQ17" s="221">
        <f t="shared" ref="EQ17" si="116">SUM(ET5:ET16)</f>
        <v>15863800</v>
      </c>
      <c r="ER17" s="222"/>
      <c r="ES17" s="222"/>
      <c r="ET17" s="223"/>
      <c r="EU17" s="150"/>
      <c r="EV17" s="150"/>
      <c r="EW17" s="150"/>
      <c r="EX17" s="150"/>
      <c r="EY17" s="150"/>
      <c r="EZ17" s="150"/>
      <c r="FA17" s="150"/>
      <c r="FB17" s="150"/>
      <c r="FC17" s="150"/>
      <c r="FD17" s="221">
        <f t="shared" ref="FD17" si="117">SUM(FG5:FG16)</f>
        <v>10575800</v>
      </c>
      <c r="FE17" s="222"/>
      <c r="FF17" s="222"/>
      <c r="FG17" s="223"/>
      <c r="FH17" s="139"/>
      <c r="FI17" s="139"/>
      <c r="FJ17" s="139"/>
      <c r="FK17" s="139"/>
      <c r="FL17" s="139"/>
      <c r="FM17" s="139"/>
      <c r="FN17" s="139"/>
      <c r="FO17" s="139"/>
      <c r="FP17" s="139"/>
      <c r="FQ17" s="221">
        <f t="shared" ref="FQ17" si="118">SUM(FT5:FT16)</f>
        <v>1818600</v>
      </c>
      <c r="FR17" s="222"/>
      <c r="FS17" s="222"/>
      <c r="FT17" s="223"/>
      <c r="FU17" s="150"/>
      <c r="FV17" s="150"/>
      <c r="FW17" s="150"/>
      <c r="FX17" s="150"/>
      <c r="FY17" s="150"/>
      <c r="FZ17" s="150"/>
      <c r="GA17" s="150"/>
      <c r="GB17" s="150"/>
      <c r="GC17" s="150"/>
      <c r="GD17" s="221">
        <f t="shared" ref="GD17" si="119">SUM(GG5:GG16)</f>
        <v>679800</v>
      </c>
      <c r="GE17" s="222"/>
      <c r="GF17" s="222"/>
      <c r="GG17" s="223"/>
      <c r="GH17" s="150"/>
      <c r="GI17" s="150"/>
      <c r="GJ17" s="150"/>
      <c r="GK17" s="150"/>
      <c r="GL17" s="150"/>
      <c r="GM17" s="150"/>
      <c r="GN17" s="150"/>
      <c r="GO17" s="150"/>
      <c r="GP17" s="150"/>
      <c r="GQ17" s="221">
        <f t="shared" ref="GQ17" si="120">SUM(GT5:GT16)</f>
        <v>10575800</v>
      </c>
      <c r="GR17" s="222"/>
      <c r="GS17" s="222"/>
      <c r="GT17" s="223"/>
      <c r="GU17" s="139"/>
      <c r="GV17" s="139"/>
      <c r="GW17" s="139"/>
      <c r="GX17" s="139"/>
      <c r="GY17" s="139"/>
      <c r="GZ17" s="139"/>
      <c r="HA17" s="139"/>
      <c r="HB17" s="139"/>
      <c r="HC17" s="139"/>
      <c r="HD17" s="221">
        <f t="shared" ref="HD17" si="121">SUM(HG5:HG16)</f>
        <v>10575800</v>
      </c>
      <c r="HE17" s="222"/>
      <c r="HF17" s="222"/>
      <c r="HG17" s="223"/>
      <c r="HH17" s="9"/>
      <c r="HI17" s="9"/>
      <c r="HJ17" s="9"/>
      <c r="HK17" s="9"/>
      <c r="HL17" s="9"/>
      <c r="HM17" s="9"/>
      <c r="HN17" s="9"/>
      <c r="HO17" s="9"/>
      <c r="HP17" s="9"/>
    </row>
    <row r="18" spans="2:224" s="2" customFormat="1" hidden="1" x14ac:dyDescent="0.3">
      <c r="B18" s="220" t="s">
        <v>19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1">
        <f>SUMIFS(PRESUPUESTO!$G$51:$G$65,PRESUPUESTO!$E$51:$E$65,AD3)</f>
        <v>3923522.8960000002</v>
      </c>
      <c r="AE18" s="222"/>
      <c r="AF18" s="222"/>
      <c r="AG18" s="223"/>
      <c r="AH18" s="119"/>
      <c r="AI18" s="119"/>
      <c r="AJ18" s="119"/>
      <c r="AK18" s="119"/>
      <c r="AL18" s="119"/>
      <c r="AM18" s="119"/>
      <c r="AN18" s="119"/>
      <c r="AO18" s="119"/>
      <c r="AP18" s="119"/>
      <c r="AQ18" s="221">
        <f>SUMIFS(PRESUPUESTO!$G$51:$G$65,PRESUPUESTO!$E$51:$E$65,AQ3)</f>
        <v>12339195.194666667</v>
      </c>
      <c r="AR18" s="222"/>
      <c r="AS18" s="222"/>
      <c r="AT18" s="223"/>
      <c r="AU18" s="119"/>
      <c r="AV18" s="119"/>
      <c r="AW18" s="119"/>
      <c r="AX18" s="119"/>
      <c r="AY18" s="119"/>
      <c r="AZ18" s="119"/>
      <c r="BA18" s="119"/>
      <c r="BB18" s="119"/>
      <c r="BC18" s="119"/>
      <c r="BD18" s="221">
        <f>SUMIFS(PRESUPUESTO!$G$51:$G$65,PRESUPUESTO!$E$51:$E$65,BD3)</f>
        <v>15864679.536</v>
      </c>
      <c r="BE18" s="222"/>
      <c r="BF18" s="222"/>
      <c r="BG18" s="223"/>
      <c r="BH18" s="139"/>
      <c r="BI18" s="119"/>
      <c r="BJ18" s="119"/>
      <c r="BK18" s="119"/>
      <c r="BL18" s="119"/>
      <c r="BM18" s="119"/>
      <c r="BN18" s="119"/>
      <c r="BO18" s="119"/>
      <c r="BP18" s="119"/>
      <c r="BQ18" s="221">
        <f>SUMIFS(PRESUPUESTO!$G$51:$G$65,PRESUPUESTO!$E$51:$E$65,BQ3)</f>
        <v>12339195.194666667</v>
      </c>
      <c r="BR18" s="222"/>
      <c r="BS18" s="222"/>
      <c r="BT18" s="223"/>
      <c r="BU18" s="139"/>
      <c r="BV18" s="139"/>
      <c r="BW18" s="139"/>
      <c r="BX18" s="139"/>
      <c r="BY18" s="139"/>
      <c r="BZ18" s="139"/>
      <c r="CA18" s="139"/>
      <c r="CB18" s="139"/>
      <c r="CC18" s="139"/>
      <c r="CD18" s="221">
        <f>SUMIFS(PRESUPUESTO!$G$51:$G$65,PRESUPUESTO!$E$51:$E$65,CD3)</f>
        <v>14101937.365333334</v>
      </c>
      <c r="CE18" s="222"/>
      <c r="CF18" s="222"/>
      <c r="CG18" s="223"/>
      <c r="CH18" s="150"/>
      <c r="CI18" s="119"/>
      <c r="CJ18" s="119"/>
      <c r="CK18" s="119"/>
      <c r="CL18" s="119"/>
      <c r="CM18" s="119"/>
      <c r="CN18" s="119"/>
      <c r="CO18" s="119"/>
      <c r="CP18" s="119"/>
      <c r="CQ18" s="221">
        <f>SUMIFS(PRESUPUESTO!$G$51:$G$65,PRESUPUESTO!$E$51:$E$65,CQ3)</f>
        <v>14101937.365333334</v>
      </c>
      <c r="CR18" s="222"/>
      <c r="CS18" s="222"/>
      <c r="CT18" s="223"/>
      <c r="CU18" s="150"/>
      <c r="CV18" s="150"/>
      <c r="CW18" s="150"/>
      <c r="CX18" s="150"/>
      <c r="CY18" s="150"/>
      <c r="CZ18" s="150"/>
      <c r="DA18" s="150"/>
      <c r="DB18" s="150"/>
      <c r="DC18" s="150"/>
      <c r="DD18" s="221">
        <f>SUMIFS(PRESUPUESTO!$G$51:$G$65,PRESUPUESTO!$E$51:$E$65,DD3)</f>
        <v>15864679.536</v>
      </c>
      <c r="DE18" s="222"/>
      <c r="DF18" s="222"/>
      <c r="DG18" s="223"/>
      <c r="DH18" s="150"/>
      <c r="DI18" s="150"/>
      <c r="DJ18" s="150"/>
      <c r="DK18" s="150"/>
      <c r="DL18" s="150"/>
      <c r="DM18" s="150"/>
      <c r="DN18" s="150"/>
      <c r="DO18" s="150"/>
      <c r="DP18" s="150"/>
      <c r="DQ18" s="221">
        <f>SUMIFS(PRESUPUESTO!$G$51:$G$65,PRESUPUESTO!$E$51:$E$65,DQ3)</f>
        <v>7107831.333333334</v>
      </c>
      <c r="DR18" s="222"/>
      <c r="DS18" s="222"/>
      <c r="DT18" s="223"/>
      <c r="DU18" s="134" t="e">
        <f t="shared" si="114"/>
        <v>#DIV/0!</v>
      </c>
      <c r="DV18" s="150"/>
      <c r="DW18" s="150"/>
      <c r="DX18" s="150"/>
      <c r="DY18" s="150"/>
      <c r="DZ18" s="150"/>
      <c r="EA18" s="150"/>
      <c r="EB18" s="150"/>
      <c r="EC18" s="150"/>
      <c r="ED18" s="221">
        <f>SUMIFS(PRESUPUESTO!$G$51:$G$65,PRESUPUESTO!$E$51:$E$65,ED3)</f>
        <v>3525484.3413333334</v>
      </c>
      <c r="EE18" s="222"/>
      <c r="EF18" s="222"/>
      <c r="EG18" s="223"/>
      <c r="EH18" s="139"/>
      <c r="EI18" s="139"/>
      <c r="EJ18" s="139"/>
      <c r="EK18" s="139"/>
      <c r="EL18" s="139"/>
      <c r="EM18" s="139"/>
      <c r="EN18" s="139"/>
      <c r="EO18" s="139"/>
      <c r="EP18" s="139"/>
      <c r="EQ18" s="221">
        <f>SUMIFS(PRESUPUESTO!$G$51:$G$65,PRESUPUESTO!$E$51:$E$65,EQ3)</f>
        <v>15864679.536</v>
      </c>
      <c r="ER18" s="222"/>
      <c r="ES18" s="222"/>
      <c r="ET18" s="223"/>
      <c r="EU18" s="150"/>
      <c r="EV18" s="150"/>
      <c r="EW18" s="150"/>
      <c r="EX18" s="150"/>
      <c r="EY18" s="150"/>
      <c r="EZ18" s="150"/>
      <c r="FA18" s="150"/>
      <c r="FB18" s="150"/>
      <c r="FC18" s="150"/>
      <c r="FD18" s="221">
        <f>SUMIFS(PRESUPUESTO!$G$51:$G$65,PRESUPUESTO!$E$51:$E$65,FD3)</f>
        <v>10576453.024</v>
      </c>
      <c r="FE18" s="222"/>
      <c r="FF18" s="222"/>
      <c r="FG18" s="223"/>
      <c r="FH18" s="139"/>
      <c r="FI18" s="139"/>
      <c r="FJ18" s="139"/>
      <c r="FK18" s="139"/>
      <c r="FL18" s="139"/>
      <c r="FM18" s="139"/>
      <c r="FN18" s="139"/>
      <c r="FO18" s="139"/>
      <c r="FP18" s="139"/>
      <c r="FQ18" s="221">
        <f>SUMIFS(PRESUPUESTO!$G$51:$G$65,PRESUPUESTO!$E$51:$E$65,FQ3)</f>
        <v>1819604.8213333334</v>
      </c>
      <c r="FR18" s="222"/>
      <c r="FS18" s="222"/>
      <c r="FT18" s="223"/>
      <c r="FU18" s="150"/>
      <c r="FV18" s="150"/>
      <c r="FW18" s="150"/>
      <c r="FX18" s="150"/>
      <c r="FY18" s="150"/>
      <c r="FZ18" s="150"/>
      <c r="GA18" s="150"/>
      <c r="GB18" s="150"/>
      <c r="GC18" s="150"/>
      <c r="GD18" s="221">
        <f>SUMIFS(PRESUPUESTO!$G$51:$G$65,PRESUPUESTO!$E$51:$E$65,GD3)</f>
        <v>682351.80799999996</v>
      </c>
      <c r="GE18" s="222"/>
      <c r="GF18" s="222"/>
      <c r="GG18" s="223"/>
      <c r="GH18" s="150"/>
      <c r="GI18" s="150"/>
      <c r="GJ18" s="150"/>
      <c r="GK18" s="150"/>
      <c r="GL18" s="150"/>
      <c r="GM18" s="150"/>
      <c r="GN18" s="150"/>
      <c r="GO18" s="150"/>
      <c r="GP18" s="150"/>
      <c r="GQ18" s="221">
        <f>SUMIFS(PRESUPUESTO!$G$51:$G$65,PRESUPUESTO!$E$51:$E$65,GQ3)</f>
        <v>10576453.024</v>
      </c>
      <c r="GR18" s="222"/>
      <c r="GS18" s="222"/>
      <c r="GT18" s="223"/>
      <c r="GU18" s="139"/>
      <c r="GV18" s="139"/>
      <c r="GW18" s="139"/>
      <c r="GX18" s="139"/>
      <c r="GY18" s="139"/>
      <c r="GZ18" s="139"/>
      <c r="HA18" s="139"/>
      <c r="HB18" s="139"/>
      <c r="HC18" s="139"/>
      <c r="HD18" s="221">
        <f>SUMIFS(PRESUPUESTO!$G$51:$G$65,PRESUPUESTO!$E$51:$E$65,HD3)</f>
        <v>10576453.024</v>
      </c>
      <c r="HE18" s="222"/>
      <c r="HF18" s="222"/>
      <c r="HG18" s="223"/>
      <c r="HH18" s="129" t="e">
        <f>SUM(AD18:HG18)</f>
        <v>#DIV/0!</v>
      </c>
      <c r="HI18" s="9"/>
      <c r="HJ18" s="9"/>
      <c r="HK18" s="9"/>
      <c r="HL18" s="9"/>
      <c r="HM18" s="9"/>
      <c r="HN18" s="9"/>
      <c r="HO18" s="9"/>
      <c r="HP18" s="9"/>
    </row>
    <row r="19" spans="2:224" s="2" customFormat="1" hidden="1" x14ac:dyDescent="0.3">
      <c r="B19" s="220" t="s">
        <v>10</v>
      </c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4">
        <f>AD18-AD17</f>
        <v>2722.8960000001825</v>
      </c>
      <c r="AE19" s="224"/>
      <c r="AF19" s="224"/>
      <c r="AG19" s="224"/>
      <c r="AH19" s="118"/>
      <c r="AI19" s="118"/>
      <c r="AJ19" s="118"/>
      <c r="AK19" s="118"/>
      <c r="AL19" s="118"/>
      <c r="AM19" s="118"/>
      <c r="AN19" s="118"/>
      <c r="AO19" s="118"/>
      <c r="AP19" s="118"/>
      <c r="AQ19" s="224">
        <f>AQ18-AQ17</f>
        <v>1995.1946666669101</v>
      </c>
      <c r="AR19" s="224"/>
      <c r="AS19" s="224"/>
      <c r="AT19" s="224"/>
      <c r="AU19" s="118"/>
      <c r="AV19" s="118"/>
      <c r="AW19" s="118"/>
      <c r="AX19" s="118"/>
      <c r="AY19" s="118"/>
      <c r="AZ19" s="118"/>
      <c r="BA19" s="118"/>
      <c r="BB19" s="118"/>
      <c r="BC19" s="118"/>
      <c r="BD19" s="224">
        <f>BD18-BD17</f>
        <v>279.53600000031292</v>
      </c>
      <c r="BE19" s="224"/>
      <c r="BF19" s="224"/>
      <c r="BG19" s="224"/>
      <c r="BH19" s="140"/>
      <c r="BI19" s="118"/>
      <c r="BJ19" s="118"/>
      <c r="BK19" s="118"/>
      <c r="BL19" s="118"/>
      <c r="BM19" s="118"/>
      <c r="BN19" s="118"/>
      <c r="BO19" s="118"/>
      <c r="BP19" s="118"/>
      <c r="BQ19" s="224">
        <f t="shared" ref="BQ19" si="122">BQ18-BQ17</f>
        <v>1195.1946666669101</v>
      </c>
      <c r="BR19" s="224"/>
      <c r="BS19" s="224"/>
      <c r="BT19" s="224"/>
      <c r="BU19" s="140"/>
      <c r="BV19" s="140"/>
      <c r="BW19" s="140"/>
      <c r="BX19" s="140"/>
      <c r="BY19" s="140"/>
      <c r="BZ19" s="140"/>
      <c r="CA19" s="140"/>
      <c r="CB19" s="140"/>
      <c r="CC19" s="140"/>
      <c r="CD19" s="224">
        <f>CD18-CD17</f>
        <v>2137.3653333336115</v>
      </c>
      <c r="CE19" s="224"/>
      <c r="CF19" s="224"/>
      <c r="CG19" s="224"/>
      <c r="CH19" s="151"/>
      <c r="CI19" s="118"/>
      <c r="CJ19" s="118"/>
      <c r="CK19" s="118"/>
      <c r="CL19" s="118"/>
      <c r="CM19" s="118"/>
      <c r="CN19" s="118"/>
      <c r="CO19" s="118"/>
      <c r="CP19" s="118"/>
      <c r="CQ19" s="224">
        <f>CQ18-CQ17</f>
        <v>1537.3653333336115</v>
      </c>
      <c r="CR19" s="224"/>
      <c r="CS19" s="224"/>
      <c r="CT19" s="224"/>
      <c r="CU19" s="151"/>
      <c r="CV19" s="151"/>
      <c r="CW19" s="151"/>
      <c r="CX19" s="151"/>
      <c r="CY19" s="151"/>
      <c r="CZ19" s="151"/>
      <c r="DA19" s="151"/>
      <c r="DB19" s="151"/>
      <c r="DC19" s="151"/>
      <c r="DD19" s="224">
        <f>DD18-DD17</f>
        <v>279.53600000031292</v>
      </c>
      <c r="DE19" s="224"/>
      <c r="DF19" s="224"/>
      <c r="DG19" s="224"/>
      <c r="DH19" s="151"/>
      <c r="DI19" s="151"/>
      <c r="DJ19" s="151"/>
      <c r="DK19" s="151"/>
      <c r="DL19" s="151"/>
      <c r="DM19" s="151"/>
      <c r="DN19" s="151"/>
      <c r="DO19" s="151"/>
      <c r="DP19" s="151"/>
      <c r="DQ19" s="224">
        <f t="shared" ref="DQ19" si="123">DQ18-DQ17</f>
        <v>2031.3333333339542</v>
      </c>
      <c r="DR19" s="224"/>
      <c r="DS19" s="224"/>
      <c r="DT19" s="224"/>
      <c r="DU19" s="134" t="e">
        <f t="shared" si="114"/>
        <v>#DIV/0!</v>
      </c>
      <c r="DV19" s="151"/>
      <c r="DW19" s="151"/>
      <c r="DX19" s="151"/>
      <c r="DY19" s="151"/>
      <c r="DZ19" s="151"/>
      <c r="EA19" s="151"/>
      <c r="EB19" s="151"/>
      <c r="EC19" s="151"/>
      <c r="ED19" s="224">
        <f>ED18-ED17</f>
        <v>884.34133333340287</v>
      </c>
      <c r="EE19" s="224"/>
      <c r="EF19" s="224"/>
      <c r="EG19" s="224"/>
      <c r="EH19" s="140"/>
      <c r="EI19" s="140"/>
      <c r="EJ19" s="140"/>
      <c r="EK19" s="140"/>
      <c r="EL19" s="140"/>
      <c r="EM19" s="140"/>
      <c r="EN19" s="140"/>
      <c r="EO19" s="140"/>
      <c r="EP19" s="140"/>
      <c r="EQ19" s="224">
        <f>EQ18-EQ17</f>
        <v>879.53600000031292</v>
      </c>
      <c r="ER19" s="224"/>
      <c r="ES19" s="224"/>
      <c r="ET19" s="224"/>
      <c r="EU19" s="151"/>
      <c r="EV19" s="151"/>
      <c r="EW19" s="151"/>
      <c r="EX19" s="151"/>
      <c r="EY19" s="151"/>
      <c r="EZ19" s="151"/>
      <c r="FA19" s="151"/>
      <c r="FB19" s="151"/>
      <c r="FC19" s="151"/>
      <c r="FD19" s="224">
        <f>FD18-FD17</f>
        <v>653.02400000020862</v>
      </c>
      <c r="FE19" s="224"/>
      <c r="FF19" s="224"/>
      <c r="FG19" s="224"/>
      <c r="FH19" s="140"/>
      <c r="FI19" s="140"/>
      <c r="FJ19" s="140"/>
      <c r="FK19" s="140"/>
      <c r="FL19" s="140"/>
      <c r="FM19" s="140"/>
      <c r="FN19" s="140"/>
      <c r="FO19" s="140"/>
      <c r="FP19" s="140"/>
      <c r="FQ19" s="224">
        <f t="shared" ref="FQ19" si="124">FQ18-FQ17</f>
        <v>1004.8213333333842</v>
      </c>
      <c r="FR19" s="224"/>
      <c r="FS19" s="224"/>
      <c r="FT19" s="224"/>
      <c r="FU19" s="151"/>
      <c r="FV19" s="151"/>
      <c r="FW19" s="151"/>
      <c r="FX19" s="151"/>
      <c r="FY19" s="151"/>
      <c r="FZ19" s="151"/>
      <c r="GA19" s="151"/>
      <c r="GB19" s="151"/>
      <c r="GC19" s="151"/>
      <c r="GD19" s="224">
        <f>GD18-GD17</f>
        <v>2551.8079999999609</v>
      </c>
      <c r="GE19" s="224"/>
      <c r="GF19" s="224"/>
      <c r="GG19" s="224"/>
      <c r="GH19" s="151"/>
      <c r="GI19" s="151"/>
      <c r="GJ19" s="151"/>
      <c r="GK19" s="151"/>
      <c r="GL19" s="151"/>
      <c r="GM19" s="151"/>
      <c r="GN19" s="151"/>
      <c r="GO19" s="151"/>
      <c r="GP19" s="151"/>
      <c r="GQ19" s="224">
        <f>GQ18-GQ17</f>
        <v>653.02400000020862</v>
      </c>
      <c r="GR19" s="224"/>
      <c r="GS19" s="224"/>
      <c r="GT19" s="224"/>
      <c r="GU19" s="140"/>
      <c r="GV19" s="140"/>
      <c r="GW19" s="140"/>
      <c r="GX19" s="140"/>
      <c r="GY19" s="140"/>
      <c r="GZ19" s="140"/>
      <c r="HA19" s="140"/>
      <c r="HB19" s="140"/>
      <c r="HC19" s="140"/>
      <c r="HD19" s="224">
        <f>HD18-HD17</f>
        <v>653.02400000020862</v>
      </c>
      <c r="HE19" s="224"/>
      <c r="HF19" s="224"/>
      <c r="HG19" s="224"/>
      <c r="HH19" s="9"/>
      <c r="HI19" s="9"/>
      <c r="HJ19" s="9"/>
      <c r="HK19" s="9"/>
      <c r="HL19" s="9"/>
      <c r="HM19" s="9"/>
      <c r="HN19" s="9"/>
      <c r="HO19" s="9"/>
      <c r="HP19" s="9"/>
    </row>
    <row r="20" spans="2:224" s="31" customFormat="1" x14ac:dyDescent="0.3">
      <c r="B20" s="19"/>
      <c r="C20" s="19"/>
      <c r="D20" s="125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28"/>
      <c r="AD20" s="19"/>
      <c r="AE20" s="19"/>
      <c r="AF20" s="29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19"/>
      <c r="AR20" s="19"/>
      <c r="AS20" s="29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19"/>
      <c r="BE20" s="19"/>
      <c r="BF20" s="29"/>
      <c r="BG20" s="30"/>
      <c r="BH20" s="141"/>
      <c r="BI20" s="30"/>
      <c r="BJ20" s="30"/>
      <c r="BK20" s="30"/>
      <c r="BL20" s="30"/>
      <c r="BM20" s="30"/>
      <c r="BN20" s="30"/>
      <c r="BO20" s="30"/>
      <c r="BP20" s="30"/>
      <c r="BQ20" s="19"/>
      <c r="BR20" s="19"/>
      <c r="BS20" s="29"/>
      <c r="BT20" s="30"/>
      <c r="BU20" s="141"/>
      <c r="BV20" s="141"/>
      <c r="BW20" s="141"/>
      <c r="BX20" s="141"/>
      <c r="BY20" s="141"/>
      <c r="BZ20" s="141"/>
      <c r="CA20" s="141"/>
      <c r="CB20" s="141"/>
      <c r="CC20" s="141"/>
      <c r="CD20" s="19"/>
      <c r="CE20" s="19"/>
      <c r="CF20" s="19"/>
      <c r="CG20" s="19"/>
      <c r="CH20" s="152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52"/>
      <c r="CV20" s="152"/>
      <c r="CW20" s="152"/>
      <c r="CX20" s="152"/>
      <c r="CY20" s="152"/>
      <c r="CZ20" s="152"/>
      <c r="DA20" s="152"/>
      <c r="DB20" s="152"/>
      <c r="DC20" s="152"/>
      <c r="DD20" s="19"/>
      <c r="DE20" s="19"/>
      <c r="DF20" s="19"/>
      <c r="DG20" s="19"/>
      <c r="DH20" s="152"/>
      <c r="DI20" s="152"/>
      <c r="DJ20" s="152"/>
      <c r="DK20" s="152"/>
      <c r="DL20" s="152"/>
      <c r="DM20" s="152"/>
      <c r="DN20" s="152"/>
      <c r="DO20" s="152"/>
      <c r="DP20" s="152"/>
      <c r="DQ20" s="19"/>
      <c r="DR20" s="19"/>
      <c r="DS20" s="19"/>
      <c r="DT20" s="19"/>
      <c r="DU20" s="152"/>
      <c r="DV20" s="152"/>
      <c r="DW20" s="152"/>
      <c r="DX20" s="152"/>
      <c r="DY20" s="152"/>
      <c r="DZ20" s="152"/>
      <c r="EA20" s="152"/>
      <c r="EB20" s="152"/>
      <c r="EC20" s="152"/>
      <c r="ED20" s="19"/>
      <c r="EE20" s="19"/>
      <c r="EF20" s="19"/>
      <c r="EG20" s="19"/>
      <c r="EH20" s="141"/>
      <c r="EI20" s="141"/>
      <c r="EJ20" s="141"/>
      <c r="EK20" s="141"/>
      <c r="EL20" s="141"/>
      <c r="EM20" s="141"/>
      <c r="EN20" s="141"/>
      <c r="EO20" s="141"/>
      <c r="EP20" s="141"/>
      <c r="EQ20" s="19"/>
      <c r="ER20" s="19"/>
      <c r="ES20" s="19"/>
      <c r="ET20" s="19"/>
      <c r="EU20" s="152"/>
      <c r="EV20" s="152"/>
      <c r="EW20" s="152"/>
      <c r="EX20" s="152"/>
      <c r="EY20" s="152"/>
      <c r="EZ20" s="152"/>
      <c r="FA20" s="152"/>
      <c r="FB20" s="152"/>
      <c r="FC20" s="152"/>
      <c r="FD20" s="19"/>
      <c r="FE20" s="19"/>
      <c r="FF20" s="19"/>
      <c r="FG20" s="19"/>
      <c r="FH20" s="141"/>
      <c r="FI20" s="141"/>
      <c r="FJ20" s="141"/>
      <c r="FK20" s="141"/>
      <c r="FL20" s="141"/>
      <c r="FM20" s="141"/>
      <c r="FN20" s="141"/>
      <c r="FO20" s="141"/>
      <c r="FP20" s="141"/>
      <c r="FQ20" s="19"/>
      <c r="FR20" s="19"/>
      <c r="FS20" s="19"/>
      <c r="FT20" s="19"/>
      <c r="FU20" s="152"/>
      <c r="FV20" s="152"/>
      <c r="FW20" s="152"/>
      <c r="FX20" s="152"/>
      <c r="FY20" s="152"/>
      <c r="FZ20" s="152"/>
      <c r="GA20" s="152"/>
      <c r="GB20" s="152"/>
      <c r="GC20" s="152"/>
      <c r="GD20" s="19"/>
      <c r="GE20" s="19"/>
      <c r="GF20" s="19"/>
      <c r="GG20" s="19"/>
      <c r="GH20" s="152"/>
      <c r="GI20" s="152"/>
      <c r="GJ20" s="152"/>
      <c r="GK20" s="152"/>
      <c r="GL20" s="152"/>
      <c r="GM20" s="152"/>
      <c r="GN20" s="152"/>
      <c r="GO20" s="152"/>
      <c r="GP20" s="152"/>
      <c r="GQ20" s="19"/>
      <c r="GR20" s="19"/>
      <c r="GS20" s="19"/>
      <c r="GT20" s="19"/>
      <c r="GU20" s="141"/>
      <c r="GV20" s="141"/>
      <c r="GW20" s="141"/>
      <c r="GX20" s="141"/>
      <c r="GY20" s="141"/>
      <c r="GZ20" s="141"/>
      <c r="HA20" s="141"/>
      <c r="HB20" s="141"/>
      <c r="HC20" s="141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</row>
    <row r="21" spans="2:224" x14ac:dyDescent="0.25">
      <c r="B21" s="199" t="s">
        <v>147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199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200"/>
      <c r="BR21" s="199"/>
      <c r="BS21" s="200"/>
      <c r="BT21" s="200"/>
      <c r="BU21" s="200"/>
      <c r="BV21" s="200"/>
      <c r="BW21" s="200"/>
      <c r="BX21" s="200"/>
      <c r="BY21" s="200"/>
      <c r="BZ21" s="200"/>
      <c r="CA21" s="200"/>
      <c r="CB21" s="200"/>
      <c r="CC21" s="200"/>
      <c r="CD21" s="200"/>
      <c r="CE21" s="200"/>
      <c r="CF21" s="200"/>
      <c r="CG21" s="200"/>
      <c r="CH21" s="200"/>
      <c r="CI21" s="200"/>
      <c r="CJ21" s="200"/>
      <c r="CK21" s="200"/>
      <c r="CL21" s="200"/>
      <c r="CM21" s="200"/>
      <c r="CN21" s="200"/>
      <c r="CO21" s="200"/>
      <c r="CP21" s="200"/>
      <c r="CQ21" s="200"/>
      <c r="CR21" s="200"/>
      <c r="CS21" s="200"/>
      <c r="CT21" s="200"/>
      <c r="CU21" s="200"/>
      <c r="CV21" s="200"/>
      <c r="CW21" s="200"/>
      <c r="CX21" s="200"/>
      <c r="CY21" s="200"/>
      <c r="CZ21" s="200"/>
      <c r="DA21" s="200"/>
      <c r="DB21" s="200"/>
      <c r="DC21" s="200"/>
      <c r="DD21" s="200"/>
      <c r="DE21" s="200"/>
      <c r="DF21" s="199"/>
      <c r="DG21" s="200"/>
      <c r="DH21" s="200"/>
      <c r="DI21" s="200"/>
      <c r="DJ21" s="200"/>
      <c r="DK21" s="200"/>
      <c r="DL21" s="200"/>
      <c r="DM21" s="200"/>
      <c r="DN21" s="200"/>
      <c r="DO21" s="200"/>
      <c r="DP21" s="200"/>
      <c r="DQ21" s="200"/>
      <c r="DR21" s="200"/>
      <c r="DS21" s="200"/>
      <c r="DT21" s="200"/>
      <c r="DU21" s="200"/>
      <c r="DV21" s="200"/>
      <c r="DW21" s="200"/>
      <c r="DX21" s="200"/>
      <c r="DY21" s="200"/>
      <c r="DZ21" s="200"/>
      <c r="EA21" s="200"/>
      <c r="EB21" s="200"/>
      <c r="EC21" s="200"/>
      <c r="ED21" s="200"/>
      <c r="EE21" s="200"/>
      <c r="EF21" s="200"/>
      <c r="EG21" s="200"/>
      <c r="EH21" s="200"/>
      <c r="EI21" s="200"/>
      <c r="EJ21" s="200"/>
      <c r="EK21" s="200"/>
      <c r="EL21" s="200"/>
      <c r="EM21" s="200"/>
      <c r="EN21" s="200"/>
      <c r="EO21" s="200"/>
      <c r="EP21" s="200"/>
      <c r="EQ21" s="200"/>
      <c r="ER21" s="200"/>
      <c r="ES21" s="200"/>
      <c r="ET21" s="199"/>
      <c r="EU21" s="200"/>
      <c r="EV21" s="200"/>
      <c r="EW21" s="200"/>
      <c r="EX21" s="200"/>
      <c r="EY21" s="200"/>
      <c r="EZ21" s="200"/>
      <c r="FA21" s="200"/>
      <c r="FB21" s="200"/>
      <c r="FC21" s="200"/>
      <c r="FD21" s="200"/>
      <c r="FE21" s="200"/>
      <c r="FF21" s="200"/>
      <c r="FG21" s="200"/>
      <c r="FH21" s="200"/>
      <c r="FI21" s="200"/>
      <c r="FJ21" s="200"/>
      <c r="FK21" s="200"/>
      <c r="FL21" s="200"/>
      <c r="FM21" s="200"/>
      <c r="FN21" s="200"/>
      <c r="FO21" s="200"/>
      <c r="FP21" s="200"/>
      <c r="FQ21" s="200"/>
      <c r="FR21" s="200"/>
      <c r="FS21" s="200"/>
      <c r="FT21" s="200"/>
      <c r="FU21" s="200"/>
      <c r="FV21" s="200"/>
      <c r="FW21" s="200"/>
      <c r="FX21" s="200"/>
      <c r="FY21" s="200"/>
      <c r="FZ21" s="200"/>
      <c r="GA21" s="200"/>
      <c r="GB21" s="200"/>
      <c r="GC21" s="200"/>
      <c r="GD21" s="200"/>
      <c r="GE21" s="200"/>
      <c r="GF21" s="200"/>
      <c r="GG21" s="200"/>
      <c r="GH21" s="163"/>
      <c r="GI21" s="163"/>
      <c r="GJ21" s="163"/>
      <c r="GK21" s="163"/>
      <c r="GL21" s="163"/>
      <c r="GM21" s="163"/>
      <c r="GN21" s="163"/>
      <c r="GO21" s="163"/>
      <c r="GP21" s="163"/>
      <c r="GQ21" s="199"/>
      <c r="GR21" s="200"/>
      <c r="GS21" s="200"/>
      <c r="GT21" s="200"/>
      <c r="GU21" s="200"/>
      <c r="GV21" s="200"/>
      <c r="GW21" s="200"/>
      <c r="GX21" s="200"/>
      <c r="GY21" s="200"/>
      <c r="GZ21" s="200"/>
      <c r="HA21" s="200"/>
      <c r="HB21" s="200"/>
      <c r="HC21" s="200"/>
      <c r="HD21" s="200"/>
      <c r="HE21" s="200"/>
      <c r="HF21" s="200"/>
      <c r="HG21" s="200"/>
      <c r="HH21" s="130"/>
      <c r="HI21" s="130"/>
      <c r="HJ21" s="130"/>
      <c r="HK21" s="130"/>
      <c r="HL21" s="130"/>
      <c r="HM21" s="130"/>
      <c r="HN21" s="130"/>
      <c r="HO21" s="130"/>
      <c r="HP21" s="130"/>
    </row>
    <row r="22" spans="2:224" ht="28.5" customHeight="1" x14ac:dyDescent="0.25">
      <c r="B22" s="225" t="str">
        <f>'PLAN DE NECESIDADES'!B20</f>
        <v>ÍTEM</v>
      </c>
      <c r="C22" s="225" t="str">
        <f>'PLAN DE NECESIDADES'!C20</f>
        <v>CÓDIGO DANE</v>
      </c>
      <c r="D22" s="226" t="str">
        <f>'PLAN DE NECESIDADES'!D20</f>
        <v xml:space="preserve">DESCRIPCIÓN DEL BIEN Y/O SERVICIO </v>
      </c>
      <c r="E22" s="225" t="str">
        <f>'PLAN DE NECESIDADES'!E20</f>
        <v>UNIDAD MEDIDA</v>
      </c>
      <c r="F22" s="225" t="str">
        <f>'PLAN DE NECESIDADES'!F20</f>
        <v>EXISTENCIAS (STOCK - INVENTARIOS)</v>
      </c>
      <c r="G22" s="225" t="str">
        <f>'PLAN DE NECESIDADES'!H20</f>
        <v>UNSPSC (CCE)</v>
      </c>
      <c r="H22" s="225" t="str">
        <f>'PLAN DE NECESIDADES'!I20</f>
        <v xml:space="preserve">CÓDIGO MATERIAL SAP </v>
      </c>
      <c r="I22" s="225" t="str">
        <f>'PLAN DE NECESIDADES'!J20</f>
        <v xml:space="preserve">CÓDIGO OTAN - NOC </v>
      </c>
      <c r="J22" s="205" t="s">
        <v>155</v>
      </c>
      <c r="K22" s="203" t="str">
        <f>AD22</f>
        <v>BAABS3</v>
      </c>
      <c r="L22" s="203" t="str">
        <f>AQ22</f>
        <v>BAACA10</v>
      </c>
      <c r="M22" s="203" t="str">
        <f>BD22</f>
        <v>BAACA2</v>
      </c>
      <c r="N22" s="203" t="str">
        <f>BQ22</f>
        <v>BAADA1</v>
      </c>
      <c r="O22" s="203" t="str">
        <f>CD22</f>
        <v>BAEEV2</v>
      </c>
      <c r="P22" s="203" t="str">
        <f>CQ22</f>
        <v>BAEEV3</v>
      </c>
      <c r="Q22" s="203" t="str">
        <f>DD22</f>
        <v>BAMMA7</v>
      </c>
      <c r="R22" s="203" t="str">
        <f>DQ22</f>
        <v>BASPC10</v>
      </c>
      <c r="S22" s="203" t="str">
        <f>ED22</f>
        <v>BASAC</v>
      </c>
      <c r="T22" s="203" t="str">
        <f>EQ22</f>
        <v>BICAR</v>
      </c>
      <c r="U22" s="203" t="str">
        <f>FD22</f>
        <v>BIMOC70</v>
      </c>
      <c r="V22" s="203" t="str">
        <f>FQ22</f>
        <v>BITER10</v>
      </c>
      <c r="W22" s="203" t="str">
        <f>GD22</f>
        <v>DIM15</v>
      </c>
      <c r="X22" s="203" t="str">
        <f>GQ22</f>
        <v>GMMAT</v>
      </c>
      <c r="Y22" s="203" t="str">
        <f>HD22</f>
        <v>GMRON</v>
      </c>
      <c r="Z22" s="209" t="s">
        <v>13</v>
      </c>
      <c r="AA22" s="227" t="s">
        <v>14</v>
      </c>
      <c r="AB22" s="227" t="s">
        <v>12</v>
      </c>
      <c r="AC22" s="227" t="s">
        <v>4</v>
      </c>
      <c r="AD22" s="214" t="s">
        <v>29</v>
      </c>
      <c r="AE22" s="215"/>
      <c r="AF22" s="215"/>
      <c r="AG22" s="216"/>
      <c r="AH22" s="114"/>
      <c r="AI22" s="114"/>
      <c r="AJ22" s="114"/>
      <c r="AK22" s="114"/>
      <c r="AL22" s="114"/>
      <c r="AM22" s="114"/>
      <c r="AN22" s="114"/>
      <c r="AO22" s="114"/>
      <c r="AP22" s="114"/>
      <c r="AQ22" s="217" t="s">
        <v>30</v>
      </c>
      <c r="AR22" s="218"/>
      <c r="AS22" s="218"/>
      <c r="AT22" s="219"/>
      <c r="AU22" s="115"/>
      <c r="AV22" s="115"/>
      <c r="AW22" s="115"/>
      <c r="AX22" s="115"/>
      <c r="AY22" s="115"/>
      <c r="AZ22" s="115"/>
      <c r="BA22" s="115"/>
      <c r="BB22" s="115"/>
      <c r="BC22" s="115"/>
      <c r="BD22" s="196" t="s">
        <v>31</v>
      </c>
      <c r="BE22" s="197"/>
      <c r="BF22" s="197"/>
      <c r="BG22" s="198"/>
      <c r="BH22" s="137"/>
      <c r="BI22" s="116"/>
      <c r="BJ22" s="116"/>
      <c r="BK22" s="116"/>
      <c r="BL22" s="116"/>
      <c r="BM22" s="116"/>
      <c r="BN22" s="116"/>
      <c r="BO22" s="116"/>
      <c r="BP22" s="116"/>
      <c r="BQ22" s="211" t="s">
        <v>32</v>
      </c>
      <c r="BR22" s="212"/>
      <c r="BS22" s="212"/>
      <c r="BT22" s="213"/>
      <c r="BU22" s="144"/>
      <c r="BV22" s="144"/>
      <c r="BW22" s="144"/>
      <c r="BX22" s="144"/>
      <c r="BY22" s="144"/>
      <c r="BZ22" s="144"/>
      <c r="CA22" s="144"/>
      <c r="CB22" s="144"/>
      <c r="CC22" s="144"/>
      <c r="CD22" s="214" t="s">
        <v>27</v>
      </c>
      <c r="CE22" s="215"/>
      <c r="CF22" s="215"/>
      <c r="CG22" s="216"/>
      <c r="CH22" s="148"/>
      <c r="CI22" s="114"/>
      <c r="CJ22" s="114"/>
      <c r="CK22" s="114"/>
      <c r="CL22" s="114"/>
      <c r="CM22" s="114"/>
      <c r="CN22" s="114"/>
      <c r="CO22" s="114"/>
      <c r="CP22" s="114"/>
      <c r="CQ22" s="217" t="s">
        <v>33</v>
      </c>
      <c r="CR22" s="218"/>
      <c r="CS22" s="218"/>
      <c r="CT22" s="219"/>
      <c r="CU22" s="156"/>
      <c r="CV22" s="156"/>
      <c r="CW22" s="156"/>
      <c r="CX22" s="156"/>
      <c r="CY22" s="156"/>
      <c r="CZ22" s="156"/>
      <c r="DA22" s="156"/>
      <c r="DB22" s="156"/>
      <c r="DC22" s="156"/>
      <c r="DD22" s="196" t="s">
        <v>66</v>
      </c>
      <c r="DE22" s="197"/>
      <c r="DF22" s="197"/>
      <c r="DG22" s="198"/>
      <c r="DH22" s="158"/>
      <c r="DI22" s="158"/>
      <c r="DJ22" s="158"/>
      <c r="DK22" s="158"/>
      <c r="DL22" s="158"/>
      <c r="DM22" s="158"/>
      <c r="DN22" s="158"/>
      <c r="DO22" s="158"/>
      <c r="DP22" s="158"/>
      <c r="DQ22" s="211" t="s">
        <v>67</v>
      </c>
      <c r="DR22" s="212"/>
      <c r="DS22" s="212"/>
      <c r="DT22" s="213"/>
      <c r="DU22" s="160"/>
      <c r="DV22" s="160"/>
      <c r="DW22" s="160"/>
      <c r="DX22" s="160"/>
      <c r="DY22" s="160"/>
      <c r="DZ22" s="160"/>
      <c r="EA22" s="160"/>
      <c r="EB22" s="160"/>
      <c r="EC22" s="160"/>
      <c r="ED22" s="214" t="s">
        <v>34</v>
      </c>
      <c r="EE22" s="215"/>
      <c r="EF22" s="215"/>
      <c r="EG22" s="216"/>
      <c r="EH22" s="162"/>
      <c r="EI22" s="162"/>
      <c r="EJ22" s="162"/>
      <c r="EK22" s="162"/>
      <c r="EL22" s="162"/>
      <c r="EM22" s="162"/>
      <c r="EN22" s="162"/>
      <c r="EO22" s="162"/>
      <c r="EP22" s="162"/>
      <c r="EQ22" s="217" t="s">
        <v>35</v>
      </c>
      <c r="ER22" s="218"/>
      <c r="ES22" s="218"/>
      <c r="ET22" s="219"/>
      <c r="EU22" s="156"/>
      <c r="EV22" s="156"/>
      <c r="EW22" s="156"/>
      <c r="EX22" s="156"/>
      <c r="EY22" s="156"/>
      <c r="EZ22" s="156"/>
      <c r="FA22" s="156"/>
      <c r="FB22" s="156"/>
      <c r="FC22" s="156"/>
      <c r="FD22" s="196" t="s">
        <v>68</v>
      </c>
      <c r="FE22" s="197"/>
      <c r="FF22" s="197"/>
      <c r="FG22" s="198"/>
      <c r="FH22" s="137"/>
      <c r="FI22" s="137"/>
      <c r="FJ22" s="137"/>
      <c r="FK22" s="137"/>
      <c r="FL22" s="137"/>
      <c r="FM22" s="137"/>
      <c r="FN22" s="137"/>
      <c r="FO22" s="137"/>
      <c r="FP22" s="137"/>
      <c r="FQ22" s="211" t="s">
        <v>36</v>
      </c>
      <c r="FR22" s="212"/>
      <c r="FS22" s="212"/>
      <c r="FT22" s="213"/>
      <c r="FU22" s="160"/>
      <c r="FV22" s="160"/>
      <c r="FW22" s="160"/>
      <c r="FX22" s="160"/>
      <c r="FY22" s="160"/>
      <c r="FZ22" s="160"/>
      <c r="GA22" s="160"/>
      <c r="GB22" s="160"/>
      <c r="GC22" s="160"/>
      <c r="GD22" s="214" t="s">
        <v>37</v>
      </c>
      <c r="GE22" s="215"/>
      <c r="GF22" s="215"/>
      <c r="GG22" s="216"/>
      <c r="GH22" s="148"/>
      <c r="GI22" s="148"/>
      <c r="GJ22" s="148"/>
      <c r="GK22" s="148"/>
      <c r="GL22" s="148"/>
      <c r="GM22" s="148"/>
      <c r="GN22" s="148"/>
      <c r="GO22" s="148"/>
      <c r="GP22" s="148"/>
      <c r="GQ22" s="217" t="s">
        <v>69</v>
      </c>
      <c r="GR22" s="218"/>
      <c r="GS22" s="218"/>
      <c r="GT22" s="219"/>
      <c r="GU22" s="164"/>
      <c r="GV22" s="164"/>
      <c r="GW22" s="164"/>
      <c r="GX22" s="164"/>
      <c r="GY22" s="164"/>
      <c r="GZ22" s="164"/>
      <c r="HA22" s="164"/>
      <c r="HB22" s="164"/>
      <c r="HC22" s="164"/>
      <c r="HD22" s="196" t="s">
        <v>38</v>
      </c>
      <c r="HE22" s="197"/>
      <c r="HF22" s="197"/>
      <c r="HG22" s="198"/>
      <c r="HH22" s="202"/>
      <c r="HI22" s="202"/>
      <c r="HJ22" s="202"/>
      <c r="HK22" s="202"/>
      <c r="HL22" s="202"/>
      <c r="HM22" s="202"/>
      <c r="HN22" s="202"/>
      <c r="HO22" s="202"/>
      <c r="HP22" s="202"/>
    </row>
    <row r="23" spans="2:224" ht="28.5" customHeight="1" x14ac:dyDescent="0.25">
      <c r="B23" s="225"/>
      <c r="C23" s="225"/>
      <c r="D23" s="226"/>
      <c r="E23" s="225"/>
      <c r="F23" s="225"/>
      <c r="G23" s="225"/>
      <c r="H23" s="225"/>
      <c r="I23" s="225"/>
      <c r="J23" s="206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10"/>
      <c r="AA23" s="227"/>
      <c r="AB23" s="227"/>
      <c r="AC23" s="227"/>
      <c r="AD23" s="20" t="s">
        <v>15</v>
      </c>
      <c r="AE23" s="21" t="s">
        <v>16</v>
      </c>
      <c r="AF23" s="22" t="s">
        <v>17</v>
      </c>
      <c r="AG23" s="20" t="s">
        <v>20</v>
      </c>
      <c r="AH23" s="20" t="s">
        <v>166</v>
      </c>
      <c r="AI23" s="20" t="s">
        <v>163</v>
      </c>
      <c r="AJ23" s="20" t="s">
        <v>162</v>
      </c>
      <c r="AK23" s="20" t="s">
        <v>164</v>
      </c>
      <c r="AL23" s="20" t="s">
        <v>162</v>
      </c>
      <c r="AM23" s="20" t="s">
        <v>165</v>
      </c>
      <c r="AN23" s="20" t="s">
        <v>162</v>
      </c>
      <c r="AO23" s="20" t="s">
        <v>21</v>
      </c>
      <c r="AP23" s="20"/>
      <c r="AQ23" s="3" t="s">
        <v>15</v>
      </c>
      <c r="AR23" s="4" t="s">
        <v>16</v>
      </c>
      <c r="AS23" s="5" t="s">
        <v>17</v>
      </c>
      <c r="AT23" s="3" t="s">
        <v>20</v>
      </c>
      <c r="AU23" s="3" t="s">
        <v>166</v>
      </c>
      <c r="AV23" s="3" t="s">
        <v>163</v>
      </c>
      <c r="AW23" s="3" t="s">
        <v>162</v>
      </c>
      <c r="AX23" s="3" t="s">
        <v>164</v>
      </c>
      <c r="AY23" s="3" t="s">
        <v>162</v>
      </c>
      <c r="AZ23" s="3" t="s">
        <v>165</v>
      </c>
      <c r="BA23" s="3" t="s">
        <v>162</v>
      </c>
      <c r="BB23" s="3" t="s">
        <v>21</v>
      </c>
      <c r="BC23" s="3"/>
      <c r="BD23" s="117" t="s">
        <v>15</v>
      </c>
      <c r="BE23" s="23" t="s">
        <v>16</v>
      </c>
      <c r="BF23" s="24" t="s">
        <v>17</v>
      </c>
      <c r="BG23" s="117" t="s">
        <v>20</v>
      </c>
      <c r="BH23" s="138" t="s">
        <v>166</v>
      </c>
      <c r="BI23" s="117" t="s">
        <v>163</v>
      </c>
      <c r="BJ23" s="117" t="s">
        <v>162</v>
      </c>
      <c r="BK23" s="117" t="s">
        <v>164</v>
      </c>
      <c r="BL23" s="117" t="s">
        <v>162</v>
      </c>
      <c r="BM23" s="117" t="s">
        <v>165</v>
      </c>
      <c r="BN23" s="117" t="s">
        <v>162</v>
      </c>
      <c r="BO23" s="117" t="s">
        <v>21</v>
      </c>
      <c r="BP23" s="117"/>
      <c r="BQ23" s="25" t="s">
        <v>15</v>
      </c>
      <c r="BR23" s="26" t="s">
        <v>16</v>
      </c>
      <c r="BS23" s="27" t="s">
        <v>17</v>
      </c>
      <c r="BT23" s="25" t="s">
        <v>20</v>
      </c>
      <c r="BU23" s="143" t="s">
        <v>166</v>
      </c>
      <c r="BV23" s="143" t="s">
        <v>163</v>
      </c>
      <c r="BW23" s="143" t="s">
        <v>162</v>
      </c>
      <c r="BX23" s="143" t="s">
        <v>164</v>
      </c>
      <c r="BY23" s="143" t="s">
        <v>162</v>
      </c>
      <c r="BZ23" s="143" t="s">
        <v>165</v>
      </c>
      <c r="CA23" s="143" t="s">
        <v>162</v>
      </c>
      <c r="CB23" s="143" t="s">
        <v>21</v>
      </c>
      <c r="CC23" s="143"/>
      <c r="CD23" s="20" t="s">
        <v>15</v>
      </c>
      <c r="CE23" s="21" t="s">
        <v>16</v>
      </c>
      <c r="CF23" s="22" t="s">
        <v>17</v>
      </c>
      <c r="CG23" s="20" t="s">
        <v>20</v>
      </c>
      <c r="CH23" s="149" t="s">
        <v>166</v>
      </c>
      <c r="CI23" s="145" t="s">
        <v>163</v>
      </c>
      <c r="CJ23" s="145" t="s">
        <v>162</v>
      </c>
      <c r="CK23" s="145" t="s">
        <v>164</v>
      </c>
      <c r="CL23" s="145" t="s">
        <v>162</v>
      </c>
      <c r="CM23" s="145" t="s">
        <v>165</v>
      </c>
      <c r="CN23" s="145" t="s">
        <v>162</v>
      </c>
      <c r="CO23" s="145" t="s">
        <v>21</v>
      </c>
      <c r="CP23" s="145"/>
      <c r="CQ23" s="3" t="s">
        <v>15</v>
      </c>
      <c r="CR23" s="4" t="s">
        <v>16</v>
      </c>
      <c r="CS23" s="5" t="s">
        <v>17</v>
      </c>
      <c r="CT23" s="3" t="s">
        <v>20</v>
      </c>
      <c r="CU23" s="157" t="s">
        <v>166</v>
      </c>
      <c r="CV23" s="157" t="s">
        <v>163</v>
      </c>
      <c r="CW23" s="157" t="s">
        <v>162</v>
      </c>
      <c r="CX23" s="157" t="s">
        <v>164</v>
      </c>
      <c r="CY23" s="157" t="s">
        <v>162</v>
      </c>
      <c r="CZ23" s="157" t="s">
        <v>165</v>
      </c>
      <c r="DA23" s="157" t="s">
        <v>162</v>
      </c>
      <c r="DB23" s="157" t="s">
        <v>21</v>
      </c>
      <c r="DC23" s="157"/>
      <c r="DD23" s="117" t="s">
        <v>15</v>
      </c>
      <c r="DE23" s="23" t="s">
        <v>16</v>
      </c>
      <c r="DF23" s="24" t="s">
        <v>17</v>
      </c>
      <c r="DG23" s="117" t="s">
        <v>20</v>
      </c>
      <c r="DH23" s="159" t="s">
        <v>166</v>
      </c>
      <c r="DI23" s="159" t="s">
        <v>163</v>
      </c>
      <c r="DJ23" s="159" t="s">
        <v>162</v>
      </c>
      <c r="DK23" s="159" t="s">
        <v>164</v>
      </c>
      <c r="DL23" s="159" t="s">
        <v>162</v>
      </c>
      <c r="DM23" s="159" t="s">
        <v>165</v>
      </c>
      <c r="DN23" s="159" t="s">
        <v>162</v>
      </c>
      <c r="DO23" s="159" t="s">
        <v>21</v>
      </c>
      <c r="DP23" s="159"/>
      <c r="DQ23" s="25" t="s">
        <v>15</v>
      </c>
      <c r="DR23" s="26" t="s">
        <v>16</v>
      </c>
      <c r="DS23" s="27" t="s">
        <v>17</v>
      </c>
      <c r="DT23" s="25" t="s">
        <v>20</v>
      </c>
      <c r="DU23" s="161" t="s">
        <v>166</v>
      </c>
      <c r="DV23" s="161" t="s">
        <v>163</v>
      </c>
      <c r="DW23" s="161" t="s">
        <v>162</v>
      </c>
      <c r="DX23" s="161" t="s">
        <v>164</v>
      </c>
      <c r="DY23" s="161" t="s">
        <v>162</v>
      </c>
      <c r="DZ23" s="161" t="s">
        <v>165</v>
      </c>
      <c r="EA23" s="161" t="s">
        <v>162</v>
      </c>
      <c r="EB23" s="161" t="s">
        <v>21</v>
      </c>
      <c r="EC23" s="161"/>
      <c r="ED23" s="20" t="s">
        <v>15</v>
      </c>
      <c r="EE23" s="21" t="s">
        <v>16</v>
      </c>
      <c r="EF23" s="22" t="s">
        <v>17</v>
      </c>
      <c r="EG23" s="20" t="s">
        <v>20</v>
      </c>
      <c r="EH23" s="145" t="s">
        <v>166</v>
      </c>
      <c r="EI23" s="145" t="s">
        <v>163</v>
      </c>
      <c r="EJ23" s="145" t="s">
        <v>162</v>
      </c>
      <c r="EK23" s="145" t="s">
        <v>164</v>
      </c>
      <c r="EL23" s="145" t="s">
        <v>162</v>
      </c>
      <c r="EM23" s="145" t="s">
        <v>165</v>
      </c>
      <c r="EN23" s="145" t="s">
        <v>162</v>
      </c>
      <c r="EO23" s="145" t="s">
        <v>21</v>
      </c>
      <c r="EP23" s="145"/>
      <c r="EQ23" s="3" t="s">
        <v>15</v>
      </c>
      <c r="ER23" s="4" t="s">
        <v>16</v>
      </c>
      <c r="ES23" s="5" t="s">
        <v>17</v>
      </c>
      <c r="ET23" s="3" t="s">
        <v>20</v>
      </c>
      <c r="EU23" s="157" t="s">
        <v>166</v>
      </c>
      <c r="EV23" s="157" t="s">
        <v>163</v>
      </c>
      <c r="EW23" s="157" t="s">
        <v>162</v>
      </c>
      <c r="EX23" s="157" t="s">
        <v>164</v>
      </c>
      <c r="EY23" s="157" t="s">
        <v>162</v>
      </c>
      <c r="EZ23" s="157" t="s">
        <v>165</v>
      </c>
      <c r="FA23" s="157" t="s">
        <v>162</v>
      </c>
      <c r="FB23" s="157" t="s">
        <v>21</v>
      </c>
      <c r="FC23" s="157"/>
      <c r="FD23" s="117" t="s">
        <v>15</v>
      </c>
      <c r="FE23" s="23" t="s">
        <v>16</v>
      </c>
      <c r="FF23" s="24" t="s">
        <v>17</v>
      </c>
      <c r="FG23" s="117" t="s">
        <v>20</v>
      </c>
      <c r="FH23" s="138" t="s">
        <v>166</v>
      </c>
      <c r="FI23" s="138" t="s">
        <v>163</v>
      </c>
      <c r="FJ23" s="138" t="s">
        <v>162</v>
      </c>
      <c r="FK23" s="138" t="s">
        <v>164</v>
      </c>
      <c r="FL23" s="138" t="s">
        <v>162</v>
      </c>
      <c r="FM23" s="138" t="s">
        <v>165</v>
      </c>
      <c r="FN23" s="138" t="s">
        <v>162</v>
      </c>
      <c r="FO23" s="138" t="s">
        <v>21</v>
      </c>
      <c r="FP23" s="138"/>
      <c r="FQ23" s="25" t="s">
        <v>15</v>
      </c>
      <c r="FR23" s="26" t="s">
        <v>16</v>
      </c>
      <c r="FS23" s="27" t="s">
        <v>17</v>
      </c>
      <c r="FT23" s="25" t="s">
        <v>20</v>
      </c>
      <c r="FU23" s="161" t="s">
        <v>166</v>
      </c>
      <c r="FV23" s="161" t="s">
        <v>163</v>
      </c>
      <c r="FW23" s="161" t="s">
        <v>162</v>
      </c>
      <c r="FX23" s="161" t="s">
        <v>164</v>
      </c>
      <c r="FY23" s="161" t="s">
        <v>162</v>
      </c>
      <c r="FZ23" s="161" t="s">
        <v>165</v>
      </c>
      <c r="GA23" s="161" t="s">
        <v>162</v>
      </c>
      <c r="GB23" s="161" t="s">
        <v>21</v>
      </c>
      <c r="GC23" s="161"/>
      <c r="GD23" s="20" t="s">
        <v>15</v>
      </c>
      <c r="GE23" s="21" t="s">
        <v>16</v>
      </c>
      <c r="GF23" s="22" t="s">
        <v>17</v>
      </c>
      <c r="GG23" s="20" t="s">
        <v>20</v>
      </c>
      <c r="GH23" s="149" t="s">
        <v>166</v>
      </c>
      <c r="GI23" s="149" t="s">
        <v>163</v>
      </c>
      <c r="GJ23" s="149" t="s">
        <v>162</v>
      </c>
      <c r="GK23" s="149" t="s">
        <v>164</v>
      </c>
      <c r="GL23" s="149" t="s">
        <v>162</v>
      </c>
      <c r="GM23" s="149" t="s">
        <v>165</v>
      </c>
      <c r="GN23" s="149" t="s">
        <v>162</v>
      </c>
      <c r="GO23" s="149" t="s">
        <v>21</v>
      </c>
      <c r="GP23" s="149"/>
      <c r="GQ23" s="3" t="s">
        <v>15</v>
      </c>
      <c r="GR23" s="4" t="s">
        <v>16</v>
      </c>
      <c r="GS23" s="5" t="s">
        <v>17</v>
      </c>
      <c r="GT23" s="3" t="s">
        <v>20</v>
      </c>
      <c r="GU23" s="165" t="s">
        <v>166</v>
      </c>
      <c r="GV23" s="165" t="s">
        <v>163</v>
      </c>
      <c r="GW23" s="165" t="s">
        <v>162</v>
      </c>
      <c r="GX23" s="165" t="s">
        <v>164</v>
      </c>
      <c r="GY23" s="165" t="s">
        <v>162</v>
      </c>
      <c r="GZ23" s="165" t="s">
        <v>165</v>
      </c>
      <c r="HA23" s="165" t="s">
        <v>162</v>
      </c>
      <c r="HB23" s="165" t="s">
        <v>21</v>
      </c>
      <c r="HC23" s="165"/>
      <c r="HD23" s="117" t="s">
        <v>15</v>
      </c>
      <c r="HE23" s="23" t="s">
        <v>16</v>
      </c>
      <c r="HF23" s="24" t="s">
        <v>17</v>
      </c>
      <c r="HG23" s="117" t="s">
        <v>20</v>
      </c>
      <c r="HH23" s="132" t="s">
        <v>166</v>
      </c>
      <c r="HI23" s="132" t="s">
        <v>163</v>
      </c>
      <c r="HJ23" s="132" t="s">
        <v>162</v>
      </c>
      <c r="HK23" s="132" t="s">
        <v>164</v>
      </c>
      <c r="HL23" s="132" t="s">
        <v>162</v>
      </c>
      <c r="HM23" s="132" t="s">
        <v>165</v>
      </c>
      <c r="HN23" s="132" t="s">
        <v>162</v>
      </c>
      <c r="HO23" s="132" t="s">
        <v>21</v>
      </c>
      <c r="HP23" s="132"/>
    </row>
    <row r="24" spans="2:224" x14ac:dyDescent="0.25">
      <c r="B24" s="7">
        <f>'PLAN DE NECESIDADES'!B21</f>
        <v>13</v>
      </c>
      <c r="C24" s="7">
        <f>'PLAN DE NECESIDADES'!C21</f>
        <v>2821001</v>
      </c>
      <c r="D24" s="60" t="str">
        <f>'PLAN DE NECESIDADES'!D21</f>
        <v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v>
      </c>
      <c r="E24" s="7" t="str">
        <f>'PLAN DE NECESIDADES'!E21</f>
        <v>PAR</v>
      </c>
      <c r="F24" s="7">
        <f>'PLAN DE NECESIDADES'!F21</f>
        <v>0</v>
      </c>
      <c r="G24" s="7">
        <f>'PLAN DE NECESIDADES'!H21</f>
        <v>53102402</v>
      </c>
      <c r="H24" s="7">
        <f>'PLAN DE NECESIDADES'!I21</f>
        <v>1495276</v>
      </c>
      <c r="I24" s="7" t="str">
        <f>'PLAN DE NECESIDADES'!J21</f>
        <v>SIN CREAR</v>
      </c>
      <c r="J24" s="7">
        <v>1</v>
      </c>
      <c r="K24" s="85">
        <v>69</v>
      </c>
      <c r="L24" s="85">
        <v>217</v>
      </c>
      <c r="M24" s="85">
        <v>279</v>
      </c>
      <c r="N24" s="85">
        <v>217</v>
      </c>
      <c r="O24" s="85">
        <v>248</v>
      </c>
      <c r="P24" s="85">
        <v>248</v>
      </c>
      <c r="Q24" s="85">
        <v>279</v>
      </c>
      <c r="R24" s="85">
        <v>125</v>
      </c>
      <c r="S24" s="85">
        <v>62</v>
      </c>
      <c r="T24" s="85">
        <v>279</v>
      </c>
      <c r="U24" s="85">
        <v>186</v>
      </c>
      <c r="V24" s="85">
        <v>32</v>
      </c>
      <c r="W24" s="85">
        <v>12</v>
      </c>
      <c r="X24" s="85">
        <v>186</v>
      </c>
      <c r="Y24" s="85">
        <v>186</v>
      </c>
      <c r="Z24" s="85">
        <f t="shared" ref="Z24:AB28" si="125">SUM(AD24,AQ24,BD24,BQ24,CD24,CQ24,DD24,DQ24,ED24,EQ24,FD24,FQ24,GD24,GQ24,HD24)</f>
        <v>2656</v>
      </c>
      <c r="AA24" s="7">
        <f t="shared" si="125"/>
        <v>1957</v>
      </c>
      <c r="AB24" s="7">
        <f t="shared" si="125"/>
        <v>699</v>
      </c>
      <c r="AC24" s="12">
        <v>4700</v>
      </c>
      <c r="AD24" s="7">
        <f>K24*J24</f>
        <v>69</v>
      </c>
      <c r="AE24" s="7">
        <f>J24*54</f>
        <v>54</v>
      </c>
      <c r="AF24" s="8">
        <f t="shared" ref="AF24:AF26" si="126">AD24-AE24</f>
        <v>15</v>
      </c>
      <c r="AG24" s="14">
        <f>AC24*AE24</f>
        <v>253800</v>
      </c>
      <c r="AH24" s="133">
        <f t="shared" ref="AH24:AH26" si="127">AE24/J24</f>
        <v>54</v>
      </c>
      <c r="AI24" s="134">
        <v>31</v>
      </c>
      <c r="AJ24" s="134"/>
      <c r="AK24" s="134">
        <v>20</v>
      </c>
      <c r="AL24" s="134"/>
      <c r="AM24" s="134">
        <v>18</v>
      </c>
      <c r="AN24" s="134">
        <v>15</v>
      </c>
      <c r="AO24" s="134">
        <f>AJ24+AL24+AN24</f>
        <v>15</v>
      </c>
      <c r="AP24" s="133">
        <f t="shared" ref="AP24:AP26" si="128">AH24+AJ24+AL24+AN24</f>
        <v>69</v>
      </c>
      <c r="AQ24" s="7">
        <f>L24*J24</f>
        <v>217</v>
      </c>
      <c r="AR24" s="7">
        <f>J24*167</f>
        <v>167</v>
      </c>
      <c r="AS24" s="8">
        <f t="shared" ref="AS24:AS26" si="129">AQ24-AR24</f>
        <v>50</v>
      </c>
      <c r="AT24" s="14">
        <f>AC24*AR24</f>
        <v>784900</v>
      </c>
      <c r="AU24" s="133">
        <f t="shared" ref="AU24:AU26" si="130">AR24/J24</f>
        <v>167</v>
      </c>
      <c r="AV24" s="133">
        <v>93</v>
      </c>
      <c r="AW24" s="133"/>
      <c r="AX24" s="133">
        <v>62</v>
      </c>
      <c r="AY24" s="133"/>
      <c r="AZ24" s="133">
        <v>62</v>
      </c>
      <c r="BA24" s="133">
        <v>50</v>
      </c>
      <c r="BB24" s="133">
        <f t="shared" ref="BB24:BB26" si="131">AW24+AY24+BA24</f>
        <v>50</v>
      </c>
      <c r="BC24" s="133">
        <f t="shared" ref="BC24:BC26" si="132">AU24+AW24+AY24+BA24</f>
        <v>217</v>
      </c>
      <c r="BD24" s="7">
        <f>M24*J24</f>
        <v>279</v>
      </c>
      <c r="BE24" s="7">
        <f>J24*216</f>
        <v>216</v>
      </c>
      <c r="BF24" s="8">
        <f t="shared" ref="BF24:BF26" si="133">BD24-BE24</f>
        <v>63</v>
      </c>
      <c r="BG24" s="14">
        <f>AC24*BE24</f>
        <v>1015200</v>
      </c>
      <c r="BH24" s="133">
        <f t="shared" ref="BH24:BH26" si="134">BE24/J24</f>
        <v>216</v>
      </c>
      <c r="BI24" s="133">
        <v>93</v>
      </c>
      <c r="BJ24" s="133"/>
      <c r="BK24" s="133">
        <v>62</v>
      </c>
      <c r="BL24" s="133"/>
      <c r="BM24" s="133">
        <v>124</v>
      </c>
      <c r="BN24" s="133">
        <v>63</v>
      </c>
      <c r="BO24" s="133">
        <f t="shared" ref="BO24:BO26" si="135">BJ24+BL24+BN24</f>
        <v>63</v>
      </c>
      <c r="BP24" s="133">
        <f t="shared" ref="BP24:BP26" si="136">BH24+BJ24+BL24+BN24</f>
        <v>279</v>
      </c>
      <c r="BQ24" s="7">
        <f>N24*J24</f>
        <v>217</v>
      </c>
      <c r="BR24" s="7">
        <f>J24*168</f>
        <v>168</v>
      </c>
      <c r="BS24" s="8">
        <f t="shared" ref="BS24:BS26" si="137">BQ24-BR24</f>
        <v>49</v>
      </c>
      <c r="BT24" s="14">
        <f>AC24*BR24</f>
        <v>789600</v>
      </c>
      <c r="BU24" s="133">
        <f>BR24/J24</f>
        <v>168</v>
      </c>
      <c r="BV24" s="133">
        <v>93</v>
      </c>
      <c r="BW24" s="133"/>
      <c r="BX24" s="133">
        <v>62</v>
      </c>
      <c r="BY24" s="133"/>
      <c r="BZ24" s="133">
        <v>62</v>
      </c>
      <c r="CA24" s="133">
        <v>49</v>
      </c>
      <c r="CB24" s="133">
        <f t="shared" ref="CB24:CB26" si="138">BW24+BY24+CA24</f>
        <v>49</v>
      </c>
      <c r="CC24" s="133">
        <f>BU24+BW24+BY24+CA24</f>
        <v>217</v>
      </c>
      <c r="CD24" s="7">
        <f>M24*J24</f>
        <v>279</v>
      </c>
      <c r="CE24" s="7">
        <f>J24*190</f>
        <v>190</v>
      </c>
      <c r="CF24" s="8">
        <f t="shared" ref="CF24:CF26" si="139">CD24-CE24</f>
        <v>89</v>
      </c>
      <c r="CG24" s="14">
        <f>CE24*AC24</f>
        <v>893000</v>
      </c>
      <c r="CH24" s="134">
        <f t="shared" ref="CH24:CH26" si="140">CE24/J24</f>
        <v>190</v>
      </c>
      <c r="CI24" s="134">
        <v>62</v>
      </c>
      <c r="CJ24" s="134"/>
      <c r="CK24" s="134">
        <v>62</v>
      </c>
      <c r="CL24" s="134"/>
      <c r="CM24" s="134">
        <v>124</v>
      </c>
      <c r="CN24" s="133">
        <v>58</v>
      </c>
      <c r="CO24" s="133">
        <f t="shared" ref="CO24:CO26" si="141">CJ24+CL24+CN24</f>
        <v>58</v>
      </c>
      <c r="CP24" s="133">
        <f t="shared" ref="CP24:CP26" si="142">CH24+CJ24+CL24+CN24</f>
        <v>248</v>
      </c>
      <c r="CQ24" s="7">
        <f>P24*J24</f>
        <v>248</v>
      </c>
      <c r="CR24" s="7">
        <f>J24*190</f>
        <v>190</v>
      </c>
      <c r="CS24" s="8">
        <f t="shared" ref="CS24:CS26" si="143">CQ24-CR24</f>
        <v>58</v>
      </c>
      <c r="CT24" s="14">
        <f>AC24*CR24</f>
        <v>893000</v>
      </c>
      <c r="CU24" s="134">
        <f t="shared" ref="CU24:CU26" si="144">CR24/J24</f>
        <v>190</v>
      </c>
      <c r="CV24" s="134">
        <v>93</v>
      </c>
      <c r="CW24" s="134"/>
      <c r="CX24" s="134">
        <v>93</v>
      </c>
      <c r="CY24" s="134"/>
      <c r="CZ24" s="134">
        <v>62</v>
      </c>
      <c r="DA24" s="134">
        <v>58</v>
      </c>
      <c r="DB24" s="134">
        <f t="shared" ref="DB24:DB26" si="145">CW24+CY24+DA24</f>
        <v>58</v>
      </c>
      <c r="DC24" s="134">
        <f t="shared" ref="DC24:DC26" si="146">CU24+CW24+CY24+DA24</f>
        <v>248</v>
      </c>
      <c r="DD24" s="7">
        <f>Q24*J24</f>
        <v>279</v>
      </c>
      <c r="DE24" s="7">
        <f>J24*213</f>
        <v>213</v>
      </c>
      <c r="DF24" s="8">
        <f t="shared" ref="DF24:DF26" si="147">DD24-DE24</f>
        <v>66</v>
      </c>
      <c r="DG24" s="14">
        <f>DE24*AC24</f>
        <v>1001100</v>
      </c>
      <c r="DH24" s="134">
        <f t="shared" ref="DH24:DH26" si="148">DE24/J24</f>
        <v>213</v>
      </c>
      <c r="DI24" s="134">
        <v>93</v>
      </c>
      <c r="DJ24" s="134"/>
      <c r="DK24" s="134">
        <v>124</v>
      </c>
      <c r="DL24" s="134">
        <v>4</v>
      </c>
      <c r="DM24" s="134">
        <v>62</v>
      </c>
      <c r="DN24" s="134">
        <v>62</v>
      </c>
      <c r="DO24" s="134">
        <f t="shared" ref="DO24" si="149">DJ24+DL24+DN24</f>
        <v>66</v>
      </c>
      <c r="DP24" s="134">
        <f t="shared" ref="DP24" si="150">DH24+DJ24+DL24+DN24</f>
        <v>279</v>
      </c>
      <c r="DQ24" s="7">
        <f>R24*J24</f>
        <v>125</v>
      </c>
      <c r="DR24" s="7">
        <f>J24*40</f>
        <v>40</v>
      </c>
      <c r="DS24" s="8">
        <f t="shared" ref="DS24:DS28" si="151">DQ24-DR24</f>
        <v>85</v>
      </c>
      <c r="DT24" s="14">
        <f>DR24*AC24</f>
        <v>188000</v>
      </c>
      <c r="DU24" s="134">
        <f t="shared" ref="DU24:DU28" si="152">DR24/J24</f>
        <v>40</v>
      </c>
      <c r="DV24" s="134">
        <v>0</v>
      </c>
      <c r="DW24" s="134"/>
      <c r="DX24" s="134">
        <v>62</v>
      </c>
      <c r="DY24" s="134">
        <v>22</v>
      </c>
      <c r="DZ24" s="134">
        <v>63</v>
      </c>
      <c r="EA24" s="134">
        <v>63</v>
      </c>
      <c r="EB24" s="134">
        <f t="shared" ref="EB24:EB28" si="153">DW24+DY24+EA24</f>
        <v>85</v>
      </c>
      <c r="EC24" s="134">
        <f t="shared" ref="EC24:EC28" si="154">DU24+DW24+DY24+EA24</f>
        <v>125</v>
      </c>
      <c r="ED24" s="7">
        <f>S24*J24</f>
        <v>62</v>
      </c>
      <c r="EE24" s="7">
        <f>J24*49</f>
        <v>49</v>
      </c>
      <c r="EF24" s="8">
        <f t="shared" ref="EF24:EF26" si="155">ED24-EE24</f>
        <v>13</v>
      </c>
      <c r="EG24" s="14">
        <f>EE24*AC24</f>
        <v>230300</v>
      </c>
      <c r="EH24" s="133">
        <f t="shared" ref="EH24:EH26" si="156">EE24/J24</f>
        <v>49</v>
      </c>
      <c r="EI24" s="133">
        <v>0</v>
      </c>
      <c r="EJ24" s="133"/>
      <c r="EK24" s="133">
        <v>62</v>
      </c>
      <c r="EL24" s="133">
        <f t="shared" ref="EL24:EL26" si="157">EK24-EH24</f>
        <v>13</v>
      </c>
      <c r="EM24" s="133">
        <v>0</v>
      </c>
      <c r="EN24" s="133"/>
      <c r="EO24" s="133">
        <f t="shared" ref="EO24:EO26" si="158">EJ24+EL24+EN24</f>
        <v>13</v>
      </c>
      <c r="EP24" s="133">
        <f t="shared" ref="EP24:EP26" si="159">EH24+EJ24+EL24+EN24</f>
        <v>62</v>
      </c>
      <c r="EQ24" s="7">
        <f>T24*J24</f>
        <v>279</v>
      </c>
      <c r="ER24" s="7">
        <f>J24*213</f>
        <v>213</v>
      </c>
      <c r="ES24" s="8">
        <f t="shared" ref="ES24:ES26" si="160">EQ24-ER24</f>
        <v>66</v>
      </c>
      <c r="ET24" s="14">
        <f>ER24*AC24</f>
        <v>1001100</v>
      </c>
      <c r="EU24" s="134">
        <f>ER24/J24</f>
        <v>213</v>
      </c>
      <c r="EV24" s="134">
        <v>93</v>
      </c>
      <c r="EW24" s="134"/>
      <c r="EX24" s="134">
        <v>93</v>
      </c>
      <c r="EY24" s="134"/>
      <c r="EZ24" s="134">
        <v>93</v>
      </c>
      <c r="FA24" s="134">
        <v>66</v>
      </c>
      <c r="FB24" s="134">
        <f t="shared" ref="FB24:FB26" si="161">EW24+EY24+FA24</f>
        <v>66</v>
      </c>
      <c r="FC24" s="134">
        <f t="shared" ref="FC24:FC26" si="162">EU24+EW24+EY24+FA24</f>
        <v>279</v>
      </c>
      <c r="FD24" s="7">
        <f>U24*J24</f>
        <v>186</v>
      </c>
      <c r="FE24" s="7">
        <f>J24*141</f>
        <v>141</v>
      </c>
      <c r="FF24" s="8">
        <f t="shared" ref="FF24:FF26" si="163">FD24-FE24</f>
        <v>45</v>
      </c>
      <c r="FG24" s="14">
        <f>FE24*AC24</f>
        <v>662700</v>
      </c>
      <c r="FH24" s="133">
        <f t="shared" ref="FH24:FH26" si="164">FE24/J24</f>
        <v>141</v>
      </c>
      <c r="FI24" s="133">
        <v>62</v>
      </c>
      <c r="FJ24" s="133"/>
      <c r="FK24" s="133">
        <v>62</v>
      </c>
      <c r="FL24" s="133"/>
      <c r="FM24" s="133">
        <v>62</v>
      </c>
      <c r="FN24" s="133">
        <v>45</v>
      </c>
      <c r="FO24" s="133">
        <f t="shared" ref="FO24:FO26" si="165">FJ24+FL24+FN24</f>
        <v>45</v>
      </c>
      <c r="FP24" s="133">
        <f t="shared" ref="FP24:FP26" si="166">FH24+FJ24+FL24+FN24</f>
        <v>186</v>
      </c>
      <c r="FQ24" s="7">
        <f>V24*J24</f>
        <v>32</v>
      </c>
      <c r="FR24" s="7">
        <f>J24*25</f>
        <v>25</v>
      </c>
      <c r="FS24" s="8">
        <f t="shared" ref="FS24:FS26" si="167">FQ24-FR24</f>
        <v>7</v>
      </c>
      <c r="FT24" s="14">
        <f>FR24*AC24</f>
        <v>117500</v>
      </c>
      <c r="FU24" s="134">
        <f t="shared" ref="FU24:FU26" si="168">FR24/J24</f>
        <v>25</v>
      </c>
      <c r="FV24" s="134">
        <v>0</v>
      </c>
      <c r="FW24" s="134"/>
      <c r="FX24" s="134">
        <v>16</v>
      </c>
      <c r="FY24" s="134"/>
      <c r="FZ24" s="134">
        <v>16</v>
      </c>
      <c r="GA24" s="134">
        <v>7</v>
      </c>
      <c r="GB24" s="134">
        <f t="shared" ref="GB24:GB26" si="169">FW24+FY24+GA24</f>
        <v>7</v>
      </c>
      <c r="GC24" s="134">
        <f t="shared" ref="GC24:GC26" si="170">FU24+FW24+FY24+GA24</f>
        <v>32</v>
      </c>
      <c r="GD24" s="7">
        <f>W24*J24</f>
        <v>12</v>
      </c>
      <c r="GE24" s="7">
        <f>J24*9</f>
        <v>9</v>
      </c>
      <c r="GF24" s="8">
        <f t="shared" ref="GF24:GF26" si="171">GD24-GE24</f>
        <v>3</v>
      </c>
      <c r="GG24" s="14">
        <f>GE24*AC24</f>
        <v>42300</v>
      </c>
      <c r="GH24" s="134">
        <f t="shared" ref="GH24:GH26" si="172">GE24/J24</f>
        <v>9</v>
      </c>
      <c r="GI24" s="134">
        <v>4</v>
      </c>
      <c r="GJ24" s="134"/>
      <c r="GK24" s="134">
        <v>4</v>
      </c>
      <c r="GL24" s="134"/>
      <c r="GM24" s="134">
        <v>4</v>
      </c>
      <c r="GN24" s="134">
        <v>3</v>
      </c>
      <c r="GO24" s="134">
        <f t="shared" ref="GO24:GO26" si="173">GJ24+GL24+GN24</f>
        <v>3</v>
      </c>
      <c r="GP24" s="134">
        <f t="shared" ref="GP24:GP26" si="174">GH24+GJ24+GL24+GN24</f>
        <v>12</v>
      </c>
      <c r="GQ24" s="7">
        <f>X24*J24</f>
        <v>186</v>
      </c>
      <c r="GR24" s="7">
        <f>J24*141</f>
        <v>141</v>
      </c>
      <c r="GS24" s="8">
        <f t="shared" ref="GS24:GS26" si="175">GQ24-GR24</f>
        <v>45</v>
      </c>
      <c r="GT24" s="14">
        <f>GR24*AC24</f>
        <v>662700</v>
      </c>
      <c r="GU24" s="133">
        <f t="shared" ref="GU24:GU26" si="176">GR24/J24</f>
        <v>141</v>
      </c>
      <c r="GV24" s="133">
        <v>62</v>
      </c>
      <c r="GW24" s="133"/>
      <c r="GX24" s="133">
        <v>62</v>
      </c>
      <c r="GY24" s="133"/>
      <c r="GZ24" s="133">
        <v>62</v>
      </c>
      <c r="HA24" s="133">
        <v>45</v>
      </c>
      <c r="HB24" s="133">
        <f t="shared" ref="HB24:HB26" si="177">GW24+GY24+HA24</f>
        <v>45</v>
      </c>
      <c r="HC24" s="133">
        <f t="shared" ref="HC24:HC26" si="178">GU24+GW24+GY24+HA24</f>
        <v>186</v>
      </c>
      <c r="HD24" s="7">
        <f>Y24*J24</f>
        <v>186</v>
      </c>
      <c r="HE24" s="7">
        <f>J24*141</f>
        <v>141</v>
      </c>
      <c r="HF24" s="8">
        <f t="shared" ref="HF24:HF26" si="179">HD24-HE24</f>
        <v>45</v>
      </c>
      <c r="HG24" s="14">
        <f>HE24*AC24</f>
        <v>662700</v>
      </c>
      <c r="HH24" s="7">
        <f t="shared" ref="HH24:HH26" si="180">HE24/J24</f>
        <v>141</v>
      </c>
      <c r="HI24" s="7">
        <v>62</v>
      </c>
      <c r="HJ24" s="7"/>
      <c r="HK24" s="7">
        <v>62</v>
      </c>
      <c r="HL24" s="7"/>
      <c r="HM24" s="7">
        <v>62</v>
      </c>
      <c r="HN24" s="7">
        <v>45</v>
      </c>
      <c r="HO24" s="133">
        <f t="shared" ref="HO24:HO26" si="181">HJ24+HL24+HN24</f>
        <v>45</v>
      </c>
      <c r="HP24" s="133">
        <f t="shared" ref="HP24:HP26" si="182">HH24+HJ24+HL24+HN24</f>
        <v>186</v>
      </c>
    </row>
    <row r="25" spans="2:224" x14ac:dyDescent="0.25">
      <c r="B25" s="7">
        <f>'PLAN DE NECESIDADES'!B22</f>
        <v>14</v>
      </c>
      <c r="C25" s="7">
        <f>'PLAN DE NECESIDADES'!C22</f>
        <v>2823601</v>
      </c>
      <c r="D25" s="60" t="str">
        <f>'PLAN DE NECESIDADES'!D22</f>
        <v>UNIFORME DE DEPORTES COMPLETO (CAMISETA Y PANTALONETA): 
DE ACUERDO A NORMA TÉCNICA  NO. NTMD-0356 A2 DE ACUERDO A ÍTEM  3.1.2.7 FIGURA ILUSTRATIVA 37</v>
      </c>
      <c r="E25" s="7" t="str">
        <f>'PLAN DE NECESIDADES'!E22</f>
        <v>UNIDAD</v>
      </c>
      <c r="F25" s="7">
        <f>'PLAN DE NECESIDADES'!F22</f>
        <v>0</v>
      </c>
      <c r="G25" s="7">
        <f>'PLAN DE NECESIDADES'!H22</f>
        <v>53102700</v>
      </c>
      <c r="H25" s="7">
        <f>'PLAN DE NECESIDADES'!I22</f>
        <v>1329412</v>
      </c>
      <c r="I25" s="7" t="str">
        <f>'PLAN DE NECESIDADES'!J22</f>
        <v>SIN CREAR</v>
      </c>
      <c r="J25" s="7">
        <v>1</v>
      </c>
      <c r="K25" s="85">
        <v>69</v>
      </c>
      <c r="L25" s="85">
        <v>217</v>
      </c>
      <c r="M25" s="85">
        <v>279</v>
      </c>
      <c r="N25" s="85">
        <v>217</v>
      </c>
      <c r="O25" s="85">
        <v>248</v>
      </c>
      <c r="P25" s="85">
        <v>248</v>
      </c>
      <c r="Q25" s="85">
        <v>279</v>
      </c>
      <c r="R25" s="85">
        <v>125</v>
      </c>
      <c r="S25" s="85">
        <v>62</v>
      </c>
      <c r="T25" s="85">
        <v>279</v>
      </c>
      <c r="U25" s="85">
        <v>186</v>
      </c>
      <c r="V25" s="85">
        <v>32</v>
      </c>
      <c r="W25" s="85">
        <v>12</v>
      </c>
      <c r="X25" s="85">
        <v>186</v>
      </c>
      <c r="Y25" s="85">
        <v>186</v>
      </c>
      <c r="Z25" s="85">
        <f t="shared" si="125"/>
        <v>2656</v>
      </c>
      <c r="AA25" s="7">
        <f t="shared" si="125"/>
        <v>1944</v>
      </c>
      <c r="AB25" s="7">
        <f t="shared" si="125"/>
        <v>712</v>
      </c>
      <c r="AC25" s="12">
        <v>43000</v>
      </c>
      <c r="AD25" s="7">
        <f>K25*J25</f>
        <v>69</v>
      </c>
      <c r="AE25" s="7">
        <f>J25*52</f>
        <v>52</v>
      </c>
      <c r="AF25" s="8">
        <f t="shared" si="126"/>
        <v>17</v>
      </c>
      <c r="AG25" s="14">
        <f>AC25*AE25</f>
        <v>2236000</v>
      </c>
      <c r="AH25" s="133">
        <f t="shared" si="127"/>
        <v>52</v>
      </c>
      <c r="AI25" s="134">
        <v>31</v>
      </c>
      <c r="AJ25" s="134"/>
      <c r="AK25" s="134">
        <v>20</v>
      </c>
      <c r="AL25" s="134"/>
      <c r="AM25" s="134">
        <v>18</v>
      </c>
      <c r="AN25" s="134">
        <v>17</v>
      </c>
      <c r="AO25" s="134">
        <f t="shared" ref="AO25:AO26" si="183">AJ25+AL25+AN25</f>
        <v>17</v>
      </c>
      <c r="AP25" s="133">
        <f t="shared" si="128"/>
        <v>69</v>
      </c>
      <c r="AQ25" s="7">
        <f>L25*J25</f>
        <v>217</v>
      </c>
      <c r="AR25" s="7">
        <f>J25*165</f>
        <v>165</v>
      </c>
      <c r="AS25" s="8">
        <f t="shared" si="129"/>
        <v>52</v>
      </c>
      <c r="AT25" s="14">
        <f>AC25*AR25</f>
        <v>7095000</v>
      </c>
      <c r="AU25" s="133">
        <f t="shared" si="130"/>
        <v>165</v>
      </c>
      <c r="AV25" s="133">
        <v>93</v>
      </c>
      <c r="AW25" s="133"/>
      <c r="AX25" s="133">
        <v>62</v>
      </c>
      <c r="AY25" s="133"/>
      <c r="AZ25" s="133">
        <v>62</v>
      </c>
      <c r="BA25" s="133">
        <v>52</v>
      </c>
      <c r="BB25" s="133">
        <f t="shared" si="131"/>
        <v>52</v>
      </c>
      <c r="BC25" s="133">
        <f t="shared" si="132"/>
        <v>217</v>
      </c>
      <c r="BD25" s="7">
        <f>M25*J25</f>
        <v>279</v>
      </c>
      <c r="BE25" s="7">
        <f>J25*212</f>
        <v>212</v>
      </c>
      <c r="BF25" s="8">
        <f t="shared" si="133"/>
        <v>67</v>
      </c>
      <c r="BG25" s="14">
        <f>AC25*BE25</f>
        <v>9116000</v>
      </c>
      <c r="BH25" s="133">
        <f t="shared" si="134"/>
        <v>212</v>
      </c>
      <c r="BI25" s="133">
        <v>93</v>
      </c>
      <c r="BJ25" s="133"/>
      <c r="BK25" s="133">
        <v>62</v>
      </c>
      <c r="BL25" s="133"/>
      <c r="BM25" s="133">
        <v>124</v>
      </c>
      <c r="BN25" s="133">
        <v>67</v>
      </c>
      <c r="BO25" s="133">
        <f t="shared" si="135"/>
        <v>67</v>
      </c>
      <c r="BP25" s="133">
        <f t="shared" si="136"/>
        <v>279</v>
      </c>
      <c r="BQ25" s="7">
        <f>N25*J25</f>
        <v>217</v>
      </c>
      <c r="BR25" s="7">
        <f>J25*165</f>
        <v>165</v>
      </c>
      <c r="BS25" s="8">
        <f t="shared" si="137"/>
        <v>52</v>
      </c>
      <c r="BT25" s="14">
        <f>AC25*BR25</f>
        <v>7095000</v>
      </c>
      <c r="BU25" s="133">
        <f t="shared" ref="BU25:BU26" si="184">BR25/J25</f>
        <v>165</v>
      </c>
      <c r="BV25" s="133">
        <v>93</v>
      </c>
      <c r="BW25" s="133"/>
      <c r="BX25" s="133">
        <v>62</v>
      </c>
      <c r="BY25" s="133"/>
      <c r="BZ25" s="133">
        <v>62</v>
      </c>
      <c r="CA25" s="133">
        <v>52</v>
      </c>
      <c r="CB25" s="133">
        <f t="shared" si="138"/>
        <v>52</v>
      </c>
      <c r="CC25" s="133">
        <f t="shared" ref="CC25:CC26" si="185">BU25+BW25+BY25+CA25</f>
        <v>217</v>
      </c>
      <c r="CD25" s="7">
        <f>M25*J25</f>
        <v>279</v>
      </c>
      <c r="CE25" s="7">
        <f>J25*189</f>
        <v>189</v>
      </c>
      <c r="CF25" s="8">
        <f t="shared" si="139"/>
        <v>90</v>
      </c>
      <c r="CG25" s="14">
        <f>CE25*AC25</f>
        <v>8127000</v>
      </c>
      <c r="CH25" s="134">
        <f t="shared" si="140"/>
        <v>189</v>
      </c>
      <c r="CI25" s="134">
        <v>62</v>
      </c>
      <c r="CJ25" s="134"/>
      <c r="CK25" s="134">
        <v>62</v>
      </c>
      <c r="CL25" s="134"/>
      <c r="CM25" s="134">
        <v>124</v>
      </c>
      <c r="CN25" s="133">
        <v>59</v>
      </c>
      <c r="CO25" s="133">
        <f t="shared" si="141"/>
        <v>59</v>
      </c>
      <c r="CP25" s="133">
        <f t="shared" si="142"/>
        <v>248</v>
      </c>
      <c r="CQ25" s="7">
        <f>P25*J25</f>
        <v>248</v>
      </c>
      <c r="CR25" s="7">
        <f>J25*189</f>
        <v>189</v>
      </c>
      <c r="CS25" s="8">
        <f t="shared" si="143"/>
        <v>59</v>
      </c>
      <c r="CT25" s="14">
        <f>AC25*CR25</f>
        <v>8127000</v>
      </c>
      <c r="CU25" s="134">
        <f t="shared" si="144"/>
        <v>189</v>
      </c>
      <c r="CV25" s="134">
        <v>93</v>
      </c>
      <c r="CW25" s="134"/>
      <c r="CX25" s="134">
        <v>93</v>
      </c>
      <c r="CY25" s="134"/>
      <c r="CZ25" s="134">
        <v>62</v>
      </c>
      <c r="DA25" s="134">
        <v>59</v>
      </c>
      <c r="DB25" s="134">
        <f t="shared" si="145"/>
        <v>59</v>
      </c>
      <c r="DC25" s="134">
        <f t="shared" si="146"/>
        <v>248</v>
      </c>
      <c r="DD25" s="7">
        <f>Q25*J25</f>
        <v>279</v>
      </c>
      <c r="DE25" s="7">
        <f>J25*213</f>
        <v>213</v>
      </c>
      <c r="DF25" s="8">
        <f t="shared" si="147"/>
        <v>66</v>
      </c>
      <c r="DG25" s="14">
        <f>DE25*AC25</f>
        <v>9159000</v>
      </c>
      <c r="DH25" s="134">
        <f t="shared" si="148"/>
        <v>213</v>
      </c>
      <c r="DI25" s="134">
        <v>93</v>
      </c>
      <c r="DJ25" s="134"/>
      <c r="DK25" s="134">
        <v>124</v>
      </c>
      <c r="DL25" s="134">
        <v>4</v>
      </c>
      <c r="DM25" s="134">
        <v>62</v>
      </c>
      <c r="DN25" s="134">
        <v>62</v>
      </c>
      <c r="DO25" s="134">
        <f t="shared" ref="DO25:DO26" si="186">DJ25+DL25+DN25</f>
        <v>66</v>
      </c>
      <c r="DP25" s="134">
        <f t="shared" ref="DP25:DP26" si="187">DH25+DJ25+DL25+DN25</f>
        <v>279</v>
      </c>
      <c r="DQ25" s="7">
        <f>R25*J25</f>
        <v>125</v>
      </c>
      <c r="DR25" s="7">
        <f>J25*40</f>
        <v>40</v>
      </c>
      <c r="DS25" s="8">
        <f t="shared" si="151"/>
        <v>85</v>
      </c>
      <c r="DT25" s="14">
        <f>DR25*AC25</f>
        <v>1720000</v>
      </c>
      <c r="DU25" s="134">
        <f t="shared" si="152"/>
        <v>40</v>
      </c>
      <c r="DV25" s="134">
        <v>0</v>
      </c>
      <c r="DW25" s="134"/>
      <c r="DX25" s="134">
        <v>62</v>
      </c>
      <c r="DY25" s="134">
        <v>22</v>
      </c>
      <c r="DZ25" s="134">
        <v>63</v>
      </c>
      <c r="EA25" s="134">
        <v>63</v>
      </c>
      <c r="EB25" s="134">
        <f t="shared" si="153"/>
        <v>85</v>
      </c>
      <c r="EC25" s="134">
        <f t="shared" si="154"/>
        <v>125</v>
      </c>
      <c r="ED25" s="7">
        <f>S25*J25</f>
        <v>62</v>
      </c>
      <c r="EE25" s="7">
        <f>J25*47</f>
        <v>47</v>
      </c>
      <c r="EF25" s="8">
        <f t="shared" si="155"/>
        <v>15</v>
      </c>
      <c r="EG25" s="14">
        <f>EE25*AC25</f>
        <v>2021000</v>
      </c>
      <c r="EH25" s="133">
        <f t="shared" si="156"/>
        <v>47</v>
      </c>
      <c r="EI25" s="133">
        <v>0</v>
      </c>
      <c r="EJ25" s="133"/>
      <c r="EK25" s="133">
        <v>62</v>
      </c>
      <c r="EL25" s="133">
        <f t="shared" si="157"/>
        <v>15</v>
      </c>
      <c r="EM25" s="133">
        <v>0</v>
      </c>
      <c r="EN25" s="133"/>
      <c r="EO25" s="133">
        <f t="shared" si="158"/>
        <v>15</v>
      </c>
      <c r="EP25" s="133">
        <f t="shared" si="159"/>
        <v>62</v>
      </c>
      <c r="EQ25" s="7">
        <f>T25*J25</f>
        <v>279</v>
      </c>
      <c r="ER25" s="7">
        <f>J25*213</f>
        <v>213</v>
      </c>
      <c r="ES25" s="8">
        <f t="shared" si="160"/>
        <v>66</v>
      </c>
      <c r="ET25" s="14">
        <f>ER25*AC25</f>
        <v>9159000</v>
      </c>
      <c r="EU25" s="134">
        <f t="shared" ref="EU25:EU26" si="188">ER25/J25</f>
        <v>213</v>
      </c>
      <c r="EV25" s="134">
        <v>93</v>
      </c>
      <c r="EW25" s="134"/>
      <c r="EX25" s="134">
        <v>93</v>
      </c>
      <c r="EY25" s="134"/>
      <c r="EZ25" s="134">
        <v>93</v>
      </c>
      <c r="FA25" s="134">
        <v>66</v>
      </c>
      <c r="FB25" s="134">
        <f t="shared" si="161"/>
        <v>66</v>
      </c>
      <c r="FC25" s="134">
        <f t="shared" si="162"/>
        <v>279</v>
      </c>
      <c r="FD25" s="7">
        <f>U25*J25</f>
        <v>186</v>
      </c>
      <c r="FE25" s="7">
        <f>J25*142</f>
        <v>142</v>
      </c>
      <c r="FF25" s="8">
        <f t="shared" si="163"/>
        <v>44</v>
      </c>
      <c r="FG25" s="14">
        <f>FE25*AC25</f>
        <v>6106000</v>
      </c>
      <c r="FH25" s="133">
        <f t="shared" si="164"/>
        <v>142</v>
      </c>
      <c r="FI25" s="133">
        <v>62</v>
      </c>
      <c r="FJ25" s="133"/>
      <c r="FK25" s="133">
        <v>62</v>
      </c>
      <c r="FL25" s="133"/>
      <c r="FM25" s="133">
        <v>62</v>
      </c>
      <c r="FN25" s="133">
        <v>44</v>
      </c>
      <c r="FO25" s="133">
        <f t="shared" si="165"/>
        <v>44</v>
      </c>
      <c r="FP25" s="133">
        <f t="shared" si="166"/>
        <v>186</v>
      </c>
      <c r="FQ25" s="7">
        <f>V25*J25</f>
        <v>32</v>
      </c>
      <c r="FR25" s="7">
        <f>J25*24</f>
        <v>24</v>
      </c>
      <c r="FS25" s="8">
        <f t="shared" si="167"/>
        <v>8</v>
      </c>
      <c r="FT25" s="14">
        <f>FR25*AC25</f>
        <v>1032000</v>
      </c>
      <c r="FU25" s="134">
        <f t="shared" si="168"/>
        <v>24</v>
      </c>
      <c r="FV25" s="134">
        <v>0</v>
      </c>
      <c r="FW25" s="134"/>
      <c r="FX25" s="134">
        <v>16</v>
      </c>
      <c r="FY25" s="134"/>
      <c r="FZ25" s="134">
        <v>16</v>
      </c>
      <c r="GA25" s="134">
        <v>8</v>
      </c>
      <c r="GB25" s="134">
        <f t="shared" si="169"/>
        <v>8</v>
      </c>
      <c r="GC25" s="134">
        <f t="shared" si="170"/>
        <v>32</v>
      </c>
      <c r="GD25" s="7">
        <f>W25*J25</f>
        <v>12</v>
      </c>
      <c r="GE25" s="7">
        <f>J25*9</f>
        <v>9</v>
      </c>
      <c r="GF25" s="8">
        <f t="shared" si="171"/>
        <v>3</v>
      </c>
      <c r="GG25" s="14">
        <f>GE25*AC25</f>
        <v>387000</v>
      </c>
      <c r="GH25" s="134">
        <f t="shared" si="172"/>
        <v>9</v>
      </c>
      <c r="GI25" s="134">
        <v>4</v>
      </c>
      <c r="GJ25" s="134"/>
      <c r="GK25" s="134">
        <v>4</v>
      </c>
      <c r="GL25" s="134"/>
      <c r="GM25" s="134">
        <v>4</v>
      </c>
      <c r="GN25" s="134">
        <v>3</v>
      </c>
      <c r="GO25" s="134">
        <f t="shared" si="173"/>
        <v>3</v>
      </c>
      <c r="GP25" s="134">
        <f t="shared" si="174"/>
        <v>12</v>
      </c>
      <c r="GQ25" s="7">
        <f>X25*J25</f>
        <v>186</v>
      </c>
      <c r="GR25" s="7">
        <f>J25*142</f>
        <v>142</v>
      </c>
      <c r="GS25" s="8">
        <f t="shared" si="175"/>
        <v>44</v>
      </c>
      <c r="GT25" s="14">
        <f>GR25*AC25</f>
        <v>6106000</v>
      </c>
      <c r="GU25" s="133">
        <f t="shared" si="176"/>
        <v>142</v>
      </c>
      <c r="GV25" s="133">
        <v>62</v>
      </c>
      <c r="GW25" s="133"/>
      <c r="GX25" s="133">
        <v>62</v>
      </c>
      <c r="GY25" s="133"/>
      <c r="GZ25" s="133">
        <v>62</v>
      </c>
      <c r="HA25" s="133">
        <v>44</v>
      </c>
      <c r="HB25" s="133">
        <f t="shared" si="177"/>
        <v>44</v>
      </c>
      <c r="HC25" s="133">
        <f t="shared" si="178"/>
        <v>186</v>
      </c>
      <c r="HD25" s="7">
        <f>Y25*J25</f>
        <v>186</v>
      </c>
      <c r="HE25" s="7">
        <f>J25*142</f>
        <v>142</v>
      </c>
      <c r="HF25" s="8">
        <f t="shared" si="179"/>
        <v>44</v>
      </c>
      <c r="HG25" s="14">
        <f>HE25*AC25</f>
        <v>6106000</v>
      </c>
      <c r="HH25" s="7">
        <f t="shared" si="180"/>
        <v>142</v>
      </c>
      <c r="HI25" s="7">
        <v>62</v>
      </c>
      <c r="HJ25" s="7"/>
      <c r="HK25" s="7">
        <v>62</v>
      </c>
      <c r="HL25" s="7"/>
      <c r="HM25" s="7">
        <v>62</v>
      </c>
      <c r="HN25" s="7">
        <v>44</v>
      </c>
      <c r="HO25" s="133">
        <f t="shared" si="181"/>
        <v>44</v>
      </c>
      <c r="HP25" s="133">
        <f t="shared" si="182"/>
        <v>186</v>
      </c>
    </row>
    <row r="26" spans="2:224" x14ac:dyDescent="0.25">
      <c r="B26" s="7">
        <f>'PLAN DE NECESIDADES'!B23</f>
        <v>15</v>
      </c>
      <c r="C26" s="7">
        <f>'PLAN DE NECESIDADES'!C23</f>
        <v>2819003</v>
      </c>
      <c r="D26" s="60" t="str">
        <f>'PLAN DE NECESIDADES'!D23</f>
        <v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v>
      </c>
      <c r="E26" s="7" t="str">
        <f>'PLAN DE NECESIDADES'!E23</f>
        <v>PAR</v>
      </c>
      <c r="F26" s="7">
        <f>'PLAN DE NECESIDADES'!F23</f>
        <v>0</v>
      </c>
      <c r="G26" s="7">
        <f>'PLAN DE NECESIDADES'!H23</f>
        <v>53111800</v>
      </c>
      <c r="H26" s="7">
        <f>'PLAN DE NECESIDADES'!I23</f>
        <v>1296725</v>
      </c>
      <c r="I26" s="7" t="str">
        <f>'PLAN DE NECESIDADES'!J23</f>
        <v>SIN CREAR</v>
      </c>
      <c r="J26" s="7">
        <v>1</v>
      </c>
      <c r="K26" s="85">
        <v>69</v>
      </c>
      <c r="L26" s="85">
        <v>217</v>
      </c>
      <c r="M26" s="85">
        <v>279</v>
      </c>
      <c r="N26" s="85">
        <v>217</v>
      </c>
      <c r="O26" s="85">
        <v>248</v>
      </c>
      <c r="P26" s="85">
        <v>248</v>
      </c>
      <c r="Q26" s="85">
        <v>279</v>
      </c>
      <c r="R26" s="85">
        <v>125</v>
      </c>
      <c r="S26" s="85">
        <v>62</v>
      </c>
      <c r="T26" s="85">
        <v>279</v>
      </c>
      <c r="U26" s="85">
        <v>186</v>
      </c>
      <c r="V26" s="85">
        <v>32</v>
      </c>
      <c r="W26" s="85">
        <v>12</v>
      </c>
      <c r="X26" s="85">
        <v>186</v>
      </c>
      <c r="Y26" s="85">
        <v>186</v>
      </c>
      <c r="Z26" s="85">
        <f t="shared" si="125"/>
        <v>2656</v>
      </c>
      <c r="AA26" s="7">
        <f t="shared" si="125"/>
        <v>1961</v>
      </c>
      <c r="AB26" s="7">
        <f t="shared" si="125"/>
        <v>695</v>
      </c>
      <c r="AC26" s="12">
        <v>7300</v>
      </c>
      <c r="AD26" s="7">
        <f>K26*J26</f>
        <v>69</v>
      </c>
      <c r="AE26" s="7">
        <f>J26*55</f>
        <v>55</v>
      </c>
      <c r="AF26" s="8">
        <f t="shared" si="126"/>
        <v>14</v>
      </c>
      <c r="AG26" s="14">
        <f>AC26*AE26</f>
        <v>401500</v>
      </c>
      <c r="AH26" s="133">
        <f t="shared" si="127"/>
        <v>55</v>
      </c>
      <c r="AI26" s="134">
        <v>31</v>
      </c>
      <c r="AJ26" s="134"/>
      <c r="AK26" s="134">
        <v>20</v>
      </c>
      <c r="AL26" s="134"/>
      <c r="AM26" s="134">
        <v>18</v>
      </c>
      <c r="AN26" s="134">
        <v>14</v>
      </c>
      <c r="AO26" s="134">
        <f t="shared" si="183"/>
        <v>14</v>
      </c>
      <c r="AP26" s="133">
        <f t="shared" si="128"/>
        <v>69</v>
      </c>
      <c r="AQ26" s="7">
        <f>L26*J26</f>
        <v>217</v>
      </c>
      <c r="AR26" s="7">
        <f>J26*168</f>
        <v>168</v>
      </c>
      <c r="AS26" s="8">
        <f t="shared" si="129"/>
        <v>49</v>
      </c>
      <c r="AT26" s="14">
        <f>AC26*AR26</f>
        <v>1226400</v>
      </c>
      <c r="AU26" s="133">
        <f t="shared" si="130"/>
        <v>168</v>
      </c>
      <c r="AV26" s="133">
        <v>93</v>
      </c>
      <c r="AW26" s="133"/>
      <c r="AX26" s="133">
        <v>62</v>
      </c>
      <c r="AY26" s="133"/>
      <c r="AZ26" s="133">
        <v>62</v>
      </c>
      <c r="BA26" s="133">
        <v>49</v>
      </c>
      <c r="BB26" s="133">
        <f t="shared" si="131"/>
        <v>49</v>
      </c>
      <c r="BC26" s="133">
        <f t="shared" si="132"/>
        <v>217</v>
      </c>
      <c r="BD26" s="7">
        <f>M26*J26</f>
        <v>279</v>
      </c>
      <c r="BE26" s="7">
        <f>J26*216</f>
        <v>216</v>
      </c>
      <c r="BF26" s="8">
        <f t="shared" si="133"/>
        <v>63</v>
      </c>
      <c r="BG26" s="14">
        <f>AC26*BE26</f>
        <v>1576800</v>
      </c>
      <c r="BH26" s="133">
        <f t="shared" si="134"/>
        <v>216</v>
      </c>
      <c r="BI26" s="133">
        <v>93</v>
      </c>
      <c r="BJ26" s="133"/>
      <c r="BK26" s="133">
        <v>62</v>
      </c>
      <c r="BL26" s="133"/>
      <c r="BM26" s="133">
        <v>124</v>
      </c>
      <c r="BN26" s="133">
        <v>63</v>
      </c>
      <c r="BO26" s="133">
        <f t="shared" si="135"/>
        <v>63</v>
      </c>
      <c r="BP26" s="133">
        <f t="shared" si="136"/>
        <v>279</v>
      </c>
      <c r="BQ26" s="7">
        <f>N26*J26</f>
        <v>217</v>
      </c>
      <c r="BR26" s="7">
        <f>J26*167</f>
        <v>167</v>
      </c>
      <c r="BS26" s="8">
        <f t="shared" si="137"/>
        <v>50</v>
      </c>
      <c r="BT26" s="14">
        <f>AC26*BR26</f>
        <v>1219100</v>
      </c>
      <c r="BU26" s="133">
        <f t="shared" si="184"/>
        <v>167</v>
      </c>
      <c r="BV26" s="133">
        <v>93</v>
      </c>
      <c r="BW26" s="133"/>
      <c r="BX26" s="133">
        <v>62</v>
      </c>
      <c r="BY26" s="133"/>
      <c r="BZ26" s="133">
        <v>62</v>
      </c>
      <c r="CA26" s="133">
        <v>50</v>
      </c>
      <c r="CB26" s="133">
        <f t="shared" si="138"/>
        <v>50</v>
      </c>
      <c r="CC26" s="133">
        <f t="shared" si="185"/>
        <v>217</v>
      </c>
      <c r="CD26" s="7">
        <f>M26*J26</f>
        <v>279</v>
      </c>
      <c r="CE26" s="7">
        <f>J26*190</f>
        <v>190</v>
      </c>
      <c r="CF26" s="8">
        <f t="shared" si="139"/>
        <v>89</v>
      </c>
      <c r="CG26" s="14">
        <f>CE26*AC26</f>
        <v>1387000</v>
      </c>
      <c r="CH26" s="134">
        <f t="shared" si="140"/>
        <v>190</v>
      </c>
      <c r="CI26" s="134">
        <v>62</v>
      </c>
      <c r="CJ26" s="134"/>
      <c r="CK26" s="134">
        <v>62</v>
      </c>
      <c r="CL26" s="134"/>
      <c r="CM26" s="134">
        <v>124</v>
      </c>
      <c r="CN26" s="133">
        <v>58</v>
      </c>
      <c r="CO26" s="133">
        <f t="shared" si="141"/>
        <v>58</v>
      </c>
      <c r="CP26" s="133">
        <f t="shared" si="142"/>
        <v>248</v>
      </c>
      <c r="CQ26" s="7">
        <f>P26*J26</f>
        <v>248</v>
      </c>
      <c r="CR26" s="7">
        <f>J26*190</f>
        <v>190</v>
      </c>
      <c r="CS26" s="8">
        <f t="shared" si="143"/>
        <v>58</v>
      </c>
      <c r="CT26" s="14">
        <f>AC26*CR26</f>
        <v>1387000</v>
      </c>
      <c r="CU26" s="134">
        <f t="shared" si="144"/>
        <v>190</v>
      </c>
      <c r="CV26" s="134">
        <v>93</v>
      </c>
      <c r="CW26" s="134"/>
      <c r="CX26" s="134">
        <v>93</v>
      </c>
      <c r="CY26" s="134"/>
      <c r="CZ26" s="134">
        <v>62</v>
      </c>
      <c r="DA26" s="134">
        <v>58</v>
      </c>
      <c r="DB26" s="134">
        <f t="shared" si="145"/>
        <v>58</v>
      </c>
      <c r="DC26" s="134">
        <f t="shared" si="146"/>
        <v>248</v>
      </c>
      <c r="DD26" s="7">
        <f>Q26*J26</f>
        <v>279</v>
      </c>
      <c r="DE26" s="7">
        <f>J26*212</f>
        <v>212</v>
      </c>
      <c r="DF26" s="8">
        <f t="shared" si="147"/>
        <v>67</v>
      </c>
      <c r="DG26" s="14">
        <f>DE26*AC26</f>
        <v>1547600</v>
      </c>
      <c r="DH26" s="134">
        <f t="shared" si="148"/>
        <v>212</v>
      </c>
      <c r="DI26" s="134">
        <v>93</v>
      </c>
      <c r="DJ26" s="134"/>
      <c r="DK26" s="134">
        <v>124</v>
      </c>
      <c r="DL26" s="134">
        <v>5</v>
      </c>
      <c r="DM26" s="134">
        <v>62</v>
      </c>
      <c r="DN26" s="134">
        <v>62</v>
      </c>
      <c r="DO26" s="134">
        <f t="shared" si="186"/>
        <v>67</v>
      </c>
      <c r="DP26" s="134">
        <f t="shared" si="187"/>
        <v>279</v>
      </c>
      <c r="DQ26" s="7">
        <f>R26*J26</f>
        <v>125</v>
      </c>
      <c r="DR26" s="7">
        <f>J26*41</f>
        <v>41</v>
      </c>
      <c r="DS26" s="8">
        <f t="shared" si="151"/>
        <v>84</v>
      </c>
      <c r="DT26" s="14">
        <f>DR26*AC26</f>
        <v>299300</v>
      </c>
      <c r="DU26" s="134">
        <f t="shared" si="152"/>
        <v>41</v>
      </c>
      <c r="DV26" s="134">
        <v>0</v>
      </c>
      <c r="DW26" s="134"/>
      <c r="DX26" s="134">
        <v>62</v>
      </c>
      <c r="DY26" s="134">
        <v>21</v>
      </c>
      <c r="DZ26" s="134">
        <v>63</v>
      </c>
      <c r="EA26" s="134">
        <v>63</v>
      </c>
      <c r="EB26" s="134">
        <f t="shared" si="153"/>
        <v>84</v>
      </c>
      <c r="EC26" s="134">
        <f t="shared" si="154"/>
        <v>125</v>
      </c>
      <c r="ED26" s="7">
        <f>S26*J26</f>
        <v>62</v>
      </c>
      <c r="EE26" s="7">
        <f>J26*48</f>
        <v>48</v>
      </c>
      <c r="EF26" s="8">
        <f t="shared" si="155"/>
        <v>14</v>
      </c>
      <c r="EG26" s="14">
        <f>EE26*AC26</f>
        <v>350400</v>
      </c>
      <c r="EH26" s="133">
        <f t="shared" si="156"/>
        <v>48</v>
      </c>
      <c r="EI26" s="133">
        <v>0</v>
      </c>
      <c r="EJ26" s="133"/>
      <c r="EK26" s="133">
        <v>62</v>
      </c>
      <c r="EL26" s="133">
        <f t="shared" si="157"/>
        <v>14</v>
      </c>
      <c r="EM26" s="133">
        <v>0</v>
      </c>
      <c r="EN26" s="133"/>
      <c r="EO26" s="133">
        <f t="shared" si="158"/>
        <v>14</v>
      </c>
      <c r="EP26" s="133">
        <f t="shared" si="159"/>
        <v>62</v>
      </c>
      <c r="EQ26" s="7">
        <f>T26*J26</f>
        <v>279</v>
      </c>
      <c r="ER26" s="7">
        <f>J26*212</f>
        <v>212</v>
      </c>
      <c r="ES26" s="8">
        <f t="shared" si="160"/>
        <v>67</v>
      </c>
      <c r="ET26" s="14">
        <f>ER26*AC26</f>
        <v>1547600</v>
      </c>
      <c r="EU26" s="134">
        <f t="shared" si="188"/>
        <v>212</v>
      </c>
      <c r="EV26" s="134">
        <v>93</v>
      </c>
      <c r="EW26" s="134"/>
      <c r="EX26" s="134">
        <v>93</v>
      </c>
      <c r="EY26" s="134"/>
      <c r="EZ26" s="134">
        <v>93</v>
      </c>
      <c r="FA26" s="134">
        <v>67</v>
      </c>
      <c r="FB26" s="134">
        <f t="shared" si="161"/>
        <v>67</v>
      </c>
      <c r="FC26" s="134">
        <f t="shared" si="162"/>
        <v>279</v>
      </c>
      <c r="FD26" s="7">
        <f>U26*J26</f>
        <v>186</v>
      </c>
      <c r="FE26" s="7">
        <f>J26*142</f>
        <v>142</v>
      </c>
      <c r="FF26" s="8">
        <f t="shared" si="163"/>
        <v>44</v>
      </c>
      <c r="FG26" s="14">
        <f>FE26*AC26</f>
        <v>1036600</v>
      </c>
      <c r="FH26" s="133">
        <f t="shared" si="164"/>
        <v>142</v>
      </c>
      <c r="FI26" s="133">
        <v>62</v>
      </c>
      <c r="FJ26" s="133"/>
      <c r="FK26" s="133">
        <v>62</v>
      </c>
      <c r="FL26" s="133"/>
      <c r="FM26" s="133">
        <v>62</v>
      </c>
      <c r="FN26" s="133">
        <v>44</v>
      </c>
      <c r="FO26" s="133">
        <f t="shared" si="165"/>
        <v>44</v>
      </c>
      <c r="FP26" s="133">
        <f t="shared" si="166"/>
        <v>186</v>
      </c>
      <c r="FQ26" s="7">
        <f>V26*J26</f>
        <v>32</v>
      </c>
      <c r="FR26" s="7">
        <f>J26*26</f>
        <v>26</v>
      </c>
      <c r="FS26" s="8">
        <f t="shared" si="167"/>
        <v>6</v>
      </c>
      <c r="FT26" s="14">
        <f>FR26*AC26</f>
        <v>189800</v>
      </c>
      <c r="FU26" s="134">
        <f t="shared" si="168"/>
        <v>26</v>
      </c>
      <c r="FV26" s="134">
        <v>0</v>
      </c>
      <c r="FW26" s="134"/>
      <c r="FX26" s="134">
        <v>16</v>
      </c>
      <c r="FY26" s="134"/>
      <c r="FZ26" s="134">
        <v>16</v>
      </c>
      <c r="GA26" s="134">
        <v>6</v>
      </c>
      <c r="GB26" s="134">
        <f t="shared" si="169"/>
        <v>6</v>
      </c>
      <c r="GC26" s="134">
        <f t="shared" si="170"/>
        <v>32</v>
      </c>
      <c r="GD26" s="7">
        <f>W26*J26</f>
        <v>12</v>
      </c>
      <c r="GE26" s="7">
        <f>J26*10</f>
        <v>10</v>
      </c>
      <c r="GF26" s="8">
        <f t="shared" si="171"/>
        <v>2</v>
      </c>
      <c r="GG26" s="14">
        <f>GE26*AC26</f>
        <v>73000</v>
      </c>
      <c r="GH26" s="134">
        <f t="shared" si="172"/>
        <v>10</v>
      </c>
      <c r="GI26" s="134">
        <v>4</v>
      </c>
      <c r="GJ26" s="134"/>
      <c r="GK26" s="134">
        <v>4</v>
      </c>
      <c r="GL26" s="134"/>
      <c r="GM26" s="134">
        <v>4</v>
      </c>
      <c r="GN26" s="134">
        <v>2</v>
      </c>
      <c r="GO26" s="134">
        <f t="shared" si="173"/>
        <v>2</v>
      </c>
      <c r="GP26" s="134">
        <f t="shared" si="174"/>
        <v>12</v>
      </c>
      <c r="GQ26" s="7">
        <f>X26*J26</f>
        <v>186</v>
      </c>
      <c r="GR26" s="7">
        <f>J26*142</f>
        <v>142</v>
      </c>
      <c r="GS26" s="8">
        <f t="shared" si="175"/>
        <v>44</v>
      </c>
      <c r="GT26" s="14">
        <f>GR26*AC26</f>
        <v>1036600</v>
      </c>
      <c r="GU26" s="133">
        <f t="shared" si="176"/>
        <v>142</v>
      </c>
      <c r="GV26" s="133">
        <v>62</v>
      </c>
      <c r="GW26" s="133"/>
      <c r="GX26" s="133">
        <v>62</v>
      </c>
      <c r="GY26" s="133"/>
      <c r="GZ26" s="133">
        <v>62</v>
      </c>
      <c r="HA26" s="133">
        <v>44</v>
      </c>
      <c r="HB26" s="133">
        <f t="shared" si="177"/>
        <v>44</v>
      </c>
      <c r="HC26" s="133">
        <f t="shared" si="178"/>
        <v>186</v>
      </c>
      <c r="HD26" s="7">
        <f>Y26*J26</f>
        <v>186</v>
      </c>
      <c r="HE26" s="7">
        <f>J26*142</f>
        <v>142</v>
      </c>
      <c r="HF26" s="8">
        <f t="shared" si="179"/>
        <v>44</v>
      </c>
      <c r="HG26" s="14">
        <f>HE26*AC26</f>
        <v>1036600</v>
      </c>
      <c r="HH26" s="7">
        <f t="shared" si="180"/>
        <v>142</v>
      </c>
      <c r="HI26" s="7">
        <v>62</v>
      </c>
      <c r="HJ26" s="7"/>
      <c r="HK26" s="7">
        <v>62</v>
      </c>
      <c r="HL26" s="7"/>
      <c r="HM26" s="7">
        <v>62</v>
      </c>
      <c r="HN26" s="7">
        <v>44</v>
      </c>
      <c r="HO26" s="133">
        <f t="shared" si="181"/>
        <v>44</v>
      </c>
      <c r="HP26" s="133">
        <f t="shared" si="182"/>
        <v>186</v>
      </c>
    </row>
    <row r="27" spans="2:224" x14ac:dyDescent="0.25">
      <c r="B27" s="7">
        <f>'PLAN DE NECESIDADES'!B24</f>
        <v>16</v>
      </c>
      <c r="C27" s="7">
        <f>'PLAN DE NECESIDADES'!C24</f>
        <v>2823603</v>
      </c>
      <c r="D27" s="60" t="str">
        <f>'PLAN DE NECESIDADES'!D24</f>
        <v>BICICLETERO NEGRO CORTO:
DE ACUERDO A ESPECIFICACIONES TÉCNICAS ESPECIFICACIONES TÉCNICAS NO JEMPP-CEDE4-DIETE-ET05595/INT-0</v>
      </c>
      <c r="E27" s="7" t="str">
        <f>'PLAN DE NECESIDADES'!E24</f>
        <v>UNIDAD</v>
      </c>
      <c r="F27" s="7">
        <f>'PLAN DE NECESIDADES'!F24</f>
        <v>0</v>
      </c>
      <c r="G27" s="7">
        <f>'PLAN DE NECESIDADES'!H24</f>
        <v>53101500</v>
      </c>
      <c r="H27" s="7">
        <f>'PLAN DE NECESIDADES'!I24</f>
        <v>1893955</v>
      </c>
      <c r="I27" s="7" t="str">
        <f>'PLAN DE NECESIDADES'!J24</f>
        <v>SIN CREAR</v>
      </c>
      <c r="J27" s="7">
        <v>1</v>
      </c>
      <c r="K27" s="7"/>
      <c r="L27" s="7"/>
      <c r="M27" s="7"/>
      <c r="N27" s="7"/>
      <c r="O27" s="85"/>
      <c r="P27" s="7"/>
      <c r="Q27" s="7"/>
      <c r="R27" s="85">
        <v>125</v>
      </c>
      <c r="S27" s="7"/>
      <c r="T27" s="7"/>
      <c r="U27" s="7"/>
      <c r="V27" s="7"/>
      <c r="W27" s="7"/>
      <c r="X27" s="7"/>
      <c r="Y27" s="7"/>
      <c r="Z27" s="85">
        <f t="shared" si="125"/>
        <v>125</v>
      </c>
      <c r="AA27" s="7">
        <f t="shared" si="125"/>
        <v>41</v>
      </c>
      <c r="AB27" s="7">
        <f t="shared" si="125"/>
        <v>84</v>
      </c>
      <c r="AC27" s="12">
        <v>37400</v>
      </c>
      <c r="AD27" s="7"/>
      <c r="AE27" s="7"/>
      <c r="AF27" s="8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7"/>
      <c r="AR27" s="7"/>
      <c r="AS27" s="8"/>
      <c r="AT27" s="14"/>
      <c r="AU27" s="14"/>
      <c r="AV27" s="133"/>
      <c r="AW27" s="133"/>
      <c r="AX27" s="133"/>
      <c r="AY27" s="133"/>
      <c r="AZ27" s="133"/>
      <c r="BA27" s="14"/>
      <c r="BB27" s="14"/>
      <c r="BC27" s="133"/>
      <c r="BD27" s="7"/>
      <c r="BE27" s="7"/>
      <c r="BF27" s="8"/>
      <c r="BG27" s="14"/>
      <c r="BH27" s="133"/>
      <c r="BI27" s="14"/>
      <c r="BJ27" s="14"/>
      <c r="BK27" s="14"/>
      <c r="BL27" s="14"/>
      <c r="BM27" s="14"/>
      <c r="BN27" s="14"/>
      <c r="BO27" s="14"/>
      <c r="BP27" s="14"/>
      <c r="BQ27" s="7"/>
      <c r="BR27" s="7"/>
      <c r="BS27" s="8"/>
      <c r="BT27" s="14"/>
      <c r="BU27" s="133"/>
      <c r="BV27" s="133"/>
      <c r="BW27" s="133"/>
      <c r="BX27" s="133"/>
      <c r="BY27" s="133"/>
      <c r="BZ27" s="133"/>
      <c r="CA27" s="133"/>
      <c r="CB27" s="133"/>
      <c r="CC27" s="133"/>
      <c r="CD27" s="7"/>
      <c r="CE27" s="7"/>
      <c r="CF27" s="8"/>
      <c r="CG27" s="14"/>
      <c r="CH27" s="134"/>
      <c r="CI27" s="14"/>
      <c r="CJ27" s="14"/>
      <c r="CK27" s="14"/>
      <c r="CL27" s="14"/>
      <c r="CM27" s="14"/>
      <c r="CN27" s="14"/>
      <c r="CO27" s="14"/>
      <c r="CP27" s="14"/>
      <c r="CQ27" s="7"/>
      <c r="CR27" s="7"/>
      <c r="CS27" s="8"/>
      <c r="CT27" s="14"/>
      <c r="CU27" s="134"/>
      <c r="CV27" s="134"/>
      <c r="CW27" s="134"/>
      <c r="CX27" s="134"/>
      <c r="CY27" s="134"/>
      <c r="CZ27" s="134"/>
      <c r="DA27" s="134"/>
      <c r="DB27" s="134"/>
      <c r="DC27" s="134"/>
      <c r="DD27" s="7"/>
      <c r="DE27" s="7"/>
      <c r="DF27" s="8"/>
      <c r="DG27" s="14"/>
      <c r="DH27" s="134"/>
      <c r="DI27" s="134"/>
      <c r="DJ27" s="134"/>
      <c r="DK27" s="134"/>
      <c r="DL27" s="134"/>
      <c r="DM27" s="134"/>
      <c r="DN27" s="134"/>
      <c r="DO27" s="134"/>
      <c r="DP27" s="134"/>
      <c r="DQ27" s="7">
        <f>R27*J27</f>
        <v>125</v>
      </c>
      <c r="DR27" s="7">
        <f>J27*41</f>
        <v>41</v>
      </c>
      <c r="DS27" s="8">
        <f t="shared" si="151"/>
        <v>84</v>
      </c>
      <c r="DT27" s="14">
        <f>DR27*AC27</f>
        <v>1533400</v>
      </c>
      <c r="DU27" s="134">
        <f t="shared" si="152"/>
        <v>41</v>
      </c>
      <c r="DV27" s="134">
        <v>0</v>
      </c>
      <c r="DW27" s="134"/>
      <c r="DX27" s="134">
        <v>62</v>
      </c>
      <c r="DY27" s="134">
        <v>21</v>
      </c>
      <c r="DZ27" s="134">
        <v>63</v>
      </c>
      <c r="EA27" s="134">
        <v>63</v>
      </c>
      <c r="EB27" s="134">
        <f t="shared" si="153"/>
        <v>84</v>
      </c>
      <c r="EC27" s="134">
        <f t="shared" si="154"/>
        <v>125</v>
      </c>
      <c r="ED27" s="7"/>
      <c r="EE27" s="7"/>
      <c r="EF27" s="8"/>
      <c r="EG27" s="14"/>
      <c r="EH27" s="133"/>
      <c r="EI27" s="133"/>
      <c r="EJ27" s="133"/>
      <c r="EK27" s="133"/>
      <c r="EL27" s="133"/>
      <c r="EM27" s="133"/>
      <c r="EN27" s="133"/>
      <c r="EO27" s="133"/>
      <c r="EP27" s="133"/>
      <c r="EQ27" s="7"/>
      <c r="ER27" s="7"/>
      <c r="ES27" s="8"/>
      <c r="ET27" s="14"/>
      <c r="EU27" s="134"/>
      <c r="EV27" s="134"/>
      <c r="EW27" s="134"/>
      <c r="EX27" s="134"/>
      <c r="EY27" s="134"/>
      <c r="EZ27" s="134"/>
      <c r="FA27" s="134"/>
      <c r="FB27" s="134"/>
      <c r="FC27" s="134"/>
      <c r="FD27" s="7"/>
      <c r="FE27" s="7"/>
      <c r="FF27" s="8"/>
      <c r="FG27" s="14"/>
      <c r="FH27" s="133"/>
      <c r="FI27" s="133"/>
      <c r="FJ27" s="133"/>
      <c r="FK27" s="133"/>
      <c r="FL27" s="133"/>
      <c r="FM27" s="133"/>
      <c r="FN27" s="133"/>
      <c r="FO27" s="133"/>
      <c r="FP27" s="133"/>
      <c r="FQ27" s="7"/>
      <c r="FR27" s="7"/>
      <c r="FS27" s="8"/>
      <c r="FT27" s="14"/>
      <c r="FU27" s="134"/>
      <c r="FV27" s="134"/>
      <c r="FW27" s="134"/>
      <c r="FX27" s="134"/>
      <c r="FY27" s="134"/>
      <c r="FZ27" s="134"/>
      <c r="GA27" s="134"/>
      <c r="GB27" s="134"/>
      <c r="GC27" s="134"/>
      <c r="GD27" s="7"/>
      <c r="GE27" s="7"/>
      <c r="GF27" s="8"/>
      <c r="GG27" s="14"/>
      <c r="GH27" s="134"/>
      <c r="GI27" s="134"/>
      <c r="GJ27" s="134"/>
      <c r="GK27" s="134"/>
      <c r="GL27" s="134"/>
      <c r="GM27" s="134"/>
      <c r="GN27" s="134"/>
      <c r="GO27" s="134"/>
      <c r="GP27" s="134"/>
      <c r="GQ27" s="7"/>
      <c r="GR27" s="7"/>
      <c r="GS27" s="8"/>
      <c r="GT27" s="14"/>
      <c r="GU27" s="133"/>
      <c r="GV27" s="133"/>
      <c r="GW27" s="133"/>
      <c r="GX27" s="133"/>
      <c r="GY27" s="133"/>
      <c r="GZ27" s="133"/>
      <c r="HA27" s="133"/>
      <c r="HB27" s="133"/>
      <c r="HC27" s="133"/>
      <c r="HD27" s="7"/>
      <c r="HE27" s="7"/>
      <c r="HF27" s="8"/>
      <c r="HG27" s="14"/>
      <c r="HH27" s="166"/>
      <c r="HI27" s="166"/>
      <c r="HJ27" s="166"/>
      <c r="HK27" s="166"/>
      <c r="HL27" s="166"/>
      <c r="HM27" s="166"/>
      <c r="HN27" s="166"/>
      <c r="HO27" s="166"/>
      <c r="HP27" s="166"/>
    </row>
    <row r="28" spans="2:224" x14ac:dyDescent="0.25">
      <c r="B28" s="7">
        <f>'PLAN DE NECESIDADES'!B25</f>
        <v>17</v>
      </c>
      <c r="C28" s="7">
        <f>'PLAN DE NECESIDADES'!C25</f>
        <v>2822401</v>
      </c>
      <c r="D28" s="60" t="str">
        <f>'PLAN DE NECESIDADES'!D25</f>
        <v>JUEGO DE ROPA INTERIOR (TOP-CACHETERO) 
DE ACUERDO A ESPECIFICACIONES TÉCNICAS N° JEMPP-CEDE4-DIETE-ET05573/INT-01</v>
      </c>
      <c r="E28" s="7" t="str">
        <f>'PLAN DE NECESIDADES'!E25</f>
        <v>UNIDAD</v>
      </c>
      <c r="F28" s="7">
        <f>'PLAN DE NECESIDADES'!F25</f>
        <v>0</v>
      </c>
      <c r="G28" s="7">
        <f>'PLAN DE NECESIDADES'!H25</f>
        <v>53102300</v>
      </c>
      <c r="H28" s="7">
        <f>'PLAN DE NECESIDADES'!I25</f>
        <v>1702099</v>
      </c>
      <c r="I28" s="7" t="str">
        <f>'PLAN DE NECESIDADES'!J25</f>
        <v>SIN CREAR</v>
      </c>
      <c r="J28" s="7">
        <v>1</v>
      </c>
      <c r="K28" s="7"/>
      <c r="L28" s="7"/>
      <c r="M28" s="7"/>
      <c r="N28" s="7"/>
      <c r="O28" s="85"/>
      <c r="P28" s="7"/>
      <c r="Q28" s="7"/>
      <c r="R28" s="85">
        <v>125</v>
      </c>
      <c r="S28" s="7"/>
      <c r="T28" s="7"/>
      <c r="U28" s="7"/>
      <c r="V28" s="7"/>
      <c r="W28" s="7"/>
      <c r="X28" s="7"/>
      <c r="Y28" s="7"/>
      <c r="Z28" s="85">
        <f t="shared" si="125"/>
        <v>125</v>
      </c>
      <c r="AA28" s="7">
        <f t="shared" si="125"/>
        <v>41</v>
      </c>
      <c r="AB28" s="7">
        <f t="shared" si="125"/>
        <v>84</v>
      </c>
      <c r="AC28" s="12">
        <v>36700</v>
      </c>
      <c r="AD28" s="7"/>
      <c r="AE28" s="7"/>
      <c r="AF28" s="8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7"/>
      <c r="AR28" s="7"/>
      <c r="AS28" s="8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7"/>
      <c r="BE28" s="7"/>
      <c r="BF28" s="8"/>
      <c r="BG28" s="14"/>
      <c r="BH28" s="133"/>
      <c r="BI28" s="14"/>
      <c r="BJ28" s="14"/>
      <c r="BK28" s="14"/>
      <c r="BL28" s="14"/>
      <c r="BM28" s="14"/>
      <c r="BN28" s="14"/>
      <c r="BO28" s="14"/>
      <c r="BP28" s="14"/>
      <c r="BQ28" s="7"/>
      <c r="BR28" s="7"/>
      <c r="BS28" s="8"/>
      <c r="BT28" s="14"/>
      <c r="BU28" s="133"/>
      <c r="BV28" s="133"/>
      <c r="BW28" s="133"/>
      <c r="BX28" s="133"/>
      <c r="BY28" s="133"/>
      <c r="BZ28" s="133"/>
      <c r="CA28" s="133"/>
      <c r="CB28" s="133"/>
      <c r="CC28" s="133"/>
      <c r="CD28" s="7"/>
      <c r="CE28" s="7"/>
      <c r="CF28" s="8"/>
      <c r="CG28" s="14"/>
      <c r="CH28" s="134"/>
      <c r="CI28" s="14"/>
      <c r="CJ28" s="14"/>
      <c r="CK28" s="14"/>
      <c r="CL28" s="14"/>
      <c r="CM28" s="14"/>
      <c r="CN28" s="14"/>
      <c r="CO28" s="14"/>
      <c r="CP28" s="14"/>
      <c r="CQ28" s="7"/>
      <c r="CR28" s="7"/>
      <c r="CS28" s="8"/>
      <c r="CT28" s="14"/>
      <c r="CU28" s="134"/>
      <c r="CV28" s="134"/>
      <c r="CW28" s="134"/>
      <c r="CX28" s="134"/>
      <c r="CY28" s="134"/>
      <c r="CZ28" s="134"/>
      <c r="DA28" s="134"/>
      <c r="DB28" s="134"/>
      <c r="DC28" s="134"/>
      <c r="DD28" s="7"/>
      <c r="DE28" s="7"/>
      <c r="DF28" s="8"/>
      <c r="DG28" s="14"/>
      <c r="DH28" s="134"/>
      <c r="DI28" s="134"/>
      <c r="DJ28" s="134"/>
      <c r="DK28" s="134"/>
      <c r="DL28" s="134"/>
      <c r="DM28" s="134"/>
      <c r="DN28" s="134"/>
      <c r="DO28" s="134"/>
      <c r="DP28" s="134"/>
      <c r="DQ28" s="7">
        <f>R28*J28</f>
        <v>125</v>
      </c>
      <c r="DR28" s="7">
        <f>J28*41</f>
        <v>41</v>
      </c>
      <c r="DS28" s="8">
        <f t="shared" si="151"/>
        <v>84</v>
      </c>
      <c r="DT28" s="14">
        <f>DR28*AC28</f>
        <v>1504700</v>
      </c>
      <c r="DU28" s="134">
        <f t="shared" si="152"/>
        <v>41</v>
      </c>
      <c r="DV28" s="134">
        <v>0</v>
      </c>
      <c r="DW28" s="134"/>
      <c r="DX28" s="134">
        <v>62</v>
      </c>
      <c r="DY28" s="134">
        <v>21</v>
      </c>
      <c r="DZ28" s="134">
        <v>63</v>
      </c>
      <c r="EA28" s="134">
        <v>63</v>
      </c>
      <c r="EB28" s="134">
        <f t="shared" si="153"/>
        <v>84</v>
      </c>
      <c r="EC28" s="134">
        <f t="shared" si="154"/>
        <v>125</v>
      </c>
      <c r="ED28" s="7"/>
      <c r="EE28" s="7"/>
      <c r="EF28" s="8"/>
      <c r="EG28" s="14"/>
      <c r="EH28" s="133"/>
      <c r="EI28" s="133"/>
      <c r="EJ28" s="133"/>
      <c r="EK28" s="133"/>
      <c r="EL28" s="133"/>
      <c r="EM28" s="133"/>
      <c r="EN28" s="133"/>
      <c r="EO28" s="133"/>
      <c r="EP28" s="133"/>
      <c r="EQ28" s="7"/>
      <c r="ER28" s="7"/>
      <c r="ES28" s="8"/>
      <c r="ET28" s="14"/>
      <c r="EU28" s="134"/>
      <c r="EV28" s="134"/>
      <c r="EW28" s="134"/>
      <c r="EX28" s="134"/>
      <c r="EY28" s="134"/>
      <c r="EZ28" s="134"/>
      <c r="FA28" s="134"/>
      <c r="FB28" s="134"/>
      <c r="FC28" s="134"/>
      <c r="FD28" s="7"/>
      <c r="FE28" s="7"/>
      <c r="FF28" s="8"/>
      <c r="FG28" s="14"/>
      <c r="FH28" s="133"/>
      <c r="FI28" s="133"/>
      <c r="FJ28" s="133"/>
      <c r="FK28" s="133"/>
      <c r="FL28" s="133"/>
      <c r="FM28" s="133"/>
      <c r="FN28" s="133"/>
      <c r="FO28" s="133"/>
      <c r="FP28" s="133"/>
      <c r="FQ28" s="7"/>
      <c r="FR28" s="7"/>
      <c r="FS28" s="8"/>
      <c r="FT28" s="14"/>
      <c r="FU28" s="134"/>
      <c r="FV28" s="134"/>
      <c r="FW28" s="134"/>
      <c r="FX28" s="134"/>
      <c r="FY28" s="134"/>
      <c r="FZ28" s="134"/>
      <c r="GA28" s="134"/>
      <c r="GB28" s="134"/>
      <c r="GC28" s="134"/>
      <c r="GD28" s="7"/>
      <c r="GE28" s="7"/>
      <c r="GF28" s="8"/>
      <c r="GG28" s="14"/>
      <c r="GH28" s="134"/>
      <c r="GI28" s="134"/>
      <c r="GJ28" s="134"/>
      <c r="GK28" s="134"/>
      <c r="GL28" s="134"/>
      <c r="GM28" s="134"/>
      <c r="GN28" s="134"/>
      <c r="GO28" s="134"/>
      <c r="GP28" s="134"/>
      <c r="GQ28" s="7"/>
      <c r="GR28" s="7"/>
      <c r="GS28" s="8"/>
      <c r="GT28" s="14"/>
      <c r="GU28" s="133"/>
      <c r="GV28" s="133"/>
      <c r="GW28" s="133"/>
      <c r="GX28" s="133"/>
      <c r="GY28" s="133"/>
      <c r="GZ28" s="133"/>
      <c r="HA28" s="133"/>
      <c r="HB28" s="133"/>
      <c r="HC28" s="133"/>
      <c r="HD28" s="7"/>
      <c r="HE28" s="7"/>
      <c r="HF28" s="8"/>
      <c r="HG28" s="14"/>
      <c r="HH28" s="166"/>
      <c r="HI28" s="166"/>
      <c r="HJ28" s="166"/>
      <c r="HK28" s="166"/>
      <c r="HL28" s="166"/>
      <c r="HM28" s="166"/>
      <c r="HN28" s="166"/>
      <c r="HO28" s="166"/>
      <c r="HP28" s="166"/>
    </row>
    <row r="29" spans="2:224" hidden="1" x14ac:dyDescent="0.25">
      <c r="B29" s="226" t="s">
        <v>18</v>
      </c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8">
        <f>SUM(AG24:AG28)</f>
        <v>2891300</v>
      </c>
      <c r="AE29" s="228"/>
      <c r="AF29" s="228"/>
      <c r="AG29" s="228"/>
      <c r="AH29" s="113"/>
      <c r="AI29" s="113"/>
      <c r="AJ29" s="113"/>
      <c r="AK29" s="113"/>
      <c r="AL29" s="113"/>
      <c r="AM29" s="113"/>
      <c r="AN29" s="113"/>
      <c r="AO29" s="113"/>
      <c r="AP29" s="113"/>
      <c r="AQ29" s="228">
        <f t="shared" ref="AQ29" si="189">SUM(AT24:AT28)</f>
        <v>9106300</v>
      </c>
      <c r="AR29" s="228"/>
      <c r="AS29" s="228"/>
      <c r="AT29" s="228"/>
      <c r="AU29" s="113"/>
      <c r="AV29" s="113"/>
      <c r="AW29" s="113"/>
      <c r="AX29" s="113"/>
      <c r="AY29" s="113"/>
      <c r="AZ29" s="113"/>
      <c r="BA29" s="113"/>
      <c r="BB29" s="113"/>
      <c r="BC29" s="113"/>
      <c r="BD29" s="228">
        <f t="shared" ref="BD29" si="190">SUM(BG24:BG28)</f>
        <v>11708000</v>
      </c>
      <c r="BE29" s="228"/>
      <c r="BF29" s="228"/>
      <c r="BG29" s="228"/>
      <c r="BH29" s="142"/>
      <c r="BI29" s="113"/>
      <c r="BJ29" s="113"/>
      <c r="BK29" s="113"/>
      <c r="BL29" s="113"/>
      <c r="BM29" s="113"/>
      <c r="BN29" s="113"/>
      <c r="BO29" s="113"/>
      <c r="BP29" s="113"/>
      <c r="BQ29" s="228">
        <f t="shared" ref="BQ29" si="191">SUM(BT24:BT28)</f>
        <v>9103700</v>
      </c>
      <c r="BR29" s="228"/>
      <c r="BS29" s="228"/>
      <c r="BT29" s="228"/>
      <c r="BU29" s="142"/>
      <c r="BV29" s="142"/>
      <c r="BW29" s="142"/>
      <c r="BX29" s="142"/>
      <c r="BY29" s="142"/>
      <c r="BZ29" s="142"/>
      <c r="CA29" s="142"/>
      <c r="CB29" s="142"/>
      <c r="CC29" s="142"/>
      <c r="CD29" s="228">
        <f t="shared" ref="CD29" si="192">SUM(CG24:CG28)</f>
        <v>10407000</v>
      </c>
      <c r="CE29" s="228"/>
      <c r="CF29" s="228"/>
      <c r="CG29" s="228"/>
      <c r="CH29" s="153"/>
      <c r="CI29" s="113"/>
      <c r="CJ29" s="113"/>
      <c r="CK29" s="113"/>
      <c r="CL29" s="113"/>
      <c r="CM29" s="113"/>
      <c r="CN29" s="113"/>
      <c r="CO29" s="113"/>
      <c r="CP29" s="113"/>
      <c r="CQ29" s="228">
        <f t="shared" ref="CQ29" si="193">SUM(CT24:CT28)</f>
        <v>10407000</v>
      </c>
      <c r="CR29" s="228"/>
      <c r="CS29" s="228"/>
      <c r="CT29" s="228"/>
      <c r="CU29" s="153"/>
      <c r="CV29" s="153"/>
      <c r="CW29" s="153"/>
      <c r="CX29" s="153"/>
      <c r="CY29" s="153"/>
      <c r="CZ29" s="153"/>
      <c r="DA29" s="153"/>
      <c r="DB29" s="153"/>
      <c r="DC29" s="153"/>
      <c r="DD29" s="228">
        <f t="shared" ref="DD29" si="194">SUM(DG24:DG28)</f>
        <v>11707700</v>
      </c>
      <c r="DE29" s="228"/>
      <c r="DF29" s="228"/>
      <c r="DG29" s="228"/>
      <c r="DH29" s="153"/>
      <c r="DI29" s="153"/>
      <c r="DJ29" s="153"/>
      <c r="DK29" s="153"/>
      <c r="DL29" s="153"/>
      <c r="DM29" s="153"/>
      <c r="DN29" s="153"/>
      <c r="DO29" s="153"/>
      <c r="DP29" s="153"/>
      <c r="DQ29" s="228">
        <f t="shared" ref="DQ29" si="195">SUM(DT24:DT28)</f>
        <v>5245400</v>
      </c>
      <c r="DR29" s="228"/>
      <c r="DS29" s="228"/>
      <c r="DT29" s="228"/>
      <c r="DU29" s="153"/>
      <c r="DV29" s="153"/>
      <c r="DW29" s="153"/>
      <c r="DX29" s="153"/>
      <c r="DY29" s="134">
        <f t="shared" ref="DY29:DY31" si="196">DX29-DU29</f>
        <v>0</v>
      </c>
      <c r="DZ29" s="153"/>
      <c r="EA29" s="153"/>
      <c r="EB29" s="153"/>
      <c r="EC29" s="153"/>
      <c r="ED29" s="228">
        <f t="shared" ref="ED29" si="197">SUM(EG24:EG28)</f>
        <v>2601700</v>
      </c>
      <c r="EE29" s="228"/>
      <c r="EF29" s="228"/>
      <c r="EG29" s="228"/>
      <c r="EH29" s="142"/>
      <c r="EI29" s="142"/>
      <c r="EJ29" s="142"/>
      <c r="EK29" s="142"/>
      <c r="EL29" s="142"/>
      <c r="EM29" s="142"/>
      <c r="EN29" s="142"/>
      <c r="EO29" s="142"/>
      <c r="EP29" s="142"/>
      <c r="EQ29" s="228">
        <f t="shared" ref="EQ29" si="198">SUM(ET24:ET28)</f>
        <v>11707700</v>
      </c>
      <c r="ER29" s="228"/>
      <c r="ES29" s="228"/>
      <c r="ET29" s="228"/>
      <c r="EU29" s="153"/>
      <c r="EV29" s="153"/>
      <c r="EW29" s="153"/>
      <c r="EX29" s="153"/>
      <c r="EY29" s="153"/>
      <c r="EZ29" s="153"/>
      <c r="FA29" s="153"/>
      <c r="FB29" s="153"/>
      <c r="FC29" s="153"/>
      <c r="FD29" s="228">
        <f t="shared" ref="FD29" si="199">SUM(FG24:FG28)</f>
        <v>7805300</v>
      </c>
      <c r="FE29" s="228"/>
      <c r="FF29" s="228"/>
      <c r="FG29" s="228"/>
      <c r="FH29" s="142"/>
      <c r="FI29" s="142"/>
      <c r="FJ29" s="142"/>
      <c r="FK29" s="142"/>
      <c r="FL29" s="142"/>
      <c r="FM29" s="142"/>
      <c r="FN29" s="142"/>
      <c r="FO29" s="142"/>
      <c r="FP29" s="142"/>
      <c r="FQ29" s="228">
        <f t="shared" ref="FQ29" si="200">SUM(FT24:FT28)</f>
        <v>1339300</v>
      </c>
      <c r="FR29" s="228"/>
      <c r="FS29" s="228"/>
      <c r="FT29" s="228"/>
      <c r="FU29" s="153"/>
      <c r="FV29" s="153"/>
      <c r="FW29" s="153"/>
      <c r="FX29" s="153"/>
      <c r="FY29" s="153"/>
      <c r="FZ29" s="153"/>
      <c r="GA29" s="153"/>
      <c r="GB29" s="153"/>
      <c r="GC29" s="153"/>
      <c r="GD29" s="228">
        <f t="shared" ref="GD29" si="201">SUM(GG24:GG28)</f>
        <v>502300</v>
      </c>
      <c r="GE29" s="228"/>
      <c r="GF29" s="228"/>
      <c r="GG29" s="228"/>
      <c r="GH29" s="153"/>
      <c r="GI29" s="153"/>
      <c r="GJ29" s="153"/>
      <c r="GK29" s="153"/>
      <c r="GL29" s="153"/>
      <c r="GM29" s="153"/>
      <c r="GN29" s="153"/>
      <c r="GO29" s="153"/>
      <c r="GP29" s="153"/>
      <c r="GQ29" s="228">
        <f t="shared" ref="GQ29" si="202">SUM(GT24:GT28)</f>
        <v>7805300</v>
      </c>
      <c r="GR29" s="228"/>
      <c r="GS29" s="228"/>
      <c r="GT29" s="228"/>
      <c r="GU29" s="142"/>
      <c r="GV29" s="142"/>
      <c r="GW29" s="142"/>
      <c r="GX29" s="142"/>
      <c r="GY29" s="142"/>
      <c r="GZ29" s="142"/>
      <c r="HA29" s="142"/>
      <c r="HB29" s="142"/>
      <c r="HC29" s="142"/>
      <c r="HD29" s="228">
        <f t="shared" ref="HD29" si="203">SUM(HG24:HG28)</f>
        <v>7805300</v>
      </c>
      <c r="HE29" s="228"/>
      <c r="HF29" s="228"/>
      <c r="HG29" s="228"/>
    </row>
    <row r="30" spans="2:224" hidden="1" x14ac:dyDescent="0.25">
      <c r="B30" s="226" t="s">
        <v>19</v>
      </c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1">
        <f>SUMIFS(PRESUPUESTO!$G$69:$G$83,PRESUPUESTO!$E$69:$E$83,AD22)</f>
        <v>2895960.3862857143</v>
      </c>
      <c r="AE30" s="222"/>
      <c r="AF30" s="222"/>
      <c r="AG30" s="223"/>
      <c r="AH30" s="119"/>
      <c r="AI30" s="119"/>
      <c r="AJ30" s="119"/>
      <c r="AK30" s="119"/>
      <c r="AL30" s="119"/>
      <c r="AM30" s="119"/>
      <c r="AN30" s="119"/>
      <c r="AO30" s="119"/>
      <c r="AP30" s="119"/>
      <c r="AQ30" s="221">
        <f>SUMIFS(PRESUPUESTO!$G$69:$G$83,PRESUPUESTO!$E$69:$E$83,AQ22)</f>
        <v>9107585.5626666658</v>
      </c>
      <c r="AR30" s="222"/>
      <c r="AS30" s="222"/>
      <c r="AT30" s="223"/>
      <c r="AU30" s="119"/>
      <c r="AV30" s="119"/>
      <c r="AW30" s="119"/>
      <c r="AX30" s="119"/>
      <c r="AY30" s="119"/>
      <c r="AZ30" s="119"/>
      <c r="BA30" s="119"/>
      <c r="BB30" s="119"/>
      <c r="BC30" s="119"/>
      <c r="BD30" s="221">
        <f>SUMIFS(PRESUPUESTO!$G$69:$G$83,PRESUPUESTO!$E$69:$E$83,BD22)</f>
        <v>11709752.866285713</v>
      </c>
      <c r="BE30" s="222"/>
      <c r="BF30" s="222"/>
      <c r="BG30" s="223"/>
      <c r="BH30" s="139"/>
      <c r="BI30" s="119"/>
      <c r="BJ30" s="119"/>
      <c r="BK30" s="119"/>
      <c r="BL30" s="119"/>
      <c r="BM30" s="119"/>
      <c r="BN30" s="119"/>
      <c r="BO30" s="119"/>
      <c r="BP30" s="119"/>
      <c r="BQ30" s="221">
        <f>SUMIFS(PRESUPUESTO!$G$69:$G$83,PRESUPUESTO!$E$69:$E$83,BQ22)</f>
        <v>9107585.5626666658</v>
      </c>
      <c r="BR30" s="222"/>
      <c r="BS30" s="222"/>
      <c r="BT30" s="223"/>
      <c r="BU30" s="139"/>
      <c r="BV30" s="139"/>
      <c r="BW30" s="139"/>
      <c r="BX30" s="139"/>
      <c r="BY30" s="139"/>
      <c r="BZ30" s="139"/>
      <c r="CA30" s="139"/>
      <c r="CB30" s="139"/>
      <c r="CC30" s="139"/>
      <c r="CD30" s="221">
        <f>SUMIFS(PRESUPUESTO!$G$69:$G$83,PRESUPUESTO!$E$69:$E$83,CD22)</f>
        <v>10408669.214476191</v>
      </c>
      <c r="CE30" s="222"/>
      <c r="CF30" s="222"/>
      <c r="CG30" s="223"/>
      <c r="CH30" s="150"/>
      <c r="CI30" s="119"/>
      <c r="CJ30" s="119"/>
      <c r="CK30" s="119"/>
      <c r="CL30" s="119"/>
      <c r="CM30" s="119"/>
      <c r="CN30" s="119"/>
      <c r="CO30" s="119"/>
      <c r="CP30" s="119"/>
      <c r="CQ30" s="221">
        <f>SUMIFS(PRESUPUESTO!$G$69:$G$83,PRESUPUESTO!$E$69:$E$83,CQ22)</f>
        <v>10408669.214476191</v>
      </c>
      <c r="CR30" s="222"/>
      <c r="CS30" s="222"/>
      <c r="CT30" s="223"/>
      <c r="CU30" s="150"/>
      <c r="CV30" s="150"/>
      <c r="CW30" s="150"/>
      <c r="CX30" s="150"/>
      <c r="CY30" s="150"/>
      <c r="CZ30" s="150"/>
      <c r="DA30" s="150"/>
      <c r="DB30" s="150"/>
      <c r="DC30" s="150"/>
      <c r="DD30" s="221">
        <f>SUMIFS(PRESUPUESTO!$G$69:$G$83,PRESUPUESTO!$E$69:$E$83,DD22)</f>
        <v>11709752.866285713</v>
      </c>
      <c r="DE30" s="222"/>
      <c r="DF30" s="222"/>
      <c r="DG30" s="223"/>
      <c r="DH30" s="150"/>
      <c r="DI30" s="150"/>
      <c r="DJ30" s="150"/>
      <c r="DK30" s="150"/>
      <c r="DL30" s="150"/>
      <c r="DM30" s="150"/>
      <c r="DN30" s="150"/>
      <c r="DO30" s="150"/>
      <c r="DP30" s="150"/>
      <c r="DQ30" s="221">
        <f>SUMIFS(PRESUPUESTO!$G$69:$G$83,PRESUPUESTO!$E$69:$E$83,DQ22)</f>
        <v>5246305.0476190476</v>
      </c>
      <c r="DR30" s="222"/>
      <c r="DS30" s="222"/>
      <c r="DT30" s="223"/>
      <c r="DU30" s="150"/>
      <c r="DV30" s="150"/>
      <c r="DW30" s="150"/>
      <c r="DX30" s="150"/>
      <c r="DY30" s="134">
        <f t="shared" si="196"/>
        <v>0</v>
      </c>
      <c r="DZ30" s="150"/>
      <c r="EA30" s="150"/>
      <c r="EB30" s="150"/>
      <c r="EC30" s="150"/>
      <c r="ED30" s="221">
        <f>SUMIFS(PRESUPUESTO!$G$69:$G$83,PRESUPUESTO!$E$69:$E$83,ED22)</f>
        <v>2602167.3036190476</v>
      </c>
      <c r="EE30" s="222"/>
      <c r="EF30" s="222"/>
      <c r="EG30" s="223"/>
      <c r="EH30" s="139"/>
      <c r="EI30" s="139"/>
      <c r="EJ30" s="139"/>
      <c r="EK30" s="139"/>
      <c r="EL30" s="139"/>
      <c r="EM30" s="139"/>
      <c r="EN30" s="139"/>
      <c r="EO30" s="139"/>
      <c r="EP30" s="139"/>
      <c r="EQ30" s="221">
        <f>SUMIFS(PRESUPUESTO!$G$69:$G$83,PRESUPUESTO!$E$69:$E$83,EQ22)</f>
        <v>11709752.866285713</v>
      </c>
      <c r="ER30" s="222"/>
      <c r="ES30" s="222"/>
      <c r="ET30" s="223"/>
      <c r="EU30" s="150"/>
      <c r="EV30" s="150"/>
      <c r="EW30" s="150"/>
      <c r="EX30" s="150"/>
      <c r="EY30" s="150"/>
      <c r="EZ30" s="150"/>
      <c r="FA30" s="150"/>
      <c r="FB30" s="150"/>
      <c r="FC30" s="150"/>
      <c r="FD30" s="221">
        <f>SUMIFS(PRESUPUESTO!$G$69:$G$83,PRESUPUESTO!$E$69:$E$83,FD22)</f>
        <v>7806501.9108571429</v>
      </c>
      <c r="FE30" s="222"/>
      <c r="FF30" s="222"/>
      <c r="FG30" s="223"/>
      <c r="FH30" s="139"/>
      <c r="FI30" s="139"/>
      <c r="FJ30" s="139"/>
      <c r="FK30" s="139"/>
      <c r="FL30" s="139"/>
      <c r="FM30" s="139"/>
      <c r="FN30" s="139"/>
      <c r="FO30" s="139"/>
      <c r="FP30" s="139"/>
      <c r="FQ30" s="221">
        <f>SUMIFS(PRESUPUESTO!$G$69:$G$83,PRESUPUESTO!$E$69:$E$83,FQ22)</f>
        <v>1343054.0921904761</v>
      </c>
      <c r="FR30" s="222"/>
      <c r="FS30" s="222"/>
      <c r="FT30" s="223"/>
      <c r="FU30" s="150"/>
      <c r="FV30" s="150"/>
      <c r="FW30" s="150"/>
      <c r="FX30" s="150"/>
      <c r="FY30" s="150"/>
      <c r="FZ30" s="150"/>
      <c r="GA30" s="150"/>
      <c r="GB30" s="150"/>
      <c r="GC30" s="150"/>
      <c r="GD30" s="221">
        <f>SUMIFS(PRESUPUESTO!$G$69:$G$83,PRESUPUESTO!$E$69:$E$83,GD22)</f>
        <v>503645.28457142855</v>
      </c>
      <c r="GE30" s="222"/>
      <c r="GF30" s="222"/>
      <c r="GG30" s="223"/>
      <c r="GH30" s="150"/>
      <c r="GI30" s="150"/>
      <c r="GJ30" s="150"/>
      <c r="GK30" s="150"/>
      <c r="GL30" s="150"/>
      <c r="GM30" s="150"/>
      <c r="GN30" s="150"/>
      <c r="GO30" s="150"/>
      <c r="GP30" s="150"/>
      <c r="GQ30" s="221">
        <f>SUMIFS(PRESUPUESTO!$G$69:$G$83,PRESUPUESTO!$E$69:$E$83,GQ22)</f>
        <v>7806501.9108571429</v>
      </c>
      <c r="GR30" s="222"/>
      <c r="GS30" s="222"/>
      <c r="GT30" s="223"/>
      <c r="GU30" s="139"/>
      <c r="GV30" s="139"/>
      <c r="GW30" s="139"/>
      <c r="GX30" s="139"/>
      <c r="GY30" s="139"/>
      <c r="GZ30" s="139"/>
      <c r="HA30" s="139"/>
      <c r="HB30" s="139"/>
      <c r="HC30" s="139"/>
      <c r="HD30" s="221">
        <f>SUMIFS(PRESUPUESTO!$G$69:$G$83,PRESUPUESTO!$E$69:$E$83,HD22)</f>
        <v>7806501.9108571429</v>
      </c>
      <c r="HE30" s="222"/>
      <c r="HF30" s="222"/>
      <c r="HG30" s="223"/>
      <c r="HH30" s="167">
        <f>SUM(AD30:HG30)</f>
        <v>110172405.99999999</v>
      </c>
    </row>
    <row r="31" spans="2:224" hidden="1" x14ac:dyDescent="0.25">
      <c r="B31" s="226" t="s">
        <v>10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4">
        <f>AD30-AD29</f>
        <v>4660.3862857143395</v>
      </c>
      <c r="AE31" s="224"/>
      <c r="AF31" s="224"/>
      <c r="AG31" s="224"/>
      <c r="AH31" s="118"/>
      <c r="AI31" s="118"/>
      <c r="AJ31" s="118"/>
      <c r="AK31" s="118"/>
      <c r="AL31" s="118"/>
      <c r="AM31" s="118"/>
      <c r="AN31" s="118"/>
      <c r="AO31" s="118"/>
      <c r="AP31" s="118"/>
      <c r="AQ31" s="224">
        <f>AQ30-AQ29</f>
        <v>1285.5626666657627</v>
      </c>
      <c r="AR31" s="224"/>
      <c r="AS31" s="224"/>
      <c r="AT31" s="224"/>
      <c r="AU31" s="118"/>
      <c r="AV31" s="118"/>
      <c r="AW31" s="118"/>
      <c r="AX31" s="118"/>
      <c r="AY31" s="118"/>
      <c r="AZ31" s="118"/>
      <c r="BA31" s="118"/>
      <c r="BB31" s="118"/>
      <c r="BC31" s="118"/>
      <c r="BD31" s="224">
        <f>BD30-BD29</f>
        <v>1752.8662857133895</v>
      </c>
      <c r="BE31" s="224"/>
      <c r="BF31" s="224"/>
      <c r="BG31" s="224"/>
      <c r="BH31" s="140"/>
      <c r="BI31" s="118"/>
      <c r="BJ31" s="118"/>
      <c r="BK31" s="118"/>
      <c r="BL31" s="118"/>
      <c r="BM31" s="118"/>
      <c r="BN31" s="118"/>
      <c r="BO31" s="118"/>
      <c r="BP31" s="118"/>
      <c r="BQ31" s="224">
        <f t="shared" ref="BQ31" si="204">BQ30-BQ29</f>
        <v>3885.5626666657627</v>
      </c>
      <c r="BR31" s="224"/>
      <c r="BS31" s="224"/>
      <c r="BT31" s="224"/>
      <c r="BU31" s="140"/>
      <c r="BV31" s="140"/>
      <c r="BW31" s="140"/>
      <c r="BX31" s="140"/>
      <c r="BY31" s="140"/>
      <c r="BZ31" s="140"/>
      <c r="CA31" s="140"/>
      <c r="CB31" s="140"/>
      <c r="CC31" s="140"/>
      <c r="CD31" s="224">
        <f>CD30-CD29</f>
        <v>1669.2144761905074</v>
      </c>
      <c r="CE31" s="224"/>
      <c r="CF31" s="224"/>
      <c r="CG31" s="224"/>
      <c r="CH31" s="151"/>
      <c r="CI31" s="118"/>
      <c r="CJ31" s="118"/>
      <c r="CK31" s="118"/>
      <c r="CL31" s="118"/>
      <c r="CM31" s="118"/>
      <c r="CN31" s="118"/>
      <c r="CO31" s="118"/>
      <c r="CP31" s="118"/>
      <c r="CQ31" s="224">
        <f>CQ30-CQ29</f>
        <v>1669.2144761905074</v>
      </c>
      <c r="CR31" s="224"/>
      <c r="CS31" s="224"/>
      <c r="CT31" s="224"/>
      <c r="CU31" s="151"/>
      <c r="CV31" s="151"/>
      <c r="CW31" s="151"/>
      <c r="CX31" s="151"/>
      <c r="CY31" s="151"/>
      <c r="CZ31" s="151"/>
      <c r="DA31" s="151"/>
      <c r="DB31" s="151"/>
      <c r="DC31" s="151"/>
      <c r="DD31" s="224">
        <f>DD30-DD29</f>
        <v>2052.8662857133895</v>
      </c>
      <c r="DE31" s="224"/>
      <c r="DF31" s="224"/>
      <c r="DG31" s="224"/>
      <c r="DH31" s="151"/>
      <c r="DI31" s="151"/>
      <c r="DJ31" s="151"/>
      <c r="DK31" s="151"/>
      <c r="DL31" s="151"/>
      <c r="DM31" s="151"/>
      <c r="DN31" s="151"/>
      <c r="DO31" s="151"/>
      <c r="DP31" s="151"/>
      <c r="DQ31" s="224">
        <f t="shared" ref="DQ31" si="205">DQ30-DQ29</f>
        <v>905.0476190475747</v>
      </c>
      <c r="DR31" s="224"/>
      <c r="DS31" s="224"/>
      <c r="DT31" s="224"/>
      <c r="DU31" s="151"/>
      <c r="DV31" s="151"/>
      <c r="DW31" s="151"/>
      <c r="DX31" s="151"/>
      <c r="DY31" s="134">
        <f t="shared" si="196"/>
        <v>0</v>
      </c>
      <c r="DZ31" s="151"/>
      <c r="EA31" s="151"/>
      <c r="EB31" s="151"/>
      <c r="EC31" s="151"/>
      <c r="ED31" s="224">
        <f>ED30-ED29</f>
        <v>467.30361904762685</v>
      </c>
      <c r="EE31" s="224"/>
      <c r="EF31" s="224"/>
      <c r="EG31" s="224"/>
      <c r="EH31" s="140"/>
      <c r="EI31" s="140"/>
      <c r="EJ31" s="140"/>
      <c r="EK31" s="140"/>
      <c r="EL31" s="140"/>
      <c r="EM31" s="140"/>
      <c r="EN31" s="140"/>
      <c r="EO31" s="140"/>
      <c r="EP31" s="140"/>
      <c r="EQ31" s="224">
        <f>EQ30-EQ29</f>
        <v>2052.8662857133895</v>
      </c>
      <c r="ER31" s="224"/>
      <c r="ES31" s="224"/>
      <c r="ET31" s="224"/>
      <c r="EU31" s="151"/>
      <c r="EV31" s="151"/>
      <c r="EW31" s="151"/>
      <c r="EX31" s="151"/>
      <c r="EY31" s="151"/>
      <c r="EZ31" s="151"/>
      <c r="FA31" s="151"/>
      <c r="FB31" s="151"/>
      <c r="FC31" s="151"/>
      <c r="FD31" s="224">
        <f>FD30-FD29</f>
        <v>1201.9108571428806</v>
      </c>
      <c r="FE31" s="224"/>
      <c r="FF31" s="224"/>
      <c r="FG31" s="224"/>
      <c r="FH31" s="140"/>
      <c r="FI31" s="140"/>
      <c r="FJ31" s="140"/>
      <c r="FK31" s="140"/>
      <c r="FL31" s="140"/>
      <c r="FM31" s="140"/>
      <c r="FN31" s="140"/>
      <c r="FO31" s="140"/>
      <c r="FP31" s="140"/>
      <c r="FQ31" s="224">
        <f t="shared" ref="FQ31" si="206">FQ30-FQ29</f>
        <v>3754.0921904761344</v>
      </c>
      <c r="FR31" s="224"/>
      <c r="FS31" s="224"/>
      <c r="FT31" s="224"/>
      <c r="FU31" s="151"/>
      <c r="FV31" s="151"/>
      <c r="FW31" s="151"/>
      <c r="FX31" s="151"/>
      <c r="FY31" s="151"/>
      <c r="FZ31" s="151"/>
      <c r="GA31" s="151"/>
      <c r="GB31" s="151"/>
      <c r="GC31" s="151"/>
      <c r="GD31" s="224">
        <f>GD30-GD29</f>
        <v>1345.2845714285504</v>
      </c>
      <c r="GE31" s="224"/>
      <c r="GF31" s="224"/>
      <c r="GG31" s="224"/>
      <c r="GH31" s="151"/>
      <c r="GI31" s="151"/>
      <c r="GJ31" s="151"/>
      <c r="GK31" s="151"/>
      <c r="GL31" s="151"/>
      <c r="GM31" s="151"/>
      <c r="GN31" s="151"/>
      <c r="GO31" s="151"/>
      <c r="GP31" s="151"/>
      <c r="GQ31" s="224">
        <f>GQ30-GQ29</f>
        <v>1201.9108571428806</v>
      </c>
      <c r="GR31" s="224"/>
      <c r="GS31" s="224"/>
      <c r="GT31" s="224"/>
      <c r="GU31" s="140"/>
      <c r="GV31" s="140"/>
      <c r="GW31" s="140"/>
      <c r="GX31" s="140"/>
      <c r="GY31" s="140"/>
      <c r="GZ31" s="140"/>
      <c r="HA31" s="140"/>
      <c r="HB31" s="140"/>
      <c r="HC31" s="140"/>
      <c r="HD31" s="224">
        <f>HD30-HD29</f>
        <v>1201.9108571428806</v>
      </c>
      <c r="HE31" s="224"/>
      <c r="HF31" s="224"/>
      <c r="HG31" s="224"/>
    </row>
    <row r="33" spans="2:224" x14ac:dyDescent="0.25">
      <c r="B33" s="199" t="s">
        <v>148</v>
      </c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199"/>
      <c r="AE33" s="200"/>
      <c r="AF33" s="200"/>
      <c r="AG33" s="200"/>
      <c r="AH33" s="200"/>
      <c r="AI33" s="200"/>
      <c r="AJ33" s="200"/>
      <c r="AK33" s="200"/>
      <c r="AL33" s="200"/>
      <c r="AM33" s="200"/>
      <c r="AN33" s="200"/>
      <c r="AO33" s="200"/>
      <c r="AP33" s="200"/>
      <c r="AQ33" s="200"/>
      <c r="AR33" s="200"/>
      <c r="AS33" s="200"/>
      <c r="AT33" s="200"/>
      <c r="AU33" s="200"/>
      <c r="AV33" s="200"/>
      <c r="AW33" s="200"/>
      <c r="AX33" s="200"/>
      <c r="AY33" s="200"/>
      <c r="AZ33" s="200"/>
      <c r="BA33" s="200"/>
      <c r="BB33" s="200"/>
      <c r="BC33" s="200"/>
      <c r="BD33" s="200"/>
      <c r="BE33" s="200"/>
      <c r="BF33" s="200"/>
      <c r="BG33" s="200"/>
      <c r="BH33" s="200"/>
      <c r="BI33" s="200"/>
      <c r="BJ33" s="200"/>
      <c r="BK33" s="200"/>
      <c r="BL33" s="200"/>
      <c r="BM33" s="200"/>
      <c r="BN33" s="200"/>
      <c r="BO33" s="200"/>
      <c r="BP33" s="200"/>
      <c r="BQ33" s="200"/>
      <c r="BR33" s="199"/>
      <c r="BS33" s="200"/>
      <c r="BT33" s="200"/>
      <c r="BU33" s="200"/>
      <c r="BV33" s="200"/>
      <c r="BW33" s="200"/>
      <c r="BX33" s="200"/>
      <c r="BY33" s="200"/>
      <c r="BZ33" s="200"/>
      <c r="CA33" s="200"/>
      <c r="CB33" s="200"/>
      <c r="CC33" s="200"/>
      <c r="CD33" s="200"/>
      <c r="CE33" s="200"/>
      <c r="CF33" s="200"/>
      <c r="CG33" s="200"/>
      <c r="CH33" s="200"/>
      <c r="CI33" s="200"/>
      <c r="CJ33" s="200"/>
      <c r="CK33" s="200"/>
      <c r="CL33" s="200"/>
      <c r="CM33" s="200"/>
      <c r="CN33" s="200"/>
      <c r="CO33" s="200"/>
      <c r="CP33" s="200"/>
      <c r="CQ33" s="200"/>
      <c r="CR33" s="200"/>
      <c r="CS33" s="200"/>
      <c r="CT33" s="200"/>
      <c r="CU33" s="200"/>
      <c r="CV33" s="200"/>
      <c r="CW33" s="200"/>
      <c r="CX33" s="200"/>
      <c r="CY33" s="200"/>
      <c r="CZ33" s="200"/>
      <c r="DA33" s="200"/>
      <c r="DB33" s="200"/>
      <c r="DC33" s="200"/>
      <c r="DD33" s="200"/>
      <c r="DE33" s="200"/>
      <c r="DF33" s="199"/>
      <c r="DG33" s="200"/>
      <c r="DH33" s="200"/>
      <c r="DI33" s="200"/>
      <c r="DJ33" s="200"/>
      <c r="DK33" s="200"/>
      <c r="DL33" s="200"/>
      <c r="DM33" s="200"/>
      <c r="DN33" s="200"/>
      <c r="DO33" s="200"/>
      <c r="DP33" s="200"/>
      <c r="DQ33" s="200"/>
      <c r="DR33" s="200"/>
      <c r="DS33" s="200"/>
      <c r="DT33" s="200"/>
      <c r="DU33" s="200"/>
      <c r="DV33" s="200"/>
      <c r="DW33" s="200"/>
      <c r="DX33" s="200"/>
      <c r="DY33" s="200"/>
      <c r="DZ33" s="200"/>
      <c r="EA33" s="200"/>
      <c r="EB33" s="200"/>
      <c r="EC33" s="200"/>
      <c r="ED33" s="200"/>
      <c r="EE33" s="200"/>
      <c r="EF33" s="200"/>
      <c r="EG33" s="200"/>
      <c r="EH33" s="200"/>
      <c r="EI33" s="200"/>
      <c r="EJ33" s="200"/>
      <c r="EK33" s="200"/>
      <c r="EL33" s="200"/>
      <c r="EM33" s="200"/>
      <c r="EN33" s="200"/>
      <c r="EO33" s="200"/>
      <c r="EP33" s="200"/>
      <c r="EQ33" s="200"/>
      <c r="ER33" s="200"/>
      <c r="ES33" s="200"/>
      <c r="ET33" s="199"/>
      <c r="EU33" s="200"/>
      <c r="EV33" s="200"/>
      <c r="EW33" s="200"/>
      <c r="EX33" s="200"/>
      <c r="EY33" s="200"/>
      <c r="EZ33" s="200"/>
      <c r="FA33" s="200"/>
      <c r="FB33" s="200"/>
      <c r="FC33" s="200"/>
      <c r="FD33" s="200"/>
      <c r="FE33" s="200"/>
      <c r="FF33" s="200"/>
      <c r="FG33" s="200"/>
      <c r="FH33" s="200"/>
      <c r="FI33" s="200"/>
      <c r="FJ33" s="200"/>
      <c r="FK33" s="200"/>
      <c r="FL33" s="200"/>
      <c r="FM33" s="200"/>
      <c r="FN33" s="200"/>
      <c r="FO33" s="200"/>
      <c r="FP33" s="200"/>
      <c r="FQ33" s="200"/>
      <c r="FR33" s="200"/>
      <c r="FS33" s="200"/>
      <c r="FT33" s="200"/>
      <c r="FU33" s="200"/>
      <c r="FV33" s="200"/>
      <c r="FW33" s="200"/>
      <c r="FX33" s="200"/>
      <c r="FY33" s="200"/>
      <c r="FZ33" s="200"/>
      <c r="GA33" s="200"/>
      <c r="GB33" s="200"/>
      <c r="GC33" s="200"/>
      <c r="GD33" s="200"/>
      <c r="GE33" s="200"/>
      <c r="GF33" s="200"/>
      <c r="GG33" s="200"/>
      <c r="GH33" s="163"/>
      <c r="GI33" s="163"/>
      <c r="GJ33" s="163"/>
      <c r="GK33" s="163"/>
      <c r="GL33" s="163"/>
      <c r="GM33" s="163"/>
      <c r="GN33" s="163"/>
      <c r="GO33" s="163"/>
      <c r="GP33" s="163"/>
      <c r="GQ33" s="199"/>
      <c r="GR33" s="200"/>
      <c r="GS33" s="200"/>
      <c r="GT33" s="200"/>
      <c r="GU33" s="200"/>
      <c r="GV33" s="200"/>
      <c r="GW33" s="200"/>
      <c r="GX33" s="200"/>
      <c r="GY33" s="200"/>
      <c r="GZ33" s="200"/>
      <c r="HA33" s="200"/>
      <c r="HB33" s="200"/>
      <c r="HC33" s="200"/>
      <c r="HD33" s="200"/>
      <c r="HE33" s="200"/>
      <c r="HF33" s="200"/>
      <c r="HG33" s="200"/>
      <c r="HH33" s="130"/>
      <c r="HI33" s="130"/>
      <c r="HJ33" s="130"/>
      <c r="HK33" s="130"/>
      <c r="HL33" s="130"/>
      <c r="HM33" s="130"/>
      <c r="HN33" s="130"/>
      <c r="HO33" s="130"/>
      <c r="HP33" s="130"/>
    </row>
    <row r="34" spans="2:224" ht="28.5" customHeight="1" x14ac:dyDescent="0.25">
      <c r="B34" s="225" t="str">
        <f>'PLAN DE NECESIDADES'!B29</f>
        <v>ÍTEM</v>
      </c>
      <c r="C34" s="225" t="str">
        <f>'PLAN DE NECESIDADES'!C29</f>
        <v>CÓDIGO DANE</v>
      </c>
      <c r="D34" s="226" t="str">
        <f>'PLAN DE NECESIDADES'!D29</f>
        <v xml:space="preserve">DESCRIPCIÓN DEL BIEN Y/O SERVICIO </v>
      </c>
      <c r="E34" s="225" t="str">
        <f>'PLAN DE NECESIDADES'!E29</f>
        <v>UNIDAD MEDIDA</v>
      </c>
      <c r="F34" s="225" t="str">
        <f>'PLAN DE NECESIDADES'!F29</f>
        <v>EXISTENCIAS (STOCK - INVENTARIOS)</v>
      </c>
      <c r="G34" s="225" t="str">
        <f>'PLAN DE NECESIDADES'!H29</f>
        <v>UNSPSC (CCE)</v>
      </c>
      <c r="H34" s="225" t="str">
        <f>'PLAN DE NECESIDADES'!I29</f>
        <v xml:space="preserve">CÓDIGO MATERIAL SAP </v>
      </c>
      <c r="I34" s="225" t="str">
        <f>'PLAN DE NECESIDADES'!J29</f>
        <v xml:space="preserve">CÓDIGO OTAN - NOC </v>
      </c>
      <c r="J34" s="205" t="s">
        <v>155</v>
      </c>
      <c r="K34" s="203" t="str">
        <f>AD34</f>
        <v>BAABS3</v>
      </c>
      <c r="L34" s="203" t="str">
        <f>AQ34</f>
        <v>BAACA10</v>
      </c>
      <c r="M34" s="203" t="str">
        <f>BD34</f>
        <v>BAACA2</v>
      </c>
      <c r="N34" s="203" t="str">
        <f>BQ34</f>
        <v>BAADA1</v>
      </c>
      <c r="O34" s="203" t="str">
        <f>CD34</f>
        <v>BAEEV2</v>
      </c>
      <c r="P34" s="203" t="str">
        <f>CQ34</f>
        <v>BAEEV3</v>
      </c>
      <c r="Q34" s="203" t="str">
        <f>DD34</f>
        <v>BAMMA7</v>
      </c>
      <c r="R34" s="203" t="str">
        <f>DQ34</f>
        <v>BASPC10</v>
      </c>
      <c r="S34" s="203" t="str">
        <f>ED34</f>
        <v>BASAC</v>
      </c>
      <c r="T34" s="203" t="str">
        <f>EQ34</f>
        <v>BICAR</v>
      </c>
      <c r="U34" s="203" t="str">
        <f>FD34</f>
        <v>BIMOC70</v>
      </c>
      <c r="V34" s="203" t="str">
        <f>FQ34</f>
        <v>BITER10</v>
      </c>
      <c r="W34" s="203" t="str">
        <f>GD34</f>
        <v>DIM15</v>
      </c>
      <c r="X34" s="203" t="str">
        <f>GQ34</f>
        <v>GMMAT</v>
      </c>
      <c r="Y34" s="203" t="str">
        <f>HD34</f>
        <v>GMRON</v>
      </c>
      <c r="Z34" s="209" t="s">
        <v>13</v>
      </c>
      <c r="AA34" s="227" t="s">
        <v>14</v>
      </c>
      <c r="AB34" s="227" t="s">
        <v>12</v>
      </c>
      <c r="AC34" s="227" t="s">
        <v>4</v>
      </c>
      <c r="AD34" s="214" t="s">
        <v>29</v>
      </c>
      <c r="AE34" s="215"/>
      <c r="AF34" s="215"/>
      <c r="AG34" s="216"/>
      <c r="AH34" s="114"/>
      <c r="AI34" s="114"/>
      <c r="AJ34" s="114"/>
      <c r="AK34" s="114"/>
      <c r="AL34" s="114"/>
      <c r="AM34" s="114"/>
      <c r="AN34" s="114"/>
      <c r="AO34" s="114"/>
      <c r="AP34" s="114"/>
      <c r="AQ34" s="217" t="s">
        <v>30</v>
      </c>
      <c r="AR34" s="218"/>
      <c r="AS34" s="218"/>
      <c r="AT34" s="219"/>
      <c r="AU34" s="115"/>
      <c r="AV34" s="115"/>
      <c r="AW34" s="115"/>
      <c r="AX34" s="115"/>
      <c r="AY34" s="115"/>
      <c r="AZ34" s="115"/>
      <c r="BA34" s="115"/>
      <c r="BB34" s="115"/>
      <c r="BC34" s="115"/>
      <c r="BD34" s="196" t="s">
        <v>31</v>
      </c>
      <c r="BE34" s="197"/>
      <c r="BF34" s="197"/>
      <c r="BG34" s="198"/>
      <c r="BH34" s="137"/>
      <c r="BI34" s="116"/>
      <c r="BJ34" s="116"/>
      <c r="BK34" s="116"/>
      <c r="BL34" s="116"/>
      <c r="BM34" s="116"/>
      <c r="BN34" s="116"/>
      <c r="BO34" s="116"/>
      <c r="BP34" s="116"/>
      <c r="BQ34" s="211" t="s">
        <v>32</v>
      </c>
      <c r="BR34" s="212"/>
      <c r="BS34" s="212"/>
      <c r="BT34" s="213"/>
      <c r="BU34" s="144"/>
      <c r="BV34" s="144"/>
      <c r="BW34" s="144"/>
      <c r="BX34" s="144"/>
      <c r="BY34" s="144"/>
      <c r="BZ34" s="144"/>
      <c r="CA34" s="144"/>
      <c r="CB34" s="144"/>
      <c r="CC34" s="144"/>
      <c r="CD34" s="214" t="s">
        <v>27</v>
      </c>
      <c r="CE34" s="215"/>
      <c r="CF34" s="215"/>
      <c r="CG34" s="216"/>
      <c r="CH34" s="148"/>
      <c r="CI34" s="114"/>
      <c r="CJ34" s="114"/>
      <c r="CK34" s="114"/>
      <c r="CL34" s="114"/>
      <c r="CM34" s="114"/>
      <c r="CN34" s="114"/>
      <c r="CO34" s="114"/>
      <c r="CP34" s="114"/>
      <c r="CQ34" s="217" t="s">
        <v>33</v>
      </c>
      <c r="CR34" s="218"/>
      <c r="CS34" s="218"/>
      <c r="CT34" s="219"/>
      <c r="CU34" s="156"/>
      <c r="CV34" s="156"/>
      <c r="CW34" s="156"/>
      <c r="CX34" s="156"/>
      <c r="CY34" s="156"/>
      <c r="CZ34" s="156"/>
      <c r="DA34" s="156"/>
      <c r="DB34" s="156"/>
      <c r="DC34" s="156"/>
      <c r="DD34" s="196" t="s">
        <v>66</v>
      </c>
      <c r="DE34" s="197"/>
      <c r="DF34" s="197"/>
      <c r="DG34" s="198"/>
      <c r="DH34" s="158"/>
      <c r="DI34" s="158"/>
      <c r="DJ34" s="158"/>
      <c r="DK34" s="158"/>
      <c r="DL34" s="158"/>
      <c r="DM34" s="158"/>
      <c r="DN34" s="158"/>
      <c r="DO34" s="158"/>
      <c r="DP34" s="158"/>
      <c r="DQ34" s="211" t="s">
        <v>67</v>
      </c>
      <c r="DR34" s="212"/>
      <c r="DS34" s="212"/>
      <c r="DT34" s="213"/>
      <c r="DU34" s="160"/>
      <c r="DV34" s="160"/>
      <c r="DW34" s="160"/>
      <c r="DX34" s="160"/>
      <c r="DY34" s="160"/>
      <c r="DZ34" s="160"/>
      <c r="EA34" s="160"/>
      <c r="EB34" s="160"/>
      <c r="EC34" s="160"/>
      <c r="ED34" s="214" t="s">
        <v>34</v>
      </c>
      <c r="EE34" s="215"/>
      <c r="EF34" s="215"/>
      <c r="EG34" s="216"/>
      <c r="EH34" s="162"/>
      <c r="EI34" s="162"/>
      <c r="EJ34" s="162"/>
      <c r="EK34" s="162"/>
      <c r="EL34" s="162"/>
      <c r="EM34" s="162"/>
      <c r="EN34" s="162"/>
      <c r="EO34" s="162"/>
      <c r="EP34" s="162"/>
      <c r="EQ34" s="217" t="s">
        <v>35</v>
      </c>
      <c r="ER34" s="218"/>
      <c r="ES34" s="218"/>
      <c r="ET34" s="219"/>
      <c r="EU34" s="156"/>
      <c r="EV34" s="156"/>
      <c r="EW34" s="156"/>
      <c r="EX34" s="156"/>
      <c r="EY34" s="156"/>
      <c r="EZ34" s="156"/>
      <c r="FA34" s="156"/>
      <c r="FB34" s="156"/>
      <c r="FC34" s="156"/>
      <c r="FD34" s="196" t="s">
        <v>68</v>
      </c>
      <c r="FE34" s="197"/>
      <c r="FF34" s="197"/>
      <c r="FG34" s="198"/>
      <c r="FH34" s="137"/>
      <c r="FI34" s="137"/>
      <c r="FJ34" s="137"/>
      <c r="FK34" s="137"/>
      <c r="FL34" s="137"/>
      <c r="FM34" s="137"/>
      <c r="FN34" s="137"/>
      <c r="FO34" s="137"/>
      <c r="FP34" s="137"/>
      <c r="FQ34" s="211" t="s">
        <v>36</v>
      </c>
      <c r="FR34" s="212"/>
      <c r="FS34" s="212"/>
      <c r="FT34" s="213"/>
      <c r="FU34" s="160"/>
      <c r="FV34" s="160"/>
      <c r="FW34" s="160"/>
      <c r="FX34" s="160"/>
      <c r="FY34" s="160"/>
      <c r="FZ34" s="160"/>
      <c r="GA34" s="160"/>
      <c r="GB34" s="160"/>
      <c r="GC34" s="160"/>
      <c r="GD34" s="214" t="s">
        <v>37</v>
      </c>
      <c r="GE34" s="215"/>
      <c r="GF34" s="215"/>
      <c r="GG34" s="216"/>
      <c r="GH34" s="148"/>
      <c r="GI34" s="148"/>
      <c r="GJ34" s="148"/>
      <c r="GK34" s="148"/>
      <c r="GL34" s="148"/>
      <c r="GM34" s="148"/>
      <c r="GN34" s="148"/>
      <c r="GO34" s="148"/>
      <c r="GP34" s="148"/>
      <c r="GQ34" s="217" t="s">
        <v>69</v>
      </c>
      <c r="GR34" s="218"/>
      <c r="GS34" s="218"/>
      <c r="GT34" s="219"/>
      <c r="GU34" s="164"/>
      <c r="GV34" s="164"/>
      <c r="GW34" s="164"/>
      <c r="GX34" s="164"/>
      <c r="GY34" s="164"/>
      <c r="GZ34" s="164"/>
      <c r="HA34" s="164"/>
      <c r="HB34" s="164"/>
      <c r="HC34" s="164"/>
      <c r="HD34" s="196" t="s">
        <v>38</v>
      </c>
      <c r="HE34" s="197"/>
      <c r="HF34" s="197"/>
      <c r="HG34" s="198"/>
      <c r="HH34" s="202"/>
      <c r="HI34" s="202"/>
      <c r="HJ34" s="202"/>
      <c r="HK34" s="202"/>
      <c r="HL34" s="202"/>
      <c r="HM34" s="202"/>
      <c r="HN34" s="202"/>
      <c r="HO34" s="202"/>
      <c r="HP34" s="202"/>
    </row>
    <row r="35" spans="2:224" ht="28.5" customHeight="1" x14ac:dyDescent="0.25">
      <c r="B35" s="225"/>
      <c r="C35" s="225"/>
      <c r="D35" s="226"/>
      <c r="E35" s="225"/>
      <c r="F35" s="225"/>
      <c r="G35" s="225"/>
      <c r="H35" s="225"/>
      <c r="I35" s="225"/>
      <c r="J35" s="206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10"/>
      <c r="AA35" s="227"/>
      <c r="AB35" s="227"/>
      <c r="AC35" s="227"/>
      <c r="AD35" s="20" t="s">
        <v>15</v>
      </c>
      <c r="AE35" s="21" t="s">
        <v>16</v>
      </c>
      <c r="AF35" s="22" t="s">
        <v>17</v>
      </c>
      <c r="AG35" s="20" t="s">
        <v>20</v>
      </c>
      <c r="AH35" s="20" t="s">
        <v>166</v>
      </c>
      <c r="AI35" s="20" t="s">
        <v>163</v>
      </c>
      <c r="AJ35" s="20" t="s">
        <v>162</v>
      </c>
      <c r="AK35" s="20" t="s">
        <v>164</v>
      </c>
      <c r="AL35" s="20" t="s">
        <v>162</v>
      </c>
      <c r="AM35" s="20" t="s">
        <v>165</v>
      </c>
      <c r="AN35" s="20" t="s">
        <v>162</v>
      </c>
      <c r="AO35" s="20" t="s">
        <v>21</v>
      </c>
      <c r="AP35" s="20"/>
      <c r="AQ35" s="3" t="s">
        <v>15</v>
      </c>
      <c r="AR35" s="4" t="s">
        <v>16</v>
      </c>
      <c r="AS35" s="5" t="s">
        <v>17</v>
      </c>
      <c r="AT35" s="3" t="s">
        <v>20</v>
      </c>
      <c r="AU35" s="3" t="s">
        <v>166</v>
      </c>
      <c r="AV35" s="3" t="s">
        <v>163</v>
      </c>
      <c r="AW35" s="3" t="s">
        <v>162</v>
      </c>
      <c r="AX35" s="3" t="s">
        <v>164</v>
      </c>
      <c r="AY35" s="3" t="s">
        <v>162</v>
      </c>
      <c r="AZ35" s="3" t="s">
        <v>165</v>
      </c>
      <c r="BA35" s="3" t="s">
        <v>162</v>
      </c>
      <c r="BB35" s="3" t="s">
        <v>21</v>
      </c>
      <c r="BC35" s="3"/>
      <c r="BD35" s="117" t="s">
        <v>15</v>
      </c>
      <c r="BE35" s="23" t="s">
        <v>16</v>
      </c>
      <c r="BF35" s="24" t="s">
        <v>17</v>
      </c>
      <c r="BG35" s="117" t="s">
        <v>20</v>
      </c>
      <c r="BH35" s="138" t="s">
        <v>166</v>
      </c>
      <c r="BI35" s="117" t="s">
        <v>163</v>
      </c>
      <c r="BJ35" s="117" t="s">
        <v>162</v>
      </c>
      <c r="BK35" s="117" t="s">
        <v>164</v>
      </c>
      <c r="BL35" s="117" t="s">
        <v>162</v>
      </c>
      <c r="BM35" s="117" t="s">
        <v>165</v>
      </c>
      <c r="BN35" s="117" t="s">
        <v>162</v>
      </c>
      <c r="BO35" s="117" t="s">
        <v>21</v>
      </c>
      <c r="BP35" s="117"/>
      <c r="BQ35" s="25" t="s">
        <v>15</v>
      </c>
      <c r="BR35" s="26" t="s">
        <v>16</v>
      </c>
      <c r="BS35" s="27" t="s">
        <v>17</v>
      </c>
      <c r="BT35" s="25" t="s">
        <v>20</v>
      </c>
      <c r="BU35" s="143" t="s">
        <v>166</v>
      </c>
      <c r="BV35" s="143" t="s">
        <v>163</v>
      </c>
      <c r="BW35" s="143" t="s">
        <v>162</v>
      </c>
      <c r="BX35" s="143" t="s">
        <v>164</v>
      </c>
      <c r="BY35" s="143" t="s">
        <v>162</v>
      </c>
      <c r="BZ35" s="143" t="s">
        <v>165</v>
      </c>
      <c r="CA35" s="143" t="s">
        <v>162</v>
      </c>
      <c r="CB35" s="143" t="s">
        <v>21</v>
      </c>
      <c r="CC35" s="143"/>
      <c r="CD35" s="20" t="s">
        <v>15</v>
      </c>
      <c r="CE35" s="21" t="s">
        <v>16</v>
      </c>
      <c r="CF35" s="22" t="s">
        <v>17</v>
      </c>
      <c r="CG35" s="20" t="s">
        <v>20</v>
      </c>
      <c r="CH35" s="149" t="s">
        <v>166</v>
      </c>
      <c r="CI35" s="145" t="s">
        <v>163</v>
      </c>
      <c r="CJ35" s="145" t="s">
        <v>162</v>
      </c>
      <c r="CK35" s="145" t="s">
        <v>164</v>
      </c>
      <c r="CL35" s="145" t="s">
        <v>162</v>
      </c>
      <c r="CM35" s="145" t="s">
        <v>165</v>
      </c>
      <c r="CN35" s="145" t="s">
        <v>162</v>
      </c>
      <c r="CO35" s="145" t="s">
        <v>21</v>
      </c>
      <c r="CP35" s="145"/>
      <c r="CQ35" s="3" t="s">
        <v>15</v>
      </c>
      <c r="CR35" s="4" t="s">
        <v>16</v>
      </c>
      <c r="CS35" s="5" t="s">
        <v>17</v>
      </c>
      <c r="CT35" s="3" t="s">
        <v>20</v>
      </c>
      <c r="CU35" s="157" t="s">
        <v>166</v>
      </c>
      <c r="CV35" s="157" t="s">
        <v>163</v>
      </c>
      <c r="CW35" s="157" t="s">
        <v>162</v>
      </c>
      <c r="CX35" s="157" t="s">
        <v>164</v>
      </c>
      <c r="CY35" s="157" t="s">
        <v>162</v>
      </c>
      <c r="CZ35" s="157" t="s">
        <v>165</v>
      </c>
      <c r="DA35" s="157" t="s">
        <v>162</v>
      </c>
      <c r="DB35" s="157" t="s">
        <v>21</v>
      </c>
      <c r="DC35" s="157"/>
      <c r="DD35" s="117" t="s">
        <v>15</v>
      </c>
      <c r="DE35" s="23" t="s">
        <v>16</v>
      </c>
      <c r="DF35" s="24" t="s">
        <v>17</v>
      </c>
      <c r="DG35" s="117" t="s">
        <v>20</v>
      </c>
      <c r="DH35" s="159" t="s">
        <v>166</v>
      </c>
      <c r="DI35" s="159" t="s">
        <v>163</v>
      </c>
      <c r="DJ35" s="159" t="s">
        <v>162</v>
      </c>
      <c r="DK35" s="159" t="s">
        <v>164</v>
      </c>
      <c r="DL35" s="159" t="s">
        <v>162</v>
      </c>
      <c r="DM35" s="159" t="s">
        <v>165</v>
      </c>
      <c r="DN35" s="159" t="s">
        <v>162</v>
      </c>
      <c r="DO35" s="159" t="s">
        <v>21</v>
      </c>
      <c r="DP35" s="159"/>
      <c r="DQ35" s="25" t="s">
        <v>15</v>
      </c>
      <c r="DR35" s="26" t="s">
        <v>16</v>
      </c>
      <c r="DS35" s="27" t="s">
        <v>17</v>
      </c>
      <c r="DT35" s="25" t="s">
        <v>20</v>
      </c>
      <c r="DU35" s="161" t="s">
        <v>166</v>
      </c>
      <c r="DV35" s="161" t="s">
        <v>163</v>
      </c>
      <c r="DW35" s="161" t="s">
        <v>162</v>
      </c>
      <c r="DX35" s="161" t="s">
        <v>164</v>
      </c>
      <c r="DY35" s="161" t="s">
        <v>162</v>
      </c>
      <c r="DZ35" s="161" t="s">
        <v>165</v>
      </c>
      <c r="EA35" s="161" t="s">
        <v>162</v>
      </c>
      <c r="EB35" s="161" t="s">
        <v>21</v>
      </c>
      <c r="EC35" s="161"/>
      <c r="ED35" s="20" t="s">
        <v>15</v>
      </c>
      <c r="EE35" s="21" t="s">
        <v>16</v>
      </c>
      <c r="EF35" s="22" t="s">
        <v>17</v>
      </c>
      <c r="EG35" s="20" t="s">
        <v>20</v>
      </c>
      <c r="EH35" s="145" t="s">
        <v>166</v>
      </c>
      <c r="EI35" s="145" t="s">
        <v>163</v>
      </c>
      <c r="EJ35" s="145" t="s">
        <v>162</v>
      </c>
      <c r="EK35" s="145" t="s">
        <v>164</v>
      </c>
      <c r="EL35" s="145" t="s">
        <v>162</v>
      </c>
      <c r="EM35" s="145" t="s">
        <v>165</v>
      </c>
      <c r="EN35" s="145" t="s">
        <v>162</v>
      </c>
      <c r="EO35" s="145" t="s">
        <v>21</v>
      </c>
      <c r="EP35" s="145"/>
      <c r="EQ35" s="3" t="s">
        <v>15</v>
      </c>
      <c r="ER35" s="4" t="s">
        <v>16</v>
      </c>
      <c r="ES35" s="5" t="s">
        <v>17</v>
      </c>
      <c r="ET35" s="3" t="s">
        <v>20</v>
      </c>
      <c r="EU35" s="157" t="s">
        <v>166</v>
      </c>
      <c r="EV35" s="157" t="s">
        <v>163</v>
      </c>
      <c r="EW35" s="157" t="s">
        <v>162</v>
      </c>
      <c r="EX35" s="157" t="s">
        <v>164</v>
      </c>
      <c r="EY35" s="157" t="s">
        <v>162</v>
      </c>
      <c r="EZ35" s="157" t="s">
        <v>165</v>
      </c>
      <c r="FA35" s="157" t="s">
        <v>162</v>
      </c>
      <c r="FB35" s="157" t="s">
        <v>21</v>
      </c>
      <c r="FC35" s="157"/>
      <c r="FD35" s="117" t="s">
        <v>15</v>
      </c>
      <c r="FE35" s="23" t="s">
        <v>16</v>
      </c>
      <c r="FF35" s="24" t="s">
        <v>17</v>
      </c>
      <c r="FG35" s="117" t="s">
        <v>20</v>
      </c>
      <c r="FH35" s="138" t="s">
        <v>166</v>
      </c>
      <c r="FI35" s="138" t="s">
        <v>163</v>
      </c>
      <c r="FJ35" s="138" t="s">
        <v>162</v>
      </c>
      <c r="FK35" s="138" t="s">
        <v>164</v>
      </c>
      <c r="FL35" s="138" t="s">
        <v>162</v>
      </c>
      <c r="FM35" s="138" t="s">
        <v>165</v>
      </c>
      <c r="FN35" s="138" t="s">
        <v>162</v>
      </c>
      <c r="FO35" s="138" t="s">
        <v>21</v>
      </c>
      <c r="FP35" s="138"/>
      <c r="FQ35" s="25" t="s">
        <v>15</v>
      </c>
      <c r="FR35" s="26" t="s">
        <v>16</v>
      </c>
      <c r="FS35" s="27" t="s">
        <v>17</v>
      </c>
      <c r="FT35" s="25" t="s">
        <v>20</v>
      </c>
      <c r="FU35" s="161" t="s">
        <v>166</v>
      </c>
      <c r="FV35" s="161" t="s">
        <v>163</v>
      </c>
      <c r="FW35" s="161" t="s">
        <v>162</v>
      </c>
      <c r="FX35" s="161" t="s">
        <v>164</v>
      </c>
      <c r="FY35" s="161" t="s">
        <v>162</v>
      </c>
      <c r="FZ35" s="161" t="s">
        <v>165</v>
      </c>
      <c r="GA35" s="161" t="s">
        <v>162</v>
      </c>
      <c r="GB35" s="161" t="s">
        <v>21</v>
      </c>
      <c r="GC35" s="161"/>
      <c r="GD35" s="20" t="s">
        <v>15</v>
      </c>
      <c r="GE35" s="21" t="s">
        <v>16</v>
      </c>
      <c r="GF35" s="22" t="s">
        <v>17</v>
      </c>
      <c r="GG35" s="20" t="s">
        <v>20</v>
      </c>
      <c r="GH35" s="149" t="s">
        <v>166</v>
      </c>
      <c r="GI35" s="149" t="s">
        <v>163</v>
      </c>
      <c r="GJ35" s="149" t="s">
        <v>162</v>
      </c>
      <c r="GK35" s="149" t="s">
        <v>164</v>
      </c>
      <c r="GL35" s="149" t="s">
        <v>162</v>
      </c>
      <c r="GM35" s="149" t="s">
        <v>165</v>
      </c>
      <c r="GN35" s="149" t="s">
        <v>162</v>
      </c>
      <c r="GO35" s="149" t="s">
        <v>21</v>
      </c>
      <c r="GP35" s="149"/>
      <c r="GQ35" s="3" t="s">
        <v>15</v>
      </c>
      <c r="GR35" s="4" t="s">
        <v>16</v>
      </c>
      <c r="GS35" s="5" t="s">
        <v>17</v>
      </c>
      <c r="GT35" s="3" t="s">
        <v>20</v>
      </c>
      <c r="GU35" s="165" t="s">
        <v>166</v>
      </c>
      <c r="GV35" s="165" t="s">
        <v>163</v>
      </c>
      <c r="GW35" s="165" t="s">
        <v>162</v>
      </c>
      <c r="GX35" s="165" t="s">
        <v>164</v>
      </c>
      <c r="GY35" s="165" t="s">
        <v>162</v>
      </c>
      <c r="GZ35" s="165" t="s">
        <v>165</v>
      </c>
      <c r="HA35" s="165" t="s">
        <v>162</v>
      </c>
      <c r="HB35" s="165" t="s">
        <v>21</v>
      </c>
      <c r="HC35" s="165"/>
      <c r="HD35" s="117" t="s">
        <v>15</v>
      </c>
      <c r="HE35" s="23" t="s">
        <v>16</v>
      </c>
      <c r="HF35" s="24" t="s">
        <v>17</v>
      </c>
      <c r="HG35" s="117" t="s">
        <v>20</v>
      </c>
      <c r="HH35" s="132" t="s">
        <v>166</v>
      </c>
      <c r="HI35" s="132" t="s">
        <v>163</v>
      </c>
      <c r="HJ35" s="132" t="s">
        <v>162</v>
      </c>
      <c r="HK35" s="132" t="s">
        <v>164</v>
      </c>
      <c r="HL35" s="132" t="s">
        <v>162</v>
      </c>
      <c r="HM35" s="132" t="s">
        <v>165</v>
      </c>
      <c r="HN35" s="132" t="s">
        <v>162</v>
      </c>
      <c r="HO35" s="132" t="s">
        <v>21</v>
      </c>
      <c r="HP35" s="132"/>
    </row>
    <row r="36" spans="2:224" x14ac:dyDescent="0.25">
      <c r="B36" s="7">
        <f>'PLAN DE NECESIDADES'!B30</f>
        <v>18</v>
      </c>
      <c r="C36" s="7">
        <f>'PLAN DE NECESIDADES'!C30</f>
        <v>3270109</v>
      </c>
      <c r="D36" s="60" t="str">
        <f>'PLAN DE NECESIDADES'!D30</f>
        <v>CUADERNO PARA ESCRITURA:   
DEBE SER COSIDO, GRAPADO O ARGOLLADO CON PASTA PLASTIFICADA DURA O BLANDA DE MÍNIMO 100 HOJAS DE COLOR BLANCO, ESPECIFICACIONES SEGÚN NORMA TÉCNICA N°. NTMD-0356 A2 ÍTEM  3.1.1.18</v>
      </c>
      <c r="E36" s="7" t="str">
        <f>'PLAN DE NECESIDADES'!E30</f>
        <v>UNIDAD</v>
      </c>
      <c r="F36" s="7">
        <f>'PLAN DE NECESIDADES'!F30</f>
        <v>0</v>
      </c>
      <c r="G36" s="7">
        <f>'PLAN DE NECESIDADES'!H30</f>
        <v>14111514</v>
      </c>
      <c r="H36" s="7">
        <f>'PLAN DE NECESIDADES'!I30</f>
        <v>1277866</v>
      </c>
      <c r="I36" s="7" t="str">
        <f>'PLAN DE NECESIDADES'!J30</f>
        <v>7530-80-0011305</v>
      </c>
      <c r="J36" s="7">
        <v>1</v>
      </c>
      <c r="K36" s="85">
        <v>69</v>
      </c>
      <c r="L36" s="85">
        <v>217</v>
      </c>
      <c r="M36" s="85">
        <v>279</v>
      </c>
      <c r="N36" s="85">
        <v>217</v>
      </c>
      <c r="O36" s="85">
        <v>248</v>
      </c>
      <c r="P36" s="85">
        <v>248</v>
      </c>
      <c r="Q36" s="85">
        <v>279</v>
      </c>
      <c r="R36" s="85">
        <v>125</v>
      </c>
      <c r="S36" s="85">
        <v>62</v>
      </c>
      <c r="T36" s="85">
        <v>279</v>
      </c>
      <c r="U36" s="85">
        <v>186</v>
      </c>
      <c r="V36" s="85">
        <v>32</v>
      </c>
      <c r="W36" s="85">
        <v>12</v>
      </c>
      <c r="X36" s="85">
        <v>186</v>
      </c>
      <c r="Y36" s="85">
        <v>186</v>
      </c>
      <c r="Z36" s="85">
        <f t="shared" ref="Z36:AB38" si="207">SUM(AD36,AQ36,BD36,BQ36,CD36,CQ36,DD36,DQ36,ED36,EQ36,FD36,FQ36,GD36,GQ36,HD36)</f>
        <v>2656</v>
      </c>
      <c r="AA36" s="7">
        <f t="shared" si="207"/>
        <v>1443</v>
      </c>
      <c r="AB36" s="7">
        <f t="shared" si="207"/>
        <v>1213</v>
      </c>
      <c r="AC36" s="12">
        <v>2700</v>
      </c>
      <c r="AD36" s="7">
        <f>K36*J36</f>
        <v>69</v>
      </c>
      <c r="AE36" s="7">
        <f>J36*40</f>
        <v>40</v>
      </c>
      <c r="AF36" s="8">
        <f t="shared" ref="AF36:AF37" si="208">AD36-AE36</f>
        <v>29</v>
      </c>
      <c r="AG36" s="14">
        <f>AC36*AE36</f>
        <v>108000</v>
      </c>
      <c r="AH36" s="133">
        <f t="shared" ref="AH36:AH37" si="209">AE36/J36</f>
        <v>40</v>
      </c>
      <c r="AI36" s="134">
        <v>31</v>
      </c>
      <c r="AJ36" s="134"/>
      <c r="AK36" s="134">
        <v>20</v>
      </c>
      <c r="AL36" s="134">
        <v>11</v>
      </c>
      <c r="AM36" s="134">
        <v>18</v>
      </c>
      <c r="AN36" s="134">
        <v>18</v>
      </c>
      <c r="AO36" s="134">
        <f>AJ36+AL36+AN36</f>
        <v>29</v>
      </c>
      <c r="AP36" s="133">
        <f t="shared" ref="AP36:AP37" si="210">AH36+AJ36+AL36+AN36</f>
        <v>69</v>
      </c>
      <c r="AQ36" s="7">
        <f>L36*J36</f>
        <v>217</v>
      </c>
      <c r="AR36" s="7">
        <f>J36*122</f>
        <v>122</v>
      </c>
      <c r="AS36" s="8">
        <f t="shared" ref="AS36:AS37" si="211">AQ36-AR36</f>
        <v>95</v>
      </c>
      <c r="AT36" s="14">
        <f>AC36*AR36</f>
        <v>329400</v>
      </c>
      <c r="AU36" s="133">
        <f t="shared" ref="AU36:AU37" si="212">AR36/J36</f>
        <v>122</v>
      </c>
      <c r="AV36" s="133">
        <v>93</v>
      </c>
      <c r="AW36" s="133"/>
      <c r="AX36" s="133">
        <v>62</v>
      </c>
      <c r="AY36" s="133">
        <v>33</v>
      </c>
      <c r="AZ36" s="133">
        <v>62</v>
      </c>
      <c r="BA36" s="133">
        <v>62</v>
      </c>
      <c r="BB36" s="133">
        <f t="shared" ref="BB36:BB37" si="213">AW36+AY36+BA36</f>
        <v>95</v>
      </c>
      <c r="BC36" s="133">
        <f t="shared" ref="BC36:BC37" si="214">AU36+AW36+AY36+BA36</f>
        <v>217</v>
      </c>
      <c r="BD36" s="7">
        <f>M36*J36</f>
        <v>279</v>
      </c>
      <c r="BE36" s="7">
        <f>J36*156</f>
        <v>156</v>
      </c>
      <c r="BF36" s="8">
        <f t="shared" ref="BF36:BF37" si="215">BD36-BE36</f>
        <v>123</v>
      </c>
      <c r="BG36" s="14">
        <f>AC36*BE36</f>
        <v>421200</v>
      </c>
      <c r="BH36" s="133">
        <f t="shared" ref="BH36:BH37" si="216">BE36/J36</f>
        <v>156</v>
      </c>
      <c r="BI36" s="133">
        <v>93</v>
      </c>
      <c r="BJ36" s="133"/>
      <c r="BK36" s="133">
        <v>62</v>
      </c>
      <c r="BL36" s="133"/>
      <c r="BM36" s="133">
        <v>124</v>
      </c>
      <c r="BN36" s="133">
        <v>123</v>
      </c>
      <c r="BO36" s="133">
        <f t="shared" ref="BO36" si="217">BJ36+BL36+BN36</f>
        <v>123</v>
      </c>
      <c r="BP36" s="133">
        <f t="shared" ref="BP36:BP37" si="218">BH36+BJ36+BL36+BN36</f>
        <v>279</v>
      </c>
      <c r="BQ36" s="7">
        <f>N36*J36</f>
        <v>217</v>
      </c>
      <c r="BR36" s="7">
        <f>J36*122</f>
        <v>122</v>
      </c>
      <c r="BS36" s="8">
        <f t="shared" ref="BS36:BS37" si="219">BQ36-BR36</f>
        <v>95</v>
      </c>
      <c r="BT36" s="14">
        <f>AC36*BR36</f>
        <v>329400</v>
      </c>
      <c r="BU36" s="133">
        <f t="shared" ref="BU36:BU37" si="220">BR36/J36</f>
        <v>122</v>
      </c>
      <c r="BV36" s="133">
        <v>93</v>
      </c>
      <c r="BW36" s="133"/>
      <c r="BX36" s="133">
        <v>62</v>
      </c>
      <c r="BY36" s="133">
        <v>33</v>
      </c>
      <c r="BZ36" s="133">
        <v>62</v>
      </c>
      <c r="CA36" s="133">
        <v>62</v>
      </c>
      <c r="CB36" s="133">
        <f t="shared" ref="CB36:CB37" si="221">BW36+BY36+CA36</f>
        <v>95</v>
      </c>
      <c r="CC36" s="133">
        <f t="shared" ref="CC36:CC37" si="222">BU36+BW36+BY36+CA36</f>
        <v>217</v>
      </c>
      <c r="CD36" s="7">
        <f>M36*J36</f>
        <v>279</v>
      </c>
      <c r="CE36" s="7">
        <f>J36*141</f>
        <v>141</v>
      </c>
      <c r="CF36" s="8">
        <f t="shared" ref="CF36:CF37" si="223">CD36-CE36</f>
        <v>138</v>
      </c>
      <c r="CG36" s="14">
        <f>CE36*AC36</f>
        <v>380700</v>
      </c>
      <c r="CH36" s="134">
        <f t="shared" ref="CH36:CH37" si="224">CE36/J36</f>
        <v>141</v>
      </c>
      <c r="CI36" s="134">
        <v>62</v>
      </c>
      <c r="CJ36" s="134"/>
      <c r="CK36" s="134">
        <v>62</v>
      </c>
      <c r="CL36" s="134"/>
      <c r="CM36" s="134">
        <v>124</v>
      </c>
      <c r="CN36" s="133">
        <v>107</v>
      </c>
      <c r="CO36" s="133">
        <f t="shared" ref="CO36:CO37" si="225">CJ36+CL36+CN36</f>
        <v>107</v>
      </c>
      <c r="CP36" s="133">
        <f t="shared" ref="CP36:CP37" si="226">CH36+CJ36+CL36+CN36</f>
        <v>248</v>
      </c>
      <c r="CQ36" s="7">
        <f>P36*J36</f>
        <v>248</v>
      </c>
      <c r="CR36" s="7">
        <f>J36*141</f>
        <v>141</v>
      </c>
      <c r="CS36" s="8">
        <f t="shared" ref="CS36:CS37" si="227">CQ36-CR36</f>
        <v>107</v>
      </c>
      <c r="CT36" s="14">
        <f>AC36*CR36</f>
        <v>380700</v>
      </c>
      <c r="CU36" s="134">
        <f t="shared" ref="CU36:CU37" si="228">CR36/J36</f>
        <v>141</v>
      </c>
      <c r="CV36" s="134">
        <v>93</v>
      </c>
      <c r="CW36" s="134"/>
      <c r="CX36" s="134">
        <v>93</v>
      </c>
      <c r="CY36" s="134">
        <v>45</v>
      </c>
      <c r="CZ36" s="134">
        <v>62</v>
      </c>
      <c r="DA36" s="134">
        <v>62</v>
      </c>
      <c r="DB36" s="134">
        <f t="shared" ref="DB36:DB37" si="229">CW36+CY36+DA36</f>
        <v>107</v>
      </c>
      <c r="DC36" s="134">
        <f t="shared" ref="DC36:DC37" si="230">CU36+CW36+CY36+DA36</f>
        <v>248</v>
      </c>
      <c r="DD36" s="7">
        <f>Q36*J36</f>
        <v>279</v>
      </c>
      <c r="DE36" s="7">
        <f>J36*156</f>
        <v>156</v>
      </c>
      <c r="DF36" s="8">
        <f t="shared" ref="DF36:DF37" si="231">DD36-DE36</f>
        <v>123</v>
      </c>
      <c r="DG36" s="14">
        <f>DE36*AC36</f>
        <v>421200</v>
      </c>
      <c r="DH36" s="134">
        <f t="shared" ref="DH36:DH37" si="232">DE36/J36</f>
        <v>156</v>
      </c>
      <c r="DI36" s="134">
        <v>93</v>
      </c>
      <c r="DJ36" s="134"/>
      <c r="DK36" s="134">
        <v>124</v>
      </c>
      <c r="DL36" s="134">
        <v>61</v>
      </c>
      <c r="DM36" s="134">
        <v>62</v>
      </c>
      <c r="DN36" s="134">
        <v>62</v>
      </c>
      <c r="DO36" s="134">
        <f t="shared" ref="DO36:DO37" si="233">DJ36+DL36+DN36</f>
        <v>123</v>
      </c>
      <c r="DP36" s="134">
        <f t="shared" ref="DP36:DP37" si="234">DH36+DJ36+DL36+DN36</f>
        <v>279</v>
      </c>
      <c r="DQ36" s="7">
        <f>R36*J36</f>
        <v>125</v>
      </c>
      <c r="DR36" s="7">
        <f>J36*35</f>
        <v>35</v>
      </c>
      <c r="DS36" s="8">
        <f t="shared" ref="DS36:DS38" si="235">DQ36-DR36</f>
        <v>90</v>
      </c>
      <c r="DT36" s="14">
        <f>DR36*AC36</f>
        <v>94500</v>
      </c>
      <c r="DU36" s="134">
        <f t="shared" ref="DU36:DU38" si="236">DR36/J36</f>
        <v>35</v>
      </c>
      <c r="DV36" s="134">
        <v>0</v>
      </c>
      <c r="DW36" s="134"/>
      <c r="DX36" s="134">
        <v>62</v>
      </c>
      <c r="DY36" s="134">
        <v>27</v>
      </c>
      <c r="DZ36" s="134">
        <v>63</v>
      </c>
      <c r="EA36" s="134">
        <v>63</v>
      </c>
      <c r="EB36" s="134">
        <f t="shared" ref="EB36:EB38" si="237">DW36+DY36+EA36</f>
        <v>90</v>
      </c>
      <c r="EC36" s="134">
        <f t="shared" ref="EC36:EC38" si="238">DU36+DW36+DY36+EA36</f>
        <v>125</v>
      </c>
      <c r="ED36" s="7">
        <f>S36*J36</f>
        <v>62</v>
      </c>
      <c r="EE36" s="7">
        <f>J36*36</f>
        <v>36</v>
      </c>
      <c r="EF36" s="8">
        <f t="shared" ref="EF36:EF37" si="239">ED36-EE36</f>
        <v>26</v>
      </c>
      <c r="EG36" s="14">
        <f>EE36*AC36</f>
        <v>97200</v>
      </c>
      <c r="EH36" s="133">
        <f t="shared" ref="EH36:EH37" si="240">EE36/J36</f>
        <v>36</v>
      </c>
      <c r="EI36" s="133">
        <v>0</v>
      </c>
      <c r="EJ36" s="133"/>
      <c r="EK36" s="133">
        <v>62</v>
      </c>
      <c r="EL36" s="133">
        <f t="shared" ref="EL36:EL37" si="241">EK36-EH36</f>
        <v>26</v>
      </c>
      <c r="EM36" s="133">
        <v>0</v>
      </c>
      <c r="EN36" s="133"/>
      <c r="EO36" s="133">
        <f t="shared" ref="EO36:EO37" si="242">EJ36+EL36+EN36</f>
        <v>26</v>
      </c>
      <c r="EP36" s="133">
        <f t="shared" ref="EP36:EP37" si="243">EH36+EJ36+EL36+EN36</f>
        <v>62</v>
      </c>
      <c r="EQ36" s="7">
        <f>T36*J36</f>
        <v>279</v>
      </c>
      <c r="ER36" s="7">
        <f>J36*156</f>
        <v>156</v>
      </c>
      <c r="ES36" s="8">
        <f t="shared" ref="ES36:ES37" si="244">EQ36-ER36</f>
        <v>123</v>
      </c>
      <c r="ET36" s="14">
        <f>ER36*AC36</f>
        <v>421200</v>
      </c>
      <c r="EU36" s="134">
        <f t="shared" ref="EU36:EU37" si="245">ER36/J36</f>
        <v>156</v>
      </c>
      <c r="EV36" s="134">
        <v>93</v>
      </c>
      <c r="EW36" s="134"/>
      <c r="EX36" s="134">
        <v>93</v>
      </c>
      <c r="EY36" s="134">
        <v>30</v>
      </c>
      <c r="EZ36" s="134">
        <v>93</v>
      </c>
      <c r="FA36" s="134">
        <v>93</v>
      </c>
      <c r="FB36" s="134">
        <f t="shared" ref="FB36:FB37" si="246">EW36+EY36+FA36</f>
        <v>123</v>
      </c>
      <c r="FC36" s="134">
        <f t="shared" ref="FC36:FC37" si="247">EU36+EW36+EY36+FA36</f>
        <v>279</v>
      </c>
      <c r="FD36" s="7">
        <f>U36*J36</f>
        <v>186</v>
      </c>
      <c r="FE36" s="7">
        <f>J36*104</f>
        <v>104</v>
      </c>
      <c r="FF36" s="8">
        <f t="shared" ref="FF36:FF37" si="248">FD36-FE36</f>
        <v>82</v>
      </c>
      <c r="FG36" s="14">
        <f>FE36*AC36</f>
        <v>280800</v>
      </c>
      <c r="FH36" s="133">
        <f t="shared" ref="FH36:FH37" si="249">FE36/J36</f>
        <v>104</v>
      </c>
      <c r="FI36" s="133">
        <v>62</v>
      </c>
      <c r="FJ36" s="133"/>
      <c r="FK36" s="133">
        <v>62</v>
      </c>
      <c r="FL36" s="133">
        <v>20</v>
      </c>
      <c r="FM36" s="133">
        <v>62</v>
      </c>
      <c r="FN36" s="133">
        <v>62</v>
      </c>
      <c r="FO36" s="133">
        <f t="shared" ref="FO36:FO37" si="250">FJ36+FL36+FN36</f>
        <v>82</v>
      </c>
      <c r="FP36" s="133">
        <f t="shared" ref="FP36:FP37" si="251">FH36+FJ36+FL36+FN36</f>
        <v>186</v>
      </c>
      <c r="FQ36" s="7">
        <f>V36*J36</f>
        <v>32</v>
      </c>
      <c r="FR36" s="7">
        <f>J36*17</f>
        <v>17</v>
      </c>
      <c r="FS36" s="8">
        <f t="shared" ref="FS36:FS37" si="252">FQ36-FR36</f>
        <v>15</v>
      </c>
      <c r="FT36" s="14">
        <f>FR36*AC36</f>
        <v>45900</v>
      </c>
      <c r="FU36" s="134">
        <f t="shared" ref="FU36:FU37" si="253">FR36/J36</f>
        <v>17</v>
      </c>
      <c r="FV36" s="134">
        <v>0</v>
      </c>
      <c r="FW36" s="134"/>
      <c r="FX36" s="134">
        <v>16</v>
      </c>
      <c r="FY36" s="134"/>
      <c r="FZ36" s="134">
        <v>16</v>
      </c>
      <c r="GA36" s="134">
        <v>15</v>
      </c>
      <c r="GB36" s="134">
        <f t="shared" ref="GB36:GB37" si="254">FW36+FY36+GA36</f>
        <v>15</v>
      </c>
      <c r="GC36" s="134">
        <f t="shared" ref="GC36:GC37" si="255">FU36+FW36+FY36+GA36</f>
        <v>32</v>
      </c>
      <c r="GD36" s="7">
        <f>W36*J36</f>
        <v>12</v>
      </c>
      <c r="GE36" s="7">
        <f>J36*9</f>
        <v>9</v>
      </c>
      <c r="GF36" s="8">
        <f t="shared" ref="GF36:GF37" si="256">GD36-GE36</f>
        <v>3</v>
      </c>
      <c r="GG36" s="14">
        <f>GE36*AC36</f>
        <v>24300</v>
      </c>
      <c r="GH36" s="134">
        <f t="shared" ref="GH36:GH37" si="257">GE36/J36</f>
        <v>9</v>
      </c>
      <c r="GI36" s="134">
        <v>4</v>
      </c>
      <c r="GJ36" s="134"/>
      <c r="GK36" s="134">
        <v>4</v>
      </c>
      <c r="GL36" s="134"/>
      <c r="GM36" s="134">
        <v>4</v>
      </c>
      <c r="GN36" s="134">
        <v>3</v>
      </c>
      <c r="GO36" s="134">
        <f t="shared" ref="GO36:GO37" si="258">GJ36+GL36+GN36</f>
        <v>3</v>
      </c>
      <c r="GP36" s="134">
        <f t="shared" ref="GP36:GP37" si="259">GH36+GJ36+GL36+GN36</f>
        <v>12</v>
      </c>
      <c r="GQ36" s="7">
        <f>X36*J36</f>
        <v>186</v>
      </c>
      <c r="GR36" s="7">
        <f>J36*104</f>
        <v>104</v>
      </c>
      <c r="GS36" s="8">
        <f t="shared" ref="GS36:GS37" si="260">GQ36-GR36</f>
        <v>82</v>
      </c>
      <c r="GT36" s="14">
        <f>GR36*AC36</f>
        <v>280800</v>
      </c>
      <c r="GU36" s="133">
        <f t="shared" ref="GU36:GU37" si="261">GR36/J36</f>
        <v>104</v>
      </c>
      <c r="GV36" s="133">
        <v>62</v>
      </c>
      <c r="GW36" s="133"/>
      <c r="GX36" s="133">
        <v>62</v>
      </c>
      <c r="GY36" s="133">
        <v>20</v>
      </c>
      <c r="GZ36" s="133">
        <v>62</v>
      </c>
      <c r="HA36" s="133">
        <v>62</v>
      </c>
      <c r="HB36" s="133">
        <f t="shared" ref="HB36:HB37" si="262">GW36+GY36+HA36</f>
        <v>82</v>
      </c>
      <c r="HC36" s="133">
        <f t="shared" ref="HC36:HC37" si="263">GU36+GW36+GY36+HA36</f>
        <v>186</v>
      </c>
      <c r="HD36" s="7">
        <f>Y36*J36</f>
        <v>186</v>
      </c>
      <c r="HE36" s="7">
        <f>J36*104</f>
        <v>104</v>
      </c>
      <c r="HF36" s="8">
        <f t="shared" ref="HF36:HF37" si="264">HD36-HE36</f>
        <v>82</v>
      </c>
      <c r="HG36" s="14">
        <f>HE36*AC36</f>
        <v>280800</v>
      </c>
      <c r="HH36" s="7">
        <f t="shared" ref="HH36:HH37" si="265">HE36/J36</f>
        <v>104</v>
      </c>
      <c r="HI36" s="7">
        <v>62</v>
      </c>
      <c r="HJ36" s="7"/>
      <c r="HK36" s="7">
        <v>62</v>
      </c>
      <c r="HL36" s="7">
        <v>20</v>
      </c>
      <c r="HM36" s="7">
        <v>62</v>
      </c>
      <c r="HN36" s="7">
        <v>62</v>
      </c>
      <c r="HO36" s="133">
        <f t="shared" ref="HO36:HO37" si="266">HJ36+HL36+HN36</f>
        <v>82</v>
      </c>
      <c r="HP36" s="133">
        <f t="shared" ref="HP36:HP37" si="267">HH36+HJ36+HL36+HN36</f>
        <v>186</v>
      </c>
    </row>
    <row r="37" spans="2:224" x14ac:dyDescent="0.25">
      <c r="B37" s="7">
        <f>'PLAN DE NECESIDADES'!B31</f>
        <v>19</v>
      </c>
      <c r="C37" s="7">
        <f>'PLAN DE NECESIDADES'!C31</f>
        <v>3219302</v>
      </c>
      <c r="D37" s="60" t="str">
        <f>'PLAN DE NECESIDADES'!D31</f>
        <v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v>
      </c>
      <c r="E37" s="7" t="str">
        <f>'PLAN DE NECESIDADES'!E31</f>
        <v>UNIDAD</v>
      </c>
      <c r="F37" s="7">
        <f>'PLAN DE NECESIDADES'!F31</f>
        <v>0</v>
      </c>
      <c r="G37" s="7">
        <f>'PLAN DE NECESIDADES'!H31</f>
        <v>14111704</v>
      </c>
      <c r="H37" s="7">
        <f>'PLAN DE NECESIDADES'!I31</f>
        <v>1632379</v>
      </c>
      <c r="I37" s="7" t="str">
        <f>'PLAN DE NECESIDADES'!J31</f>
        <v>8540-80-0011398</v>
      </c>
      <c r="J37" s="7">
        <v>2</v>
      </c>
      <c r="K37" s="85">
        <v>69</v>
      </c>
      <c r="L37" s="85">
        <v>217</v>
      </c>
      <c r="M37" s="85">
        <v>279</v>
      </c>
      <c r="N37" s="85">
        <v>217</v>
      </c>
      <c r="O37" s="85">
        <v>248</v>
      </c>
      <c r="P37" s="85">
        <v>248</v>
      </c>
      <c r="Q37" s="85">
        <v>279</v>
      </c>
      <c r="R37" s="85">
        <v>125</v>
      </c>
      <c r="S37" s="85">
        <v>62</v>
      </c>
      <c r="T37" s="85">
        <v>279</v>
      </c>
      <c r="U37" s="85">
        <v>186</v>
      </c>
      <c r="V37" s="85">
        <v>32</v>
      </c>
      <c r="W37" s="85">
        <v>12</v>
      </c>
      <c r="X37" s="85">
        <v>186</v>
      </c>
      <c r="Y37" s="85">
        <v>186</v>
      </c>
      <c r="Z37" s="85">
        <f t="shared" si="207"/>
        <v>5312</v>
      </c>
      <c r="AA37" s="7">
        <f t="shared" si="207"/>
        <v>2858</v>
      </c>
      <c r="AB37" s="7">
        <f t="shared" si="207"/>
        <v>2454</v>
      </c>
      <c r="AC37" s="12">
        <v>4500</v>
      </c>
      <c r="AD37" s="7">
        <f>K37*J37</f>
        <v>138</v>
      </c>
      <c r="AE37" s="7">
        <f>J37*38</f>
        <v>76</v>
      </c>
      <c r="AF37" s="8">
        <f t="shared" si="208"/>
        <v>62</v>
      </c>
      <c r="AG37" s="14">
        <f>AC37*AE37</f>
        <v>342000</v>
      </c>
      <c r="AH37" s="133">
        <f t="shared" si="209"/>
        <v>38</v>
      </c>
      <c r="AI37" s="134">
        <v>31</v>
      </c>
      <c r="AJ37" s="134"/>
      <c r="AK37" s="134">
        <v>20</v>
      </c>
      <c r="AL37" s="134">
        <v>13</v>
      </c>
      <c r="AM37" s="134">
        <v>18</v>
      </c>
      <c r="AN37" s="134">
        <v>18</v>
      </c>
      <c r="AO37" s="134">
        <f>AJ37+AL37+AN37</f>
        <v>31</v>
      </c>
      <c r="AP37" s="133">
        <f t="shared" si="210"/>
        <v>69</v>
      </c>
      <c r="AQ37" s="7">
        <f>L37*J37</f>
        <v>434</v>
      </c>
      <c r="AR37" s="7">
        <f>J37*121</f>
        <v>242</v>
      </c>
      <c r="AS37" s="8">
        <f t="shared" si="211"/>
        <v>192</v>
      </c>
      <c r="AT37" s="14">
        <f>AC37*AR37</f>
        <v>1089000</v>
      </c>
      <c r="AU37" s="133">
        <f t="shared" si="212"/>
        <v>121</v>
      </c>
      <c r="AV37" s="133">
        <v>93</v>
      </c>
      <c r="AW37" s="133"/>
      <c r="AX37" s="133">
        <v>62</v>
      </c>
      <c r="AY37" s="133">
        <v>34</v>
      </c>
      <c r="AZ37" s="133">
        <v>62</v>
      </c>
      <c r="BA37" s="133">
        <v>62</v>
      </c>
      <c r="BB37" s="133">
        <f t="shared" si="213"/>
        <v>96</v>
      </c>
      <c r="BC37" s="133">
        <f t="shared" si="214"/>
        <v>217</v>
      </c>
      <c r="BD37" s="7">
        <f>M37*J37</f>
        <v>558</v>
      </c>
      <c r="BE37" s="7">
        <f>J37*156</f>
        <v>312</v>
      </c>
      <c r="BF37" s="8">
        <f t="shared" si="215"/>
        <v>246</v>
      </c>
      <c r="BG37" s="14">
        <f>AC37*BE37</f>
        <v>1404000</v>
      </c>
      <c r="BH37" s="133">
        <f t="shared" si="216"/>
        <v>156</v>
      </c>
      <c r="BI37" s="133">
        <v>93</v>
      </c>
      <c r="BJ37" s="133"/>
      <c r="BK37" s="133">
        <v>62</v>
      </c>
      <c r="BL37" s="133"/>
      <c r="BM37" s="133">
        <v>124</v>
      </c>
      <c r="BN37" s="133">
        <v>123</v>
      </c>
      <c r="BO37" s="133">
        <f>BJ37+BL37+BN37</f>
        <v>123</v>
      </c>
      <c r="BP37" s="133">
        <f t="shared" si="218"/>
        <v>279</v>
      </c>
      <c r="BQ37" s="7">
        <f>N37*J37</f>
        <v>434</v>
      </c>
      <c r="BR37" s="7">
        <f>J37*121</f>
        <v>242</v>
      </c>
      <c r="BS37" s="8">
        <f t="shared" si="219"/>
        <v>192</v>
      </c>
      <c r="BT37" s="14">
        <f>AC37*BR37</f>
        <v>1089000</v>
      </c>
      <c r="BU37" s="133">
        <f t="shared" si="220"/>
        <v>121</v>
      </c>
      <c r="BV37" s="133">
        <v>93</v>
      </c>
      <c r="BW37" s="133"/>
      <c r="BX37" s="133">
        <v>62</v>
      </c>
      <c r="BY37" s="133">
        <v>34</v>
      </c>
      <c r="BZ37" s="133">
        <v>62</v>
      </c>
      <c r="CA37" s="133">
        <v>62</v>
      </c>
      <c r="CB37" s="133">
        <f t="shared" si="221"/>
        <v>96</v>
      </c>
      <c r="CC37" s="133">
        <f t="shared" si="222"/>
        <v>217</v>
      </c>
      <c r="CD37" s="7">
        <f>M37*J37</f>
        <v>558</v>
      </c>
      <c r="CE37" s="7">
        <f>J37*138</f>
        <v>276</v>
      </c>
      <c r="CF37" s="8">
        <f t="shared" si="223"/>
        <v>282</v>
      </c>
      <c r="CG37" s="14">
        <f>CE37*AC37</f>
        <v>1242000</v>
      </c>
      <c r="CH37" s="134">
        <f t="shared" si="224"/>
        <v>138</v>
      </c>
      <c r="CI37" s="134">
        <v>62</v>
      </c>
      <c r="CJ37" s="134"/>
      <c r="CK37" s="134">
        <v>62</v>
      </c>
      <c r="CL37" s="134"/>
      <c r="CM37" s="134">
        <v>124</v>
      </c>
      <c r="CN37" s="133">
        <v>110</v>
      </c>
      <c r="CO37" s="133">
        <f t="shared" si="225"/>
        <v>110</v>
      </c>
      <c r="CP37" s="133">
        <f t="shared" si="226"/>
        <v>248</v>
      </c>
      <c r="CQ37" s="7">
        <f>P37*J37</f>
        <v>496</v>
      </c>
      <c r="CR37" s="7">
        <f>J37*138</f>
        <v>276</v>
      </c>
      <c r="CS37" s="8">
        <f t="shared" si="227"/>
        <v>220</v>
      </c>
      <c r="CT37" s="14">
        <f>AC37*CR37</f>
        <v>1242000</v>
      </c>
      <c r="CU37" s="134">
        <f t="shared" si="228"/>
        <v>138</v>
      </c>
      <c r="CV37" s="134">
        <v>93</v>
      </c>
      <c r="CW37" s="134"/>
      <c r="CX37" s="134">
        <v>93</v>
      </c>
      <c r="CY37" s="134">
        <v>48</v>
      </c>
      <c r="CZ37" s="134">
        <v>62</v>
      </c>
      <c r="DA37" s="134">
        <v>62</v>
      </c>
      <c r="DB37" s="134">
        <f t="shared" si="229"/>
        <v>110</v>
      </c>
      <c r="DC37" s="134">
        <f t="shared" si="230"/>
        <v>248</v>
      </c>
      <c r="DD37" s="7">
        <f>Q37*J37</f>
        <v>558</v>
      </c>
      <c r="DE37" s="7">
        <f>J37*156</f>
        <v>312</v>
      </c>
      <c r="DF37" s="8">
        <f t="shared" si="231"/>
        <v>246</v>
      </c>
      <c r="DG37" s="14">
        <f>DE37*AC37</f>
        <v>1404000</v>
      </c>
      <c r="DH37" s="134">
        <f t="shared" si="232"/>
        <v>156</v>
      </c>
      <c r="DI37" s="134">
        <v>93</v>
      </c>
      <c r="DJ37" s="134"/>
      <c r="DK37" s="134">
        <v>124</v>
      </c>
      <c r="DL37" s="134">
        <v>61</v>
      </c>
      <c r="DM37" s="134">
        <v>62</v>
      </c>
      <c r="DN37" s="134">
        <v>62</v>
      </c>
      <c r="DO37" s="134">
        <f t="shared" si="233"/>
        <v>123</v>
      </c>
      <c r="DP37" s="134">
        <f t="shared" si="234"/>
        <v>279</v>
      </c>
      <c r="DQ37" s="7">
        <f>R37*J37</f>
        <v>250</v>
      </c>
      <c r="DR37" s="7">
        <f>J37*35</f>
        <v>70</v>
      </c>
      <c r="DS37" s="8">
        <f t="shared" si="235"/>
        <v>180</v>
      </c>
      <c r="DT37" s="14">
        <f>DR37*AC37</f>
        <v>315000</v>
      </c>
      <c r="DU37" s="134">
        <f t="shared" si="236"/>
        <v>35</v>
      </c>
      <c r="DV37" s="134">
        <v>0</v>
      </c>
      <c r="DW37" s="134"/>
      <c r="DX37" s="134">
        <v>62</v>
      </c>
      <c r="DY37" s="134">
        <v>27</v>
      </c>
      <c r="DZ37" s="134">
        <v>63</v>
      </c>
      <c r="EA37" s="134">
        <v>63</v>
      </c>
      <c r="EB37" s="134">
        <f t="shared" si="237"/>
        <v>90</v>
      </c>
      <c r="EC37" s="134">
        <f t="shared" si="238"/>
        <v>125</v>
      </c>
      <c r="ED37" s="7">
        <f>S37*J37</f>
        <v>124</v>
      </c>
      <c r="EE37" s="7">
        <f>J37*34</f>
        <v>68</v>
      </c>
      <c r="EF37" s="8">
        <f t="shared" si="239"/>
        <v>56</v>
      </c>
      <c r="EG37" s="14">
        <f>EE37*AC37</f>
        <v>306000</v>
      </c>
      <c r="EH37" s="133">
        <f t="shared" si="240"/>
        <v>34</v>
      </c>
      <c r="EI37" s="133">
        <v>0</v>
      </c>
      <c r="EJ37" s="133"/>
      <c r="EK37" s="133">
        <v>62</v>
      </c>
      <c r="EL37" s="133">
        <f t="shared" si="241"/>
        <v>28</v>
      </c>
      <c r="EM37" s="133">
        <v>0</v>
      </c>
      <c r="EN37" s="133"/>
      <c r="EO37" s="133">
        <f t="shared" si="242"/>
        <v>28</v>
      </c>
      <c r="EP37" s="133">
        <f t="shared" si="243"/>
        <v>62</v>
      </c>
      <c r="EQ37" s="7">
        <f>T37*J37</f>
        <v>558</v>
      </c>
      <c r="ER37" s="7">
        <f>J37*156</f>
        <v>312</v>
      </c>
      <c r="ES37" s="8">
        <f t="shared" si="244"/>
        <v>246</v>
      </c>
      <c r="ET37" s="14">
        <f>ER37*AC37</f>
        <v>1404000</v>
      </c>
      <c r="EU37" s="134">
        <f t="shared" si="245"/>
        <v>156</v>
      </c>
      <c r="EV37" s="134">
        <v>93</v>
      </c>
      <c r="EW37" s="134"/>
      <c r="EX37" s="134">
        <v>93</v>
      </c>
      <c r="EY37" s="134">
        <v>30</v>
      </c>
      <c r="EZ37" s="134">
        <v>93</v>
      </c>
      <c r="FA37" s="134">
        <v>93</v>
      </c>
      <c r="FB37" s="134">
        <f t="shared" si="246"/>
        <v>123</v>
      </c>
      <c r="FC37" s="134">
        <f t="shared" si="247"/>
        <v>279</v>
      </c>
      <c r="FD37" s="7">
        <f>U37*J37</f>
        <v>372</v>
      </c>
      <c r="FE37" s="7">
        <f>J37*104</f>
        <v>208</v>
      </c>
      <c r="FF37" s="8">
        <f t="shared" si="248"/>
        <v>164</v>
      </c>
      <c r="FG37" s="14">
        <f>FE37*AC37</f>
        <v>936000</v>
      </c>
      <c r="FH37" s="133">
        <f t="shared" si="249"/>
        <v>104</v>
      </c>
      <c r="FI37" s="133">
        <v>62</v>
      </c>
      <c r="FJ37" s="133"/>
      <c r="FK37" s="133">
        <v>62</v>
      </c>
      <c r="FL37" s="133">
        <v>20</v>
      </c>
      <c r="FM37" s="133">
        <v>62</v>
      </c>
      <c r="FN37" s="133">
        <v>62</v>
      </c>
      <c r="FO37" s="133">
        <f t="shared" si="250"/>
        <v>82</v>
      </c>
      <c r="FP37" s="133">
        <f t="shared" si="251"/>
        <v>186</v>
      </c>
      <c r="FQ37" s="7">
        <f>V37*J37</f>
        <v>64</v>
      </c>
      <c r="FR37" s="7">
        <f>J37*18</f>
        <v>36</v>
      </c>
      <c r="FS37" s="8">
        <f t="shared" si="252"/>
        <v>28</v>
      </c>
      <c r="FT37" s="14">
        <f>FR37*AC37</f>
        <v>162000</v>
      </c>
      <c r="FU37" s="134">
        <f t="shared" si="253"/>
        <v>18</v>
      </c>
      <c r="FV37" s="134">
        <v>0</v>
      </c>
      <c r="FW37" s="134"/>
      <c r="FX37" s="134">
        <v>16</v>
      </c>
      <c r="FY37" s="134"/>
      <c r="FZ37" s="134">
        <v>16</v>
      </c>
      <c r="GA37" s="134">
        <v>14</v>
      </c>
      <c r="GB37" s="134">
        <f t="shared" si="254"/>
        <v>14</v>
      </c>
      <c r="GC37" s="134">
        <f t="shared" si="255"/>
        <v>32</v>
      </c>
      <c r="GD37" s="7">
        <f>W37*J37</f>
        <v>24</v>
      </c>
      <c r="GE37" s="7">
        <f>J37*6</f>
        <v>12</v>
      </c>
      <c r="GF37" s="8">
        <f t="shared" si="256"/>
        <v>12</v>
      </c>
      <c r="GG37" s="14">
        <f>GE37*AC37</f>
        <v>54000</v>
      </c>
      <c r="GH37" s="134">
        <f t="shared" si="257"/>
        <v>6</v>
      </c>
      <c r="GI37" s="134">
        <v>4</v>
      </c>
      <c r="GJ37" s="134"/>
      <c r="GK37" s="134">
        <v>4</v>
      </c>
      <c r="GL37" s="134">
        <v>2</v>
      </c>
      <c r="GM37" s="134">
        <v>4</v>
      </c>
      <c r="GN37" s="134">
        <v>4</v>
      </c>
      <c r="GO37" s="134">
        <f t="shared" si="258"/>
        <v>6</v>
      </c>
      <c r="GP37" s="134">
        <f t="shared" si="259"/>
        <v>12</v>
      </c>
      <c r="GQ37" s="7">
        <f>X37*J37</f>
        <v>372</v>
      </c>
      <c r="GR37" s="7">
        <f>J37*104</f>
        <v>208</v>
      </c>
      <c r="GS37" s="8">
        <f t="shared" si="260"/>
        <v>164</v>
      </c>
      <c r="GT37" s="14">
        <f>GR37*AC37</f>
        <v>936000</v>
      </c>
      <c r="GU37" s="133">
        <f t="shared" si="261"/>
        <v>104</v>
      </c>
      <c r="GV37" s="133">
        <v>62</v>
      </c>
      <c r="GW37" s="133"/>
      <c r="GX37" s="133">
        <v>62</v>
      </c>
      <c r="GY37" s="133">
        <v>20</v>
      </c>
      <c r="GZ37" s="133">
        <v>62</v>
      </c>
      <c r="HA37" s="133">
        <v>62</v>
      </c>
      <c r="HB37" s="133">
        <f t="shared" si="262"/>
        <v>82</v>
      </c>
      <c r="HC37" s="133">
        <f t="shared" si="263"/>
        <v>186</v>
      </c>
      <c r="HD37" s="7">
        <f>Y37*J37</f>
        <v>372</v>
      </c>
      <c r="HE37" s="7">
        <f>J37*104</f>
        <v>208</v>
      </c>
      <c r="HF37" s="8">
        <f t="shared" si="264"/>
        <v>164</v>
      </c>
      <c r="HG37" s="14">
        <f>HE37*AC37</f>
        <v>936000</v>
      </c>
      <c r="HH37" s="7">
        <f t="shared" si="265"/>
        <v>104</v>
      </c>
      <c r="HI37" s="7">
        <v>62</v>
      </c>
      <c r="HJ37" s="7"/>
      <c r="HK37" s="7">
        <v>62</v>
      </c>
      <c r="HL37" s="7">
        <v>20</v>
      </c>
      <c r="HM37" s="7">
        <v>62</v>
      </c>
      <c r="HN37" s="7">
        <v>62</v>
      </c>
      <c r="HO37" s="133">
        <f t="shared" si="266"/>
        <v>82</v>
      </c>
      <c r="HP37" s="133">
        <f t="shared" si="267"/>
        <v>186</v>
      </c>
    </row>
    <row r="38" spans="2:224" x14ac:dyDescent="0.25">
      <c r="B38" s="7">
        <f>'PLAN DE NECESIDADES'!B32</f>
        <v>20</v>
      </c>
      <c r="C38" s="7">
        <f>'PLAN DE NECESIDADES'!C32</f>
        <v>3219308</v>
      </c>
      <c r="D38" s="60" t="str">
        <f>'PLAN DE NECESIDADES'!D32</f>
        <v>TOALLAS HIGIÉNICAS MUJER CON ALAS: ESPECIFICACIONES  DE ACUERDO A NTC-3604</v>
      </c>
      <c r="E38" s="7" t="str">
        <f>'PLAN DE NECESIDADES'!E32</f>
        <v>PAQUETE</v>
      </c>
      <c r="F38" s="7">
        <f>'PLAN DE NECESIDADES'!F32</f>
        <v>0</v>
      </c>
      <c r="G38" s="7">
        <f>'PLAN DE NECESIDADES'!H32</f>
        <v>52121700</v>
      </c>
      <c r="H38" s="7">
        <f>'PLAN DE NECESIDADES'!I32</f>
        <v>1476323</v>
      </c>
      <c r="I38" s="7" t="str">
        <f>'PLAN DE NECESIDADES'!J32</f>
        <v>SIN CREAR</v>
      </c>
      <c r="J38" s="7">
        <v>1</v>
      </c>
      <c r="K38" s="7"/>
      <c r="L38" s="7"/>
      <c r="M38" s="7"/>
      <c r="N38" s="7"/>
      <c r="O38" s="7"/>
      <c r="P38" s="7"/>
      <c r="Q38" s="85"/>
      <c r="R38" s="85">
        <v>125</v>
      </c>
      <c r="S38" s="7"/>
      <c r="T38" s="7"/>
      <c r="U38" s="7"/>
      <c r="V38" s="7"/>
      <c r="W38" s="7"/>
      <c r="X38" s="7"/>
      <c r="Y38" s="7"/>
      <c r="Z38" s="85">
        <f t="shared" si="207"/>
        <v>125</v>
      </c>
      <c r="AA38" s="7">
        <f t="shared" si="207"/>
        <v>34</v>
      </c>
      <c r="AB38" s="7">
        <f t="shared" si="207"/>
        <v>91</v>
      </c>
      <c r="AC38" s="12">
        <v>12000</v>
      </c>
      <c r="AD38" s="7"/>
      <c r="AE38" s="7"/>
      <c r="AF38" s="8"/>
      <c r="AG38" s="14"/>
      <c r="AH38" s="134"/>
      <c r="AI38" s="134"/>
      <c r="AJ38" s="134"/>
      <c r="AK38" s="134"/>
      <c r="AL38" s="134"/>
      <c r="AM38" s="134"/>
      <c r="AN38" s="134"/>
      <c r="AO38" s="134"/>
      <c r="AP38" s="134"/>
      <c r="AQ38" s="7"/>
      <c r="AR38" s="7"/>
      <c r="AS38" s="8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7"/>
      <c r="BE38" s="7"/>
      <c r="BF38" s="8"/>
      <c r="BG38" s="14"/>
      <c r="BH38" s="133"/>
      <c r="BI38" s="14"/>
      <c r="BJ38" s="14"/>
      <c r="BK38" s="14"/>
      <c r="BL38" s="14"/>
      <c r="BM38" s="14"/>
      <c r="BN38" s="14"/>
      <c r="BO38" s="14"/>
      <c r="BP38" s="14"/>
      <c r="BQ38" s="7"/>
      <c r="BR38" s="7"/>
      <c r="BS38" s="8"/>
      <c r="BT38" s="14"/>
      <c r="BU38" s="133"/>
      <c r="BV38" s="133"/>
      <c r="BW38" s="133"/>
      <c r="BX38" s="133"/>
      <c r="BY38" s="133"/>
      <c r="BZ38" s="133"/>
      <c r="CA38" s="133"/>
      <c r="CB38" s="133"/>
      <c r="CC38" s="133"/>
      <c r="CD38" s="7"/>
      <c r="CE38" s="7"/>
      <c r="CF38" s="8"/>
      <c r="CG38" s="14"/>
      <c r="CH38" s="134"/>
      <c r="CI38" s="14"/>
      <c r="CJ38" s="14"/>
      <c r="CK38" s="14"/>
      <c r="CL38" s="14"/>
      <c r="CM38" s="14"/>
      <c r="CN38" s="14"/>
      <c r="CO38" s="14"/>
      <c r="CP38" s="14"/>
      <c r="CQ38" s="7"/>
      <c r="CR38" s="7"/>
      <c r="CS38" s="8"/>
      <c r="CT38" s="14"/>
      <c r="CU38" s="134"/>
      <c r="CV38" s="134"/>
      <c r="CW38" s="134"/>
      <c r="CX38" s="134"/>
      <c r="CY38" s="134"/>
      <c r="CZ38" s="134"/>
      <c r="DA38" s="134"/>
      <c r="DB38" s="134"/>
      <c r="DC38" s="134"/>
      <c r="DD38" s="7"/>
      <c r="DE38" s="7"/>
      <c r="DF38" s="8"/>
      <c r="DG38" s="14"/>
      <c r="DH38" s="134"/>
      <c r="DI38" s="134"/>
      <c r="DJ38" s="134"/>
      <c r="DK38" s="134"/>
      <c r="DL38" s="134"/>
      <c r="DM38" s="134"/>
      <c r="DN38" s="134"/>
      <c r="DO38" s="134"/>
      <c r="DP38" s="134"/>
      <c r="DQ38" s="7">
        <f>R38*J38</f>
        <v>125</v>
      </c>
      <c r="DR38" s="7">
        <f>J38*34</f>
        <v>34</v>
      </c>
      <c r="DS38" s="8">
        <f t="shared" si="235"/>
        <v>91</v>
      </c>
      <c r="DT38" s="14">
        <f>DR38*AC38</f>
        <v>408000</v>
      </c>
      <c r="DU38" s="134">
        <f t="shared" si="236"/>
        <v>34</v>
      </c>
      <c r="DV38" s="134">
        <v>0</v>
      </c>
      <c r="DW38" s="134"/>
      <c r="DX38" s="134">
        <v>62</v>
      </c>
      <c r="DY38" s="134">
        <v>28</v>
      </c>
      <c r="DZ38" s="134">
        <v>63</v>
      </c>
      <c r="EA38" s="134">
        <v>63</v>
      </c>
      <c r="EB38" s="134">
        <f t="shared" si="237"/>
        <v>91</v>
      </c>
      <c r="EC38" s="134">
        <f t="shared" si="238"/>
        <v>125</v>
      </c>
      <c r="ED38" s="7"/>
      <c r="EE38" s="7"/>
      <c r="EF38" s="8"/>
      <c r="EG38" s="14"/>
      <c r="EH38" s="133"/>
      <c r="EI38" s="133"/>
      <c r="EJ38" s="133"/>
      <c r="EK38" s="133"/>
      <c r="EL38" s="133"/>
      <c r="EM38" s="133"/>
      <c r="EN38" s="133"/>
      <c r="EO38" s="133"/>
      <c r="EP38" s="133"/>
      <c r="EQ38" s="7"/>
      <c r="ER38" s="7"/>
      <c r="ES38" s="8"/>
      <c r="ET38" s="14"/>
      <c r="EU38" s="134"/>
      <c r="EV38" s="134"/>
      <c r="EW38" s="134"/>
      <c r="EX38" s="134"/>
      <c r="EY38" s="134"/>
      <c r="EZ38" s="134"/>
      <c r="FA38" s="134"/>
      <c r="FB38" s="134"/>
      <c r="FC38" s="134"/>
      <c r="FD38" s="7"/>
      <c r="FE38" s="7"/>
      <c r="FF38" s="8"/>
      <c r="FG38" s="14"/>
      <c r="FH38" s="133"/>
      <c r="FI38" s="133"/>
      <c r="FJ38" s="133"/>
      <c r="FK38" s="133"/>
      <c r="FL38" s="133"/>
      <c r="FM38" s="133"/>
      <c r="FN38" s="133"/>
      <c r="FO38" s="133"/>
      <c r="FP38" s="133"/>
      <c r="FQ38" s="7"/>
      <c r="FR38" s="7"/>
      <c r="FS38" s="8"/>
      <c r="FT38" s="14"/>
      <c r="FU38" s="134"/>
      <c r="FV38" s="134"/>
      <c r="FW38" s="134"/>
      <c r="FX38" s="134"/>
      <c r="FY38" s="134"/>
      <c r="FZ38" s="134"/>
      <c r="GA38" s="134"/>
      <c r="GB38" s="134"/>
      <c r="GC38" s="134"/>
      <c r="GD38" s="7"/>
      <c r="GE38" s="7"/>
      <c r="GF38" s="8"/>
      <c r="GG38" s="14"/>
      <c r="GH38" s="134"/>
      <c r="GI38" s="134"/>
      <c r="GJ38" s="134"/>
      <c r="GK38" s="134"/>
      <c r="GL38" s="134"/>
      <c r="GM38" s="134"/>
      <c r="GN38" s="134"/>
      <c r="GO38" s="134"/>
      <c r="GP38" s="134"/>
      <c r="GQ38" s="7"/>
      <c r="GR38" s="7"/>
      <c r="GS38" s="8"/>
      <c r="GT38" s="14"/>
      <c r="GU38" s="133"/>
      <c r="GV38" s="133"/>
      <c r="GW38" s="133"/>
      <c r="GX38" s="133"/>
      <c r="GY38" s="133"/>
      <c r="GZ38" s="133"/>
      <c r="HA38" s="133"/>
      <c r="HB38" s="133"/>
      <c r="HC38" s="133"/>
      <c r="HD38" s="7"/>
      <c r="HE38" s="7"/>
      <c r="HF38" s="8"/>
      <c r="HG38" s="14"/>
      <c r="HH38" s="166"/>
      <c r="HI38" s="166"/>
      <c r="HJ38" s="166"/>
      <c r="HK38" s="166"/>
      <c r="HL38" s="166"/>
      <c r="HM38" s="166"/>
      <c r="HN38" s="166"/>
      <c r="HO38" s="166"/>
      <c r="HP38" s="166"/>
    </row>
    <row r="39" spans="2:224" hidden="1" x14ac:dyDescent="0.25">
      <c r="B39" s="226" t="s">
        <v>18</v>
      </c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1">
        <f>SUM(AG36:AG38)</f>
        <v>450000</v>
      </c>
      <c r="AE39" s="222"/>
      <c r="AF39" s="222"/>
      <c r="AG39" s="223"/>
      <c r="AH39" s="119"/>
      <c r="AI39" s="119"/>
      <c r="AJ39" s="119"/>
      <c r="AK39" s="119"/>
      <c r="AL39" s="119"/>
      <c r="AM39" s="119"/>
      <c r="AN39" s="119"/>
      <c r="AO39" s="119"/>
      <c r="AP39" s="119"/>
      <c r="AQ39" s="221">
        <f t="shared" ref="AQ39" si="268">SUM(AT36:AT38)</f>
        <v>1418400</v>
      </c>
      <c r="AR39" s="222"/>
      <c r="AS39" s="222"/>
      <c r="AT39" s="223"/>
      <c r="AU39" s="119"/>
      <c r="AV39" s="119"/>
      <c r="AW39" s="119"/>
      <c r="AX39" s="119"/>
      <c r="AY39" s="119"/>
      <c r="AZ39" s="119"/>
      <c r="BA39" s="119"/>
      <c r="BB39" s="119"/>
      <c r="BC39" s="119"/>
      <c r="BD39" s="221">
        <f t="shared" ref="BD39" si="269">SUM(BG36:BG38)</f>
        <v>1825200</v>
      </c>
      <c r="BE39" s="222"/>
      <c r="BF39" s="222"/>
      <c r="BG39" s="223"/>
      <c r="BH39" s="139"/>
      <c r="BI39" s="119"/>
      <c r="BJ39" s="119"/>
      <c r="BK39" s="119"/>
      <c r="BL39" s="119"/>
      <c r="BM39" s="119"/>
      <c r="BN39" s="119"/>
      <c r="BO39" s="119"/>
      <c r="BP39" s="119"/>
      <c r="BQ39" s="221">
        <f t="shared" ref="BQ39" si="270">SUM(BT36:BT38)</f>
        <v>1418400</v>
      </c>
      <c r="BR39" s="222"/>
      <c r="BS39" s="222"/>
      <c r="BT39" s="223"/>
      <c r="BU39" s="139"/>
      <c r="BV39" s="139"/>
      <c r="BW39" s="139"/>
      <c r="BX39" s="139"/>
      <c r="BY39" s="139"/>
      <c r="BZ39" s="139"/>
      <c r="CA39" s="139"/>
      <c r="CB39" s="139"/>
      <c r="CC39" s="139"/>
      <c r="CD39" s="221">
        <f t="shared" ref="CD39" si="271">SUM(CG36:CG38)</f>
        <v>1622700</v>
      </c>
      <c r="CE39" s="222"/>
      <c r="CF39" s="222"/>
      <c r="CG39" s="223"/>
      <c r="CH39" s="150"/>
      <c r="CI39" s="119"/>
      <c r="CJ39" s="119"/>
      <c r="CK39" s="119"/>
      <c r="CL39" s="119"/>
      <c r="CM39" s="119"/>
      <c r="CN39" s="119"/>
      <c r="CO39" s="119"/>
      <c r="CP39" s="119"/>
      <c r="CQ39" s="221">
        <f t="shared" ref="CQ39" si="272">SUM(CT36:CT38)</f>
        <v>1622700</v>
      </c>
      <c r="CR39" s="222"/>
      <c r="CS39" s="222"/>
      <c r="CT39" s="223"/>
      <c r="CU39" s="150"/>
      <c r="CV39" s="150"/>
      <c r="CW39" s="150"/>
      <c r="CX39" s="150"/>
      <c r="CY39" s="150"/>
      <c r="CZ39" s="150"/>
      <c r="DA39" s="150"/>
      <c r="DB39" s="150"/>
      <c r="DC39" s="150"/>
      <c r="DD39" s="221">
        <f t="shared" ref="DD39" si="273">SUM(DG36:DG38)</f>
        <v>1825200</v>
      </c>
      <c r="DE39" s="222"/>
      <c r="DF39" s="222"/>
      <c r="DG39" s="223"/>
      <c r="DH39" s="150"/>
      <c r="DI39" s="150"/>
      <c r="DJ39" s="150"/>
      <c r="DK39" s="150"/>
      <c r="DL39" s="150"/>
      <c r="DM39" s="150"/>
      <c r="DN39" s="150"/>
      <c r="DO39" s="150"/>
      <c r="DP39" s="150"/>
      <c r="DQ39" s="221">
        <f t="shared" ref="DQ39" si="274">SUM(DT36:DT38)</f>
        <v>817500</v>
      </c>
      <c r="DR39" s="222"/>
      <c r="DS39" s="222"/>
      <c r="DT39" s="223"/>
      <c r="DU39" s="150"/>
      <c r="DV39" s="150"/>
      <c r="DW39" s="150"/>
      <c r="DX39" s="150"/>
      <c r="DY39" s="134">
        <f t="shared" ref="DY39:DY41" si="275">DX39-DU39</f>
        <v>0</v>
      </c>
      <c r="DZ39" s="150"/>
      <c r="EA39" s="150"/>
      <c r="EB39" s="150"/>
      <c r="EC39" s="150"/>
      <c r="ED39" s="221">
        <f t="shared" ref="ED39" si="276">SUM(EG36:EG38)</f>
        <v>403200</v>
      </c>
      <c r="EE39" s="222"/>
      <c r="EF39" s="222"/>
      <c r="EG39" s="223"/>
      <c r="EH39" s="139"/>
      <c r="EI39" s="139"/>
      <c r="EJ39" s="139"/>
      <c r="EK39" s="139"/>
      <c r="EL39" s="139"/>
      <c r="EM39" s="139"/>
      <c r="EN39" s="139"/>
      <c r="EO39" s="139"/>
      <c r="EP39" s="139"/>
      <c r="EQ39" s="221">
        <f t="shared" ref="EQ39" si="277">SUM(ET36:ET38)</f>
        <v>1825200</v>
      </c>
      <c r="ER39" s="222"/>
      <c r="ES39" s="222"/>
      <c r="ET39" s="223"/>
      <c r="EU39" s="150"/>
      <c r="EV39" s="150"/>
      <c r="EW39" s="150"/>
      <c r="EX39" s="150"/>
      <c r="EY39" s="150"/>
      <c r="EZ39" s="150"/>
      <c r="FA39" s="150"/>
      <c r="FB39" s="150"/>
      <c r="FC39" s="150"/>
      <c r="FD39" s="221">
        <f t="shared" ref="FD39" si="278">SUM(FG36:FG38)</f>
        <v>1216800</v>
      </c>
      <c r="FE39" s="222"/>
      <c r="FF39" s="222"/>
      <c r="FG39" s="223"/>
      <c r="FH39" s="139"/>
      <c r="FI39" s="139"/>
      <c r="FJ39" s="139"/>
      <c r="FK39" s="139"/>
      <c r="FL39" s="139"/>
      <c r="FM39" s="139"/>
      <c r="FN39" s="139"/>
      <c r="FO39" s="139"/>
      <c r="FP39" s="139"/>
      <c r="FQ39" s="221">
        <f t="shared" ref="FQ39" si="279">SUM(FT36:FT38)</f>
        <v>207900</v>
      </c>
      <c r="FR39" s="222"/>
      <c r="FS39" s="222"/>
      <c r="FT39" s="223"/>
      <c r="FU39" s="150"/>
      <c r="FV39" s="150"/>
      <c r="FW39" s="150"/>
      <c r="FX39" s="150"/>
      <c r="FY39" s="150"/>
      <c r="FZ39" s="150"/>
      <c r="GA39" s="150"/>
      <c r="GB39" s="150"/>
      <c r="GC39" s="150"/>
      <c r="GD39" s="221">
        <f t="shared" ref="GD39" si="280">SUM(GG36:GG38)</f>
        <v>78300</v>
      </c>
      <c r="GE39" s="222"/>
      <c r="GF39" s="222"/>
      <c r="GG39" s="223"/>
      <c r="GH39" s="150"/>
      <c r="GI39" s="150"/>
      <c r="GJ39" s="150"/>
      <c r="GK39" s="150"/>
      <c r="GL39" s="150"/>
      <c r="GM39" s="150"/>
      <c r="GN39" s="150"/>
      <c r="GO39" s="150"/>
      <c r="GP39" s="150"/>
      <c r="GQ39" s="221">
        <f t="shared" ref="GQ39" si="281">SUM(GT36:GT38)</f>
        <v>1216800</v>
      </c>
      <c r="GR39" s="222"/>
      <c r="GS39" s="222"/>
      <c r="GT39" s="223"/>
      <c r="GU39" s="139"/>
      <c r="GV39" s="139"/>
      <c r="GW39" s="139"/>
      <c r="GX39" s="139"/>
      <c r="GY39" s="139"/>
      <c r="GZ39" s="139"/>
      <c r="HA39" s="139"/>
      <c r="HB39" s="139"/>
      <c r="HC39" s="139"/>
      <c r="HD39" s="221">
        <f t="shared" ref="HD39" si="282">SUM(HG36:HG38)</f>
        <v>1216800</v>
      </c>
      <c r="HE39" s="222"/>
      <c r="HF39" s="222"/>
      <c r="HG39" s="223"/>
    </row>
    <row r="40" spans="2:224" hidden="1" x14ac:dyDescent="0.25">
      <c r="B40" s="226" t="s">
        <v>19</v>
      </c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8">
        <f>SUMIFS(PRESUPUESTO!$G$87:$G$101,PRESUPUESTO!$E$87:$E$101,'MÍNIMAS (2)'!AD34)</f>
        <v>451638.72457142861</v>
      </c>
      <c r="AE40" s="228"/>
      <c r="AF40" s="228"/>
      <c r="AG40" s="228"/>
      <c r="AH40" s="113"/>
      <c r="AI40" s="113"/>
      <c r="AJ40" s="113"/>
      <c r="AK40" s="113"/>
      <c r="AL40" s="113"/>
      <c r="AM40" s="113"/>
      <c r="AN40" s="113"/>
      <c r="AO40" s="113"/>
      <c r="AP40" s="113"/>
      <c r="AQ40" s="228">
        <f>SUMIFS(PRESUPUESTO!$G$87:$G$101,PRESUPUESTO!$E$87:$E$101,'MÍNIMAS (2)'!AQ34)</f>
        <v>1420371.0613333334</v>
      </c>
      <c r="AR40" s="228"/>
      <c r="AS40" s="228"/>
      <c r="AT40" s="228"/>
      <c r="AU40" s="113"/>
      <c r="AV40" s="113"/>
      <c r="AW40" s="113"/>
      <c r="AX40" s="113"/>
      <c r="AY40" s="113"/>
      <c r="AZ40" s="113"/>
      <c r="BA40" s="113"/>
      <c r="BB40" s="113"/>
      <c r="BC40" s="113"/>
      <c r="BD40" s="228">
        <f>SUMIFS(PRESUPUESTO!$G$87:$G$101,PRESUPUESTO!$E$87:$E$101,'MÍNIMAS (2)'!BD34)</f>
        <v>1826191.3645714286</v>
      </c>
      <c r="BE40" s="228"/>
      <c r="BF40" s="228"/>
      <c r="BG40" s="228"/>
      <c r="BH40" s="142"/>
      <c r="BI40" s="113"/>
      <c r="BJ40" s="113"/>
      <c r="BK40" s="113"/>
      <c r="BL40" s="113"/>
      <c r="BM40" s="113"/>
      <c r="BN40" s="113"/>
      <c r="BO40" s="113"/>
      <c r="BP40" s="113"/>
      <c r="BQ40" s="228">
        <f>SUMIFS(PRESUPUESTO!$G$87:$G$101,PRESUPUESTO!$E$87:$E$101,'MÍNIMAS (2)'!BQ34)</f>
        <v>1420371.0613333334</v>
      </c>
      <c r="BR40" s="228"/>
      <c r="BS40" s="228"/>
      <c r="BT40" s="228"/>
      <c r="BU40" s="142"/>
      <c r="BV40" s="142"/>
      <c r="BW40" s="142"/>
      <c r="BX40" s="142"/>
      <c r="BY40" s="142"/>
      <c r="BZ40" s="142"/>
      <c r="CA40" s="142"/>
      <c r="CB40" s="142"/>
      <c r="CC40" s="142"/>
      <c r="CD40" s="228">
        <f>SUMIFS(PRESUPUESTO!$G$87:$G$101,PRESUPUESTO!$E$87:$E$101,'MÍNIMAS (2)'!CD34)</f>
        <v>1623281.212952381</v>
      </c>
      <c r="CE40" s="228"/>
      <c r="CF40" s="228"/>
      <c r="CG40" s="228"/>
      <c r="CH40" s="153"/>
      <c r="CI40" s="113"/>
      <c r="CJ40" s="113"/>
      <c r="CK40" s="113"/>
      <c r="CL40" s="113"/>
      <c r="CM40" s="113"/>
      <c r="CN40" s="113"/>
      <c r="CO40" s="113"/>
      <c r="CP40" s="113"/>
      <c r="CQ40" s="228">
        <f>SUMIFS(PRESUPUESTO!$G$87:$G$101,PRESUPUESTO!$E$87:$E$101,'MÍNIMAS (2)'!CQ34)</f>
        <v>1623281.212952381</v>
      </c>
      <c r="CR40" s="228"/>
      <c r="CS40" s="228"/>
      <c r="CT40" s="228"/>
      <c r="CU40" s="153"/>
      <c r="CV40" s="153"/>
      <c r="CW40" s="153"/>
      <c r="CX40" s="153"/>
      <c r="CY40" s="153"/>
      <c r="CZ40" s="153"/>
      <c r="DA40" s="153"/>
      <c r="DB40" s="153"/>
      <c r="DC40" s="153"/>
      <c r="DD40" s="228">
        <f>SUMIFS(PRESUPUESTO!$G$87:$G$101,PRESUPUESTO!$E$87:$E$101,'MÍNIMAS (2)'!DD34)</f>
        <v>1826191.3645714286</v>
      </c>
      <c r="DE40" s="228"/>
      <c r="DF40" s="228"/>
      <c r="DG40" s="228"/>
      <c r="DH40" s="153"/>
      <c r="DI40" s="153"/>
      <c r="DJ40" s="153"/>
      <c r="DK40" s="153"/>
      <c r="DL40" s="153"/>
      <c r="DM40" s="153"/>
      <c r="DN40" s="153"/>
      <c r="DO40" s="153"/>
      <c r="DP40" s="153"/>
      <c r="DQ40" s="228">
        <f>SUMIFS(PRESUPUESTO!$G$87:$G$101,PRESUPUESTO!$E$87:$E$101,'MÍNIMAS (2)'!DQ34)</f>
        <v>818186.09523809527</v>
      </c>
      <c r="DR40" s="228"/>
      <c r="DS40" s="228"/>
      <c r="DT40" s="228"/>
      <c r="DU40" s="153"/>
      <c r="DV40" s="153"/>
      <c r="DW40" s="153"/>
      <c r="DX40" s="153"/>
      <c r="DY40" s="134">
        <f t="shared" si="275"/>
        <v>0</v>
      </c>
      <c r="DZ40" s="153"/>
      <c r="EA40" s="153"/>
      <c r="EB40" s="153"/>
      <c r="EC40" s="153"/>
      <c r="ED40" s="228">
        <f>SUMIFS(PRESUPUESTO!$G$87:$G$101,PRESUPUESTO!$E$87:$E$101,'MÍNIMAS (2)'!ED34)</f>
        <v>405820.30323809525</v>
      </c>
      <c r="EE40" s="228"/>
      <c r="EF40" s="228"/>
      <c r="EG40" s="228"/>
      <c r="EH40" s="142"/>
      <c r="EI40" s="142"/>
      <c r="EJ40" s="142"/>
      <c r="EK40" s="142"/>
      <c r="EL40" s="142"/>
      <c r="EM40" s="142"/>
      <c r="EN40" s="142"/>
      <c r="EO40" s="142"/>
      <c r="EP40" s="142"/>
      <c r="EQ40" s="228">
        <f>SUMIFS(PRESUPUESTO!$G$87:$G$101,PRESUPUESTO!$E$87:$E$101,'MÍNIMAS (2)'!EQ34)</f>
        <v>1826191.3645714286</v>
      </c>
      <c r="ER40" s="228"/>
      <c r="ES40" s="228"/>
      <c r="ET40" s="228"/>
      <c r="EU40" s="153"/>
      <c r="EV40" s="153"/>
      <c r="EW40" s="153"/>
      <c r="EX40" s="153"/>
      <c r="EY40" s="153"/>
      <c r="EZ40" s="153"/>
      <c r="FA40" s="153"/>
      <c r="FB40" s="153"/>
      <c r="FC40" s="153"/>
      <c r="FD40" s="228">
        <f>SUMIFS(PRESUPUESTO!$G$87:$G$101,PRESUPUESTO!$E$87:$E$101,'MÍNIMAS (2)'!FD34)</f>
        <v>1217460.9097142857</v>
      </c>
      <c r="FE40" s="228"/>
      <c r="FF40" s="228"/>
      <c r="FG40" s="228"/>
      <c r="FH40" s="142"/>
      <c r="FI40" s="142"/>
      <c r="FJ40" s="142"/>
      <c r="FK40" s="142"/>
      <c r="FL40" s="142"/>
      <c r="FM40" s="142"/>
      <c r="FN40" s="142"/>
      <c r="FO40" s="142"/>
      <c r="FP40" s="142"/>
      <c r="FQ40" s="228">
        <f>SUMIFS(PRESUPUESTO!$G$87:$G$101,PRESUPUESTO!$E$87:$E$101,'MÍNIMAS (2)'!FQ34)</f>
        <v>209455.64038095239</v>
      </c>
      <c r="FR40" s="228"/>
      <c r="FS40" s="228"/>
      <c r="FT40" s="228"/>
      <c r="FU40" s="153"/>
      <c r="FV40" s="153"/>
      <c r="FW40" s="153"/>
      <c r="FX40" s="153"/>
      <c r="FY40" s="153"/>
      <c r="FZ40" s="153"/>
      <c r="GA40" s="153"/>
      <c r="GB40" s="153"/>
      <c r="GC40" s="153"/>
      <c r="GD40" s="228">
        <f>SUMIFS(PRESUPUESTO!$G$87:$G$101,PRESUPUESTO!$E$87:$E$101,'MÍNIMAS (2)'!GD34)</f>
        <v>78545.865142857147</v>
      </c>
      <c r="GE40" s="228"/>
      <c r="GF40" s="228"/>
      <c r="GG40" s="228"/>
      <c r="GH40" s="153"/>
      <c r="GI40" s="153"/>
      <c r="GJ40" s="153"/>
      <c r="GK40" s="153"/>
      <c r="GL40" s="153"/>
      <c r="GM40" s="153"/>
      <c r="GN40" s="153"/>
      <c r="GO40" s="153"/>
      <c r="GP40" s="153"/>
      <c r="GQ40" s="228">
        <f>SUMIFS(PRESUPUESTO!$G$87:$G$101,PRESUPUESTO!$E$87:$E$101,'MÍNIMAS (2)'!GQ34)</f>
        <v>1217460.9097142857</v>
      </c>
      <c r="GR40" s="228"/>
      <c r="GS40" s="228"/>
      <c r="GT40" s="228"/>
      <c r="GU40" s="142"/>
      <c r="GV40" s="142"/>
      <c r="GW40" s="142"/>
      <c r="GX40" s="142"/>
      <c r="GY40" s="142"/>
      <c r="GZ40" s="142"/>
      <c r="HA40" s="142"/>
      <c r="HB40" s="142"/>
      <c r="HC40" s="142"/>
      <c r="HD40" s="228">
        <f>SUMIFS(PRESUPUESTO!$G$87:$G$101,PRESUPUESTO!$E$87:$E$101,'MÍNIMAS (2)'!HD34)</f>
        <v>1217460.9097142857</v>
      </c>
      <c r="HE40" s="228"/>
      <c r="HF40" s="228"/>
      <c r="HG40" s="228"/>
      <c r="HH40" s="167">
        <f>SUM(AD40:HG40)</f>
        <v>17181908</v>
      </c>
    </row>
    <row r="41" spans="2:224" hidden="1" x14ac:dyDescent="0.25">
      <c r="B41" s="226" t="s">
        <v>10</v>
      </c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4">
        <f>AD40-AD39</f>
        <v>1638.7245714286109</v>
      </c>
      <c r="AE41" s="224"/>
      <c r="AF41" s="224"/>
      <c r="AG41" s="224"/>
      <c r="AH41" s="118"/>
      <c r="AI41" s="118"/>
      <c r="AJ41" s="118"/>
      <c r="AK41" s="118"/>
      <c r="AL41" s="118"/>
      <c r="AM41" s="118"/>
      <c r="AN41" s="118"/>
      <c r="AO41" s="118"/>
      <c r="AP41" s="118"/>
      <c r="AQ41" s="224">
        <f>AQ40-AQ39</f>
        <v>1971.0613333333749</v>
      </c>
      <c r="AR41" s="224"/>
      <c r="AS41" s="224"/>
      <c r="AT41" s="224"/>
      <c r="AU41" s="118"/>
      <c r="AV41" s="118"/>
      <c r="AW41" s="118"/>
      <c r="AX41" s="118"/>
      <c r="AY41" s="118"/>
      <c r="AZ41" s="118"/>
      <c r="BA41" s="118"/>
      <c r="BB41" s="118"/>
      <c r="BC41" s="118"/>
      <c r="BD41" s="224">
        <f>BD40-BD39</f>
        <v>991.36457142862491</v>
      </c>
      <c r="BE41" s="224"/>
      <c r="BF41" s="224"/>
      <c r="BG41" s="224"/>
      <c r="BH41" s="140"/>
      <c r="BI41" s="118"/>
      <c r="BJ41" s="118"/>
      <c r="BK41" s="118"/>
      <c r="BL41" s="118"/>
      <c r="BM41" s="118"/>
      <c r="BN41" s="118"/>
      <c r="BO41" s="118"/>
      <c r="BP41" s="118"/>
      <c r="BQ41" s="224">
        <f t="shared" ref="BQ41" si="283">BQ40-BQ39</f>
        <v>1971.0613333333749</v>
      </c>
      <c r="BR41" s="224"/>
      <c r="BS41" s="224"/>
      <c r="BT41" s="224"/>
      <c r="BU41" s="140"/>
      <c r="BV41" s="140"/>
      <c r="BW41" s="140"/>
      <c r="BX41" s="140"/>
      <c r="BY41" s="140"/>
      <c r="BZ41" s="140"/>
      <c r="CA41" s="140"/>
      <c r="CB41" s="140"/>
      <c r="CC41" s="140"/>
      <c r="CD41" s="224">
        <f>CD40-CD39</f>
        <v>581.21295238099992</v>
      </c>
      <c r="CE41" s="224"/>
      <c r="CF41" s="224"/>
      <c r="CG41" s="224"/>
      <c r="CH41" s="151"/>
      <c r="CI41" s="118"/>
      <c r="CJ41" s="118"/>
      <c r="CK41" s="118"/>
      <c r="CL41" s="118"/>
      <c r="CM41" s="118"/>
      <c r="CN41" s="118"/>
      <c r="CO41" s="118"/>
      <c r="CP41" s="118"/>
      <c r="CQ41" s="224">
        <f>CQ40-CQ39</f>
        <v>581.21295238099992</v>
      </c>
      <c r="CR41" s="224"/>
      <c r="CS41" s="224"/>
      <c r="CT41" s="224"/>
      <c r="CU41" s="151"/>
      <c r="CV41" s="151"/>
      <c r="CW41" s="151"/>
      <c r="CX41" s="151"/>
      <c r="CY41" s="151"/>
      <c r="CZ41" s="151"/>
      <c r="DA41" s="151"/>
      <c r="DB41" s="151"/>
      <c r="DC41" s="151"/>
      <c r="DD41" s="224">
        <f>DD40-DD39</f>
        <v>991.36457142862491</v>
      </c>
      <c r="DE41" s="224"/>
      <c r="DF41" s="224"/>
      <c r="DG41" s="224"/>
      <c r="DH41" s="151"/>
      <c r="DI41" s="151"/>
      <c r="DJ41" s="151"/>
      <c r="DK41" s="151"/>
      <c r="DL41" s="151"/>
      <c r="DM41" s="151"/>
      <c r="DN41" s="151"/>
      <c r="DO41" s="151"/>
      <c r="DP41" s="151"/>
      <c r="DQ41" s="224">
        <f t="shared" ref="DQ41" si="284">DQ40-DQ39</f>
        <v>686.09523809526581</v>
      </c>
      <c r="DR41" s="224"/>
      <c r="DS41" s="224"/>
      <c r="DT41" s="224"/>
      <c r="DU41" s="151"/>
      <c r="DV41" s="151"/>
      <c r="DW41" s="151"/>
      <c r="DX41" s="151"/>
      <c r="DY41" s="134">
        <f t="shared" si="275"/>
        <v>0</v>
      </c>
      <c r="DZ41" s="151"/>
      <c r="EA41" s="151"/>
      <c r="EB41" s="151"/>
      <c r="EC41" s="151"/>
      <c r="ED41" s="224">
        <f>ED40-ED39</f>
        <v>2620.30323809525</v>
      </c>
      <c r="EE41" s="224"/>
      <c r="EF41" s="224"/>
      <c r="EG41" s="224"/>
      <c r="EH41" s="140"/>
      <c r="EI41" s="140"/>
      <c r="EJ41" s="140"/>
      <c r="EK41" s="140"/>
      <c r="EL41" s="140"/>
      <c r="EM41" s="140"/>
      <c r="EN41" s="140"/>
      <c r="EO41" s="140"/>
      <c r="EP41" s="140"/>
      <c r="EQ41" s="224">
        <f>EQ40-EQ39</f>
        <v>991.36457142862491</v>
      </c>
      <c r="ER41" s="224"/>
      <c r="ES41" s="224"/>
      <c r="ET41" s="224"/>
      <c r="EU41" s="151"/>
      <c r="EV41" s="151"/>
      <c r="EW41" s="151"/>
      <c r="EX41" s="151"/>
      <c r="EY41" s="151"/>
      <c r="EZ41" s="151"/>
      <c r="FA41" s="151"/>
      <c r="FB41" s="151"/>
      <c r="FC41" s="151"/>
      <c r="FD41" s="224">
        <f>FD40-FD39</f>
        <v>660.90971428574994</v>
      </c>
      <c r="FE41" s="224"/>
      <c r="FF41" s="224"/>
      <c r="FG41" s="224"/>
      <c r="FH41" s="140"/>
      <c r="FI41" s="140"/>
      <c r="FJ41" s="140"/>
      <c r="FK41" s="140"/>
      <c r="FL41" s="140"/>
      <c r="FM41" s="140"/>
      <c r="FN41" s="140"/>
      <c r="FO41" s="140"/>
      <c r="FP41" s="140"/>
      <c r="FQ41" s="224">
        <f t="shared" ref="FQ41" si="285">FQ40-FQ39</f>
        <v>1555.6403809523908</v>
      </c>
      <c r="FR41" s="224"/>
      <c r="FS41" s="224"/>
      <c r="FT41" s="224"/>
      <c r="FU41" s="151"/>
      <c r="FV41" s="151"/>
      <c r="FW41" s="151"/>
      <c r="FX41" s="151"/>
      <c r="FY41" s="151"/>
      <c r="FZ41" s="151"/>
      <c r="GA41" s="151"/>
      <c r="GB41" s="151"/>
      <c r="GC41" s="151"/>
      <c r="GD41" s="224">
        <f>GD40-GD39</f>
        <v>245.86514285714657</v>
      </c>
      <c r="GE41" s="224"/>
      <c r="GF41" s="224"/>
      <c r="GG41" s="224"/>
      <c r="GH41" s="151"/>
      <c r="GI41" s="151"/>
      <c r="GJ41" s="151"/>
      <c r="GK41" s="151"/>
      <c r="GL41" s="151"/>
      <c r="GM41" s="151"/>
      <c r="GN41" s="151"/>
      <c r="GO41" s="151"/>
      <c r="GP41" s="151"/>
      <c r="GQ41" s="224">
        <f>GQ40-GQ39</f>
        <v>660.90971428574994</v>
      </c>
      <c r="GR41" s="224"/>
      <c r="GS41" s="224"/>
      <c r="GT41" s="224"/>
      <c r="GU41" s="140"/>
      <c r="GV41" s="140"/>
      <c r="GW41" s="140"/>
      <c r="GX41" s="140"/>
      <c r="GY41" s="140"/>
      <c r="GZ41" s="140"/>
      <c r="HA41" s="140"/>
      <c r="HB41" s="140"/>
      <c r="HC41" s="140"/>
      <c r="HD41" s="224">
        <f>HD40-HD39</f>
        <v>660.90971428574994</v>
      </c>
      <c r="HE41" s="224"/>
      <c r="HF41" s="224"/>
      <c r="HG41" s="224"/>
    </row>
    <row r="43" spans="2:224" x14ac:dyDescent="0.25">
      <c r="B43" s="199" t="s">
        <v>45</v>
      </c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199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00"/>
      <c r="BJ43" s="200"/>
      <c r="BK43" s="200"/>
      <c r="BL43" s="200"/>
      <c r="BM43" s="200"/>
      <c r="BN43" s="200"/>
      <c r="BO43" s="200"/>
      <c r="BP43" s="200"/>
      <c r="BQ43" s="200"/>
      <c r="BR43" s="199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200"/>
      <c r="CJ43" s="200"/>
      <c r="CK43" s="200"/>
      <c r="CL43" s="200"/>
      <c r="CM43" s="200"/>
      <c r="CN43" s="200"/>
      <c r="CO43" s="200"/>
      <c r="CP43" s="200"/>
      <c r="CQ43" s="200"/>
      <c r="CR43" s="200"/>
      <c r="CS43" s="200"/>
      <c r="CT43" s="200"/>
      <c r="CU43" s="200"/>
      <c r="CV43" s="200"/>
      <c r="CW43" s="200"/>
      <c r="CX43" s="200"/>
      <c r="CY43" s="200"/>
      <c r="CZ43" s="200"/>
      <c r="DA43" s="200"/>
      <c r="DB43" s="200"/>
      <c r="DC43" s="200"/>
      <c r="DD43" s="200"/>
      <c r="DE43" s="200"/>
      <c r="DF43" s="199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200"/>
      <c r="DT43" s="200"/>
      <c r="DU43" s="200"/>
      <c r="DV43" s="200"/>
      <c r="DW43" s="200"/>
      <c r="DX43" s="200"/>
      <c r="DY43" s="200"/>
      <c r="DZ43" s="200"/>
      <c r="EA43" s="200"/>
      <c r="EB43" s="200"/>
      <c r="EC43" s="200"/>
      <c r="ED43" s="200"/>
      <c r="EE43" s="200"/>
      <c r="EF43" s="200"/>
      <c r="EG43" s="200"/>
      <c r="EH43" s="200"/>
      <c r="EI43" s="200"/>
      <c r="EJ43" s="200"/>
      <c r="EK43" s="200"/>
      <c r="EL43" s="200"/>
      <c r="EM43" s="200"/>
      <c r="EN43" s="200"/>
      <c r="EO43" s="200"/>
      <c r="EP43" s="200"/>
      <c r="EQ43" s="200"/>
      <c r="ER43" s="200"/>
      <c r="ES43" s="200"/>
      <c r="ET43" s="199"/>
      <c r="EU43" s="200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  <c r="FW43" s="200"/>
      <c r="FX43" s="200"/>
      <c r="FY43" s="200"/>
      <c r="FZ43" s="200"/>
      <c r="GA43" s="200"/>
      <c r="GB43" s="200"/>
      <c r="GC43" s="200"/>
      <c r="GD43" s="200"/>
      <c r="GE43" s="200"/>
      <c r="GF43" s="200"/>
      <c r="GG43" s="200"/>
      <c r="GH43" s="163"/>
      <c r="GI43" s="163"/>
      <c r="GJ43" s="163"/>
      <c r="GK43" s="163"/>
      <c r="GL43" s="163"/>
      <c r="GM43" s="163"/>
      <c r="GN43" s="163"/>
      <c r="GO43" s="163"/>
      <c r="GP43" s="163"/>
      <c r="GQ43" s="199"/>
      <c r="GR43" s="200"/>
      <c r="GS43" s="200"/>
      <c r="GT43" s="200"/>
      <c r="GU43" s="200"/>
      <c r="GV43" s="200"/>
      <c r="GW43" s="200"/>
      <c r="GX43" s="200"/>
      <c r="GY43" s="200"/>
      <c r="GZ43" s="200"/>
      <c r="HA43" s="200"/>
      <c r="HB43" s="200"/>
      <c r="HC43" s="200"/>
      <c r="HD43" s="200"/>
      <c r="HE43" s="200"/>
      <c r="HF43" s="200"/>
      <c r="HG43" s="200"/>
      <c r="HH43" s="130"/>
      <c r="HI43" s="130"/>
      <c r="HJ43" s="130"/>
      <c r="HK43" s="130"/>
      <c r="HL43" s="130"/>
      <c r="HM43" s="130"/>
      <c r="HN43" s="130"/>
      <c r="HO43" s="130"/>
      <c r="HP43" s="130"/>
    </row>
    <row r="44" spans="2:224" ht="28.5" customHeight="1" x14ac:dyDescent="0.25">
      <c r="B44" s="225" t="str">
        <f>'PLAN DE NECESIDADES'!B36</f>
        <v>ÍTEM</v>
      </c>
      <c r="C44" s="225" t="str">
        <f>'PLAN DE NECESIDADES'!C36</f>
        <v>CÓDIGO DANE</v>
      </c>
      <c r="D44" s="226" t="str">
        <f>'PLAN DE NECESIDADES'!D36</f>
        <v xml:space="preserve">DESCRIPCIÓN DEL BIEN Y/O SERVICIO </v>
      </c>
      <c r="E44" s="225" t="str">
        <f>'PLAN DE NECESIDADES'!E36</f>
        <v>UNIDAD MEDIDA</v>
      </c>
      <c r="F44" s="225" t="str">
        <f>'PLAN DE NECESIDADES'!F36</f>
        <v>EXISTENCIAS (STOCK - INVENTARIOS)</v>
      </c>
      <c r="G44" s="225" t="str">
        <f>'PLAN DE NECESIDADES'!H36</f>
        <v>UNSPSC (CCE)</v>
      </c>
      <c r="H44" s="225" t="str">
        <f>'PLAN DE NECESIDADES'!I36</f>
        <v xml:space="preserve">CÓDIGO MATERIAL SAP </v>
      </c>
      <c r="I44" s="122" t="s">
        <v>40</v>
      </c>
      <c r="J44" s="205" t="s">
        <v>155</v>
      </c>
      <c r="K44" s="203" t="str">
        <f>AD44</f>
        <v>BAABS3</v>
      </c>
      <c r="L44" s="203" t="str">
        <f>AQ44</f>
        <v>BAACA10</v>
      </c>
      <c r="M44" s="203" t="str">
        <f>BD44</f>
        <v>BAACA2</v>
      </c>
      <c r="N44" s="203" t="str">
        <f>BQ44</f>
        <v>BAADA1</v>
      </c>
      <c r="O44" s="203" t="str">
        <f>CD44</f>
        <v>BAEEV2</v>
      </c>
      <c r="P44" s="203" t="str">
        <f>CQ44</f>
        <v>BAEEV3</v>
      </c>
      <c r="Q44" s="203" t="str">
        <f>DD44</f>
        <v>BAMMA7</v>
      </c>
      <c r="R44" s="203" t="str">
        <f>DQ44</f>
        <v>BASPC10</v>
      </c>
      <c r="S44" s="203" t="str">
        <f>ED44</f>
        <v>BASAC</v>
      </c>
      <c r="T44" s="203" t="str">
        <f>EQ44</f>
        <v>BICAR</v>
      </c>
      <c r="U44" s="203" t="str">
        <f>FD44</f>
        <v>BIMOC70</v>
      </c>
      <c r="V44" s="203" t="str">
        <f>FQ44</f>
        <v>BITER10</v>
      </c>
      <c r="W44" s="203" t="str">
        <f>GD44</f>
        <v>DIM15</v>
      </c>
      <c r="X44" s="203" t="str">
        <f>GQ44</f>
        <v>GMMAT</v>
      </c>
      <c r="Y44" s="203" t="str">
        <f>HD44</f>
        <v>GMRON</v>
      </c>
      <c r="Z44" s="209" t="s">
        <v>13</v>
      </c>
      <c r="AA44" s="227" t="s">
        <v>14</v>
      </c>
      <c r="AB44" s="227" t="s">
        <v>12</v>
      </c>
      <c r="AC44" s="227" t="s">
        <v>4</v>
      </c>
      <c r="AD44" s="214" t="s">
        <v>29</v>
      </c>
      <c r="AE44" s="215"/>
      <c r="AF44" s="215"/>
      <c r="AG44" s="216"/>
      <c r="AH44" s="114"/>
      <c r="AI44" s="114"/>
      <c r="AJ44" s="114"/>
      <c r="AK44" s="114"/>
      <c r="AL44" s="114"/>
      <c r="AM44" s="114"/>
      <c r="AN44" s="114"/>
      <c r="AO44" s="114"/>
      <c r="AP44" s="114"/>
      <c r="AQ44" s="217" t="s">
        <v>30</v>
      </c>
      <c r="AR44" s="218"/>
      <c r="AS44" s="218"/>
      <c r="AT44" s="219"/>
      <c r="AU44" s="115"/>
      <c r="AV44" s="115"/>
      <c r="AW44" s="115"/>
      <c r="AX44" s="115"/>
      <c r="AY44" s="115"/>
      <c r="AZ44" s="115"/>
      <c r="BA44" s="115"/>
      <c r="BB44" s="115"/>
      <c r="BC44" s="115"/>
      <c r="BD44" s="196" t="s">
        <v>31</v>
      </c>
      <c r="BE44" s="197"/>
      <c r="BF44" s="197"/>
      <c r="BG44" s="198"/>
      <c r="BH44" s="137"/>
      <c r="BI44" s="116"/>
      <c r="BJ44" s="116"/>
      <c r="BK44" s="116"/>
      <c r="BL44" s="116"/>
      <c r="BM44" s="116"/>
      <c r="BN44" s="116"/>
      <c r="BO44" s="116"/>
      <c r="BP44" s="116"/>
      <c r="BQ44" s="211" t="s">
        <v>32</v>
      </c>
      <c r="BR44" s="212"/>
      <c r="BS44" s="212"/>
      <c r="BT44" s="213"/>
      <c r="BU44" s="144"/>
      <c r="BV44" s="144"/>
      <c r="BW44" s="144"/>
      <c r="BX44" s="144"/>
      <c r="BY44" s="144"/>
      <c r="BZ44" s="144"/>
      <c r="CA44" s="144"/>
      <c r="CB44" s="144"/>
      <c r="CC44" s="144"/>
      <c r="CD44" s="214" t="s">
        <v>27</v>
      </c>
      <c r="CE44" s="215"/>
      <c r="CF44" s="215"/>
      <c r="CG44" s="216"/>
      <c r="CH44" s="148"/>
      <c r="CI44" s="114"/>
      <c r="CJ44" s="114"/>
      <c r="CK44" s="114"/>
      <c r="CL44" s="114"/>
      <c r="CM44" s="114"/>
      <c r="CN44" s="114"/>
      <c r="CO44" s="114"/>
      <c r="CP44" s="114"/>
      <c r="CQ44" s="217" t="s">
        <v>33</v>
      </c>
      <c r="CR44" s="218"/>
      <c r="CS44" s="218"/>
      <c r="CT44" s="219"/>
      <c r="CU44" s="156"/>
      <c r="CV44" s="156"/>
      <c r="CW44" s="156"/>
      <c r="CX44" s="156"/>
      <c r="CY44" s="156"/>
      <c r="CZ44" s="156"/>
      <c r="DA44" s="156"/>
      <c r="DB44" s="156"/>
      <c r="DC44" s="156"/>
      <c r="DD44" s="196" t="s">
        <v>66</v>
      </c>
      <c r="DE44" s="197"/>
      <c r="DF44" s="197"/>
      <c r="DG44" s="198"/>
      <c r="DH44" s="158"/>
      <c r="DI44" s="158"/>
      <c r="DJ44" s="158"/>
      <c r="DK44" s="158"/>
      <c r="DL44" s="158"/>
      <c r="DM44" s="158"/>
      <c r="DN44" s="158"/>
      <c r="DO44" s="158"/>
      <c r="DP44" s="158"/>
      <c r="DQ44" s="211" t="s">
        <v>67</v>
      </c>
      <c r="DR44" s="212"/>
      <c r="DS44" s="212"/>
      <c r="DT44" s="213"/>
      <c r="DU44" s="160"/>
      <c r="DV44" s="160"/>
      <c r="DW44" s="160"/>
      <c r="DX44" s="160"/>
      <c r="DY44" s="160"/>
      <c r="DZ44" s="160"/>
      <c r="EA44" s="160"/>
      <c r="EB44" s="160"/>
      <c r="EC44" s="160"/>
      <c r="ED44" s="214" t="s">
        <v>34</v>
      </c>
      <c r="EE44" s="215"/>
      <c r="EF44" s="215"/>
      <c r="EG44" s="216"/>
      <c r="EH44" s="162"/>
      <c r="EI44" s="162"/>
      <c r="EJ44" s="162"/>
      <c r="EK44" s="162"/>
      <c r="EL44" s="162"/>
      <c r="EM44" s="162"/>
      <c r="EN44" s="162"/>
      <c r="EO44" s="162"/>
      <c r="EP44" s="162"/>
      <c r="EQ44" s="217" t="s">
        <v>35</v>
      </c>
      <c r="ER44" s="218"/>
      <c r="ES44" s="218"/>
      <c r="ET44" s="219"/>
      <c r="EU44" s="156"/>
      <c r="EV44" s="156"/>
      <c r="EW44" s="156"/>
      <c r="EX44" s="156"/>
      <c r="EY44" s="156"/>
      <c r="EZ44" s="156"/>
      <c r="FA44" s="156"/>
      <c r="FB44" s="156"/>
      <c r="FC44" s="156"/>
      <c r="FD44" s="196" t="s">
        <v>68</v>
      </c>
      <c r="FE44" s="197"/>
      <c r="FF44" s="197"/>
      <c r="FG44" s="198"/>
      <c r="FH44" s="137"/>
      <c r="FI44" s="137"/>
      <c r="FJ44" s="137"/>
      <c r="FK44" s="137"/>
      <c r="FL44" s="137"/>
      <c r="FM44" s="137"/>
      <c r="FN44" s="137"/>
      <c r="FO44" s="137"/>
      <c r="FP44" s="137"/>
      <c r="FQ44" s="211" t="s">
        <v>36</v>
      </c>
      <c r="FR44" s="212"/>
      <c r="FS44" s="212"/>
      <c r="FT44" s="213"/>
      <c r="FU44" s="160"/>
      <c r="FV44" s="160"/>
      <c r="FW44" s="160"/>
      <c r="FX44" s="160"/>
      <c r="FY44" s="160"/>
      <c r="FZ44" s="160"/>
      <c r="GA44" s="160"/>
      <c r="GB44" s="160"/>
      <c r="GC44" s="160"/>
      <c r="GD44" s="214" t="s">
        <v>37</v>
      </c>
      <c r="GE44" s="215"/>
      <c r="GF44" s="215"/>
      <c r="GG44" s="216"/>
      <c r="GH44" s="148"/>
      <c r="GI44" s="148"/>
      <c r="GJ44" s="148"/>
      <c r="GK44" s="148"/>
      <c r="GL44" s="148"/>
      <c r="GM44" s="148"/>
      <c r="GN44" s="148"/>
      <c r="GO44" s="148"/>
      <c r="GP44" s="148"/>
      <c r="GQ44" s="217" t="s">
        <v>69</v>
      </c>
      <c r="GR44" s="218"/>
      <c r="GS44" s="218"/>
      <c r="GT44" s="219"/>
      <c r="GU44" s="164"/>
      <c r="GV44" s="164"/>
      <c r="GW44" s="164"/>
      <c r="GX44" s="164"/>
      <c r="GY44" s="164"/>
      <c r="GZ44" s="164"/>
      <c r="HA44" s="164"/>
      <c r="HB44" s="164"/>
      <c r="HC44" s="164"/>
      <c r="HD44" s="196" t="s">
        <v>38</v>
      </c>
      <c r="HE44" s="197"/>
      <c r="HF44" s="197"/>
      <c r="HG44" s="198"/>
      <c r="HH44" s="131"/>
      <c r="HI44" s="131"/>
      <c r="HJ44" s="131"/>
      <c r="HK44" s="131"/>
      <c r="HL44" s="131"/>
      <c r="HM44" s="131"/>
      <c r="HN44" s="131"/>
      <c r="HO44" s="131"/>
      <c r="HP44" s="131"/>
    </row>
    <row r="45" spans="2:224" ht="28.5" customHeight="1" x14ac:dyDescent="0.25">
      <c r="B45" s="225"/>
      <c r="C45" s="225"/>
      <c r="D45" s="226"/>
      <c r="E45" s="225"/>
      <c r="F45" s="225"/>
      <c r="G45" s="225"/>
      <c r="H45" s="225"/>
      <c r="I45" s="122"/>
      <c r="J45" s="206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10"/>
      <c r="AA45" s="227"/>
      <c r="AB45" s="227"/>
      <c r="AC45" s="227"/>
      <c r="AD45" s="20" t="s">
        <v>15</v>
      </c>
      <c r="AE45" s="21" t="s">
        <v>16</v>
      </c>
      <c r="AF45" s="22" t="s">
        <v>17</v>
      </c>
      <c r="AG45" s="20" t="s">
        <v>20</v>
      </c>
      <c r="AH45" s="20" t="s">
        <v>166</v>
      </c>
      <c r="AI45" s="20" t="s">
        <v>163</v>
      </c>
      <c r="AJ45" s="20" t="s">
        <v>162</v>
      </c>
      <c r="AK45" s="20" t="s">
        <v>164</v>
      </c>
      <c r="AL45" s="20" t="s">
        <v>162</v>
      </c>
      <c r="AM45" s="20" t="s">
        <v>165</v>
      </c>
      <c r="AN45" s="20" t="s">
        <v>162</v>
      </c>
      <c r="AO45" s="20" t="s">
        <v>21</v>
      </c>
      <c r="AP45" s="20"/>
      <c r="AQ45" s="3" t="s">
        <v>15</v>
      </c>
      <c r="AR45" s="4" t="s">
        <v>16</v>
      </c>
      <c r="AS45" s="5" t="s">
        <v>17</v>
      </c>
      <c r="AT45" s="3" t="s">
        <v>20</v>
      </c>
      <c r="AU45" s="3" t="s">
        <v>166</v>
      </c>
      <c r="AV45" s="3" t="s">
        <v>163</v>
      </c>
      <c r="AW45" s="3" t="s">
        <v>162</v>
      </c>
      <c r="AX45" s="3" t="s">
        <v>164</v>
      </c>
      <c r="AY45" s="3" t="s">
        <v>162</v>
      </c>
      <c r="AZ45" s="3" t="s">
        <v>165</v>
      </c>
      <c r="BA45" s="3" t="s">
        <v>162</v>
      </c>
      <c r="BB45" s="3" t="s">
        <v>21</v>
      </c>
      <c r="BC45" s="3"/>
      <c r="BD45" s="117" t="s">
        <v>15</v>
      </c>
      <c r="BE45" s="23" t="s">
        <v>16</v>
      </c>
      <c r="BF45" s="24" t="s">
        <v>17</v>
      </c>
      <c r="BG45" s="117" t="s">
        <v>20</v>
      </c>
      <c r="BH45" s="138" t="s">
        <v>166</v>
      </c>
      <c r="BI45" s="117" t="s">
        <v>163</v>
      </c>
      <c r="BJ45" s="117" t="s">
        <v>162</v>
      </c>
      <c r="BK45" s="117" t="s">
        <v>164</v>
      </c>
      <c r="BL45" s="117" t="s">
        <v>162</v>
      </c>
      <c r="BM45" s="117" t="s">
        <v>165</v>
      </c>
      <c r="BN45" s="117" t="s">
        <v>162</v>
      </c>
      <c r="BO45" s="117" t="s">
        <v>21</v>
      </c>
      <c r="BP45" s="117"/>
      <c r="BQ45" s="25" t="s">
        <v>15</v>
      </c>
      <c r="BR45" s="26" t="s">
        <v>16</v>
      </c>
      <c r="BS45" s="27" t="s">
        <v>17</v>
      </c>
      <c r="BT45" s="25" t="s">
        <v>20</v>
      </c>
      <c r="BU45" s="143" t="s">
        <v>166</v>
      </c>
      <c r="BV45" s="143" t="s">
        <v>163</v>
      </c>
      <c r="BW45" s="143" t="s">
        <v>162</v>
      </c>
      <c r="BX45" s="143" t="s">
        <v>164</v>
      </c>
      <c r="BY45" s="143" t="s">
        <v>162</v>
      </c>
      <c r="BZ45" s="143" t="s">
        <v>165</v>
      </c>
      <c r="CA45" s="143" t="s">
        <v>162</v>
      </c>
      <c r="CB45" s="143" t="s">
        <v>21</v>
      </c>
      <c r="CC45" s="143"/>
      <c r="CD45" s="20" t="s">
        <v>15</v>
      </c>
      <c r="CE45" s="21" t="s">
        <v>16</v>
      </c>
      <c r="CF45" s="22" t="s">
        <v>17</v>
      </c>
      <c r="CG45" s="20" t="s">
        <v>20</v>
      </c>
      <c r="CH45" s="149" t="s">
        <v>166</v>
      </c>
      <c r="CI45" s="145" t="s">
        <v>163</v>
      </c>
      <c r="CJ45" s="145" t="s">
        <v>162</v>
      </c>
      <c r="CK45" s="145" t="s">
        <v>164</v>
      </c>
      <c r="CL45" s="145" t="s">
        <v>162</v>
      </c>
      <c r="CM45" s="145" t="s">
        <v>165</v>
      </c>
      <c r="CN45" s="145" t="s">
        <v>162</v>
      </c>
      <c r="CO45" s="145" t="s">
        <v>21</v>
      </c>
      <c r="CP45" s="145"/>
      <c r="CQ45" s="3" t="s">
        <v>15</v>
      </c>
      <c r="CR45" s="4" t="s">
        <v>16</v>
      </c>
      <c r="CS45" s="5" t="s">
        <v>17</v>
      </c>
      <c r="CT45" s="3" t="s">
        <v>20</v>
      </c>
      <c r="CU45" s="157" t="s">
        <v>166</v>
      </c>
      <c r="CV45" s="157" t="s">
        <v>163</v>
      </c>
      <c r="CW45" s="157" t="s">
        <v>162</v>
      </c>
      <c r="CX45" s="157" t="s">
        <v>164</v>
      </c>
      <c r="CY45" s="157" t="s">
        <v>162</v>
      </c>
      <c r="CZ45" s="157" t="s">
        <v>165</v>
      </c>
      <c r="DA45" s="157" t="s">
        <v>162</v>
      </c>
      <c r="DB45" s="157" t="s">
        <v>21</v>
      </c>
      <c r="DC45" s="157"/>
      <c r="DD45" s="117" t="s">
        <v>15</v>
      </c>
      <c r="DE45" s="23" t="s">
        <v>16</v>
      </c>
      <c r="DF45" s="24" t="s">
        <v>17</v>
      </c>
      <c r="DG45" s="117" t="s">
        <v>20</v>
      </c>
      <c r="DH45" s="159" t="s">
        <v>166</v>
      </c>
      <c r="DI45" s="159" t="s">
        <v>163</v>
      </c>
      <c r="DJ45" s="159" t="s">
        <v>162</v>
      </c>
      <c r="DK45" s="159" t="s">
        <v>164</v>
      </c>
      <c r="DL45" s="159" t="s">
        <v>162</v>
      </c>
      <c r="DM45" s="159" t="s">
        <v>165</v>
      </c>
      <c r="DN45" s="159" t="s">
        <v>162</v>
      </c>
      <c r="DO45" s="159" t="s">
        <v>21</v>
      </c>
      <c r="DP45" s="159"/>
      <c r="DQ45" s="25" t="s">
        <v>15</v>
      </c>
      <c r="DR45" s="26" t="s">
        <v>16</v>
      </c>
      <c r="DS45" s="27" t="s">
        <v>17</v>
      </c>
      <c r="DT45" s="25" t="s">
        <v>20</v>
      </c>
      <c r="DU45" s="161" t="s">
        <v>166</v>
      </c>
      <c r="DV45" s="161" t="s">
        <v>163</v>
      </c>
      <c r="DW45" s="161" t="s">
        <v>162</v>
      </c>
      <c r="DX45" s="161" t="s">
        <v>164</v>
      </c>
      <c r="DY45" s="161" t="s">
        <v>162</v>
      </c>
      <c r="DZ45" s="161" t="s">
        <v>165</v>
      </c>
      <c r="EA45" s="161" t="s">
        <v>162</v>
      </c>
      <c r="EB45" s="161" t="s">
        <v>21</v>
      </c>
      <c r="EC45" s="161"/>
      <c r="ED45" s="20" t="s">
        <v>15</v>
      </c>
      <c r="EE45" s="21" t="s">
        <v>16</v>
      </c>
      <c r="EF45" s="22" t="s">
        <v>17</v>
      </c>
      <c r="EG45" s="20" t="s">
        <v>20</v>
      </c>
      <c r="EH45" s="145" t="s">
        <v>166</v>
      </c>
      <c r="EI45" s="145" t="s">
        <v>163</v>
      </c>
      <c r="EJ45" s="145" t="s">
        <v>162</v>
      </c>
      <c r="EK45" s="145" t="s">
        <v>164</v>
      </c>
      <c r="EL45" s="145" t="s">
        <v>162</v>
      </c>
      <c r="EM45" s="145" t="s">
        <v>165</v>
      </c>
      <c r="EN45" s="145" t="s">
        <v>162</v>
      </c>
      <c r="EO45" s="145" t="s">
        <v>21</v>
      </c>
      <c r="EP45" s="145"/>
      <c r="EQ45" s="3" t="s">
        <v>15</v>
      </c>
      <c r="ER45" s="4" t="s">
        <v>16</v>
      </c>
      <c r="ES45" s="5" t="s">
        <v>17</v>
      </c>
      <c r="ET45" s="3" t="s">
        <v>20</v>
      </c>
      <c r="EU45" s="157" t="s">
        <v>166</v>
      </c>
      <c r="EV45" s="157" t="s">
        <v>163</v>
      </c>
      <c r="EW45" s="157" t="s">
        <v>162</v>
      </c>
      <c r="EX45" s="157" t="s">
        <v>164</v>
      </c>
      <c r="EY45" s="157" t="s">
        <v>162</v>
      </c>
      <c r="EZ45" s="157" t="s">
        <v>165</v>
      </c>
      <c r="FA45" s="157" t="s">
        <v>162</v>
      </c>
      <c r="FB45" s="157" t="s">
        <v>21</v>
      </c>
      <c r="FC45" s="157"/>
      <c r="FD45" s="117" t="s">
        <v>15</v>
      </c>
      <c r="FE45" s="23" t="s">
        <v>16</v>
      </c>
      <c r="FF45" s="24" t="s">
        <v>17</v>
      </c>
      <c r="FG45" s="117" t="s">
        <v>20</v>
      </c>
      <c r="FH45" s="138" t="s">
        <v>166</v>
      </c>
      <c r="FI45" s="138" t="s">
        <v>163</v>
      </c>
      <c r="FJ45" s="138" t="s">
        <v>162</v>
      </c>
      <c r="FK45" s="138" t="s">
        <v>164</v>
      </c>
      <c r="FL45" s="138" t="s">
        <v>162</v>
      </c>
      <c r="FM45" s="138" t="s">
        <v>165</v>
      </c>
      <c r="FN45" s="138" t="s">
        <v>162</v>
      </c>
      <c r="FO45" s="138" t="s">
        <v>21</v>
      </c>
      <c r="FP45" s="138"/>
      <c r="FQ45" s="25" t="s">
        <v>15</v>
      </c>
      <c r="FR45" s="26" t="s">
        <v>16</v>
      </c>
      <c r="FS45" s="27" t="s">
        <v>17</v>
      </c>
      <c r="FT45" s="25" t="s">
        <v>20</v>
      </c>
      <c r="FU45" s="161" t="s">
        <v>166</v>
      </c>
      <c r="FV45" s="161" t="s">
        <v>163</v>
      </c>
      <c r="FW45" s="161" t="s">
        <v>162</v>
      </c>
      <c r="FX45" s="161" t="s">
        <v>164</v>
      </c>
      <c r="FY45" s="161" t="s">
        <v>162</v>
      </c>
      <c r="FZ45" s="161" t="s">
        <v>165</v>
      </c>
      <c r="GA45" s="161" t="s">
        <v>162</v>
      </c>
      <c r="GB45" s="161" t="s">
        <v>21</v>
      </c>
      <c r="GC45" s="161"/>
      <c r="GD45" s="20" t="s">
        <v>15</v>
      </c>
      <c r="GE45" s="21" t="s">
        <v>16</v>
      </c>
      <c r="GF45" s="22" t="s">
        <v>17</v>
      </c>
      <c r="GG45" s="20" t="s">
        <v>20</v>
      </c>
      <c r="GH45" s="149" t="s">
        <v>166</v>
      </c>
      <c r="GI45" s="149" t="s">
        <v>163</v>
      </c>
      <c r="GJ45" s="149" t="s">
        <v>162</v>
      </c>
      <c r="GK45" s="149" t="s">
        <v>164</v>
      </c>
      <c r="GL45" s="149" t="s">
        <v>162</v>
      </c>
      <c r="GM45" s="149" t="s">
        <v>165</v>
      </c>
      <c r="GN45" s="149" t="s">
        <v>162</v>
      </c>
      <c r="GO45" s="149" t="s">
        <v>21</v>
      </c>
      <c r="GP45" s="149"/>
      <c r="GQ45" s="3" t="s">
        <v>15</v>
      </c>
      <c r="GR45" s="4" t="s">
        <v>16</v>
      </c>
      <c r="GS45" s="5" t="s">
        <v>17</v>
      </c>
      <c r="GT45" s="3" t="s">
        <v>20</v>
      </c>
      <c r="GU45" s="165" t="s">
        <v>166</v>
      </c>
      <c r="GV45" s="165" t="s">
        <v>163</v>
      </c>
      <c r="GW45" s="165" t="s">
        <v>162</v>
      </c>
      <c r="GX45" s="165" t="s">
        <v>164</v>
      </c>
      <c r="GY45" s="165" t="s">
        <v>162</v>
      </c>
      <c r="GZ45" s="165" t="s">
        <v>165</v>
      </c>
      <c r="HA45" s="165" t="s">
        <v>162</v>
      </c>
      <c r="HB45" s="165" t="s">
        <v>21</v>
      </c>
      <c r="HC45" s="165"/>
      <c r="HD45" s="117" t="s">
        <v>15</v>
      </c>
      <c r="HE45" s="23" t="s">
        <v>16</v>
      </c>
      <c r="HF45" s="24" t="s">
        <v>17</v>
      </c>
      <c r="HG45" s="117" t="s">
        <v>20</v>
      </c>
      <c r="HH45" s="132" t="s">
        <v>166</v>
      </c>
      <c r="HI45" s="132" t="s">
        <v>163</v>
      </c>
      <c r="HJ45" s="132" t="s">
        <v>162</v>
      </c>
      <c r="HK45" s="132" t="s">
        <v>164</v>
      </c>
      <c r="HL45" s="132" t="s">
        <v>162</v>
      </c>
      <c r="HM45" s="132" t="s">
        <v>165</v>
      </c>
      <c r="HN45" s="132" t="s">
        <v>162</v>
      </c>
      <c r="HO45" s="132" t="s">
        <v>21</v>
      </c>
      <c r="HP45" s="132"/>
    </row>
    <row r="46" spans="2:224" x14ac:dyDescent="0.25">
      <c r="B46" s="7">
        <f>'PLAN DE NECESIDADES'!B37</f>
        <v>21</v>
      </c>
      <c r="C46" s="7">
        <f>'PLAN DE NECESIDADES'!C37</f>
        <v>3533301</v>
      </c>
      <c r="D46" s="60" t="str">
        <f>'PLAN DE NECESIDADES'!D37</f>
        <v>BETÚN:
NEGRO 125 GRAMOS ESPECIFICACIONES SEGÚN NORMA TÉCNICA NO. NTMD-0356 A2  ÍTEM  3.1.1.14</v>
      </c>
      <c r="E46" s="7" t="str">
        <f>'PLAN DE NECESIDADES'!E37</f>
        <v>UNIDAD</v>
      </c>
      <c r="F46" s="7">
        <f>'PLAN DE NECESIDADES'!F37</f>
        <v>0</v>
      </c>
      <c r="G46" s="7">
        <f>'PLAN DE NECESIDADES'!H37</f>
        <v>47131809</v>
      </c>
      <c r="H46" s="7">
        <f>'PLAN DE NECESIDADES'!I37</f>
        <v>1048274</v>
      </c>
      <c r="I46" s="7" t="str">
        <f>'PLAN DE NECESIDADES'!J37</f>
        <v>SIN CREAR</v>
      </c>
      <c r="J46" s="7">
        <v>1</v>
      </c>
      <c r="K46" s="85">
        <v>69</v>
      </c>
      <c r="L46" s="85">
        <v>217</v>
      </c>
      <c r="M46" s="85">
        <v>279</v>
      </c>
      <c r="N46" s="85">
        <v>279</v>
      </c>
      <c r="O46" s="85">
        <v>248</v>
      </c>
      <c r="P46" s="85">
        <v>248</v>
      </c>
      <c r="Q46" s="85">
        <v>279</v>
      </c>
      <c r="R46" s="85">
        <v>125</v>
      </c>
      <c r="S46" s="85">
        <v>62</v>
      </c>
      <c r="T46" s="85">
        <v>279</v>
      </c>
      <c r="U46" s="85">
        <v>186</v>
      </c>
      <c r="V46" s="85">
        <v>32</v>
      </c>
      <c r="W46" s="85">
        <v>12</v>
      </c>
      <c r="X46" s="7">
        <v>186</v>
      </c>
      <c r="Y46" s="7">
        <v>186</v>
      </c>
      <c r="Z46" s="85">
        <f t="shared" ref="Z46:AB52" si="286">SUM(AD46,AQ46,BD46,BQ46,CD46,CQ46,DD46,DQ46,ED46,EQ46,FD46,FQ46,GD46,GQ46,HD46)</f>
        <v>2718</v>
      </c>
      <c r="AA46" s="7">
        <f t="shared" si="286"/>
        <v>1440</v>
      </c>
      <c r="AB46" s="7">
        <f t="shared" si="286"/>
        <v>1278</v>
      </c>
      <c r="AC46" s="12">
        <v>10000</v>
      </c>
      <c r="AD46" s="7">
        <f>K46*J46</f>
        <v>69</v>
      </c>
      <c r="AE46" s="7">
        <f>J46*38</f>
        <v>38</v>
      </c>
      <c r="AF46" s="8">
        <f t="shared" ref="AF46:AF52" si="287">AD46-AE46</f>
        <v>31</v>
      </c>
      <c r="AG46" s="14">
        <f>AC46*AE46</f>
        <v>380000</v>
      </c>
      <c r="AH46" s="133">
        <f t="shared" ref="AH46:AH49" si="288">AE46/J46</f>
        <v>38</v>
      </c>
      <c r="AI46" s="133">
        <v>31</v>
      </c>
      <c r="AJ46" s="133"/>
      <c r="AK46" s="133">
        <v>20</v>
      </c>
      <c r="AL46" s="133">
        <v>13</v>
      </c>
      <c r="AM46" s="133">
        <v>18</v>
      </c>
      <c r="AN46" s="133">
        <v>18</v>
      </c>
      <c r="AO46" s="133">
        <f>SUM(AN46,AL46)</f>
        <v>31</v>
      </c>
      <c r="AP46" s="133">
        <f t="shared" ref="AP46:AP49" si="289">AH46+AJ46+AL46+AN46</f>
        <v>69</v>
      </c>
      <c r="AQ46" s="7">
        <f>L46*J46</f>
        <v>217</v>
      </c>
      <c r="AR46" s="7">
        <f>J46*120</f>
        <v>120</v>
      </c>
      <c r="AS46" s="8">
        <f t="shared" ref="AS46:AS52" si="290">AQ46-AR46</f>
        <v>97</v>
      </c>
      <c r="AT46" s="14">
        <f>AC46*AR46</f>
        <v>1200000</v>
      </c>
      <c r="AU46" s="133">
        <f t="shared" ref="AU46:AU49" si="291">AR46/J46</f>
        <v>120</v>
      </c>
      <c r="AV46" s="133">
        <v>93</v>
      </c>
      <c r="AW46" s="133"/>
      <c r="AX46" s="133">
        <v>62</v>
      </c>
      <c r="AY46" s="133">
        <v>35</v>
      </c>
      <c r="AZ46" s="133">
        <v>62</v>
      </c>
      <c r="BA46" s="133">
        <v>62</v>
      </c>
      <c r="BB46" s="133">
        <f t="shared" ref="BB46:BB49" si="292">AW46+AY46+BA46</f>
        <v>97</v>
      </c>
      <c r="BC46" s="133">
        <f t="shared" ref="BC46:BC49" si="293">AU46+AW46+AY46+BA46</f>
        <v>217</v>
      </c>
      <c r="BD46" s="7">
        <f>M46*J46</f>
        <v>279</v>
      </c>
      <c r="BE46" s="7">
        <f>J46*154</f>
        <v>154</v>
      </c>
      <c r="BF46" s="8">
        <f t="shared" ref="BF46:BF52" si="294">BD46-BE46</f>
        <v>125</v>
      </c>
      <c r="BG46" s="14">
        <f>AC46*BE46</f>
        <v>1540000</v>
      </c>
      <c r="BH46" s="133">
        <f>BE46/J46</f>
        <v>154</v>
      </c>
      <c r="BI46" s="133">
        <v>93</v>
      </c>
      <c r="BJ46" s="133"/>
      <c r="BK46" s="133">
        <v>62</v>
      </c>
      <c r="BL46" s="133">
        <v>1</v>
      </c>
      <c r="BM46" s="133">
        <v>124</v>
      </c>
      <c r="BN46" s="133">
        <v>124</v>
      </c>
      <c r="BO46" s="133">
        <f>BJ46+BL46+BN46</f>
        <v>125</v>
      </c>
      <c r="BP46" s="133">
        <f>BH46+BJ46+BL46+BN46</f>
        <v>279</v>
      </c>
      <c r="BQ46" s="7">
        <f>N46*J46</f>
        <v>279</v>
      </c>
      <c r="BR46" s="7">
        <f>J46*120</f>
        <v>120</v>
      </c>
      <c r="BS46" s="8">
        <f t="shared" ref="BS46:BS52" si="295">BQ46-BR46</f>
        <v>159</v>
      </c>
      <c r="BT46" s="14">
        <f>AC46*BR46</f>
        <v>1200000</v>
      </c>
      <c r="BU46" s="133">
        <f t="shared" ref="BU46:BU49" si="296">BR46/J46</f>
        <v>120</v>
      </c>
      <c r="BV46" s="133">
        <v>93</v>
      </c>
      <c r="BW46" s="133"/>
      <c r="BX46" s="133">
        <v>62</v>
      </c>
      <c r="BY46" s="133">
        <v>35</v>
      </c>
      <c r="BZ46" s="133">
        <v>62</v>
      </c>
      <c r="CA46" s="133">
        <v>62</v>
      </c>
      <c r="CB46" s="133">
        <f t="shared" ref="CB46:CB52" si="297">BW46+BY46+CA46</f>
        <v>97</v>
      </c>
      <c r="CC46" s="133">
        <f t="shared" ref="CC46:CC52" si="298">BU46+BW46+BY46+CA46</f>
        <v>217</v>
      </c>
      <c r="CD46" s="7">
        <f>M46*J46</f>
        <v>279</v>
      </c>
      <c r="CE46" s="7">
        <f>J46*137</f>
        <v>137</v>
      </c>
      <c r="CF46" s="8">
        <f t="shared" ref="CF46:CF52" si="299">CD46-CE46</f>
        <v>142</v>
      </c>
      <c r="CG46" s="14">
        <f>CE46*AC46</f>
        <v>1370000</v>
      </c>
      <c r="CH46" s="134">
        <f t="shared" ref="CH46:CH49" si="300">CE46/J46</f>
        <v>137</v>
      </c>
      <c r="CI46" s="134">
        <v>62</v>
      </c>
      <c r="CJ46" s="134"/>
      <c r="CK46" s="134">
        <v>62</v>
      </c>
      <c r="CL46" s="134"/>
      <c r="CM46" s="134">
        <v>124</v>
      </c>
      <c r="CN46" s="133">
        <v>111</v>
      </c>
      <c r="CO46" s="133">
        <f t="shared" ref="CO46:CO49" si="301">CJ46+CL46+CN46</f>
        <v>111</v>
      </c>
      <c r="CP46" s="133">
        <f t="shared" ref="CP46:CP49" si="302">CH46+CJ46+CL46+CN46</f>
        <v>248</v>
      </c>
      <c r="CQ46" s="7">
        <f>P46*J46</f>
        <v>248</v>
      </c>
      <c r="CR46" s="7">
        <f>J46*137</f>
        <v>137</v>
      </c>
      <c r="CS46" s="8">
        <f t="shared" ref="CS46:CS49" si="303">CQ46-CR46</f>
        <v>111</v>
      </c>
      <c r="CT46" s="14">
        <f>AC46*CR46</f>
        <v>1370000</v>
      </c>
      <c r="CU46" s="134">
        <f t="shared" ref="CU46:CU49" si="304">CR46/J46</f>
        <v>137</v>
      </c>
      <c r="CV46" s="134">
        <v>93</v>
      </c>
      <c r="CW46" s="134"/>
      <c r="CX46" s="134">
        <v>93</v>
      </c>
      <c r="CY46" s="134">
        <v>49</v>
      </c>
      <c r="CZ46" s="134">
        <v>62</v>
      </c>
      <c r="DA46" s="134">
        <v>62</v>
      </c>
      <c r="DB46" s="134">
        <f t="shared" ref="DB46:DB49" si="305">CW46+CY46+DA46</f>
        <v>111</v>
      </c>
      <c r="DC46" s="134">
        <f>CU46+CW46+CY46+DA46</f>
        <v>248</v>
      </c>
      <c r="DD46" s="7">
        <f>Q46*J46</f>
        <v>279</v>
      </c>
      <c r="DE46" s="7">
        <f>J46*155</f>
        <v>155</v>
      </c>
      <c r="DF46" s="8">
        <f t="shared" ref="DF46:DF49" si="306">DD46-DE46</f>
        <v>124</v>
      </c>
      <c r="DG46" s="14">
        <f>DE46*AC46</f>
        <v>1550000</v>
      </c>
      <c r="DH46" s="134">
        <f t="shared" ref="DH46:DH52" si="307">DE46/J46</f>
        <v>155</v>
      </c>
      <c r="DI46" s="134">
        <v>93</v>
      </c>
      <c r="DJ46" s="134"/>
      <c r="DK46" s="134">
        <v>124</v>
      </c>
      <c r="DL46" s="134">
        <v>62</v>
      </c>
      <c r="DM46" s="134">
        <v>62</v>
      </c>
      <c r="DN46" s="134">
        <v>62</v>
      </c>
      <c r="DO46" s="134">
        <f t="shared" ref="DO46:DO52" si="308">DJ46+DL46+DN46</f>
        <v>124</v>
      </c>
      <c r="DP46" s="134">
        <f t="shared" ref="DP46:DP52" si="309">DH46+DJ46+DL46+DN46</f>
        <v>279</v>
      </c>
      <c r="DQ46" s="7">
        <f t="shared" ref="DQ46:DQ52" si="310">R46*J46</f>
        <v>125</v>
      </c>
      <c r="DR46" s="7">
        <f>J46*59</f>
        <v>59</v>
      </c>
      <c r="DS46" s="8">
        <f t="shared" ref="DS46:DS52" si="311">DQ46-DR46</f>
        <v>66</v>
      </c>
      <c r="DT46" s="14">
        <f t="shared" ref="DT46:DT52" si="312">DR46*AC46</f>
        <v>590000</v>
      </c>
      <c r="DU46" s="134">
        <f t="shared" ref="DU46:DU52" si="313">DR46/J46</f>
        <v>59</v>
      </c>
      <c r="DV46" s="134">
        <v>0</v>
      </c>
      <c r="DW46" s="134"/>
      <c r="DX46" s="134">
        <v>62</v>
      </c>
      <c r="DY46" s="134">
        <v>3</v>
      </c>
      <c r="DZ46" s="134">
        <v>63</v>
      </c>
      <c r="EA46" s="134">
        <v>63</v>
      </c>
      <c r="EB46" s="134">
        <f t="shared" ref="EB46:EB52" si="314">DW46+DY46+EA46</f>
        <v>66</v>
      </c>
      <c r="EC46" s="134">
        <f t="shared" ref="EC46:EC52" si="315">DU46+DW46+DY46+EA46</f>
        <v>125</v>
      </c>
      <c r="ED46" s="7">
        <f>S46*J46</f>
        <v>62</v>
      </c>
      <c r="EE46" s="7">
        <f>J46*34</f>
        <v>34</v>
      </c>
      <c r="EF46" s="8">
        <f t="shared" ref="EF46:EF52" si="316">ED46-EE46</f>
        <v>28</v>
      </c>
      <c r="EG46" s="14">
        <f>EE46*AC46</f>
        <v>340000</v>
      </c>
      <c r="EH46" s="133">
        <f t="shared" ref="EH46:EH49" si="317">EE46/J46</f>
        <v>34</v>
      </c>
      <c r="EI46" s="133">
        <v>0</v>
      </c>
      <c r="EJ46" s="133"/>
      <c r="EK46" s="133">
        <v>62</v>
      </c>
      <c r="EL46" s="133">
        <f t="shared" ref="EL46:EL49" si="318">EK46-EH46</f>
        <v>28</v>
      </c>
      <c r="EM46" s="133">
        <v>0</v>
      </c>
      <c r="EN46" s="133"/>
      <c r="EO46" s="133">
        <f t="shared" ref="EO46:EO49" si="319">EJ46+EL46+EN46</f>
        <v>28</v>
      </c>
      <c r="EP46" s="133">
        <f t="shared" ref="EP46:EP49" si="320">EH46+EJ46+EL46+EN46</f>
        <v>62</v>
      </c>
      <c r="EQ46" s="7">
        <f>T46*J46</f>
        <v>279</v>
      </c>
      <c r="ER46" s="7">
        <f>J46*154</f>
        <v>154</v>
      </c>
      <c r="ES46" s="8">
        <f t="shared" ref="ES46:ES52" si="321">EQ46-ER46</f>
        <v>125</v>
      </c>
      <c r="ET46" s="14">
        <f>ER46*AC46</f>
        <v>1540000</v>
      </c>
      <c r="EU46" s="134">
        <f t="shared" ref="EU46:EU49" si="322">ER46/J46</f>
        <v>154</v>
      </c>
      <c r="EV46" s="134">
        <v>93</v>
      </c>
      <c r="EW46" s="134"/>
      <c r="EX46" s="134">
        <v>93</v>
      </c>
      <c r="EY46" s="134">
        <v>32</v>
      </c>
      <c r="EZ46" s="134">
        <v>93</v>
      </c>
      <c r="FA46" s="134">
        <v>93</v>
      </c>
      <c r="FB46" s="134">
        <f t="shared" ref="FB46:FB49" si="323">EW46+EY46+FA46</f>
        <v>125</v>
      </c>
      <c r="FC46" s="134">
        <f t="shared" ref="FC46:FC49" si="324">EU46+EW46+EY46+FA46</f>
        <v>279</v>
      </c>
      <c r="FD46" s="7">
        <f>U46*J46</f>
        <v>186</v>
      </c>
      <c r="FE46" s="7">
        <f>J46*103</f>
        <v>103</v>
      </c>
      <c r="FF46" s="8">
        <f t="shared" ref="FF46:FF52" si="325">FD46-FE46</f>
        <v>83</v>
      </c>
      <c r="FG46" s="14">
        <f>FE46*AC46</f>
        <v>1030000</v>
      </c>
      <c r="FH46" s="133">
        <f t="shared" ref="FH46:FH49" si="326">FE46/J46</f>
        <v>103</v>
      </c>
      <c r="FI46" s="133">
        <v>62</v>
      </c>
      <c r="FJ46" s="133"/>
      <c r="FK46" s="133">
        <v>62</v>
      </c>
      <c r="FL46" s="133">
        <v>21</v>
      </c>
      <c r="FM46" s="133">
        <v>62</v>
      </c>
      <c r="FN46" s="133">
        <v>62</v>
      </c>
      <c r="FO46" s="133">
        <f t="shared" ref="FO46:FO49" si="327">FJ46+FL46+FN46</f>
        <v>83</v>
      </c>
      <c r="FP46" s="133">
        <f t="shared" ref="FP46:FP49" si="328">FH46+FJ46+FL46+FN46</f>
        <v>186</v>
      </c>
      <c r="FQ46" s="7">
        <f>V46*J46</f>
        <v>32</v>
      </c>
      <c r="FR46" s="7">
        <f>J46*17</f>
        <v>17</v>
      </c>
      <c r="FS46" s="8">
        <f t="shared" ref="FS46:FS52" si="329">FQ46-FR46</f>
        <v>15</v>
      </c>
      <c r="FT46" s="14">
        <f>FR46*AC46</f>
        <v>170000</v>
      </c>
      <c r="FU46" s="134">
        <f t="shared" ref="FU46:FU49" si="330">FR46/J46</f>
        <v>17</v>
      </c>
      <c r="FV46" s="134">
        <v>0</v>
      </c>
      <c r="FW46" s="134"/>
      <c r="FX46" s="134">
        <v>16</v>
      </c>
      <c r="FY46" s="134"/>
      <c r="FZ46" s="134">
        <v>16</v>
      </c>
      <c r="GA46" s="134">
        <v>15</v>
      </c>
      <c r="GB46" s="134">
        <f t="shared" ref="GB46:GB49" si="331">FW46+FY46+GA46</f>
        <v>15</v>
      </c>
      <c r="GC46" s="134">
        <f t="shared" ref="GC46:GC49" si="332">FU46+FW46+FY46+GA46</f>
        <v>32</v>
      </c>
      <c r="GD46" s="7">
        <f>W46*J46</f>
        <v>12</v>
      </c>
      <c r="GE46" s="7">
        <f>J46*6</f>
        <v>6</v>
      </c>
      <c r="GF46" s="8">
        <f t="shared" ref="GF46:GF52" si="333">GD46-GE46</f>
        <v>6</v>
      </c>
      <c r="GG46" s="14">
        <f>GE46*AC46</f>
        <v>60000</v>
      </c>
      <c r="GH46" s="134">
        <f t="shared" ref="GH46:GH49" si="334">GE46/J46</f>
        <v>6</v>
      </c>
      <c r="GI46" s="134">
        <v>4</v>
      </c>
      <c r="GJ46" s="134"/>
      <c r="GK46" s="134">
        <v>4</v>
      </c>
      <c r="GL46" s="134">
        <v>2</v>
      </c>
      <c r="GM46" s="134">
        <v>4</v>
      </c>
      <c r="GN46" s="134">
        <v>4</v>
      </c>
      <c r="GO46" s="134">
        <f t="shared" ref="GO46:GO49" si="335">GJ46+GL46+GN46</f>
        <v>6</v>
      </c>
      <c r="GP46" s="134">
        <f t="shared" ref="GP46:GP49" si="336">GH46+GJ46+GL46+GN46</f>
        <v>12</v>
      </c>
      <c r="GQ46" s="7">
        <f>X46*J46</f>
        <v>186</v>
      </c>
      <c r="GR46" s="7">
        <f>J46*103</f>
        <v>103</v>
      </c>
      <c r="GS46" s="8">
        <f t="shared" ref="GS46:GS52" si="337">GQ46-GR46</f>
        <v>83</v>
      </c>
      <c r="GT46" s="14">
        <f>GR46*AC46</f>
        <v>1030000</v>
      </c>
      <c r="GU46" s="133">
        <f t="shared" ref="GU46:GU49" si="338">GR46/J46</f>
        <v>103</v>
      </c>
      <c r="GV46" s="133">
        <v>62</v>
      </c>
      <c r="GW46" s="133"/>
      <c r="GX46" s="133">
        <v>62</v>
      </c>
      <c r="GY46" s="133">
        <v>21</v>
      </c>
      <c r="GZ46" s="133">
        <v>62</v>
      </c>
      <c r="HA46" s="133">
        <v>62</v>
      </c>
      <c r="HB46" s="133">
        <f t="shared" ref="HB46:HB49" si="339">GW46+GY46+HA46</f>
        <v>83</v>
      </c>
      <c r="HC46" s="133">
        <f t="shared" ref="HC46:HC49" si="340">GU46+GW46+GY46+HA46</f>
        <v>186</v>
      </c>
      <c r="HD46" s="7">
        <f>Y46*J46</f>
        <v>186</v>
      </c>
      <c r="HE46" s="7">
        <f>J46*103</f>
        <v>103</v>
      </c>
      <c r="HF46" s="8">
        <f t="shared" ref="HF46:HF52" si="341">HD46-HE46</f>
        <v>83</v>
      </c>
      <c r="HG46" s="14">
        <f>HE46*AC46</f>
        <v>1030000</v>
      </c>
      <c r="HH46" s="7">
        <f t="shared" ref="HH46:HH49" si="342">HE46/J46</f>
        <v>103</v>
      </c>
      <c r="HI46" s="7">
        <v>62</v>
      </c>
      <c r="HJ46" s="7"/>
      <c r="HK46" s="7">
        <v>62</v>
      </c>
      <c r="HL46" s="7">
        <v>21</v>
      </c>
      <c r="HM46" s="7">
        <v>62</v>
      </c>
      <c r="HN46" s="7">
        <v>62</v>
      </c>
      <c r="HO46" s="133">
        <f t="shared" ref="HO46:HO49" si="343">HJ46+HL46+HN46</f>
        <v>83</v>
      </c>
      <c r="HP46" s="133">
        <f t="shared" ref="HP46:HP49" si="344">HH46+HJ46+HL46+HN46</f>
        <v>186</v>
      </c>
    </row>
    <row r="47" spans="2:224" x14ac:dyDescent="0.25">
      <c r="B47" s="7">
        <f>'PLAN DE NECESIDADES'!B38</f>
        <v>22</v>
      </c>
      <c r="C47" s="7">
        <f>'PLAN DE NECESIDADES'!C38</f>
        <v>3532315</v>
      </c>
      <c r="D47" s="60" t="str">
        <f>'PLAN DE NECESIDADES'!D38</f>
        <v>TALCOS PARA PIES :  
DE 85 GRAMOS ESPECIFICACIONES SEGÚN NORMA TÉCNICA NO. NTMD-0356 A2 ÍTEM  3.1.1.6</v>
      </c>
      <c r="E47" s="7" t="str">
        <f>'PLAN DE NECESIDADES'!E38</f>
        <v>UNIDAD</v>
      </c>
      <c r="F47" s="7">
        <f>'PLAN DE NECESIDADES'!F38</f>
        <v>0</v>
      </c>
      <c r="G47" s="7">
        <f>'PLAN DE NECESIDADES'!H38</f>
        <v>53131614</v>
      </c>
      <c r="H47" s="7">
        <f>'PLAN DE NECESIDADES'!I38</f>
        <v>1291103</v>
      </c>
      <c r="I47" s="7" t="str">
        <f>'PLAN DE NECESIDADES'!J38</f>
        <v>8510-80-0011397</v>
      </c>
      <c r="J47" s="7">
        <v>1</v>
      </c>
      <c r="K47" s="85">
        <v>69</v>
      </c>
      <c r="L47" s="85">
        <v>217</v>
      </c>
      <c r="M47" s="85">
        <v>279</v>
      </c>
      <c r="N47" s="85">
        <v>279</v>
      </c>
      <c r="O47" s="85">
        <v>248</v>
      </c>
      <c r="P47" s="85">
        <v>248</v>
      </c>
      <c r="Q47" s="85">
        <v>279</v>
      </c>
      <c r="R47" s="85">
        <v>125</v>
      </c>
      <c r="S47" s="85">
        <v>62</v>
      </c>
      <c r="T47" s="85">
        <v>279</v>
      </c>
      <c r="U47" s="85">
        <v>186</v>
      </c>
      <c r="V47" s="85">
        <v>32</v>
      </c>
      <c r="W47" s="85">
        <v>12</v>
      </c>
      <c r="X47" s="85">
        <v>186</v>
      </c>
      <c r="Y47" s="85">
        <v>186</v>
      </c>
      <c r="Z47" s="85">
        <f t="shared" si="286"/>
        <v>2718</v>
      </c>
      <c r="AA47" s="7">
        <f t="shared" si="286"/>
        <v>1439</v>
      </c>
      <c r="AB47" s="7">
        <f t="shared" si="286"/>
        <v>1279</v>
      </c>
      <c r="AC47" s="12">
        <v>9500</v>
      </c>
      <c r="AD47" s="7">
        <f>K47*J47</f>
        <v>69</v>
      </c>
      <c r="AE47" s="7">
        <f>J47*38</f>
        <v>38</v>
      </c>
      <c r="AF47" s="8">
        <f t="shared" si="287"/>
        <v>31</v>
      </c>
      <c r="AG47" s="14">
        <f>AC47*AE47</f>
        <v>361000</v>
      </c>
      <c r="AH47" s="133">
        <f t="shared" si="288"/>
        <v>38</v>
      </c>
      <c r="AI47" s="133">
        <v>31</v>
      </c>
      <c r="AJ47" s="133"/>
      <c r="AK47" s="133">
        <v>20</v>
      </c>
      <c r="AL47" s="133">
        <v>13</v>
      </c>
      <c r="AM47" s="133">
        <v>18</v>
      </c>
      <c r="AN47" s="133">
        <v>18</v>
      </c>
      <c r="AO47" s="133">
        <f t="shared" ref="AO47:AO52" si="345">SUM(AN47,AL47)</f>
        <v>31</v>
      </c>
      <c r="AP47" s="133">
        <f t="shared" si="289"/>
        <v>69</v>
      </c>
      <c r="AQ47" s="7">
        <f>L47*J47</f>
        <v>217</v>
      </c>
      <c r="AR47" s="7">
        <f>J47*120</f>
        <v>120</v>
      </c>
      <c r="AS47" s="8">
        <f t="shared" si="290"/>
        <v>97</v>
      </c>
      <c r="AT47" s="14">
        <f>AC47*AR47</f>
        <v>1140000</v>
      </c>
      <c r="AU47" s="133">
        <f t="shared" si="291"/>
        <v>120</v>
      </c>
      <c r="AV47" s="133">
        <v>93</v>
      </c>
      <c r="AW47" s="133"/>
      <c r="AX47" s="133">
        <v>62</v>
      </c>
      <c r="AY47" s="133">
        <v>35</v>
      </c>
      <c r="AZ47" s="133">
        <v>62</v>
      </c>
      <c r="BA47" s="133">
        <v>62</v>
      </c>
      <c r="BB47" s="133">
        <f t="shared" si="292"/>
        <v>97</v>
      </c>
      <c r="BC47" s="133">
        <f t="shared" si="293"/>
        <v>217</v>
      </c>
      <c r="BD47" s="7">
        <f>M47*J47</f>
        <v>279</v>
      </c>
      <c r="BE47" s="7">
        <f>J47*155</f>
        <v>155</v>
      </c>
      <c r="BF47" s="8">
        <f t="shared" si="294"/>
        <v>124</v>
      </c>
      <c r="BG47" s="14">
        <f>AC47*BE47</f>
        <v>1472500</v>
      </c>
      <c r="BH47" s="133">
        <f t="shared" ref="BH47:BH49" si="346">BE47/J47</f>
        <v>155</v>
      </c>
      <c r="BI47" s="133">
        <v>93</v>
      </c>
      <c r="BJ47" s="133"/>
      <c r="BK47" s="133">
        <v>62</v>
      </c>
      <c r="BL47" s="133"/>
      <c r="BM47" s="133">
        <v>124</v>
      </c>
      <c r="BN47" s="133">
        <v>124</v>
      </c>
      <c r="BO47" s="133">
        <f t="shared" ref="BO47:BO49" si="347">BJ47+BL47+BN47</f>
        <v>124</v>
      </c>
      <c r="BP47" s="133">
        <f t="shared" ref="BP47:BP52" si="348">BH47+BJ47+BL47+BN47</f>
        <v>279</v>
      </c>
      <c r="BQ47" s="7">
        <f>N47*J47</f>
        <v>279</v>
      </c>
      <c r="BR47" s="7">
        <f>J47*120</f>
        <v>120</v>
      </c>
      <c r="BS47" s="8">
        <f t="shared" si="295"/>
        <v>159</v>
      </c>
      <c r="BT47" s="14">
        <f>AC47*BR47</f>
        <v>1140000</v>
      </c>
      <c r="BU47" s="133">
        <f t="shared" si="296"/>
        <v>120</v>
      </c>
      <c r="BV47" s="133">
        <v>93</v>
      </c>
      <c r="BW47" s="133"/>
      <c r="BX47" s="133">
        <v>62</v>
      </c>
      <c r="BY47" s="133">
        <v>35</v>
      </c>
      <c r="BZ47" s="133">
        <v>62</v>
      </c>
      <c r="CA47" s="133">
        <v>62</v>
      </c>
      <c r="CB47" s="133">
        <f t="shared" si="297"/>
        <v>97</v>
      </c>
      <c r="CC47" s="133">
        <f t="shared" si="298"/>
        <v>217</v>
      </c>
      <c r="CD47" s="7">
        <f>M47*J47</f>
        <v>279</v>
      </c>
      <c r="CE47" s="7">
        <f>J47*137</f>
        <v>137</v>
      </c>
      <c r="CF47" s="8">
        <f t="shared" si="299"/>
        <v>142</v>
      </c>
      <c r="CG47" s="14">
        <f>CE47*AC47</f>
        <v>1301500</v>
      </c>
      <c r="CH47" s="134">
        <f t="shared" si="300"/>
        <v>137</v>
      </c>
      <c r="CI47" s="134">
        <v>62</v>
      </c>
      <c r="CJ47" s="134"/>
      <c r="CK47" s="134">
        <v>62</v>
      </c>
      <c r="CL47" s="134"/>
      <c r="CM47" s="134">
        <v>124</v>
      </c>
      <c r="CN47" s="133">
        <v>111</v>
      </c>
      <c r="CO47" s="133">
        <f t="shared" si="301"/>
        <v>111</v>
      </c>
      <c r="CP47" s="133">
        <f t="shared" si="302"/>
        <v>248</v>
      </c>
      <c r="CQ47" s="7">
        <f>P47*J47</f>
        <v>248</v>
      </c>
      <c r="CR47" s="7">
        <f>J47*137</f>
        <v>137</v>
      </c>
      <c r="CS47" s="8">
        <f t="shared" si="303"/>
        <v>111</v>
      </c>
      <c r="CT47" s="14">
        <f>AC47*CR47</f>
        <v>1301500</v>
      </c>
      <c r="CU47" s="134">
        <f t="shared" si="304"/>
        <v>137</v>
      </c>
      <c r="CV47" s="134">
        <v>93</v>
      </c>
      <c r="CW47" s="134"/>
      <c r="CX47" s="134">
        <v>93</v>
      </c>
      <c r="CY47" s="134">
        <v>49</v>
      </c>
      <c r="CZ47" s="134">
        <v>62</v>
      </c>
      <c r="DA47" s="134">
        <v>62</v>
      </c>
      <c r="DB47" s="134">
        <f t="shared" si="305"/>
        <v>111</v>
      </c>
      <c r="DC47" s="134">
        <f t="shared" ref="DC47:DC49" si="349">CU47+CW47+CY47+DA47</f>
        <v>248</v>
      </c>
      <c r="DD47" s="7">
        <f>Q47*J47</f>
        <v>279</v>
      </c>
      <c r="DE47" s="7">
        <f>J47*154</f>
        <v>154</v>
      </c>
      <c r="DF47" s="8">
        <f t="shared" si="306"/>
        <v>125</v>
      </c>
      <c r="DG47" s="14">
        <f>DE47*AC47</f>
        <v>1463000</v>
      </c>
      <c r="DH47" s="134">
        <f t="shared" si="307"/>
        <v>154</v>
      </c>
      <c r="DI47" s="134">
        <v>93</v>
      </c>
      <c r="DJ47" s="134"/>
      <c r="DK47" s="134">
        <v>124</v>
      </c>
      <c r="DL47" s="134">
        <v>63</v>
      </c>
      <c r="DM47" s="134">
        <v>62</v>
      </c>
      <c r="DN47" s="134">
        <v>62</v>
      </c>
      <c r="DO47" s="134">
        <f t="shared" si="308"/>
        <v>125</v>
      </c>
      <c r="DP47" s="134">
        <f t="shared" si="309"/>
        <v>279</v>
      </c>
      <c r="DQ47" s="7">
        <f t="shared" si="310"/>
        <v>125</v>
      </c>
      <c r="DR47" s="7">
        <f t="shared" ref="DR47:DR52" si="350">J47*58</f>
        <v>58</v>
      </c>
      <c r="DS47" s="8">
        <f t="shared" si="311"/>
        <v>67</v>
      </c>
      <c r="DT47" s="14">
        <f t="shared" si="312"/>
        <v>551000</v>
      </c>
      <c r="DU47" s="134">
        <f t="shared" si="313"/>
        <v>58</v>
      </c>
      <c r="DV47" s="134">
        <v>0</v>
      </c>
      <c r="DW47" s="134"/>
      <c r="DX47" s="134">
        <v>62</v>
      </c>
      <c r="DY47" s="134">
        <v>4</v>
      </c>
      <c r="DZ47" s="134">
        <v>63</v>
      </c>
      <c r="EA47" s="134">
        <v>63</v>
      </c>
      <c r="EB47" s="134">
        <f t="shared" si="314"/>
        <v>67</v>
      </c>
      <c r="EC47" s="134">
        <f t="shared" si="315"/>
        <v>125</v>
      </c>
      <c r="ED47" s="7">
        <f>S47*J47</f>
        <v>62</v>
      </c>
      <c r="EE47" s="7">
        <f>J47*34</f>
        <v>34</v>
      </c>
      <c r="EF47" s="8">
        <f t="shared" si="316"/>
        <v>28</v>
      </c>
      <c r="EG47" s="14">
        <f>EE47*AC47</f>
        <v>323000</v>
      </c>
      <c r="EH47" s="133">
        <f t="shared" si="317"/>
        <v>34</v>
      </c>
      <c r="EI47" s="133">
        <v>0</v>
      </c>
      <c r="EJ47" s="133"/>
      <c r="EK47" s="133">
        <v>62</v>
      </c>
      <c r="EL47" s="133">
        <f t="shared" si="318"/>
        <v>28</v>
      </c>
      <c r="EM47" s="133">
        <v>0</v>
      </c>
      <c r="EN47" s="133"/>
      <c r="EO47" s="133">
        <f t="shared" si="319"/>
        <v>28</v>
      </c>
      <c r="EP47" s="133">
        <f t="shared" si="320"/>
        <v>62</v>
      </c>
      <c r="EQ47" s="7">
        <f>T47*J47</f>
        <v>279</v>
      </c>
      <c r="ER47" s="7">
        <f>J47*154</f>
        <v>154</v>
      </c>
      <c r="ES47" s="8">
        <f t="shared" si="321"/>
        <v>125</v>
      </c>
      <c r="ET47" s="14">
        <f>ER47*AC47</f>
        <v>1463000</v>
      </c>
      <c r="EU47" s="134">
        <f t="shared" si="322"/>
        <v>154</v>
      </c>
      <c r="EV47" s="134">
        <v>93</v>
      </c>
      <c r="EW47" s="134"/>
      <c r="EX47" s="134">
        <v>93</v>
      </c>
      <c r="EY47" s="134">
        <v>32</v>
      </c>
      <c r="EZ47" s="134">
        <v>93</v>
      </c>
      <c r="FA47" s="134">
        <v>93</v>
      </c>
      <c r="FB47" s="134">
        <f t="shared" si="323"/>
        <v>125</v>
      </c>
      <c r="FC47" s="134">
        <f t="shared" si="324"/>
        <v>279</v>
      </c>
      <c r="FD47" s="7">
        <f>U47*J47</f>
        <v>186</v>
      </c>
      <c r="FE47" s="7">
        <f>J47*103</f>
        <v>103</v>
      </c>
      <c r="FF47" s="8">
        <f t="shared" si="325"/>
        <v>83</v>
      </c>
      <c r="FG47" s="14">
        <f>FE47*AC47</f>
        <v>978500</v>
      </c>
      <c r="FH47" s="133">
        <f t="shared" si="326"/>
        <v>103</v>
      </c>
      <c r="FI47" s="133">
        <v>62</v>
      </c>
      <c r="FJ47" s="133"/>
      <c r="FK47" s="133">
        <v>62</v>
      </c>
      <c r="FL47" s="133">
        <v>21</v>
      </c>
      <c r="FM47" s="133">
        <v>62</v>
      </c>
      <c r="FN47" s="133">
        <v>62</v>
      </c>
      <c r="FO47" s="133">
        <f t="shared" si="327"/>
        <v>83</v>
      </c>
      <c r="FP47" s="133">
        <f t="shared" si="328"/>
        <v>186</v>
      </c>
      <c r="FQ47" s="7">
        <f>V47*J47</f>
        <v>32</v>
      </c>
      <c r="FR47" s="7">
        <f>J47*18</f>
        <v>18</v>
      </c>
      <c r="FS47" s="8">
        <f t="shared" si="329"/>
        <v>14</v>
      </c>
      <c r="FT47" s="14">
        <f>FR47*AC47</f>
        <v>171000</v>
      </c>
      <c r="FU47" s="134">
        <f t="shared" si="330"/>
        <v>18</v>
      </c>
      <c r="FV47" s="134">
        <v>0</v>
      </c>
      <c r="FW47" s="134"/>
      <c r="FX47" s="134">
        <v>16</v>
      </c>
      <c r="FY47" s="134"/>
      <c r="FZ47" s="134">
        <v>16</v>
      </c>
      <c r="GA47" s="134">
        <v>14</v>
      </c>
      <c r="GB47" s="134">
        <f t="shared" si="331"/>
        <v>14</v>
      </c>
      <c r="GC47" s="134">
        <f t="shared" si="332"/>
        <v>32</v>
      </c>
      <c r="GD47" s="7">
        <f>W47*J47</f>
        <v>12</v>
      </c>
      <c r="GE47" s="7">
        <f>J47*6</f>
        <v>6</v>
      </c>
      <c r="GF47" s="8">
        <f t="shared" si="333"/>
        <v>6</v>
      </c>
      <c r="GG47" s="14">
        <f>GE47*AC47</f>
        <v>57000</v>
      </c>
      <c r="GH47" s="134">
        <f t="shared" si="334"/>
        <v>6</v>
      </c>
      <c r="GI47" s="134">
        <v>4</v>
      </c>
      <c r="GJ47" s="134"/>
      <c r="GK47" s="134">
        <v>4</v>
      </c>
      <c r="GL47" s="134">
        <v>2</v>
      </c>
      <c r="GM47" s="134">
        <v>4</v>
      </c>
      <c r="GN47" s="134">
        <v>4</v>
      </c>
      <c r="GO47" s="134">
        <f t="shared" si="335"/>
        <v>6</v>
      </c>
      <c r="GP47" s="134">
        <f t="shared" si="336"/>
        <v>12</v>
      </c>
      <c r="GQ47" s="7">
        <f>X47*J47</f>
        <v>186</v>
      </c>
      <c r="GR47" s="7">
        <f>J47*103</f>
        <v>103</v>
      </c>
      <c r="GS47" s="8">
        <f t="shared" si="337"/>
        <v>83</v>
      </c>
      <c r="GT47" s="14">
        <f>GR47*AC47</f>
        <v>978500</v>
      </c>
      <c r="GU47" s="133">
        <f t="shared" si="338"/>
        <v>103</v>
      </c>
      <c r="GV47" s="133">
        <v>62</v>
      </c>
      <c r="GW47" s="133"/>
      <c r="GX47" s="133">
        <v>62</v>
      </c>
      <c r="GY47" s="133">
        <v>21</v>
      </c>
      <c r="GZ47" s="133">
        <v>62</v>
      </c>
      <c r="HA47" s="133">
        <v>62</v>
      </c>
      <c r="HB47" s="133">
        <f t="shared" si="339"/>
        <v>83</v>
      </c>
      <c r="HC47" s="133">
        <f t="shared" si="340"/>
        <v>186</v>
      </c>
      <c r="HD47" s="7">
        <f>Y47*J47</f>
        <v>186</v>
      </c>
      <c r="HE47" s="7">
        <f>J47*102</f>
        <v>102</v>
      </c>
      <c r="HF47" s="8">
        <f t="shared" si="341"/>
        <v>84</v>
      </c>
      <c r="HG47" s="14">
        <f>HE47*AC47</f>
        <v>969000</v>
      </c>
      <c r="HH47" s="7">
        <f t="shared" si="342"/>
        <v>102</v>
      </c>
      <c r="HI47" s="7">
        <v>62</v>
      </c>
      <c r="HJ47" s="7"/>
      <c r="HK47" s="7">
        <v>62</v>
      </c>
      <c r="HL47" s="7">
        <v>22</v>
      </c>
      <c r="HM47" s="7">
        <v>62</v>
      </c>
      <c r="HN47" s="7">
        <v>62</v>
      </c>
      <c r="HO47" s="133">
        <f t="shared" si="343"/>
        <v>84</v>
      </c>
      <c r="HP47" s="133">
        <f t="shared" si="344"/>
        <v>186</v>
      </c>
    </row>
    <row r="48" spans="2:224" x14ac:dyDescent="0.25">
      <c r="B48" s="7">
        <f>'PLAN DE NECESIDADES'!B39</f>
        <v>23</v>
      </c>
      <c r="C48" s="7">
        <f>'PLAN DE NECESIDADES'!C39</f>
        <v>3532308</v>
      </c>
      <c r="D48" s="60" t="str">
        <f>'PLAN DE NECESIDADES'!D39</f>
        <v>CREMA DENTAL:
DE 100 ML ESPECIFICACIONES SEGÚN NORMA TÉCNICA NO. NTMD-0356 A2 ÍTEM  3.1.1.3</v>
      </c>
      <c r="E48" s="7" t="str">
        <f>'PLAN DE NECESIDADES'!E39</f>
        <v>UNIDAD</v>
      </c>
      <c r="F48" s="7">
        <f>'PLAN DE NECESIDADES'!F39</f>
        <v>0</v>
      </c>
      <c r="G48" s="7">
        <f>'PLAN DE NECESIDADES'!H39</f>
        <v>53131502</v>
      </c>
      <c r="H48" s="7">
        <f>'PLAN DE NECESIDADES'!I39</f>
        <v>1013968</v>
      </c>
      <c r="I48" s="7" t="str">
        <f>'PLAN DE NECESIDADES'!J39</f>
        <v>8520-80-0011399</v>
      </c>
      <c r="J48" s="7">
        <v>1</v>
      </c>
      <c r="K48" s="85">
        <v>69</v>
      </c>
      <c r="L48" s="85">
        <v>217</v>
      </c>
      <c r="M48" s="85">
        <v>279</v>
      </c>
      <c r="N48" s="85">
        <v>279</v>
      </c>
      <c r="O48" s="85">
        <v>248</v>
      </c>
      <c r="P48" s="85">
        <v>248</v>
      </c>
      <c r="Q48" s="85">
        <v>279</v>
      </c>
      <c r="R48" s="85">
        <v>125</v>
      </c>
      <c r="S48" s="85">
        <v>62</v>
      </c>
      <c r="T48" s="85">
        <v>279</v>
      </c>
      <c r="U48" s="85">
        <v>186</v>
      </c>
      <c r="V48" s="85">
        <v>32</v>
      </c>
      <c r="W48" s="85">
        <v>12</v>
      </c>
      <c r="X48" s="85">
        <v>186</v>
      </c>
      <c r="Y48" s="85">
        <v>186</v>
      </c>
      <c r="Z48" s="85">
        <f t="shared" si="286"/>
        <v>2718</v>
      </c>
      <c r="AA48" s="7">
        <f t="shared" si="286"/>
        <v>1438</v>
      </c>
      <c r="AB48" s="7">
        <f t="shared" si="286"/>
        <v>1280</v>
      </c>
      <c r="AC48" s="12">
        <v>8700</v>
      </c>
      <c r="AD48" s="7">
        <f>K48*J48</f>
        <v>69</v>
      </c>
      <c r="AE48" s="7">
        <f>J48*38</f>
        <v>38</v>
      </c>
      <c r="AF48" s="8">
        <f t="shared" si="287"/>
        <v>31</v>
      </c>
      <c r="AG48" s="14">
        <f>AC48*AE48</f>
        <v>330600</v>
      </c>
      <c r="AH48" s="133">
        <f t="shared" si="288"/>
        <v>38</v>
      </c>
      <c r="AI48" s="133">
        <v>31</v>
      </c>
      <c r="AJ48" s="133"/>
      <c r="AK48" s="133">
        <v>20</v>
      </c>
      <c r="AL48" s="133">
        <v>13</v>
      </c>
      <c r="AM48" s="133">
        <v>18</v>
      </c>
      <c r="AN48" s="133">
        <v>18</v>
      </c>
      <c r="AO48" s="133">
        <f t="shared" si="345"/>
        <v>31</v>
      </c>
      <c r="AP48" s="133">
        <f t="shared" si="289"/>
        <v>69</v>
      </c>
      <c r="AQ48" s="7">
        <f>L48*J48</f>
        <v>217</v>
      </c>
      <c r="AR48" s="7">
        <f>J48*120</f>
        <v>120</v>
      </c>
      <c r="AS48" s="8">
        <f t="shared" si="290"/>
        <v>97</v>
      </c>
      <c r="AT48" s="14">
        <f>AC48*AR48</f>
        <v>1044000</v>
      </c>
      <c r="AU48" s="133">
        <f t="shared" si="291"/>
        <v>120</v>
      </c>
      <c r="AV48" s="133">
        <v>93</v>
      </c>
      <c r="AW48" s="133"/>
      <c r="AX48" s="133">
        <v>62</v>
      </c>
      <c r="AY48" s="133">
        <v>35</v>
      </c>
      <c r="AZ48" s="133">
        <v>62</v>
      </c>
      <c r="BA48" s="133">
        <v>62</v>
      </c>
      <c r="BB48" s="133">
        <f t="shared" si="292"/>
        <v>97</v>
      </c>
      <c r="BC48" s="133">
        <f t="shared" si="293"/>
        <v>217</v>
      </c>
      <c r="BD48" s="7">
        <f>M48*J48</f>
        <v>279</v>
      </c>
      <c r="BE48" s="7">
        <f>J48*154</f>
        <v>154</v>
      </c>
      <c r="BF48" s="8">
        <f t="shared" si="294"/>
        <v>125</v>
      </c>
      <c r="BG48" s="14">
        <f>AC48*BE48</f>
        <v>1339800</v>
      </c>
      <c r="BH48" s="133">
        <f t="shared" si="346"/>
        <v>154</v>
      </c>
      <c r="BI48" s="133">
        <v>93</v>
      </c>
      <c r="BJ48" s="133"/>
      <c r="BK48" s="133">
        <v>62</v>
      </c>
      <c r="BL48" s="133">
        <v>1</v>
      </c>
      <c r="BM48" s="133">
        <v>124</v>
      </c>
      <c r="BN48" s="133">
        <v>124</v>
      </c>
      <c r="BO48" s="133">
        <f t="shared" si="347"/>
        <v>125</v>
      </c>
      <c r="BP48" s="133">
        <f t="shared" si="348"/>
        <v>279</v>
      </c>
      <c r="BQ48" s="7">
        <f>N48*J48</f>
        <v>279</v>
      </c>
      <c r="BR48" s="7">
        <f>J48*120</f>
        <v>120</v>
      </c>
      <c r="BS48" s="8">
        <f t="shared" si="295"/>
        <v>159</v>
      </c>
      <c r="BT48" s="14">
        <f>AC48*BR48</f>
        <v>1044000</v>
      </c>
      <c r="BU48" s="133">
        <f t="shared" si="296"/>
        <v>120</v>
      </c>
      <c r="BV48" s="133">
        <v>93</v>
      </c>
      <c r="BW48" s="133"/>
      <c r="BX48" s="133">
        <v>62</v>
      </c>
      <c r="BY48" s="133">
        <v>35</v>
      </c>
      <c r="BZ48" s="133">
        <v>62</v>
      </c>
      <c r="CA48" s="133">
        <v>62</v>
      </c>
      <c r="CB48" s="133">
        <f t="shared" si="297"/>
        <v>97</v>
      </c>
      <c r="CC48" s="133">
        <f t="shared" si="298"/>
        <v>217</v>
      </c>
      <c r="CD48" s="7">
        <f>M48*J48</f>
        <v>279</v>
      </c>
      <c r="CE48" s="7">
        <f>J48*137</f>
        <v>137</v>
      </c>
      <c r="CF48" s="8">
        <f t="shared" si="299"/>
        <v>142</v>
      </c>
      <c r="CG48" s="14">
        <f>CE48*AC48</f>
        <v>1191900</v>
      </c>
      <c r="CH48" s="134">
        <f t="shared" si="300"/>
        <v>137</v>
      </c>
      <c r="CI48" s="134">
        <v>62</v>
      </c>
      <c r="CJ48" s="134"/>
      <c r="CK48" s="134">
        <v>62</v>
      </c>
      <c r="CL48" s="134"/>
      <c r="CM48" s="134">
        <v>124</v>
      </c>
      <c r="CN48" s="133">
        <v>111</v>
      </c>
      <c r="CO48" s="133">
        <f t="shared" si="301"/>
        <v>111</v>
      </c>
      <c r="CP48" s="133">
        <f t="shared" si="302"/>
        <v>248</v>
      </c>
      <c r="CQ48" s="7">
        <f>P48*J48</f>
        <v>248</v>
      </c>
      <c r="CR48" s="7">
        <f>J48*137</f>
        <v>137</v>
      </c>
      <c r="CS48" s="8">
        <f t="shared" si="303"/>
        <v>111</v>
      </c>
      <c r="CT48" s="14">
        <f>AC48*CR48</f>
        <v>1191900</v>
      </c>
      <c r="CU48" s="134">
        <f t="shared" si="304"/>
        <v>137</v>
      </c>
      <c r="CV48" s="134">
        <v>93</v>
      </c>
      <c r="CW48" s="134"/>
      <c r="CX48" s="134">
        <v>93</v>
      </c>
      <c r="CY48" s="134">
        <v>49</v>
      </c>
      <c r="CZ48" s="134">
        <v>62</v>
      </c>
      <c r="DA48" s="134">
        <v>62</v>
      </c>
      <c r="DB48" s="134">
        <f t="shared" si="305"/>
        <v>111</v>
      </c>
      <c r="DC48" s="134">
        <f t="shared" si="349"/>
        <v>248</v>
      </c>
      <c r="DD48" s="7">
        <f>Q48*J48</f>
        <v>279</v>
      </c>
      <c r="DE48" s="7">
        <f>J48*154</f>
        <v>154</v>
      </c>
      <c r="DF48" s="8">
        <f t="shared" si="306"/>
        <v>125</v>
      </c>
      <c r="DG48" s="14">
        <f>DE48*AC48</f>
        <v>1339800</v>
      </c>
      <c r="DH48" s="134">
        <f t="shared" si="307"/>
        <v>154</v>
      </c>
      <c r="DI48" s="134">
        <v>93</v>
      </c>
      <c r="DJ48" s="134"/>
      <c r="DK48" s="134">
        <v>124</v>
      </c>
      <c r="DL48" s="134">
        <v>63</v>
      </c>
      <c r="DM48" s="134">
        <v>62</v>
      </c>
      <c r="DN48" s="134">
        <v>62</v>
      </c>
      <c r="DO48" s="134">
        <f t="shared" si="308"/>
        <v>125</v>
      </c>
      <c r="DP48" s="134">
        <f t="shared" si="309"/>
        <v>279</v>
      </c>
      <c r="DQ48" s="7">
        <f t="shared" si="310"/>
        <v>125</v>
      </c>
      <c r="DR48" s="7">
        <f t="shared" si="350"/>
        <v>58</v>
      </c>
      <c r="DS48" s="8">
        <f t="shared" si="311"/>
        <v>67</v>
      </c>
      <c r="DT48" s="14">
        <f t="shared" si="312"/>
        <v>504600</v>
      </c>
      <c r="DU48" s="134">
        <f t="shared" si="313"/>
        <v>58</v>
      </c>
      <c r="DV48" s="134">
        <v>0</v>
      </c>
      <c r="DW48" s="134"/>
      <c r="DX48" s="134">
        <v>62</v>
      </c>
      <c r="DY48" s="134">
        <v>4</v>
      </c>
      <c r="DZ48" s="134">
        <v>63</v>
      </c>
      <c r="EA48" s="134">
        <v>63</v>
      </c>
      <c r="EB48" s="134">
        <f t="shared" si="314"/>
        <v>67</v>
      </c>
      <c r="EC48" s="134">
        <f t="shared" si="315"/>
        <v>125</v>
      </c>
      <c r="ED48" s="7">
        <f>S48*J48</f>
        <v>62</v>
      </c>
      <c r="EE48" s="7">
        <f>J48*35</f>
        <v>35</v>
      </c>
      <c r="EF48" s="8">
        <f t="shared" si="316"/>
        <v>27</v>
      </c>
      <c r="EG48" s="14">
        <f>EE48*AC48</f>
        <v>304500</v>
      </c>
      <c r="EH48" s="133">
        <f t="shared" si="317"/>
        <v>35</v>
      </c>
      <c r="EI48" s="133">
        <v>0</v>
      </c>
      <c r="EJ48" s="133"/>
      <c r="EK48" s="133">
        <v>62</v>
      </c>
      <c r="EL48" s="133">
        <f t="shared" si="318"/>
        <v>27</v>
      </c>
      <c r="EM48" s="133">
        <v>0</v>
      </c>
      <c r="EN48" s="133"/>
      <c r="EO48" s="133">
        <f t="shared" si="319"/>
        <v>27</v>
      </c>
      <c r="EP48" s="133">
        <f t="shared" si="320"/>
        <v>62</v>
      </c>
      <c r="EQ48" s="7">
        <f>T48*J48</f>
        <v>279</v>
      </c>
      <c r="ER48" s="7">
        <f>J48*154</f>
        <v>154</v>
      </c>
      <c r="ES48" s="8">
        <f t="shared" si="321"/>
        <v>125</v>
      </c>
      <c r="ET48" s="14">
        <f>ER48*AC48</f>
        <v>1339800</v>
      </c>
      <c r="EU48" s="134">
        <f t="shared" si="322"/>
        <v>154</v>
      </c>
      <c r="EV48" s="134">
        <v>93</v>
      </c>
      <c r="EW48" s="134"/>
      <c r="EX48" s="134">
        <v>93</v>
      </c>
      <c r="EY48" s="134">
        <v>32</v>
      </c>
      <c r="EZ48" s="134">
        <v>93</v>
      </c>
      <c r="FA48" s="134">
        <v>93</v>
      </c>
      <c r="FB48" s="134">
        <f t="shared" si="323"/>
        <v>125</v>
      </c>
      <c r="FC48" s="134">
        <f t="shared" si="324"/>
        <v>279</v>
      </c>
      <c r="FD48" s="7">
        <f>U48*J48</f>
        <v>186</v>
      </c>
      <c r="FE48" s="7">
        <f>J48*102</f>
        <v>102</v>
      </c>
      <c r="FF48" s="8">
        <f t="shared" si="325"/>
        <v>84</v>
      </c>
      <c r="FG48" s="14">
        <f>FE48*AC48</f>
        <v>887400</v>
      </c>
      <c r="FH48" s="133">
        <f t="shared" si="326"/>
        <v>102</v>
      </c>
      <c r="FI48" s="133">
        <v>62</v>
      </c>
      <c r="FJ48" s="133"/>
      <c r="FK48" s="133">
        <v>62</v>
      </c>
      <c r="FL48" s="133">
        <v>22</v>
      </c>
      <c r="FM48" s="133">
        <v>62</v>
      </c>
      <c r="FN48" s="133">
        <v>62</v>
      </c>
      <c r="FO48" s="133">
        <f t="shared" si="327"/>
        <v>84</v>
      </c>
      <c r="FP48" s="133">
        <f t="shared" si="328"/>
        <v>186</v>
      </c>
      <c r="FQ48" s="7">
        <f>V48*J48</f>
        <v>32</v>
      </c>
      <c r="FR48" s="7">
        <f>J48*17</f>
        <v>17</v>
      </c>
      <c r="FS48" s="8">
        <f t="shared" si="329"/>
        <v>15</v>
      </c>
      <c r="FT48" s="14">
        <f>FR48*AC48</f>
        <v>147900</v>
      </c>
      <c r="FU48" s="134">
        <f t="shared" si="330"/>
        <v>17</v>
      </c>
      <c r="FV48" s="134">
        <v>0</v>
      </c>
      <c r="FW48" s="134"/>
      <c r="FX48" s="134">
        <v>16</v>
      </c>
      <c r="FY48" s="134"/>
      <c r="FZ48" s="134">
        <v>16</v>
      </c>
      <c r="GA48" s="134">
        <v>15</v>
      </c>
      <c r="GB48" s="134">
        <f t="shared" si="331"/>
        <v>15</v>
      </c>
      <c r="GC48" s="134">
        <f t="shared" si="332"/>
        <v>32</v>
      </c>
      <c r="GD48" s="7">
        <f>W48*J48</f>
        <v>12</v>
      </c>
      <c r="GE48" s="7">
        <f>J48*7</f>
        <v>7</v>
      </c>
      <c r="GF48" s="8">
        <f t="shared" si="333"/>
        <v>5</v>
      </c>
      <c r="GG48" s="14">
        <f>GE48*AC48</f>
        <v>60900</v>
      </c>
      <c r="GH48" s="134">
        <f t="shared" si="334"/>
        <v>7</v>
      </c>
      <c r="GI48" s="134">
        <v>4</v>
      </c>
      <c r="GJ48" s="134"/>
      <c r="GK48" s="134">
        <v>4</v>
      </c>
      <c r="GL48" s="134">
        <v>1</v>
      </c>
      <c r="GM48" s="134">
        <v>4</v>
      </c>
      <c r="GN48" s="134">
        <v>4</v>
      </c>
      <c r="GO48" s="134">
        <f t="shared" si="335"/>
        <v>5</v>
      </c>
      <c r="GP48" s="134">
        <f t="shared" si="336"/>
        <v>12</v>
      </c>
      <c r="GQ48" s="7">
        <f>X48*J48</f>
        <v>186</v>
      </c>
      <c r="GR48" s="7">
        <f>J48*102</f>
        <v>102</v>
      </c>
      <c r="GS48" s="8">
        <f t="shared" si="337"/>
        <v>84</v>
      </c>
      <c r="GT48" s="14">
        <f>GR48*AC48</f>
        <v>887400</v>
      </c>
      <c r="GU48" s="133">
        <f t="shared" si="338"/>
        <v>102</v>
      </c>
      <c r="GV48" s="133">
        <v>62</v>
      </c>
      <c r="GW48" s="133"/>
      <c r="GX48" s="133">
        <v>62</v>
      </c>
      <c r="GY48" s="133">
        <v>22</v>
      </c>
      <c r="GZ48" s="133">
        <v>62</v>
      </c>
      <c r="HA48" s="133">
        <v>62</v>
      </c>
      <c r="HB48" s="133">
        <f t="shared" si="339"/>
        <v>84</v>
      </c>
      <c r="HC48" s="133">
        <f t="shared" si="340"/>
        <v>186</v>
      </c>
      <c r="HD48" s="7">
        <f>Y48*J48</f>
        <v>186</v>
      </c>
      <c r="HE48" s="7">
        <f>J48*103</f>
        <v>103</v>
      </c>
      <c r="HF48" s="8">
        <f t="shared" si="341"/>
        <v>83</v>
      </c>
      <c r="HG48" s="14">
        <f>HE48*AC48</f>
        <v>896100</v>
      </c>
      <c r="HH48" s="7">
        <f t="shared" si="342"/>
        <v>103</v>
      </c>
      <c r="HI48" s="7">
        <v>62</v>
      </c>
      <c r="HJ48" s="7"/>
      <c r="HK48" s="7">
        <v>62</v>
      </c>
      <c r="HL48" s="7">
        <v>21</v>
      </c>
      <c r="HM48" s="7">
        <v>62</v>
      </c>
      <c r="HN48" s="7">
        <v>62</v>
      </c>
      <c r="HO48" s="133">
        <f t="shared" si="343"/>
        <v>83</v>
      </c>
      <c r="HP48" s="133">
        <f t="shared" si="344"/>
        <v>186</v>
      </c>
    </row>
    <row r="49" spans="2:224" x14ac:dyDescent="0.25">
      <c r="B49" s="7">
        <f>'PLAN DE NECESIDADES'!B40</f>
        <v>24</v>
      </c>
      <c r="C49" s="7">
        <f>'PLAN DE NECESIDADES'!C40</f>
        <v>3532324</v>
      </c>
      <c r="D49" s="60" t="str">
        <f>'PLAN DE NECESIDADES'!D40</f>
        <v>DESODORANTE ANTITRASPIRANTE: ESPECIFICACIONES  TÉCNICAS   DE  ACUERDO A LA NORMA TÉCNICA KIT DE DOTACIÓN NO. NTMD-0356 A2 ÍTEM  3.1.1.7</v>
      </c>
      <c r="E49" s="7" t="str">
        <f>'PLAN DE NECESIDADES'!E40</f>
        <v>UNIDAD</v>
      </c>
      <c r="F49" s="7">
        <f>'PLAN DE NECESIDADES'!F40</f>
        <v>0</v>
      </c>
      <c r="G49" s="7">
        <f>'PLAN DE NECESIDADES'!H40</f>
        <v>53131606</v>
      </c>
      <c r="H49" s="7">
        <f>'PLAN DE NECESIDADES'!I40</f>
        <v>1013944</v>
      </c>
      <c r="I49" s="7" t="str">
        <f>'PLAN DE NECESIDADES'!J40</f>
        <v>8510-80-0011400</v>
      </c>
      <c r="J49" s="7">
        <v>1</v>
      </c>
      <c r="K49" s="85">
        <v>69</v>
      </c>
      <c r="L49" s="85">
        <v>217</v>
      </c>
      <c r="M49" s="85">
        <v>279</v>
      </c>
      <c r="N49" s="85">
        <v>279</v>
      </c>
      <c r="O49" s="85">
        <v>248</v>
      </c>
      <c r="P49" s="85">
        <v>248</v>
      </c>
      <c r="Q49" s="85">
        <v>279</v>
      </c>
      <c r="R49" s="85">
        <v>125</v>
      </c>
      <c r="S49" s="85">
        <v>62</v>
      </c>
      <c r="T49" s="85">
        <v>279</v>
      </c>
      <c r="U49" s="85">
        <v>186</v>
      </c>
      <c r="V49" s="85">
        <v>32</v>
      </c>
      <c r="W49" s="85">
        <v>12</v>
      </c>
      <c r="X49" s="85">
        <v>186</v>
      </c>
      <c r="Y49" s="85">
        <v>186</v>
      </c>
      <c r="Z49" s="85">
        <f t="shared" si="286"/>
        <v>2718</v>
      </c>
      <c r="AA49" s="7">
        <f t="shared" si="286"/>
        <v>1440</v>
      </c>
      <c r="AB49" s="7">
        <f t="shared" si="286"/>
        <v>1278</v>
      </c>
      <c r="AC49" s="12">
        <v>9900</v>
      </c>
      <c r="AD49" s="7">
        <f>K49*J49</f>
        <v>69</v>
      </c>
      <c r="AE49" s="7">
        <f>J49*38</f>
        <v>38</v>
      </c>
      <c r="AF49" s="8">
        <f t="shared" si="287"/>
        <v>31</v>
      </c>
      <c r="AG49" s="14">
        <f>AC49*AE49</f>
        <v>376200</v>
      </c>
      <c r="AH49" s="133">
        <f t="shared" si="288"/>
        <v>38</v>
      </c>
      <c r="AI49" s="133">
        <v>31</v>
      </c>
      <c r="AJ49" s="133"/>
      <c r="AK49" s="133">
        <v>20</v>
      </c>
      <c r="AL49" s="133">
        <v>13</v>
      </c>
      <c r="AM49" s="133">
        <v>18</v>
      </c>
      <c r="AN49" s="133">
        <v>18</v>
      </c>
      <c r="AO49" s="133">
        <f t="shared" si="345"/>
        <v>31</v>
      </c>
      <c r="AP49" s="133">
        <f t="shared" si="289"/>
        <v>69</v>
      </c>
      <c r="AQ49" s="7">
        <f>L49*J49</f>
        <v>217</v>
      </c>
      <c r="AR49" s="7">
        <f>J49*120</f>
        <v>120</v>
      </c>
      <c r="AS49" s="8">
        <f t="shared" si="290"/>
        <v>97</v>
      </c>
      <c r="AT49" s="14">
        <f>AC49*AR49</f>
        <v>1188000</v>
      </c>
      <c r="AU49" s="133">
        <f t="shared" si="291"/>
        <v>120</v>
      </c>
      <c r="AV49" s="133">
        <v>93</v>
      </c>
      <c r="AW49" s="133"/>
      <c r="AX49" s="133">
        <v>62</v>
      </c>
      <c r="AY49" s="133">
        <v>35</v>
      </c>
      <c r="AZ49" s="133">
        <v>62</v>
      </c>
      <c r="BA49" s="133">
        <v>62</v>
      </c>
      <c r="BB49" s="133">
        <f t="shared" si="292"/>
        <v>97</v>
      </c>
      <c r="BC49" s="133">
        <f t="shared" si="293"/>
        <v>217</v>
      </c>
      <c r="BD49" s="7">
        <f>M49*J49</f>
        <v>279</v>
      </c>
      <c r="BE49" s="7">
        <f>J49*154</f>
        <v>154</v>
      </c>
      <c r="BF49" s="8">
        <f t="shared" si="294"/>
        <v>125</v>
      </c>
      <c r="BG49" s="14">
        <f>AC49*BE49</f>
        <v>1524600</v>
      </c>
      <c r="BH49" s="133">
        <f t="shared" si="346"/>
        <v>154</v>
      </c>
      <c r="BI49" s="133">
        <v>93</v>
      </c>
      <c r="BJ49" s="133"/>
      <c r="BK49" s="133">
        <v>62</v>
      </c>
      <c r="BL49" s="133">
        <v>1</v>
      </c>
      <c r="BM49" s="133">
        <v>124</v>
      </c>
      <c r="BN49" s="133">
        <v>124</v>
      </c>
      <c r="BO49" s="133">
        <f t="shared" si="347"/>
        <v>125</v>
      </c>
      <c r="BP49" s="133">
        <f t="shared" si="348"/>
        <v>279</v>
      </c>
      <c r="BQ49" s="7">
        <f>N49*J49</f>
        <v>279</v>
      </c>
      <c r="BR49" s="7">
        <f>J49*120</f>
        <v>120</v>
      </c>
      <c r="BS49" s="8">
        <f t="shared" si="295"/>
        <v>159</v>
      </c>
      <c r="BT49" s="14">
        <f>AC49*BR49</f>
        <v>1188000</v>
      </c>
      <c r="BU49" s="133">
        <f t="shared" si="296"/>
        <v>120</v>
      </c>
      <c r="BV49" s="133">
        <v>93</v>
      </c>
      <c r="BW49" s="133"/>
      <c r="BX49" s="133">
        <v>62</v>
      </c>
      <c r="BY49" s="133">
        <v>35</v>
      </c>
      <c r="BZ49" s="133">
        <v>62</v>
      </c>
      <c r="CA49" s="133">
        <v>62</v>
      </c>
      <c r="CB49" s="133">
        <f t="shared" si="297"/>
        <v>97</v>
      </c>
      <c r="CC49" s="133">
        <f t="shared" si="298"/>
        <v>217</v>
      </c>
      <c r="CD49" s="7">
        <f>M49*J49</f>
        <v>279</v>
      </c>
      <c r="CE49" s="7">
        <f>J49*137</f>
        <v>137</v>
      </c>
      <c r="CF49" s="8">
        <f t="shared" si="299"/>
        <v>142</v>
      </c>
      <c r="CG49" s="14">
        <f>CE49*AC49</f>
        <v>1356300</v>
      </c>
      <c r="CH49" s="134">
        <f t="shared" si="300"/>
        <v>137</v>
      </c>
      <c r="CI49" s="134">
        <v>62</v>
      </c>
      <c r="CJ49" s="134"/>
      <c r="CK49" s="134">
        <v>62</v>
      </c>
      <c r="CL49" s="134"/>
      <c r="CM49" s="134">
        <v>124</v>
      </c>
      <c r="CN49" s="133">
        <v>111</v>
      </c>
      <c r="CO49" s="133">
        <f t="shared" si="301"/>
        <v>111</v>
      </c>
      <c r="CP49" s="133">
        <f t="shared" si="302"/>
        <v>248</v>
      </c>
      <c r="CQ49" s="7">
        <f>P49*J49</f>
        <v>248</v>
      </c>
      <c r="CR49" s="7">
        <f>J49*137</f>
        <v>137</v>
      </c>
      <c r="CS49" s="8">
        <f t="shared" si="303"/>
        <v>111</v>
      </c>
      <c r="CT49" s="14">
        <f>AC49*CR49</f>
        <v>1356300</v>
      </c>
      <c r="CU49" s="134">
        <f t="shared" si="304"/>
        <v>137</v>
      </c>
      <c r="CV49" s="134">
        <v>93</v>
      </c>
      <c r="CW49" s="134"/>
      <c r="CX49" s="134">
        <v>93</v>
      </c>
      <c r="CY49" s="134">
        <v>49</v>
      </c>
      <c r="CZ49" s="134">
        <v>62</v>
      </c>
      <c r="DA49" s="134">
        <v>62</v>
      </c>
      <c r="DB49" s="134">
        <f t="shared" si="305"/>
        <v>111</v>
      </c>
      <c r="DC49" s="134">
        <f t="shared" si="349"/>
        <v>248</v>
      </c>
      <c r="DD49" s="7">
        <f>Q49*J49</f>
        <v>279</v>
      </c>
      <c r="DE49" s="7">
        <f>J49*154</f>
        <v>154</v>
      </c>
      <c r="DF49" s="8">
        <f t="shared" si="306"/>
        <v>125</v>
      </c>
      <c r="DG49" s="14">
        <f>DE49*AC49</f>
        <v>1524600</v>
      </c>
      <c r="DH49" s="134">
        <f t="shared" si="307"/>
        <v>154</v>
      </c>
      <c r="DI49" s="134">
        <v>93</v>
      </c>
      <c r="DJ49" s="134"/>
      <c r="DK49" s="134">
        <v>124</v>
      </c>
      <c r="DL49" s="134">
        <v>63</v>
      </c>
      <c r="DM49" s="134">
        <v>62</v>
      </c>
      <c r="DN49" s="134">
        <v>62</v>
      </c>
      <c r="DO49" s="134">
        <f t="shared" si="308"/>
        <v>125</v>
      </c>
      <c r="DP49" s="134">
        <f t="shared" si="309"/>
        <v>279</v>
      </c>
      <c r="DQ49" s="7">
        <f t="shared" si="310"/>
        <v>125</v>
      </c>
      <c r="DR49" s="7">
        <f t="shared" si="350"/>
        <v>58</v>
      </c>
      <c r="DS49" s="8">
        <f t="shared" si="311"/>
        <v>67</v>
      </c>
      <c r="DT49" s="14">
        <f t="shared" si="312"/>
        <v>574200</v>
      </c>
      <c r="DU49" s="134">
        <f t="shared" si="313"/>
        <v>58</v>
      </c>
      <c r="DV49" s="134">
        <v>0</v>
      </c>
      <c r="DW49" s="134"/>
      <c r="DX49" s="134">
        <v>62</v>
      </c>
      <c r="DY49" s="134">
        <v>4</v>
      </c>
      <c r="DZ49" s="134">
        <v>63</v>
      </c>
      <c r="EA49" s="134">
        <v>63</v>
      </c>
      <c r="EB49" s="134">
        <f t="shared" si="314"/>
        <v>67</v>
      </c>
      <c r="EC49" s="134">
        <f t="shared" si="315"/>
        <v>125</v>
      </c>
      <c r="ED49" s="7">
        <f>S49*J49</f>
        <v>62</v>
      </c>
      <c r="EE49" s="7">
        <f>J49*34</f>
        <v>34</v>
      </c>
      <c r="EF49" s="8">
        <f t="shared" si="316"/>
        <v>28</v>
      </c>
      <c r="EG49" s="14">
        <f>EE49*AC49</f>
        <v>336600</v>
      </c>
      <c r="EH49" s="133">
        <f t="shared" si="317"/>
        <v>34</v>
      </c>
      <c r="EI49" s="133">
        <v>0</v>
      </c>
      <c r="EJ49" s="133"/>
      <c r="EK49" s="133">
        <v>62</v>
      </c>
      <c r="EL49" s="133">
        <f t="shared" si="318"/>
        <v>28</v>
      </c>
      <c r="EM49" s="133">
        <v>0</v>
      </c>
      <c r="EN49" s="133"/>
      <c r="EO49" s="133">
        <f t="shared" si="319"/>
        <v>28</v>
      </c>
      <c r="EP49" s="133">
        <f t="shared" si="320"/>
        <v>62</v>
      </c>
      <c r="EQ49" s="7">
        <f>T49*J49</f>
        <v>279</v>
      </c>
      <c r="ER49" s="7">
        <f>J49*154</f>
        <v>154</v>
      </c>
      <c r="ES49" s="8">
        <f t="shared" si="321"/>
        <v>125</v>
      </c>
      <c r="ET49" s="14">
        <f>ER49*AC49</f>
        <v>1524600</v>
      </c>
      <c r="EU49" s="134">
        <f t="shared" si="322"/>
        <v>154</v>
      </c>
      <c r="EV49" s="134">
        <v>93</v>
      </c>
      <c r="EW49" s="134"/>
      <c r="EX49" s="134">
        <v>93</v>
      </c>
      <c r="EY49" s="134">
        <v>32</v>
      </c>
      <c r="EZ49" s="134">
        <v>93</v>
      </c>
      <c r="FA49" s="134">
        <v>93</v>
      </c>
      <c r="FB49" s="134">
        <f t="shared" si="323"/>
        <v>125</v>
      </c>
      <c r="FC49" s="134">
        <f t="shared" si="324"/>
        <v>279</v>
      </c>
      <c r="FD49" s="7">
        <f>U49*J49</f>
        <v>186</v>
      </c>
      <c r="FE49" s="7">
        <f>J49*103</f>
        <v>103</v>
      </c>
      <c r="FF49" s="8">
        <f t="shared" si="325"/>
        <v>83</v>
      </c>
      <c r="FG49" s="14">
        <f>FE49*AC49</f>
        <v>1019700</v>
      </c>
      <c r="FH49" s="133">
        <f t="shared" si="326"/>
        <v>103</v>
      </c>
      <c r="FI49" s="133">
        <v>62</v>
      </c>
      <c r="FJ49" s="133"/>
      <c r="FK49" s="133">
        <v>62</v>
      </c>
      <c r="FL49" s="133">
        <v>21</v>
      </c>
      <c r="FM49" s="133">
        <v>62</v>
      </c>
      <c r="FN49" s="133">
        <v>62</v>
      </c>
      <c r="FO49" s="133">
        <f t="shared" si="327"/>
        <v>83</v>
      </c>
      <c r="FP49" s="133">
        <f t="shared" si="328"/>
        <v>186</v>
      </c>
      <c r="FQ49" s="7">
        <f>V49*J49</f>
        <v>32</v>
      </c>
      <c r="FR49" s="7">
        <f>J49*18</f>
        <v>18</v>
      </c>
      <c r="FS49" s="8">
        <f t="shared" si="329"/>
        <v>14</v>
      </c>
      <c r="FT49" s="14">
        <f>FR49*AC49</f>
        <v>178200</v>
      </c>
      <c r="FU49" s="134">
        <f t="shared" si="330"/>
        <v>18</v>
      </c>
      <c r="FV49" s="134">
        <v>0</v>
      </c>
      <c r="FW49" s="134"/>
      <c r="FX49" s="134">
        <v>16</v>
      </c>
      <c r="FY49" s="134"/>
      <c r="FZ49" s="134">
        <v>16</v>
      </c>
      <c r="GA49" s="134">
        <v>14</v>
      </c>
      <c r="GB49" s="134">
        <f t="shared" si="331"/>
        <v>14</v>
      </c>
      <c r="GC49" s="134">
        <f t="shared" si="332"/>
        <v>32</v>
      </c>
      <c r="GD49" s="7">
        <f>W49*J49</f>
        <v>12</v>
      </c>
      <c r="GE49" s="7">
        <f>J49*7</f>
        <v>7</v>
      </c>
      <c r="GF49" s="8">
        <f t="shared" si="333"/>
        <v>5</v>
      </c>
      <c r="GG49" s="14">
        <f>GE49*AC49</f>
        <v>69300</v>
      </c>
      <c r="GH49" s="134">
        <f t="shared" si="334"/>
        <v>7</v>
      </c>
      <c r="GI49" s="134">
        <v>4</v>
      </c>
      <c r="GJ49" s="134"/>
      <c r="GK49" s="134">
        <v>4</v>
      </c>
      <c r="GL49" s="134">
        <v>1</v>
      </c>
      <c r="GM49" s="134">
        <v>4</v>
      </c>
      <c r="GN49" s="134">
        <v>4</v>
      </c>
      <c r="GO49" s="134">
        <f t="shared" si="335"/>
        <v>5</v>
      </c>
      <c r="GP49" s="134">
        <f t="shared" si="336"/>
        <v>12</v>
      </c>
      <c r="GQ49" s="7">
        <f>X49*J49</f>
        <v>186</v>
      </c>
      <c r="GR49" s="7">
        <f>J49*103</f>
        <v>103</v>
      </c>
      <c r="GS49" s="8">
        <f t="shared" si="337"/>
        <v>83</v>
      </c>
      <c r="GT49" s="14">
        <f>GR49*AC49</f>
        <v>1019700</v>
      </c>
      <c r="GU49" s="133">
        <f t="shared" si="338"/>
        <v>103</v>
      </c>
      <c r="GV49" s="133">
        <v>62</v>
      </c>
      <c r="GW49" s="133"/>
      <c r="GX49" s="133">
        <v>62</v>
      </c>
      <c r="GY49" s="133">
        <v>21</v>
      </c>
      <c r="GZ49" s="133">
        <v>62</v>
      </c>
      <c r="HA49" s="133">
        <v>62</v>
      </c>
      <c r="HB49" s="133">
        <f t="shared" si="339"/>
        <v>83</v>
      </c>
      <c r="HC49" s="133">
        <f t="shared" si="340"/>
        <v>186</v>
      </c>
      <c r="HD49" s="7">
        <f>Y49*J49</f>
        <v>186</v>
      </c>
      <c r="HE49" s="7">
        <f>J49*103</f>
        <v>103</v>
      </c>
      <c r="HF49" s="8">
        <f t="shared" si="341"/>
        <v>83</v>
      </c>
      <c r="HG49" s="14">
        <f>HE49*AC49</f>
        <v>1019700</v>
      </c>
      <c r="HH49" s="7">
        <f t="shared" si="342"/>
        <v>103</v>
      </c>
      <c r="HI49" s="7">
        <v>62</v>
      </c>
      <c r="HJ49" s="7"/>
      <c r="HK49" s="7">
        <v>62</v>
      </c>
      <c r="HL49" s="7">
        <v>21</v>
      </c>
      <c r="HM49" s="7">
        <v>62</v>
      </c>
      <c r="HN49" s="7">
        <v>62</v>
      </c>
      <c r="HO49" s="133">
        <f t="shared" si="343"/>
        <v>83</v>
      </c>
      <c r="HP49" s="133">
        <f t="shared" si="344"/>
        <v>186</v>
      </c>
    </row>
    <row r="50" spans="2:224" x14ac:dyDescent="0.25">
      <c r="B50" s="7">
        <f>'PLAN DE NECESIDADES'!B41</f>
        <v>25</v>
      </c>
      <c r="C50" s="7">
        <f>'PLAN DE NECESIDADES'!C41</f>
        <v>3532324</v>
      </c>
      <c r="D50" s="60" t="str">
        <f>'PLAN DE NECESIDADES'!D41</f>
        <v>DESODORANTE ANTITRANSPIRANTE PARA MUJER:
DE 80 GRAMOS, ESPECIFICACIONES SEGÚN NORMA TÉCNICA NO. NTMD-0356 A2 ÍTEM  3.1.1.7</v>
      </c>
      <c r="E50" s="7" t="str">
        <f>'PLAN DE NECESIDADES'!E41</f>
        <v>UNIDAD</v>
      </c>
      <c r="F50" s="7">
        <f>'PLAN DE NECESIDADES'!F41</f>
        <v>0</v>
      </c>
      <c r="G50" s="7">
        <f>'PLAN DE NECESIDADES'!H41</f>
        <v>53131606</v>
      </c>
      <c r="H50" s="7">
        <f>'PLAN DE NECESIDADES'!I41</f>
        <v>1476318</v>
      </c>
      <c r="I50" s="7" t="str">
        <f>'PLAN DE NECESIDADES'!J41</f>
        <v>8510-80-0011400</v>
      </c>
      <c r="J50" s="7">
        <v>1</v>
      </c>
      <c r="K50" s="7"/>
      <c r="L50" s="85"/>
      <c r="M50" s="7"/>
      <c r="N50" s="7"/>
      <c r="O50" s="7"/>
      <c r="P50" s="7"/>
      <c r="Q50" s="85"/>
      <c r="R50" s="85">
        <v>125</v>
      </c>
      <c r="S50" s="7"/>
      <c r="T50" s="7"/>
      <c r="U50" s="7"/>
      <c r="V50" s="7"/>
      <c r="W50" s="85"/>
      <c r="X50" s="7"/>
      <c r="Y50" s="7"/>
      <c r="Z50" s="85">
        <f t="shared" si="286"/>
        <v>125</v>
      </c>
      <c r="AA50" s="7">
        <f t="shared" si="286"/>
        <v>58</v>
      </c>
      <c r="AB50" s="7">
        <f t="shared" si="286"/>
        <v>67</v>
      </c>
      <c r="AC50" s="12">
        <v>9900</v>
      </c>
      <c r="AD50" s="7"/>
      <c r="AE50" s="7"/>
      <c r="AF50" s="8"/>
      <c r="AG50" s="14"/>
      <c r="AH50" s="133"/>
      <c r="AI50" s="133"/>
      <c r="AJ50" s="133"/>
      <c r="AK50" s="133"/>
      <c r="AL50" s="133"/>
      <c r="AM50" s="133"/>
      <c r="AN50" s="133"/>
      <c r="AO50" s="133"/>
      <c r="AP50" s="133"/>
      <c r="AQ50" s="7"/>
      <c r="AR50" s="7"/>
      <c r="AS50" s="8"/>
      <c r="AT50" s="14"/>
      <c r="AU50" s="14"/>
      <c r="AV50" s="14"/>
      <c r="AW50" s="14"/>
      <c r="AX50" s="14"/>
      <c r="AY50" s="14"/>
      <c r="AZ50" s="14"/>
      <c r="BA50" s="133"/>
      <c r="BB50" s="14"/>
      <c r="BC50" s="14"/>
      <c r="BD50" s="7"/>
      <c r="BE50" s="7"/>
      <c r="BF50" s="8"/>
      <c r="BG50" s="14"/>
      <c r="BH50" s="133"/>
      <c r="BI50" s="14"/>
      <c r="BJ50" s="14"/>
      <c r="BK50" s="14"/>
      <c r="BL50" s="133"/>
      <c r="BM50" s="14"/>
      <c r="BN50" s="133"/>
      <c r="BO50" s="14"/>
      <c r="BP50" s="133"/>
      <c r="BQ50" s="7"/>
      <c r="BR50" s="7"/>
      <c r="BS50" s="8"/>
      <c r="BT50" s="14"/>
      <c r="BU50" s="133"/>
      <c r="BV50" s="133"/>
      <c r="BW50" s="133"/>
      <c r="BX50" s="133"/>
      <c r="BY50" s="133"/>
      <c r="BZ50" s="133"/>
      <c r="CA50" s="133"/>
      <c r="CB50" s="133"/>
      <c r="CC50" s="133"/>
      <c r="CD50" s="7"/>
      <c r="CE50" s="7"/>
      <c r="CF50" s="8"/>
      <c r="CG50" s="14"/>
      <c r="CH50" s="134"/>
      <c r="CI50" s="14"/>
      <c r="CJ50" s="14"/>
      <c r="CK50" s="14"/>
      <c r="CL50" s="14"/>
      <c r="CM50" s="14"/>
      <c r="CN50" s="133"/>
      <c r="CO50" s="14"/>
      <c r="CP50" s="14"/>
      <c r="CQ50" s="7"/>
      <c r="CR50" s="7"/>
      <c r="CS50" s="8"/>
      <c r="CT50" s="14"/>
      <c r="CU50" s="134"/>
      <c r="CV50" s="134"/>
      <c r="CW50" s="134"/>
      <c r="CX50" s="134"/>
      <c r="CY50" s="134"/>
      <c r="CZ50" s="134"/>
      <c r="DA50" s="134"/>
      <c r="DB50" s="134"/>
      <c r="DC50" s="134"/>
      <c r="DD50" s="7"/>
      <c r="DE50" s="7"/>
      <c r="DF50" s="8"/>
      <c r="DG50" s="14"/>
      <c r="DH50" s="134"/>
      <c r="DI50" s="134"/>
      <c r="DJ50" s="134"/>
      <c r="DK50" s="134"/>
      <c r="DL50" s="134"/>
      <c r="DM50" s="134"/>
      <c r="DN50" s="134"/>
      <c r="DO50" s="134"/>
      <c r="DP50" s="134"/>
      <c r="DQ50" s="7">
        <f t="shared" si="310"/>
        <v>125</v>
      </c>
      <c r="DR50" s="7">
        <f t="shared" si="350"/>
        <v>58</v>
      </c>
      <c r="DS50" s="8">
        <f t="shared" si="311"/>
        <v>67</v>
      </c>
      <c r="DT50" s="14">
        <f t="shared" si="312"/>
        <v>574200</v>
      </c>
      <c r="DU50" s="134">
        <f t="shared" si="313"/>
        <v>58</v>
      </c>
      <c r="DV50" s="134">
        <v>0</v>
      </c>
      <c r="DW50" s="134"/>
      <c r="DX50" s="134">
        <v>62</v>
      </c>
      <c r="DY50" s="134">
        <v>4</v>
      </c>
      <c r="DZ50" s="134">
        <v>63</v>
      </c>
      <c r="EA50" s="134">
        <v>63</v>
      </c>
      <c r="EB50" s="134">
        <f t="shared" si="314"/>
        <v>67</v>
      </c>
      <c r="EC50" s="134">
        <f t="shared" si="315"/>
        <v>125</v>
      </c>
      <c r="ED50" s="7"/>
      <c r="EE50" s="7"/>
      <c r="EF50" s="8"/>
      <c r="EG50" s="14"/>
      <c r="EH50" s="133"/>
      <c r="EI50" s="133"/>
      <c r="EJ50" s="133"/>
      <c r="EK50" s="133"/>
      <c r="EL50" s="133"/>
      <c r="EM50" s="133"/>
      <c r="EN50" s="133"/>
      <c r="EO50" s="133"/>
      <c r="EP50" s="133"/>
      <c r="EQ50" s="7"/>
      <c r="ER50" s="7"/>
      <c r="ES50" s="8"/>
      <c r="ET50" s="14"/>
      <c r="EU50" s="134"/>
      <c r="EV50" s="134"/>
      <c r="EW50" s="134"/>
      <c r="EX50" s="134"/>
      <c r="EY50" s="134"/>
      <c r="EZ50" s="134"/>
      <c r="FA50" s="134"/>
      <c r="FB50" s="134"/>
      <c r="FC50" s="134"/>
      <c r="FD50" s="7"/>
      <c r="FE50" s="7"/>
      <c r="FF50" s="8"/>
      <c r="FG50" s="14"/>
      <c r="FH50" s="133"/>
      <c r="FI50" s="133"/>
      <c r="FJ50" s="133"/>
      <c r="FK50" s="133"/>
      <c r="FL50" s="133"/>
      <c r="FM50" s="133"/>
      <c r="FN50" s="133"/>
      <c r="FO50" s="133"/>
      <c r="FP50" s="133"/>
      <c r="FQ50" s="7"/>
      <c r="FR50" s="7"/>
      <c r="FS50" s="8"/>
      <c r="FT50" s="14"/>
      <c r="FU50" s="134"/>
      <c r="FV50" s="134"/>
      <c r="FW50" s="134"/>
      <c r="FX50" s="134"/>
      <c r="FY50" s="134"/>
      <c r="FZ50" s="134"/>
      <c r="GA50" s="134"/>
      <c r="GB50" s="134"/>
      <c r="GC50" s="134"/>
      <c r="GD50" s="7"/>
      <c r="GE50" s="7"/>
      <c r="GF50" s="8"/>
      <c r="GG50" s="14"/>
      <c r="GH50" s="134"/>
      <c r="GI50" s="134"/>
      <c r="GJ50" s="134"/>
      <c r="GK50" s="134"/>
      <c r="GL50" s="134"/>
      <c r="GM50" s="134"/>
      <c r="GN50" s="134"/>
      <c r="GO50" s="134"/>
      <c r="GP50" s="134"/>
      <c r="GQ50" s="7"/>
      <c r="GR50" s="7"/>
      <c r="GS50" s="8"/>
      <c r="GT50" s="14"/>
      <c r="GU50" s="133"/>
      <c r="GV50" s="133"/>
      <c r="GW50" s="133"/>
      <c r="GX50" s="133"/>
      <c r="GY50" s="133"/>
      <c r="GZ50" s="133"/>
      <c r="HA50" s="133"/>
      <c r="HB50" s="133"/>
      <c r="HC50" s="133"/>
      <c r="HD50" s="7"/>
      <c r="HE50" s="7"/>
      <c r="HF50" s="8"/>
      <c r="HG50" s="14"/>
      <c r="HH50" s="166"/>
      <c r="HI50" s="166"/>
      <c r="HJ50" s="166"/>
      <c r="HK50" s="166"/>
      <c r="HL50" s="166"/>
      <c r="HM50" s="166"/>
      <c r="HN50" s="166"/>
      <c r="HO50" s="166"/>
      <c r="HP50" s="166"/>
    </row>
    <row r="51" spans="2:224" x14ac:dyDescent="0.25">
      <c r="B51" s="7">
        <f>'PLAN DE NECESIDADES'!B42</f>
        <v>26</v>
      </c>
      <c r="C51" s="7">
        <f>'PLAN DE NECESIDADES'!C42</f>
        <v>3532105</v>
      </c>
      <c r="D51" s="60" t="str">
        <f>'PLAN DE NECESIDADES'!D42</f>
        <v>JABÓN DE BAÑO ANTIBACTERIAL
130 GRAMOS: ESPECIFICACIONES SEGÚN NORMA TÉCNICA NO. NTMD-0356 A2 ÍTEM  3.1.1.8</v>
      </c>
      <c r="E51" s="7" t="str">
        <f>'PLAN DE NECESIDADES'!E42</f>
        <v>UNIDAD</v>
      </c>
      <c r="F51" s="7">
        <f>'PLAN DE NECESIDADES'!F42</f>
        <v>0</v>
      </c>
      <c r="G51" s="7">
        <f>'PLAN DE NECESIDADES'!H42</f>
        <v>53131608</v>
      </c>
      <c r="H51" s="7">
        <f>'PLAN DE NECESIDADES'!I42</f>
        <v>1013955</v>
      </c>
      <c r="I51" s="7" t="str">
        <f>'PLAN DE NECESIDADES'!J42</f>
        <v>8520-80-0011401</v>
      </c>
      <c r="J51" s="7">
        <v>2</v>
      </c>
      <c r="K51" s="85">
        <v>69</v>
      </c>
      <c r="L51" s="85">
        <v>217</v>
      </c>
      <c r="M51" s="85">
        <v>279</v>
      </c>
      <c r="N51" s="85">
        <v>217</v>
      </c>
      <c r="O51" s="85">
        <v>248</v>
      </c>
      <c r="P51" s="85">
        <v>248</v>
      </c>
      <c r="Q51" s="85">
        <v>279</v>
      </c>
      <c r="R51" s="85">
        <v>125</v>
      </c>
      <c r="S51" s="85">
        <v>62</v>
      </c>
      <c r="T51" s="85">
        <v>279</v>
      </c>
      <c r="U51" s="85">
        <v>186</v>
      </c>
      <c r="V51" s="85">
        <v>32</v>
      </c>
      <c r="W51" s="85">
        <v>12</v>
      </c>
      <c r="X51" s="85">
        <v>186</v>
      </c>
      <c r="Y51" s="85">
        <v>186</v>
      </c>
      <c r="Z51" s="85">
        <f t="shared" si="286"/>
        <v>5312</v>
      </c>
      <c r="AA51" s="7">
        <f t="shared" si="286"/>
        <v>2882</v>
      </c>
      <c r="AB51" s="7">
        <f t="shared" si="286"/>
        <v>2430</v>
      </c>
      <c r="AC51" s="12">
        <v>5800</v>
      </c>
      <c r="AD51" s="7">
        <f>K51*J51</f>
        <v>138</v>
      </c>
      <c r="AE51" s="7">
        <f>J51*38</f>
        <v>76</v>
      </c>
      <c r="AF51" s="8">
        <f t="shared" si="287"/>
        <v>62</v>
      </c>
      <c r="AG51" s="14">
        <f>AC51*AE51</f>
        <v>440800</v>
      </c>
      <c r="AH51" s="133">
        <f t="shared" ref="AH51:AH52" si="351">AE51/J51</f>
        <v>38</v>
      </c>
      <c r="AI51" s="133">
        <v>31</v>
      </c>
      <c r="AJ51" s="133"/>
      <c r="AK51" s="133">
        <v>20</v>
      </c>
      <c r="AL51" s="133">
        <v>13</v>
      </c>
      <c r="AM51" s="133">
        <v>18</v>
      </c>
      <c r="AN51" s="133">
        <v>18</v>
      </c>
      <c r="AO51" s="133">
        <f t="shared" si="345"/>
        <v>31</v>
      </c>
      <c r="AP51" s="133">
        <f t="shared" ref="AP51:AP52" si="352">AH51+AJ51+AL51+AN51</f>
        <v>69</v>
      </c>
      <c r="AQ51" s="7">
        <f>L51*J51</f>
        <v>434</v>
      </c>
      <c r="AR51" s="7">
        <f>J51*120</f>
        <v>240</v>
      </c>
      <c r="AS51" s="8">
        <f t="shared" si="290"/>
        <v>194</v>
      </c>
      <c r="AT51" s="14">
        <f>AC51*AR51</f>
        <v>1392000</v>
      </c>
      <c r="AU51" s="133">
        <f t="shared" ref="AU51:AU52" si="353">AR51/J51</f>
        <v>120</v>
      </c>
      <c r="AV51" s="133">
        <v>93</v>
      </c>
      <c r="AW51" s="133"/>
      <c r="AX51" s="133">
        <v>62</v>
      </c>
      <c r="AY51" s="133">
        <v>35</v>
      </c>
      <c r="AZ51" s="133">
        <v>62</v>
      </c>
      <c r="BA51" s="133">
        <v>62</v>
      </c>
      <c r="BB51" s="133">
        <f t="shared" ref="BB51:BB52" si="354">AW51+AY51+BA51</f>
        <v>97</v>
      </c>
      <c r="BC51" s="133">
        <f t="shared" ref="BC51:BC52" si="355">AU51+AW51+AY51+BA51</f>
        <v>217</v>
      </c>
      <c r="BD51" s="7">
        <f>M51*J51</f>
        <v>558</v>
      </c>
      <c r="BE51" s="7">
        <f>J51*154</f>
        <v>308</v>
      </c>
      <c r="BF51" s="8">
        <f t="shared" si="294"/>
        <v>250</v>
      </c>
      <c r="BG51" s="14">
        <f>AC51*BE51</f>
        <v>1786400</v>
      </c>
      <c r="BH51" s="133">
        <f t="shared" ref="BH51:BH52" si="356">BE51/J51</f>
        <v>154</v>
      </c>
      <c r="BI51" s="133">
        <v>93</v>
      </c>
      <c r="BJ51" s="133"/>
      <c r="BK51" s="133">
        <v>62</v>
      </c>
      <c r="BL51" s="133">
        <v>1</v>
      </c>
      <c r="BM51" s="133">
        <v>124</v>
      </c>
      <c r="BN51" s="133">
        <v>124</v>
      </c>
      <c r="BO51" s="133">
        <f t="shared" ref="BO51:BO52" si="357">BJ51+BL51+BN51</f>
        <v>125</v>
      </c>
      <c r="BP51" s="133">
        <f t="shared" si="348"/>
        <v>279</v>
      </c>
      <c r="BQ51" s="7">
        <f>N51*J51</f>
        <v>434</v>
      </c>
      <c r="BR51" s="7">
        <f>J51*120</f>
        <v>240</v>
      </c>
      <c r="BS51" s="8">
        <f t="shared" si="295"/>
        <v>194</v>
      </c>
      <c r="BT51" s="14">
        <f>AC51*BR51</f>
        <v>1392000</v>
      </c>
      <c r="BU51" s="133">
        <f t="shared" ref="BU51:BU52" si="358">BR51/J51</f>
        <v>120</v>
      </c>
      <c r="BV51" s="133">
        <v>93</v>
      </c>
      <c r="BW51" s="133"/>
      <c r="BX51" s="133">
        <v>62</v>
      </c>
      <c r="BY51" s="133">
        <v>35</v>
      </c>
      <c r="BZ51" s="133">
        <v>62</v>
      </c>
      <c r="CA51" s="133">
        <v>62</v>
      </c>
      <c r="CB51" s="133">
        <f t="shared" si="297"/>
        <v>97</v>
      </c>
      <c r="CC51" s="133">
        <f t="shared" si="298"/>
        <v>217</v>
      </c>
      <c r="CD51" s="7">
        <f>M51*J51</f>
        <v>558</v>
      </c>
      <c r="CE51" s="7">
        <f>J51*137</f>
        <v>274</v>
      </c>
      <c r="CF51" s="8">
        <f t="shared" si="299"/>
        <v>284</v>
      </c>
      <c r="CG51" s="14">
        <f>CE51*AC51</f>
        <v>1589200</v>
      </c>
      <c r="CH51" s="134">
        <f t="shared" ref="CH51:CH52" si="359">CE51/J51</f>
        <v>137</v>
      </c>
      <c r="CI51" s="134">
        <v>62</v>
      </c>
      <c r="CJ51" s="134"/>
      <c r="CK51" s="134">
        <v>62</v>
      </c>
      <c r="CL51" s="134"/>
      <c r="CM51" s="134">
        <v>124</v>
      </c>
      <c r="CN51" s="133">
        <v>111</v>
      </c>
      <c r="CO51" s="133">
        <f t="shared" ref="CO51:CO52" si="360">CJ51+CL51+CN51</f>
        <v>111</v>
      </c>
      <c r="CP51" s="133">
        <f t="shared" ref="CP51:CP52" si="361">CH51+CJ51+CL51+CN51</f>
        <v>248</v>
      </c>
      <c r="CQ51" s="7">
        <f>P51*J51</f>
        <v>496</v>
      </c>
      <c r="CR51" s="7">
        <f>J51*137</f>
        <v>274</v>
      </c>
      <c r="CS51" s="8">
        <f t="shared" ref="CS51:CS52" si="362">CQ51-CR51</f>
        <v>222</v>
      </c>
      <c r="CT51" s="14">
        <f>AC51*CR51</f>
        <v>1589200</v>
      </c>
      <c r="CU51" s="134">
        <f t="shared" ref="CU51:CU52" si="363">CR51/J51</f>
        <v>137</v>
      </c>
      <c r="CV51" s="134">
        <v>93</v>
      </c>
      <c r="CW51" s="134"/>
      <c r="CX51" s="134">
        <v>93</v>
      </c>
      <c r="CY51" s="134">
        <v>49</v>
      </c>
      <c r="CZ51" s="134">
        <v>62</v>
      </c>
      <c r="DA51" s="134">
        <v>62</v>
      </c>
      <c r="DB51" s="134">
        <f t="shared" ref="DB51:DB52" si="364">CW51+CY51+DA51</f>
        <v>111</v>
      </c>
      <c r="DC51" s="134">
        <f t="shared" ref="DC51:DC52" si="365">CU51+CW51+CY51+DA51</f>
        <v>248</v>
      </c>
      <c r="DD51" s="7">
        <f>Q51*J51</f>
        <v>558</v>
      </c>
      <c r="DE51" s="7">
        <f>J51*154</f>
        <v>308</v>
      </c>
      <c r="DF51" s="8">
        <f t="shared" ref="DF51:DF52" si="366">DD51-DE51</f>
        <v>250</v>
      </c>
      <c r="DG51" s="14">
        <f>DE51*AC51</f>
        <v>1786400</v>
      </c>
      <c r="DH51" s="134">
        <f t="shared" si="307"/>
        <v>154</v>
      </c>
      <c r="DI51" s="134">
        <v>93</v>
      </c>
      <c r="DJ51" s="134"/>
      <c r="DK51" s="134">
        <v>124</v>
      </c>
      <c r="DL51" s="134">
        <v>63</v>
      </c>
      <c r="DM51" s="134">
        <v>62</v>
      </c>
      <c r="DN51" s="134">
        <v>62</v>
      </c>
      <c r="DO51" s="134">
        <f t="shared" si="308"/>
        <v>125</v>
      </c>
      <c r="DP51" s="134">
        <f t="shared" si="309"/>
        <v>279</v>
      </c>
      <c r="DQ51" s="7">
        <f t="shared" si="310"/>
        <v>250</v>
      </c>
      <c r="DR51" s="7">
        <f t="shared" si="350"/>
        <v>116</v>
      </c>
      <c r="DS51" s="8">
        <f t="shared" si="311"/>
        <v>134</v>
      </c>
      <c r="DT51" s="14">
        <f t="shared" si="312"/>
        <v>672800</v>
      </c>
      <c r="DU51" s="134">
        <f t="shared" si="313"/>
        <v>58</v>
      </c>
      <c r="DV51" s="134">
        <v>0</v>
      </c>
      <c r="DW51" s="134"/>
      <c r="DX51" s="134">
        <v>62</v>
      </c>
      <c r="DY51" s="134">
        <v>4</v>
      </c>
      <c r="DZ51" s="134">
        <v>63</v>
      </c>
      <c r="EA51" s="134">
        <v>63</v>
      </c>
      <c r="EB51" s="134">
        <f t="shared" si="314"/>
        <v>67</v>
      </c>
      <c r="EC51" s="134">
        <f t="shared" si="315"/>
        <v>125</v>
      </c>
      <c r="ED51" s="7">
        <f>S51*J51</f>
        <v>124</v>
      </c>
      <c r="EE51" s="7">
        <f>J51*34</f>
        <v>68</v>
      </c>
      <c r="EF51" s="8">
        <f t="shared" si="316"/>
        <v>56</v>
      </c>
      <c r="EG51" s="14">
        <f>EE51*AC51</f>
        <v>394400</v>
      </c>
      <c r="EH51" s="133">
        <f t="shared" ref="EH51:EH52" si="367">EE51/J51</f>
        <v>34</v>
      </c>
      <c r="EI51" s="133">
        <v>0</v>
      </c>
      <c r="EJ51" s="133"/>
      <c r="EK51" s="133">
        <v>62</v>
      </c>
      <c r="EL51" s="133">
        <f t="shared" ref="EL51:EL52" si="368">EK51-EH51</f>
        <v>28</v>
      </c>
      <c r="EM51" s="133">
        <v>0</v>
      </c>
      <c r="EN51" s="133"/>
      <c r="EO51" s="133">
        <f t="shared" ref="EO51:EO52" si="369">EJ51+EL51+EN51</f>
        <v>28</v>
      </c>
      <c r="EP51" s="133">
        <f t="shared" ref="EP51:EP52" si="370">EH51+EJ51+EL51+EN51</f>
        <v>62</v>
      </c>
      <c r="EQ51" s="7">
        <f>T51*J51</f>
        <v>558</v>
      </c>
      <c r="ER51" s="7">
        <f>J51*155</f>
        <v>310</v>
      </c>
      <c r="ES51" s="8">
        <f t="shared" si="321"/>
        <v>248</v>
      </c>
      <c r="ET51" s="14">
        <f>ER51*AC51</f>
        <v>1798000</v>
      </c>
      <c r="EU51" s="134">
        <f t="shared" ref="EU51:EU52" si="371">ER51/J51</f>
        <v>155</v>
      </c>
      <c r="EV51" s="134">
        <v>93</v>
      </c>
      <c r="EW51" s="134"/>
      <c r="EX51" s="134">
        <v>93</v>
      </c>
      <c r="EY51" s="134">
        <v>31</v>
      </c>
      <c r="EZ51" s="134">
        <v>93</v>
      </c>
      <c r="FA51" s="134">
        <v>93</v>
      </c>
      <c r="FB51" s="134">
        <f t="shared" ref="FB51:FB52" si="372">EW51+EY51+FA51</f>
        <v>124</v>
      </c>
      <c r="FC51" s="134">
        <f t="shared" ref="FC51:FC52" si="373">EU51+EW51+EY51+FA51</f>
        <v>279</v>
      </c>
      <c r="FD51" s="7">
        <f>U51*J51</f>
        <v>372</v>
      </c>
      <c r="FE51" s="7">
        <f>J51*103</f>
        <v>206</v>
      </c>
      <c r="FF51" s="8">
        <f t="shared" si="325"/>
        <v>166</v>
      </c>
      <c r="FG51" s="14">
        <f>FE51*AC51</f>
        <v>1194800</v>
      </c>
      <c r="FH51" s="133">
        <f t="shared" ref="FH51:FH52" si="374">FE51/J51</f>
        <v>103</v>
      </c>
      <c r="FI51" s="133">
        <v>62</v>
      </c>
      <c r="FJ51" s="133"/>
      <c r="FK51" s="133">
        <v>62</v>
      </c>
      <c r="FL51" s="133">
        <v>21</v>
      </c>
      <c r="FM51" s="133">
        <v>62</v>
      </c>
      <c r="FN51" s="133">
        <v>62</v>
      </c>
      <c r="FO51" s="133">
        <f t="shared" ref="FO51:FO52" si="375">FJ51+FL51+FN51</f>
        <v>83</v>
      </c>
      <c r="FP51" s="133">
        <f t="shared" ref="FP51:FP52" si="376">FH51+FJ51+FL51+FN51</f>
        <v>186</v>
      </c>
      <c r="FQ51" s="7">
        <f>V51*J51</f>
        <v>64</v>
      </c>
      <c r="FR51" s="7">
        <f>J51*18</f>
        <v>36</v>
      </c>
      <c r="FS51" s="8">
        <f t="shared" si="329"/>
        <v>28</v>
      </c>
      <c r="FT51" s="14">
        <f>FR51*AC51</f>
        <v>208800</v>
      </c>
      <c r="FU51" s="134">
        <f t="shared" ref="FU51:FU52" si="377">FR51/J51</f>
        <v>18</v>
      </c>
      <c r="FV51" s="134">
        <v>0</v>
      </c>
      <c r="FW51" s="134"/>
      <c r="FX51" s="134">
        <v>16</v>
      </c>
      <c r="FY51" s="134"/>
      <c r="FZ51" s="134">
        <v>16</v>
      </c>
      <c r="GA51" s="134">
        <v>14</v>
      </c>
      <c r="GB51" s="134">
        <f t="shared" ref="GB51:GB52" si="378">FW51+FY51+GA51</f>
        <v>14</v>
      </c>
      <c r="GC51" s="134">
        <f t="shared" ref="GC51:GC52" si="379">FU51+FW51+FY51+GA51</f>
        <v>32</v>
      </c>
      <c r="GD51" s="7">
        <f>W51*J51</f>
        <v>24</v>
      </c>
      <c r="GE51" s="7">
        <f>J51*7</f>
        <v>14</v>
      </c>
      <c r="GF51" s="8">
        <f t="shared" si="333"/>
        <v>10</v>
      </c>
      <c r="GG51" s="14">
        <f>GE51*AC51</f>
        <v>81200</v>
      </c>
      <c r="GH51" s="134">
        <f t="shared" ref="GH51:GH52" si="380">GE51/J51</f>
        <v>7</v>
      </c>
      <c r="GI51" s="134">
        <v>4</v>
      </c>
      <c r="GJ51" s="134"/>
      <c r="GK51" s="134">
        <v>4</v>
      </c>
      <c r="GL51" s="134">
        <v>1</v>
      </c>
      <c r="GM51" s="134">
        <v>4</v>
      </c>
      <c r="GN51" s="134">
        <v>4</v>
      </c>
      <c r="GO51" s="134">
        <f t="shared" ref="GO51:GO52" si="381">GJ51+GL51+GN51</f>
        <v>5</v>
      </c>
      <c r="GP51" s="134">
        <f t="shared" ref="GP51:GP52" si="382">GH51+GJ51+GL51+GN51</f>
        <v>12</v>
      </c>
      <c r="GQ51" s="7">
        <f>X51*J51</f>
        <v>372</v>
      </c>
      <c r="GR51" s="7">
        <f>J51*103</f>
        <v>206</v>
      </c>
      <c r="GS51" s="8">
        <f t="shared" si="337"/>
        <v>166</v>
      </c>
      <c r="GT51" s="14">
        <f>GR51*AC51</f>
        <v>1194800</v>
      </c>
      <c r="GU51" s="133">
        <f t="shared" ref="GU51:GU52" si="383">GR51/J51</f>
        <v>103</v>
      </c>
      <c r="GV51" s="133">
        <v>62</v>
      </c>
      <c r="GW51" s="133"/>
      <c r="GX51" s="133">
        <v>62</v>
      </c>
      <c r="GY51" s="133">
        <v>21</v>
      </c>
      <c r="GZ51" s="133">
        <v>62</v>
      </c>
      <c r="HA51" s="133">
        <v>62</v>
      </c>
      <c r="HB51" s="133">
        <f t="shared" ref="HB51:HB52" si="384">GW51+GY51+HA51</f>
        <v>83</v>
      </c>
      <c r="HC51" s="133">
        <f t="shared" ref="HC51:HC52" si="385">GU51+GW51+GY51+HA51</f>
        <v>186</v>
      </c>
      <c r="HD51" s="7">
        <f>Y51*J51</f>
        <v>372</v>
      </c>
      <c r="HE51" s="7">
        <f>J51*103</f>
        <v>206</v>
      </c>
      <c r="HF51" s="8">
        <f t="shared" si="341"/>
        <v>166</v>
      </c>
      <c r="HG51" s="14">
        <f>HE51*AC51</f>
        <v>1194800</v>
      </c>
      <c r="HH51" s="7">
        <f t="shared" ref="HH51:HH52" si="386">HE51/J51</f>
        <v>103</v>
      </c>
      <c r="HI51" s="7">
        <v>62</v>
      </c>
      <c r="HJ51" s="7"/>
      <c r="HK51" s="7">
        <v>62</v>
      </c>
      <c r="HL51" s="7">
        <v>21</v>
      </c>
      <c r="HM51" s="7">
        <v>62</v>
      </c>
      <c r="HN51" s="7">
        <v>62</v>
      </c>
      <c r="HO51" s="133">
        <f t="shared" ref="HO51:HO52" si="387">HJ51+HL51+HN51</f>
        <v>83</v>
      </c>
      <c r="HP51" s="133">
        <f t="shared" ref="HP51:HP52" si="388">HH51+HJ51+HL51+HN51</f>
        <v>186</v>
      </c>
    </row>
    <row r="52" spans="2:224" x14ac:dyDescent="0.25">
      <c r="B52" s="7">
        <f>'PLAN DE NECESIDADES'!B43</f>
        <v>27</v>
      </c>
      <c r="C52" s="7">
        <f>'PLAN DE NECESIDADES'!C43</f>
        <v>3532101</v>
      </c>
      <c r="D52" s="60" t="str">
        <f>'PLAN DE NECESIDADES'!D43</f>
        <v>JABÓN PARA LAVAR ROPA:
DE 300 GRAMOS, ESPECIFICACIONES SEGÚN NORMA TÉCNICA NO. NTMD-0356 A2  ÍTEM  3.1.1.13</v>
      </c>
      <c r="E52" s="7" t="str">
        <f>'PLAN DE NECESIDADES'!E43</f>
        <v>UNIDAD</v>
      </c>
      <c r="F52" s="7">
        <f>'PLAN DE NECESIDADES'!F43</f>
        <v>0</v>
      </c>
      <c r="G52" s="7">
        <f>'PLAN DE NECESIDADES'!H43</f>
        <v>47131811</v>
      </c>
      <c r="H52" s="7">
        <f>'PLAN DE NECESIDADES'!I43</f>
        <v>1298675</v>
      </c>
      <c r="I52" s="7" t="str">
        <f>'PLAN DE NECESIDADES'!J43</f>
        <v>7930-80-0011405</v>
      </c>
      <c r="J52" s="7">
        <v>1</v>
      </c>
      <c r="K52" s="85">
        <v>69</v>
      </c>
      <c r="L52" s="85">
        <v>217</v>
      </c>
      <c r="M52" s="85">
        <v>279</v>
      </c>
      <c r="N52" s="85">
        <v>217</v>
      </c>
      <c r="O52" s="85">
        <v>248</v>
      </c>
      <c r="P52" s="85">
        <v>248</v>
      </c>
      <c r="Q52" s="85">
        <v>279</v>
      </c>
      <c r="R52" s="85">
        <v>125</v>
      </c>
      <c r="S52" s="85">
        <v>62</v>
      </c>
      <c r="T52" s="85">
        <v>279</v>
      </c>
      <c r="U52" s="85">
        <v>186</v>
      </c>
      <c r="V52" s="85">
        <v>32</v>
      </c>
      <c r="W52" s="85">
        <v>12</v>
      </c>
      <c r="X52" s="85">
        <v>186</v>
      </c>
      <c r="Y52" s="85">
        <v>186</v>
      </c>
      <c r="Z52" s="85">
        <f t="shared" si="286"/>
        <v>2656</v>
      </c>
      <c r="AA52" s="7">
        <f t="shared" si="286"/>
        <v>1447</v>
      </c>
      <c r="AB52" s="7">
        <f t="shared" si="286"/>
        <v>1209</v>
      </c>
      <c r="AC52" s="12">
        <v>3100</v>
      </c>
      <c r="AD52" s="7">
        <f>K52*J52</f>
        <v>69</v>
      </c>
      <c r="AE52" s="7">
        <f>J52*40</f>
        <v>40</v>
      </c>
      <c r="AF52" s="8">
        <f t="shared" si="287"/>
        <v>29</v>
      </c>
      <c r="AG52" s="14">
        <f>AC52*AE52</f>
        <v>124000</v>
      </c>
      <c r="AH52" s="133">
        <f t="shared" si="351"/>
        <v>40</v>
      </c>
      <c r="AI52" s="133">
        <v>31</v>
      </c>
      <c r="AJ52" s="133"/>
      <c r="AK52" s="133">
        <v>20</v>
      </c>
      <c r="AL52" s="133">
        <v>11</v>
      </c>
      <c r="AM52" s="133">
        <v>18</v>
      </c>
      <c r="AN52" s="133">
        <v>18</v>
      </c>
      <c r="AO52" s="133">
        <f t="shared" si="345"/>
        <v>29</v>
      </c>
      <c r="AP52" s="133">
        <f t="shared" si="352"/>
        <v>69</v>
      </c>
      <c r="AQ52" s="7">
        <f>L52*J52</f>
        <v>217</v>
      </c>
      <c r="AR52" s="7">
        <f>J52*119</f>
        <v>119</v>
      </c>
      <c r="AS52" s="8">
        <f t="shared" si="290"/>
        <v>98</v>
      </c>
      <c r="AT52" s="14">
        <f>AC52*AR52</f>
        <v>368900</v>
      </c>
      <c r="AU52" s="133">
        <f t="shared" si="353"/>
        <v>119</v>
      </c>
      <c r="AV52" s="133">
        <v>93</v>
      </c>
      <c r="AW52" s="133"/>
      <c r="AX52" s="133">
        <v>62</v>
      </c>
      <c r="AY52" s="133">
        <v>36</v>
      </c>
      <c r="AZ52" s="133">
        <v>62</v>
      </c>
      <c r="BA52" s="133">
        <v>62</v>
      </c>
      <c r="BB52" s="133">
        <f t="shared" si="354"/>
        <v>98</v>
      </c>
      <c r="BC52" s="133">
        <f t="shared" si="355"/>
        <v>217</v>
      </c>
      <c r="BD52" s="7">
        <f>M52*J52</f>
        <v>279</v>
      </c>
      <c r="BE52" s="7">
        <f>J52*155</f>
        <v>155</v>
      </c>
      <c r="BF52" s="8">
        <f t="shared" si="294"/>
        <v>124</v>
      </c>
      <c r="BG52" s="14">
        <f>AC52*BE52</f>
        <v>480500</v>
      </c>
      <c r="BH52" s="133">
        <f t="shared" si="356"/>
        <v>155</v>
      </c>
      <c r="BI52" s="133">
        <v>93</v>
      </c>
      <c r="BJ52" s="133"/>
      <c r="BK52" s="133">
        <v>62</v>
      </c>
      <c r="BL52" s="133"/>
      <c r="BM52" s="133">
        <v>124</v>
      </c>
      <c r="BN52" s="133">
        <v>124</v>
      </c>
      <c r="BO52" s="133">
        <f t="shared" si="357"/>
        <v>124</v>
      </c>
      <c r="BP52" s="133">
        <f t="shared" si="348"/>
        <v>279</v>
      </c>
      <c r="BQ52" s="7">
        <f>N52*J52</f>
        <v>217</v>
      </c>
      <c r="BR52" s="7">
        <f>J52*119</f>
        <v>119</v>
      </c>
      <c r="BS52" s="8">
        <f t="shared" si="295"/>
        <v>98</v>
      </c>
      <c r="BT52" s="14">
        <f>AC52*BR52</f>
        <v>368900</v>
      </c>
      <c r="BU52" s="133">
        <f t="shared" si="358"/>
        <v>119</v>
      </c>
      <c r="BV52" s="133">
        <v>93</v>
      </c>
      <c r="BW52" s="133"/>
      <c r="BX52" s="133">
        <v>62</v>
      </c>
      <c r="BY52" s="133">
        <v>36</v>
      </c>
      <c r="BZ52" s="133">
        <v>62</v>
      </c>
      <c r="CA52" s="133">
        <v>62</v>
      </c>
      <c r="CB52" s="133">
        <f t="shared" si="297"/>
        <v>98</v>
      </c>
      <c r="CC52" s="133">
        <f t="shared" si="298"/>
        <v>217</v>
      </c>
      <c r="CD52" s="7">
        <f>M52*J52</f>
        <v>279</v>
      </c>
      <c r="CE52" s="7">
        <f>J52*139</f>
        <v>139</v>
      </c>
      <c r="CF52" s="8">
        <f t="shared" si="299"/>
        <v>140</v>
      </c>
      <c r="CG52" s="14">
        <f>CE52*AC52</f>
        <v>430900</v>
      </c>
      <c r="CH52" s="134">
        <f t="shared" si="359"/>
        <v>139</v>
      </c>
      <c r="CI52" s="134">
        <v>62</v>
      </c>
      <c r="CJ52" s="134"/>
      <c r="CK52" s="134">
        <v>62</v>
      </c>
      <c r="CL52" s="134"/>
      <c r="CM52" s="134">
        <v>124</v>
      </c>
      <c r="CN52" s="133">
        <v>109</v>
      </c>
      <c r="CO52" s="133">
        <f t="shared" si="360"/>
        <v>109</v>
      </c>
      <c r="CP52" s="133">
        <f t="shared" si="361"/>
        <v>248</v>
      </c>
      <c r="CQ52" s="7">
        <f>P52*J52</f>
        <v>248</v>
      </c>
      <c r="CR52" s="7">
        <f>J52*139</f>
        <v>139</v>
      </c>
      <c r="CS52" s="8">
        <f t="shared" si="362"/>
        <v>109</v>
      </c>
      <c r="CT52" s="14">
        <f>AC52*CR52</f>
        <v>430900</v>
      </c>
      <c r="CU52" s="134">
        <f t="shared" si="363"/>
        <v>139</v>
      </c>
      <c r="CV52" s="134">
        <v>93</v>
      </c>
      <c r="CW52" s="134"/>
      <c r="CX52" s="134">
        <v>93</v>
      </c>
      <c r="CY52" s="134">
        <v>47</v>
      </c>
      <c r="CZ52" s="134">
        <v>62</v>
      </c>
      <c r="DA52" s="134">
        <v>62</v>
      </c>
      <c r="DB52" s="134">
        <f t="shared" si="364"/>
        <v>109</v>
      </c>
      <c r="DC52" s="134">
        <f t="shared" si="365"/>
        <v>248</v>
      </c>
      <c r="DD52" s="7">
        <f>Q52*J52</f>
        <v>279</v>
      </c>
      <c r="DE52" s="7">
        <f>J52*155</f>
        <v>155</v>
      </c>
      <c r="DF52" s="8">
        <f t="shared" si="366"/>
        <v>124</v>
      </c>
      <c r="DG52" s="14">
        <f>DE52*AC52</f>
        <v>480500</v>
      </c>
      <c r="DH52" s="134">
        <f t="shared" si="307"/>
        <v>155</v>
      </c>
      <c r="DI52" s="134">
        <v>93</v>
      </c>
      <c r="DJ52" s="134"/>
      <c r="DK52" s="134">
        <v>124</v>
      </c>
      <c r="DL52" s="134">
        <v>62</v>
      </c>
      <c r="DM52" s="134">
        <v>62</v>
      </c>
      <c r="DN52" s="134">
        <v>62</v>
      </c>
      <c r="DO52" s="134">
        <f t="shared" si="308"/>
        <v>124</v>
      </c>
      <c r="DP52" s="134">
        <f t="shared" si="309"/>
        <v>279</v>
      </c>
      <c r="DQ52" s="7">
        <f t="shared" si="310"/>
        <v>125</v>
      </c>
      <c r="DR52" s="7">
        <f t="shared" si="350"/>
        <v>58</v>
      </c>
      <c r="DS52" s="8">
        <f t="shared" si="311"/>
        <v>67</v>
      </c>
      <c r="DT52" s="14">
        <f t="shared" si="312"/>
        <v>179800</v>
      </c>
      <c r="DU52" s="134">
        <f t="shared" si="313"/>
        <v>58</v>
      </c>
      <c r="DV52" s="134">
        <v>0</v>
      </c>
      <c r="DW52" s="134"/>
      <c r="DX52" s="134">
        <v>62</v>
      </c>
      <c r="DY52" s="134">
        <v>4</v>
      </c>
      <c r="DZ52" s="134">
        <v>63</v>
      </c>
      <c r="EA52" s="134">
        <v>63</v>
      </c>
      <c r="EB52" s="134">
        <f t="shared" si="314"/>
        <v>67</v>
      </c>
      <c r="EC52" s="134">
        <f t="shared" si="315"/>
        <v>125</v>
      </c>
      <c r="ED52" s="7">
        <f>S52*J52</f>
        <v>62</v>
      </c>
      <c r="EE52" s="7">
        <f>J52*35</f>
        <v>35</v>
      </c>
      <c r="EF52" s="8">
        <f t="shared" si="316"/>
        <v>27</v>
      </c>
      <c r="EG52" s="14">
        <f>EE52*AC52</f>
        <v>108500</v>
      </c>
      <c r="EH52" s="133">
        <f t="shared" si="367"/>
        <v>35</v>
      </c>
      <c r="EI52" s="133">
        <v>0</v>
      </c>
      <c r="EJ52" s="133"/>
      <c r="EK52" s="133">
        <v>62</v>
      </c>
      <c r="EL52" s="133">
        <f t="shared" si="368"/>
        <v>27</v>
      </c>
      <c r="EM52" s="133">
        <v>0</v>
      </c>
      <c r="EN52" s="133"/>
      <c r="EO52" s="133">
        <f t="shared" si="369"/>
        <v>27</v>
      </c>
      <c r="EP52" s="133">
        <f t="shared" si="370"/>
        <v>62</v>
      </c>
      <c r="EQ52" s="7">
        <f>T52*J52</f>
        <v>279</v>
      </c>
      <c r="ER52" s="7">
        <f>J52*154</f>
        <v>154</v>
      </c>
      <c r="ES52" s="8">
        <f t="shared" si="321"/>
        <v>125</v>
      </c>
      <c r="ET52" s="14">
        <f>ER52*AC52</f>
        <v>477400</v>
      </c>
      <c r="EU52" s="134">
        <f t="shared" si="371"/>
        <v>154</v>
      </c>
      <c r="EV52" s="134">
        <v>93</v>
      </c>
      <c r="EW52" s="134"/>
      <c r="EX52" s="134">
        <v>93</v>
      </c>
      <c r="EY52" s="134">
        <v>32</v>
      </c>
      <c r="EZ52" s="134">
        <v>93</v>
      </c>
      <c r="FA52" s="134">
        <v>93</v>
      </c>
      <c r="FB52" s="134">
        <f t="shared" si="372"/>
        <v>125</v>
      </c>
      <c r="FC52" s="134">
        <f t="shared" si="373"/>
        <v>279</v>
      </c>
      <c r="FD52" s="7">
        <f>U52*J52</f>
        <v>186</v>
      </c>
      <c r="FE52" s="7">
        <f>J52*103</f>
        <v>103</v>
      </c>
      <c r="FF52" s="8">
        <f t="shared" si="325"/>
        <v>83</v>
      </c>
      <c r="FG52" s="14">
        <f>FE52*AC52</f>
        <v>319300</v>
      </c>
      <c r="FH52" s="133">
        <f t="shared" si="374"/>
        <v>103</v>
      </c>
      <c r="FI52" s="133">
        <v>62</v>
      </c>
      <c r="FJ52" s="133"/>
      <c r="FK52" s="133">
        <v>62</v>
      </c>
      <c r="FL52" s="133">
        <v>21</v>
      </c>
      <c r="FM52" s="133">
        <v>62</v>
      </c>
      <c r="FN52" s="133">
        <v>62</v>
      </c>
      <c r="FO52" s="133">
        <f t="shared" si="375"/>
        <v>83</v>
      </c>
      <c r="FP52" s="133">
        <f t="shared" si="376"/>
        <v>186</v>
      </c>
      <c r="FQ52" s="7">
        <f>V52*J52</f>
        <v>32</v>
      </c>
      <c r="FR52" s="7">
        <f>J52*18</f>
        <v>18</v>
      </c>
      <c r="FS52" s="8">
        <f t="shared" si="329"/>
        <v>14</v>
      </c>
      <c r="FT52" s="14">
        <f>FR52*AC52</f>
        <v>55800</v>
      </c>
      <c r="FU52" s="134">
        <f t="shared" si="377"/>
        <v>18</v>
      </c>
      <c r="FV52" s="134">
        <v>0</v>
      </c>
      <c r="FW52" s="134"/>
      <c r="FX52" s="134">
        <v>16</v>
      </c>
      <c r="FY52" s="134"/>
      <c r="FZ52" s="134">
        <v>16</v>
      </c>
      <c r="GA52" s="134">
        <v>14</v>
      </c>
      <c r="GB52" s="134">
        <f t="shared" si="378"/>
        <v>14</v>
      </c>
      <c r="GC52" s="134">
        <f t="shared" si="379"/>
        <v>32</v>
      </c>
      <c r="GD52" s="7">
        <f>W52*J52</f>
        <v>12</v>
      </c>
      <c r="GE52" s="7">
        <f>J52*7</f>
        <v>7</v>
      </c>
      <c r="GF52" s="8">
        <f t="shared" si="333"/>
        <v>5</v>
      </c>
      <c r="GG52" s="14">
        <f>GE52*AC52</f>
        <v>21700</v>
      </c>
      <c r="GH52" s="134">
        <f t="shared" si="380"/>
        <v>7</v>
      </c>
      <c r="GI52" s="134">
        <v>4</v>
      </c>
      <c r="GJ52" s="134"/>
      <c r="GK52" s="134">
        <v>4</v>
      </c>
      <c r="GL52" s="134">
        <v>1</v>
      </c>
      <c r="GM52" s="134">
        <v>4</v>
      </c>
      <c r="GN52" s="134">
        <v>4</v>
      </c>
      <c r="GO52" s="134">
        <f t="shared" si="381"/>
        <v>5</v>
      </c>
      <c r="GP52" s="134">
        <f t="shared" si="382"/>
        <v>12</v>
      </c>
      <c r="GQ52" s="7">
        <f>X52*J52</f>
        <v>186</v>
      </c>
      <c r="GR52" s="7">
        <f>J52*103</f>
        <v>103</v>
      </c>
      <c r="GS52" s="8">
        <f t="shared" si="337"/>
        <v>83</v>
      </c>
      <c r="GT52" s="14">
        <f>GR52*AC52</f>
        <v>319300</v>
      </c>
      <c r="GU52" s="133">
        <f t="shared" si="383"/>
        <v>103</v>
      </c>
      <c r="GV52" s="133">
        <v>62</v>
      </c>
      <c r="GW52" s="133"/>
      <c r="GX52" s="133">
        <v>62</v>
      </c>
      <c r="GY52" s="133">
        <v>21</v>
      </c>
      <c r="GZ52" s="133">
        <v>62</v>
      </c>
      <c r="HA52" s="133">
        <v>62</v>
      </c>
      <c r="HB52" s="133">
        <f t="shared" si="384"/>
        <v>83</v>
      </c>
      <c r="HC52" s="133">
        <f t="shared" si="385"/>
        <v>186</v>
      </c>
      <c r="HD52" s="7">
        <f>Y52*J52</f>
        <v>186</v>
      </c>
      <c r="HE52" s="7">
        <f>J52*103</f>
        <v>103</v>
      </c>
      <c r="HF52" s="8">
        <f t="shared" si="341"/>
        <v>83</v>
      </c>
      <c r="HG52" s="14">
        <f>HE52*AC52</f>
        <v>319300</v>
      </c>
      <c r="HH52" s="7">
        <f t="shared" si="386"/>
        <v>103</v>
      </c>
      <c r="HI52" s="7">
        <v>62</v>
      </c>
      <c r="HJ52" s="7"/>
      <c r="HK52" s="7">
        <v>62</v>
      </c>
      <c r="HL52" s="7">
        <v>21</v>
      </c>
      <c r="HM52" s="7">
        <v>62</v>
      </c>
      <c r="HN52" s="7">
        <v>62</v>
      </c>
      <c r="HO52" s="133">
        <f t="shared" si="387"/>
        <v>83</v>
      </c>
      <c r="HP52" s="133">
        <f t="shared" si="388"/>
        <v>186</v>
      </c>
    </row>
    <row r="53" spans="2:224" hidden="1" x14ac:dyDescent="0.25">
      <c r="B53" s="226" t="s">
        <v>18</v>
      </c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8">
        <f>SUM(AG46:AG52)</f>
        <v>2012600</v>
      </c>
      <c r="AE53" s="228"/>
      <c r="AF53" s="228"/>
      <c r="AG53" s="228"/>
      <c r="AH53" s="113"/>
      <c r="AI53" s="113"/>
      <c r="AJ53" s="113"/>
      <c r="AK53" s="113"/>
      <c r="AL53" s="113"/>
      <c r="AM53" s="113"/>
      <c r="AN53" s="113"/>
      <c r="AO53" s="113"/>
      <c r="AP53" s="113"/>
      <c r="AQ53" s="228">
        <f t="shared" ref="AQ53" si="389">SUM(AT46:AT52)</f>
        <v>6332900</v>
      </c>
      <c r="AR53" s="228"/>
      <c r="AS53" s="228"/>
      <c r="AT53" s="228"/>
      <c r="AU53" s="113"/>
      <c r="AV53" s="113"/>
      <c r="AW53" s="113"/>
      <c r="AX53" s="113"/>
      <c r="AY53" s="113"/>
      <c r="AZ53" s="113"/>
      <c r="BA53" s="113"/>
      <c r="BB53" s="113"/>
      <c r="BC53" s="113"/>
      <c r="BD53" s="228">
        <f t="shared" ref="BD53" si="390">SUM(BG46:BG52)</f>
        <v>8143800</v>
      </c>
      <c r="BE53" s="228"/>
      <c r="BF53" s="228"/>
      <c r="BG53" s="228"/>
      <c r="BH53" s="142"/>
      <c r="BI53" s="113"/>
      <c r="BJ53" s="113"/>
      <c r="BK53" s="113"/>
      <c r="BL53" s="113"/>
      <c r="BM53" s="113"/>
      <c r="BN53" s="113"/>
      <c r="BO53" s="113"/>
      <c r="BP53" s="113"/>
      <c r="BQ53" s="228">
        <f t="shared" ref="BQ53" si="391">SUM(BT46:BT52)</f>
        <v>6332900</v>
      </c>
      <c r="BR53" s="228"/>
      <c r="BS53" s="228"/>
      <c r="BT53" s="228"/>
      <c r="BU53" s="142"/>
      <c r="BV53" s="142"/>
      <c r="BW53" s="142"/>
      <c r="BX53" s="142"/>
      <c r="BY53" s="142"/>
      <c r="BZ53" s="142"/>
      <c r="CA53" s="142"/>
      <c r="CB53" s="142"/>
      <c r="CC53" s="142"/>
      <c r="CD53" s="228">
        <f t="shared" ref="CD53" si="392">SUM(CG46:CG52)</f>
        <v>7239800</v>
      </c>
      <c r="CE53" s="228"/>
      <c r="CF53" s="228"/>
      <c r="CG53" s="228"/>
      <c r="CH53" s="153"/>
      <c r="CI53" s="113"/>
      <c r="CJ53" s="113"/>
      <c r="CK53" s="113"/>
      <c r="CL53" s="113"/>
      <c r="CM53" s="113"/>
      <c r="CN53" s="113"/>
      <c r="CO53" s="113"/>
      <c r="CP53" s="113"/>
      <c r="CQ53" s="228">
        <f t="shared" ref="CQ53" si="393">SUM(CT46:CT52)</f>
        <v>7239800</v>
      </c>
      <c r="CR53" s="228"/>
      <c r="CS53" s="228"/>
      <c r="CT53" s="228"/>
      <c r="CU53" s="153"/>
      <c r="CV53" s="153"/>
      <c r="CW53" s="153"/>
      <c r="CX53" s="153"/>
      <c r="CY53" s="153"/>
      <c r="CZ53" s="153"/>
      <c r="DA53" s="153"/>
      <c r="DB53" s="153"/>
      <c r="DC53" s="153"/>
      <c r="DD53" s="228">
        <f t="shared" ref="DD53" si="394">SUM(DG46:DG52)</f>
        <v>8144300</v>
      </c>
      <c r="DE53" s="228"/>
      <c r="DF53" s="228"/>
      <c r="DG53" s="228"/>
      <c r="DH53" s="153"/>
      <c r="DI53" s="153"/>
      <c r="DJ53" s="153"/>
      <c r="DK53" s="153"/>
      <c r="DL53" s="153"/>
      <c r="DM53" s="153"/>
      <c r="DN53" s="153"/>
      <c r="DO53" s="153"/>
      <c r="DP53" s="153"/>
      <c r="DQ53" s="228">
        <f t="shared" ref="DQ53" si="395">SUM(DT46:DT52)</f>
        <v>3646600</v>
      </c>
      <c r="DR53" s="228"/>
      <c r="DS53" s="228"/>
      <c r="DT53" s="228"/>
      <c r="DU53" s="153"/>
      <c r="DV53" s="153"/>
      <c r="DW53" s="153"/>
      <c r="DX53" s="153"/>
      <c r="DY53" s="153"/>
      <c r="DZ53" s="153"/>
      <c r="EA53" s="153"/>
      <c r="EB53" s="153"/>
      <c r="EC53" s="153"/>
      <c r="ED53" s="228">
        <f t="shared" ref="ED53" si="396">SUM(EG46:EG52)</f>
        <v>1807000</v>
      </c>
      <c r="EE53" s="228"/>
      <c r="EF53" s="228"/>
      <c r="EG53" s="228"/>
      <c r="EH53" s="142"/>
      <c r="EI53" s="142"/>
      <c r="EJ53" s="142"/>
      <c r="EK53" s="142"/>
      <c r="EL53" s="142"/>
      <c r="EM53" s="142"/>
      <c r="EN53" s="142"/>
      <c r="EO53" s="142"/>
      <c r="EP53" s="142"/>
      <c r="EQ53" s="228">
        <f t="shared" ref="EQ53" si="397">SUM(ET46:ET52)</f>
        <v>8142800</v>
      </c>
      <c r="ER53" s="228"/>
      <c r="ES53" s="228"/>
      <c r="ET53" s="228"/>
      <c r="EU53" s="153"/>
      <c r="EV53" s="153"/>
      <c r="EW53" s="153"/>
      <c r="EX53" s="153"/>
      <c r="EY53" s="153"/>
      <c r="EZ53" s="153"/>
      <c r="FA53" s="153"/>
      <c r="FB53" s="153"/>
      <c r="FC53" s="153"/>
      <c r="FD53" s="228">
        <f t="shared" ref="FD53" si="398">SUM(FG46:FG52)</f>
        <v>5429700</v>
      </c>
      <c r="FE53" s="228"/>
      <c r="FF53" s="228"/>
      <c r="FG53" s="228"/>
      <c r="FH53" s="142"/>
      <c r="FI53" s="142"/>
      <c r="FJ53" s="142"/>
      <c r="FK53" s="142"/>
      <c r="FL53" s="142"/>
      <c r="FM53" s="142"/>
      <c r="FN53" s="142"/>
      <c r="FO53" s="142"/>
      <c r="FP53" s="142"/>
      <c r="FQ53" s="228">
        <f t="shared" ref="FQ53" si="399">SUM(FT46:FT52)</f>
        <v>931700</v>
      </c>
      <c r="FR53" s="228"/>
      <c r="FS53" s="228"/>
      <c r="FT53" s="228"/>
      <c r="FU53" s="153"/>
      <c r="FV53" s="153"/>
      <c r="FW53" s="153"/>
      <c r="FX53" s="153"/>
      <c r="FY53" s="153"/>
      <c r="FZ53" s="153"/>
      <c r="GA53" s="153"/>
      <c r="GB53" s="153"/>
      <c r="GC53" s="153"/>
      <c r="GD53" s="228">
        <f t="shared" ref="GD53" si="400">SUM(GG46:GG52)</f>
        <v>350100</v>
      </c>
      <c r="GE53" s="228"/>
      <c r="GF53" s="228"/>
      <c r="GG53" s="228"/>
      <c r="GH53" s="153"/>
      <c r="GI53" s="153"/>
      <c r="GJ53" s="153"/>
      <c r="GK53" s="153"/>
      <c r="GL53" s="153"/>
      <c r="GM53" s="153"/>
      <c r="GN53" s="153"/>
      <c r="GO53" s="153"/>
      <c r="GP53" s="153"/>
      <c r="GQ53" s="228">
        <f t="shared" ref="GQ53" si="401">SUM(GT46:GT52)</f>
        <v>5429700</v>
      </c>
      <c r="GR53" s="228"/>
      <c r="GS53" s="228"/>
      <c r="GT53" s="228"/>
      <c r="GU53" s="142"/>
      <c r="GV53" s="142"/>
      <c r="GW53" s="142"/>
      <c r="GX53" s="142"/>
      <c r="GY53" s="142"/>
      <c r="GZ53" s="142"/>
      <c r="HA53" s="142"/>
      <c r="HB53" s="142"/>
      <c r="HC53" s="142"/>
      <c r="HD53" s="228">
        <f t="shared" ref="HD53" si="402">SUM(HG46:HG52)</f>
        <v>5428900</v>
      </c>
      <c r="HE53" s="228"/>
      <c r="HF53" s="228"/>
      <c r="HG53" s="228"/>
    </row>
    <row r="54" spans="2:224" hidden="1" x14ac:dyDescent="0.25">
      <c r="B54" s="226" t="s">
        <v>19</v>
      </c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8">
        <f>SUMIFS(PRESUPUESTO!$G$105:$G$119,PRESUPUESTO!$E$105:$E$119,AD44)</f>
        <v>2014359.2411428571</v>
      </c>
      <c r="AE54" s="228"/>
      <c r="AF54" s="228"/>
      <c r="AG54" s="228"/>
      <c r="AH54" s="113"/>
      <c r="AI54" s="113"/>
      <c r="AJ54" s="113"/>
      <c r="AK54" s="113"/>
      <c r="AL54" s="113"/>
      <c r="AM54" s="113"/>
      <c r="AN54" s="113"/>
      <c r="AO54" s="113"/>
      <c r="AP54" s="113"/>
      <c r="AQ54" s="228">
        <f>SUMIFS(PRESUPUESTO!$G$105:$G$119,PRESUPUESTO!$E$105:$E$119,AQ44)</f>
        <v>6335013.8453333331</v>
      </c>
      <c r="AR54" s="228"/>
      <c r="AS54" s="228"/>
      <c r="AT54" s="228"/>
      <c r="AU54" s="113"/>
      <c r="AV54" s="113"/>
      <c r="AW54" s="113"/>
      <c r="AX54" s="113"/>
      <c r="AY54" s="113"/>
      <c r="AZ54" s="113"/>
      <c r="BA54" s="113"/>
      <c r="BB54" s="113"/>
      <c r="BC54" s="113"/>
      <c r="BD54" s="228">
        <f>SUMIFS(PRESUPUESTO!$G$105:$G$119,PRESUPUESTO!$E$105:$E$119,BD44)</f>
        <v>8145017.8011428565</v>
      </c>
      <c r="BE54" s="228"/>
      <c r="BF54" s="228"/>
      <c r="BG54" s="228"/>
      <c r="BH54" s="142"/>
      <c r="BI54" s="113"/>
      <c r="BJ54" s="113"/>
      <c r="BK54" s="113"/>
      <c r="BL54" s="113"/>
      <c r="BM54" s="113"/>
      <c r="BN54" s="113"/>
      <c r="BO54" s="113"/>
      <c r="BP54" s="113"/>
      <c r="BQ54" s="228">
        <f>SUMIFS(PRESUPUESTO!$G$105:$G$119,PRESUPUESTO!$E$105:$E$119,BQ44)</f>
        <v>6335013.8453333331</v>
      </c>
      <c r="BR54" s="228"/>
      <c r="BS54" s="228"/>
      <c r="BT54" s="228"/>
      <c r="BU54" s="142"/>
      <c r="BV54" s="142"/>
      <c r="BW54" s="142"/>
      <c r="BX54" s="142"/>
      <c r="BY54" s="142"/>
      <c r="BZ54" s="142"/>
      <c r="CA54" s="142"/>
      <c r="CB54" s="142"/>
      <c r="CC54" s="142"/>
      <c r="CD54" s="228">
        <f>SUMIFS(PRESUPUESTO!$G$105:$G$119,PRESUPUESTO!$E$105:$E$119,CD44)</f>
        <v>7240015.8232380953</v>
      </c>
      <c r="CE54" s="228"/>
      <c r="CF54" s="228"/>
      <c r="CG54" s="228"/>
      <c r="CH54" s="153"/>
      <c r="CI54" s="113"/>
      <c r="CJ54" s="113"/>
      <c r="CK54" s="113"/>
      <c r="CL54" s="113"/>
      <c r="CM54" s="113"/>
      <c r="CN54" s="113"/>
      <c r="CO54" s="113"/>
      <c r="CP54" s="113"/>
      <c r="CQ54" s="228">
        <f>SUMIFS(PRESUPUESTO!$G$105:$G$119,PRESUPUESTO!$E$105:$E$119,CQ44)</f>
        <v>7240015.8232380953</v>
      </c>
      <c r="CR54" s="228"/>
      <c r="CS54" s="228"/>
      <c r="CT54" s="228"/>
      <c r="CU54" s="153"/>
      <c r="CV54" s="153"/>
      <c r="CW54" s="153"/>
      <c r="CX54" s="153"/>
      <c r="CY54" s="153"/>
      <c r="CZ54" s="153"/>
      <c r="DA54" s="153"/>
      <c r="DB54" s="153"/>
      <c r="DC54" s="153"/>
      <c r="DD54" s="228">
        <f>SUMIFS(PRESUPUESTO!$G$105:$G$119,PRESUPUESTO!$E$105:$E$119,DD44)</f>
        <v>8145017.8011428565</v>
      </c>
      <c r="DE54" s="228"/>
      <c r="DF54" s="228"/>
      <c r="DG54" s="228"/>
      <c r="DH54" s="153"/>
      <c r="DI54" s="153"/>
      <c r="DJ54" s="153"/>
      <c r="DK54" s="153"/>
      <c r="DL54" s="153"/>
      <c r="DM54" s="153"/>
      <c r="DN54" s="153"/>
      <c r="DO54" s="153"/>
      <c r="DP54" s="153"/>
      <c r="DQ54" s="228">
        <f>SUMIFS(PRESUPUESTO!$G$105:$G$119,PRESUPUESTO!$E$105:$E$119,DQ44)</f>
        <v>3649201.5238095238</v>
      </c>
      <c r="DR54" s="228"/>
      <c r="DS54" s="228"/>
      <c r="DT54" s="228"/>
      <c r="DU54" s="153"/>
      <c r="DV54" s="153"/>
      <c r="DW54" s="153"/>
      <c r="DX54" s="153"/>
      <c r="DY54" s="153"/>
      <c r="DZ54" s="153"/>
      <c r="EA54" s="153"/>
      <c r="EB54" s="153"/>
      <c r="EC54" s="153"/>
      <c r="ED54" s="228">
        <f>SUMIFS(PRESUPUESTO!$G$105:$G$119,PRESUPUESTO!$E$105:$E$119,ED44)</f>
        <v>1810003.9558095238</v>
      </c>
      <c r="EE54" s="228"/>
      <c r="EF54" s="228"/>
      <c r="EG54" s="228"/>
      <c r="EH54" s="142"/>
      <c r="EI54" s="142"/>
      <c r="EJ54" s="142"/>
      <c r="EK54" s="142"/>
      <c r="EL54" s="142"/>
      <c r="EM54" s="142"/>
      <c r="EN54" s="142"/>
      <c r="EO54" s="142"/>
      <c r="EP54" s="142"/>
      <c r="EQ54" s="228">
        <f>SUMIFS(PRESUPUESTO!$G$105:$G$119,PRESUPUESTO!$E$105:$E$119,EQ44)</f>
        <v>8145017.8011428565</v>
      </c>
      <c r="ER54" s="228"/>
      <c r="ES54" s="228"/>
      <c r="ET54" s="228"/>
      <c r="EU54" s="153"/>
      <c r="EV54" s="153"/>
      <c r="EW54" s="153"/>
      <c r="EX54" s="153"/>
      <c r="EY54" s="153"/>
      <c r="EZ54" s="153"/>
      <c r="FA54" s="153"/>
      <c r="FB54" s="153"/>
      <c r="FC54" s="153"/>
      <c r="FD54" s="228">
        <f>SUMIFS(PRESUPUESTO!$G$105:$G$119,PRESUPUESTO!$E$105:$E$119,FD44)</f>
        <v>5430011.867428571</v>
      </c>
      <c r="FE54" s="228"/>
      <c r="FF54" s="228"/>
      <c r="FG54" s="228"/>
      <c r="FH54" s="142"/>
      <c r="FI54" s="142"/>
      <c r="FJ54" s="142"/>
      <c r="FK54" s="142"/>
      <c r="FL54" s="142"/>
      <c r="FM54" s="142"/>
      <c r="FN54" s="142"/>
      <c r="FO54" s="142"/>
      <c r="FP54" s="142"/>
      <c r="FQ54" s="228">
        <f>SUMIFS(PRESUPUESTO!$G$105:$G$119,PRESUPUESTO!$E$105:$E$119,FQ44)</f>
        <v>934195.59009523806</v>
      </c>
      <c r="FR54" s="228"/>
      <c r="FS54" s="228"/>
      <c r="FT54" s="228"/>
      <c r="FU54" s="153"/>
      <c r="FV54" s="153"/>
      <c r="FW54" s="153"/>
      <c r="FX54" s="153"/>
      <c r="FY54" s="153"/>
      <c r="FZ54" s="153"/>
      <c r="GA54" s="153"/>
      <c r="GB54" s="153"/>
      <c r="GC54" s="153"/>
      <c r="GD54" s="228">
        <f>SUMIFS(PRESUPUESTO!$G$105:$G$119,PRESUPUESTO!$E$105:$E$119,GD44)</f>
        <v>350323.3462857143</v>
      </c>
      <c r="GE54" s="228"/>
      <c r="GF54" s="228"/>
      <c r="GG54" s="228"/>
      <c r="GH54" s="153"/>
      <c r="GI54" s="153"/>
      <c r="GJ54" s="153"/>
      <c r="GK54" s="153"/>
      <c r="GL54" s="153"/>
      <c r="GM54" s="153"/>
      <c r="GN54" s="153"/>
      <c r="GO54" s="153"/>
      <c r="GP54" s="153"/>
      <c r="GQ54" s="228">
        <f>SUMIFS(PRESUPUESTO!$G$105:$G$119,PRESUPUESTO!$E$105:$E$119,GQ44)</f>
        <v>5430011.867428571</v>
      </c>
      <c r="GR54" s="228"/>
      <c r="GS54" s="228"/>
      <c r="GT54" s="228"/>
      <c r="GU54" s="142"/>
      <c r="GV54" s="142"/>
      <c r="GW54" s="142"/>
      <c r="GX54" s="142"/>
      <c r="GY54" s="142"/>
      <c r="GZ54" s="142"/>
      <c r="HA54" s="142"/>
      <c r="HB54" s="142"/>
      <c r="HC54" s="142"/>
      <c r="HD54" s="228">
        <f>SUMIFS(PRESUPUESTO!$G$105:$G$119,PRESUPUESTO!$E$105:$E$119,HD44)</f>
        <v>5430011.867428571</v>
      </c>
      <c r="HE54" s="228"/>
      <c r="HF54" s="228"/>
      <c r="HG54" s="228"/>
      <c r="HH54" s="167">
        <f>SUM(AD54:HG54)</f>
        <v>76633232</v>
      </c>
    </row>
    <row r="55" spans="2:224" hidden="1" x14ac:dyDescent="0.25">
      <c r="B55" s="226" t="s">
        <v>10</v>
      </c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9">
        <f>AD54-AD53</f>
        <v>1759.2411428571213</v>
      </c>
      <c r="AE55" s="230"/>
      <c r="AF55" s="230"/>
      <c r="AG55" s="231"/>
      <c r="AH55" s="120"/>
      <c r="AI55" s="120"/>
      <c r="AJ55" s="120"/>
      <c r="AK55" s="120"/>
      <c r="AL55" s="120"/>
      <c r="AM55" s="120"/>
      <c r="AN55" s="120"/>
      <c r="AO55" s="120"/>
      <c r="AP55" s="120"/>
      <c r="AQ55" s="224">
        <f>AQ54-AQ53</f>
        <v>2113.8453333331272</v>
      </c>
      <c r="AR55" s="224"/>
      <c r="AS55" s="224"/>
      <c r="AT55" s="224"/>
      <c r="AU55" s="118"/>
      <c r="AV55" s="118"/>
      <c r="AW55" s="118"/>
      <c r="AX55" s="118"/>
      <c r="AY55" s="118"/>
      <c r="AZ55" s="118"/>
      <c r="BA55" s="118"/>
      <c r="BB55" s="118"/>
      <c r="BC55" s="118"/>
      <c r="BD55" s="224">
        <f>BD54-BD53</f>
        <v>1217.8011428564787</v>
      </c>
      <c r="BE55" s="224"/>
      <c r="BF55" s="224"/>
      <c r="BG55" s="224"/>
      <c r="BH55" s="140"/>
      <c r="BI55" s="118"/>
      <c r="BJ55" s="118"/>
      <c r="BK55" s="118"/>
      <c r="BL55" s="118"/>
      <c r="BM55" s="118"/>
      <c r="BN55" s="118"/>
      <c r="BO55" s="118"/>
      <c r="BP55" s="118"/>
      <c r="BQ55" s="224">
        <f t="shared" ref="BQ55" si="403">BQ54-BQ53</f>
        <v>2113.8453333331272</v>
      </c>
      <c r="BR55" s="224"/>
      <c r="BS55" s="224"/>
      <c r="BT55" s="224"/>
      <c r="BU55" s="140"/>
      <c r="BV55" s="140"/>
      <c r="BW55" s="140"/>
      <c r="BX55" s="140"/>
      <c r="BY55" s="140"/>
      <c r="BZ55" s="140"/>
      <c r="CA55" s="140"/>
      <c r="CB55" s="140"/>
      <c r="CC55" s="140"/>
      <c r="CD55" s="224">
        <f>CD54-CD53</f>
        <v>215.82323809526861</v>
      </c>
      <c r="CE55" s="224"/>
      <c r="CF55" s="224"/>
      <c r="CG55" s="224"/>
      <c r="CH55" s="151"/>
      <c r="CI55" s="118"/>
      <c r="CJ55" s="118"/>
      <c r="CK55" s="118"/>
      <c r="CL55" s="118"/>
      <c r="CM55" s="118"/>
      <c r="CN55" s="118"/>
      <c r="CO55" s="118"/>
      <c r="CP55" s="118"/>
      <c r="CQ55" s="224">
        <f>CQ54-CQ53</f>
        <v>215.82323809526861</v>
      </c>
      <c r="CR55" s="224"/>
      <c r="CS55" s="224"/>
      <c r="CT55" s="224"/>
      <c r="CU55" s="151"/>
      <c r="CV55" s="151"/>
      <c r="CW55" s="151"/>
      <c r="CX55" s="151"/>
      <c r="CY55" s="151"/>
      <c r="CZ55" s="151"/>
      <c r="DA55" s="151"/>
      <c r="DB55" s="151"/>
      <c r="DC55" s="151"/>
      <c r="DD55" s="224">
        <f>DD54-DD53</f>
        <v>717.80114285647869</v>
      </c>
      <c r="DE55" s="224"/>
      <c r="DF55" s="224"/>
      <c r="DG55" s="224"/>
      <c r="DH55" s="151"/>
      <c r="DI55" s="151"/>
      <c r="DJ55" s="151"/>
      <c r="DK55" s="151"/>
      <c r="DL55" s="151"/>
      <c r="DM55" s="151"/>
      <c r="DN55" s="151"/>
      <c r="DO55" s="151"/>
      <c r="DP55" s="151"/>
      <c r="DQ55" s="224">
        <f t="shared" ref="DQ55" si="404">DQ54-DQ53</f>
        <v>2601.5238095237873</v>
      </c>
      <c r="DR55" s="224"/>
      <c r="DS55" s="224"/>
      <c r="DT55" s="224"/>
      <c r="DU55" s="151"/>
      <c r="DV55" s="151"/>
      <c r="DW55" s="151"/>
      <c r="DX55" s="151"/>
      <c r="DY55" s="151"/>
      <c r="DZ55" s="151"/>
      <c r="EA55" s="151"/>
      <c r="EB55" s="151"/>
      <c r="EC55" s="151"/>
      <c r="ED55" s="224">
        <f>ED54-ED53</f>
        <v>3003.9558095238172</v>
      </c>
      <c r="EE55" s="224"/>
      <c r="EF55" s="224"/>
      <c r="EG55" s="224"/>
      <c r="EH55" s="140"/>
      <c r="EI55" s="140"/>
      <c r="EJ55" s="140"/>
      <c r="EK55" s="140"/>
      <c r="EL55" s="140"/>
      <c r="EM55" s="140"/>
      <c r="EN55" s="140"/>
      <c r="EO55" s="140"/>
      <c r="EP55" s="140"/>
      <c r="EQ55" s="224">
        <f>EQ54-EQ53</f>
        <v>2217.8011428564787</v>
      </c>
      <c r="ER55" s="224"/>
      <c r="ES55" s="224"/>
      <c r="ET55" s="224"/>
      <c r="EU55" s="151"/>
      <c r="EV55" s="151"/>
      <c r="EW55" s="151"/>
      <c r="EX55" s="151"/>
      <c r="EY55" s="151"/>
      <c r="EZ55" s="151"/>
      <c r="FA55" s="151"/>
      <c r="FB55" s="151"/>
      <c r="FC55" s="151"/>
      <c r="FD55" s="224">
        <f>FD54-FD53</f>
        <v>311.86742857098579</v>
      </c>
      <c r="FE55" s="224"/>
      <c r="FF55" s="224"/>
      <c r="FG55" s="224"/>
      <c r="FH55" s="140"/>
      <c r="FI55" s="140"/>
      <c r="FJ55" s="140"/>
      <c r="FK55" s="140"/>
      <c r="FL55" s="140"/>
      <c r="FM55" s="140"/>
      <c r="FN55" s="140"/>
      <c r="FO55" s="140"/>
      <c r="FP55" s="140"/>
      <c r="FQ55" s="224">
        <f t="shared" ref="FQ55" si="405">FQ54-FQ53</f>
        <v>2495.5900952380616</v>
      </c>
      <c r="FR55" s="224"/>
      <c r="FS55" s="224"/>
      <c r="FT55" s="224"/>
      <c r="FU55" s="151"/>
      <c r="FV55" s="151"/>
      <c r="FW55" s="151"/>
      <c r="FX55" s="151"/>
      <c r="FY55" s="151"/>
      <c r="FZ55" s="151"/>
      <c r="GA55" s="151"/>
      <c r="GB55" s="151"/>
      <c r="GC55" s="151"/>
      <c r="GD55" s="224">
        <f>GD54-GD53</f>
        <v>223.34628571430221</v>
      </c>
      <c r="GE55" s="224"/>
      <c r="GF55" s="224"/>
      <c r="GG55" s="224"/>
      <c r="GH55" s="151"/>
      <c r="GI55" s="151"/>
      <c r="GJ55" s="151"/>
      <c r="GK55" s="151"/>
      <c r="GL55" s="151"/>
      <c r="GM55" s="151"/>
      <c r="GN55" s="151"/>
      <c r="GO55" s="151"/>
      <c r="GP55" s="151"/>
      <c r="GQ55" s="224">
        <f>GQ54-GQ53</f>
        <v>311.86742857098579</v>
      </c>
      <c r="GR55" s="224"/>
      <c r="GS55" s="224"/>
      <c r="GT55" s="224"/>
      <c r="GU55" s="140"/>
      <c r="GV55" s="140"/>
      <c r="GW55" s="140"/>
      <c r="GX55" s="140"/>
      <c r="GY55" s="140"/>
      <c r="GZ55" s="140"/>
      <c r="HA55" s="140"/>
      <c r="HB55" s="140"/>
      <c r="HC55" s="140"/>
      <c r="HD55" s="224">
        <f>HD54-HD53</f>
        <v>1111.8674285709858</v>
      </c>
      <c r="HE55" s="224"/>
      <c r="HF55" s="224"/>
      <c r="HG55" s="224"/>
    </row>
    <row r="57" spans="2:224" x14ac:dyDescent="0.25">
      <c r="B57" s="199" t="s">
        <v>47</v>
      </c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199"/>
      <c r="AE57" s="200"/>
      <c r="AF57" s="200"/>
      <c r="AG57" s="200"/>
      <c r="AH57" s="200"/>
      <c r="AI57" s="200"/>
      <c r="AJ57" s="200"/>
      <c r="AK57" s="200"/>
      <c r="AL57" s="200"/>
      <c r="AM57" s="200"/>
      <c r="AN57" s="200"/>
      <c r="AO57" s="200"/>
      <c r="AP57" s="200"/>
      <c r="AQ57" s="200"/>
      <c r="AR57" s="200"/>
      <c r="AS57" s="200"/>
      <c r="AT57" s="200"/>
      <c r="AU57" s="200"/>
      <c r="AV57" s="200"/>
      <c r="AW57" s="200"/>
      <c r="AX57" s="200"/>
      <c r="AY57" s="200"/>
      <c r="AZ57" s="200"/>
      <c r="BA57" s="200"/>
      <c r="BB57" s="200"/>
      <c r="BC57" s="200"/>
      <c r="BD57" s="200"/>
      <c r="BE57" s="200"/>
      <c r="BF57" s="200"/>
      <c r="BG57" s="200"/>
      <c r="BH57" s="200"/>
      <c r="BI57" s="200"/>
      <c r="BJ57" s="200"/>
      <c r="BK57" s="200"/>
      <c r="BL57" s="200"/>
      <c r="BM57" s="200"/>
      <c r="BN57" s="200"/>
      <c r="BO57" s="200"/>
      <c r="BP57" s="200"/>
      <c r="BQ57" s="200"/>
      <c r="BR57" s="199"/>
      <c r="BS57" s="200"/>
      <c r="BT57" s="200"/>
      <c r="BU57" s="200"/>
      <c r="BV57" s="200"/>
      <c r="BW57" s="200"/>
      <c r="BX57" s="200"/>
      <c r="BY57" s="200"/>
      <c r="BZ57" s="200"/>
      <c r="CA57" s="200"/>
      <c r="CB57" s="200"/>
      <c r="CC57" s="200"/>
      <c r="CD57" s="200"/>
      <c r="CE57" s="200"/>
      <c r="CF57" s="200"/>
      <c r="CG57" s="200"/>
      <c r="CH57" s="200"/>
      <c r="CI57" s="200"/>
      <c r="CJ57" s="200"/>
      <c r="CK57" s="200"/>
      <c r="CL57" s="200"/>
      <c r="CM57" s="200"/>
      <c r="CN57" s="200"/>
      <c r="CO57" s="200"/>
      <c r="CP57" s="200"/>
      <c r="CQ57" s="200"/>
      <c r="CR57" s="200"/>
      <c r="CS57" s="200"/>
      <c r="CT57" s="200"/>
      <c r="CU57" s="200"/>
      <c r="CV57" s="200"/>
      <c r="CW57" s="200"/>
      <c r="CX57" s="200"/>
      <c r="CY57" s="200"/>
      <c r="CZ57" s="200"/>
      <c r="DA57" s="200"/>
      <c r="DB57" s="200"/>
      <c r="DC57" s="200"/>
      <c r="DD57" s="200"/>
      <c r="DE57" s="200"/>
      <c r="DF57" s="199"/>
      <c r="DG57" s="200"/>
      <c r="DH57" s="200"/>
      <c r="DI57" s="200"/>
      <c r="DJ57" s="200"/>
      <c r="DK57" s="200"/>
      <c r="DL57" s="200"/>
      <c r="DM57" s="200"/>
      <c r="DN57" s="200"/>
      <c r="DO57" s="200"/>
      <c r="DP57" s="200"/>
      <c r="DQ57" s="200"/>
      <c r="DR57" s="200"/>
      <c r="DS57" s="200"/>
      <c r="DT57" s="200"/>
      <c r="DU57" s="200"/>
      <c r="DV57" s="200"/>
      <c r="DW57" s="200"/>
      <c r="DX57" s="200"/>
      <c r="DY57" s="200"/>
      <c r="DZ57" s="200"/>
      <c r="EA57" s="200"/>
      <c r="EB57" s="200"/>
      <c r="EC57" s="200"/>
      <c r="ED57" s="200"/>
      <c r="EE57" s="200"/>
      <c r="EF57" s="200"/>
      <c r="EG57" s="200"/>
      <c r="EH57" s="200"/>
      <c r="EI57" s="200"/>
      <c r="EJ57" s="200"/>
      <c r="EK57" s="200"/>
      <c r="EL57" s="200"/>
      <c r="EM57" s="200"/>
      <c r="EN57" s="200"/>
      <c r="EO57" s="200"/>
      <c r="EP57" s="200"/>
      <c r="EQ57" s="200"/>
      <c r="ER57" s="200"/>
      <c r="ES57" s="200"/>
      <c r="ET57" s="199"/>
      <c r="EU57" s="200"/>
      <c r="EV57" s="200"/>
      <c r="EW57" s="200"/>
      <c r="EX57" s="200"/>
      <c r="EY57" s="200"/>
      <c r="EZ57" s="200"/>
      <c r="FA57" s="200"/>
      <c r="FB57" s="200"/>
      <c r="FC57" s="200"/>
      <c r="FD57" s="200"/>
      <c r="FE57" s="200"/>
      <c r="FF57" s="200"/>
      <c r="FG57" s="200"/>
      <c r="FH57" s="200"/>
      <c r="FI57" s="200"/>
      <c r="FJ57" s="200"/>
      <c r="FK57" s="200"/>
      <c r="FL57" s="200"/>
      <c r="FM57" s="200"/>
      <c r="FN57" s="200"/>
      <c r="FO57" s="200"/>
      <c r="FP57" s="200"/>
      <c r="FQ57" s="200"/>
      <c r="FR57" s="200"/>
      <c r="FS57" s="200"/>
      <c r="FT57" s="200"/>
      <c r="FU57" s="200"/>
      <c r="FV57" s="200"/>
      <c r="FW57" s="200"/>
      <c r="FX57" s="200"/>
      <c r="FY57" s="200"/>
      <c r="FZ57" s="200"/>
      <c r="GA57" s="200"/>
      <c r="GB57" s="200"/>
      <c r="GC57" s="200"/>
      <c r="GD57" s="200"/>
      <c r="GE57" s="200"/>
      <c r="GF57" s="200"/>
      <c r="GG57" s="200"/>
      <c r="GH57" s="163"/>
      <c r="GI57" s="163"/>
      <c r="GJ57" s="163"/>
      <c r="GK57" s="163"/>
      <c r="GL57" s="163"/>
      <c r="GM57" s="163"/>
      <c r="GN57" s="163"/>
      <c r="GO57" s="163"/>
      <c r="GP57" s="163"/>
      <c r="GQ57" s="199"/>
      <c r="GR57" s="200"/>
      <c r="GS57" s="200"/>
      <c r="GT57" s="200"/>
      <c r="GU57" s="200"/>
      <c r="GV57" s="200"/>
      <c r="GW57" s="200"/>
      <c r="GX57" s="200"/>
      <c r="GY57" s="200"/>
      <c r="GZ57" s="200"/>
      <c r="HA57" s="200"/>
      <c r="HB57" s="200"/>
      <c r="HC57" s="200"/>
      <c r="HD57" s="200"/>
      <c r="HE57" s="200"/>
      <c r="HF57" s="200"/>
      <c r="HG57" s="200"/>
      <c r="HH57" s="130"/>
      <c r="HI57" s="130"/>
      <c r="HJ57" s="130"/>
      <c r="HK57" s="130"/>
      <c r="HL57" s="130"/>
      <c r="HM57" s="130"/>
      <c r="HN57" s="130"/>
      <c r="HO57" s="130"/>
      <c r="HP57" s="130"/>
    </row>
    <row r="58" spans="2:224" ht="28.5" customHeight="1" x14ac:dyDescent="0.25">
      <c r="B58" s="225" t="str">
        <f>'PLAN DE NECESIDADES'!B47</f>
        <v>ÍTEM</v>
      </c>
      <c r="C58" s="225" t="str">
        <f>'PLAN DE NECESIDADES'!C47</f>
        <v>CÓDIGO DANE</v>
      </c>
      <c r="D58" s="226" t="str">
        <f>'PLAN DE NECESIDADES'!D47</f>
        <v xml:space="preserve">DESCRIPCIÓN DEL BIEN Y/O SERVICIO </v>
      </c>
      <c r="E58" s="225" t="str">
        <f>'PLAN DE NECESIDADES'!E47</f>
        <v>UNIDAD MEDIDA</v>
      </c>
      <c r="F58" s="225" t="str">
        <f>'PLAN DE NECESIDADES'!F47</f>
        <v>EXISTENCIAS (STOCK - INVENTARIOS)</v>
      </c>
      <c r="G58" s="225" t="str">
        <f>'PLAN DE NECESIDADES'!H47</f>
        <v>UNSPSC (CCE)</v>
      </c>
      <c r="H58" s="225" t="str">
        <f>'PLAN DE NECESIDADES'!I47</f>
        <v xml:space="preserve">CÓDIGO MATERIAL SAP </v>
      </c>
      <c r="I58" s="225" t="str">
        <f>'PLAN DE NECESIDADES'!J47</f>
        <v xml:space="preserve">CÓDIGO OTAN - NOC </v>
      </c>
      <c r="J58" s="205" t="s">
        <v>155</v>
      </c>
      <c r="K58" s="203" t="str">
        <f>AD58</f>
        <v>BAABS3</v>
      </c>
      <c r="L58" s="203" t="str">
        <f>AQ58</f>
        <v>BAACA10</v>
      </c>
      <c r="M58" s="203" t="str">
        <f>BD58</f>
        <v>BAACA2</v>
      </c>
      <c r="N58" s="203" t="str">
        <f>BQ58</f>
        <v>BAADA1</v>
      </c>
      <c r="O58" s="203" t="str">
        <f>CD58</f>
        <v>BAEEV2</v>
      </c>
      <c r="P58" s="203" t="str">
        <f>CQ58</f>
        <v>BAEEV3</v>
      </c>
      <c r="Q58" s="203" t="str">
        <f>DD58</f>
        <v>BAMMA7</v>
      </c>
      <c r="R58" s="203" t="str">
        <f>DQ58</f>
        <v>BASPC10</v>
      </c>
      <c r="S58" s="203" t="str">
        <f>ED58</f>
        <v>BASAC</v>
      </c>
      <c r="T58" s="203" t="str">
        <f>EQ58</f>
        <v>BICAR</v>
      </c>
      <c r="U58" s="203" t="str">
        <f>FD58</f>
        <v>BIMOC70</v>
      </c>
      <c r="V58" s="203" t="str">
        <f>FQ58</f>
        <v>BITER10</v>
      </c>
      <c r="W58" s="203" t="str">
        <f>GD58</f>
        <v>DIM15</v>
      </c>
      <c r="X58" s="203" t="str">
        <f>GQ58</f>
        <v>GMMAT</v>
      </c>
      <c r="Y58" s="203" t="str">
        <f>HD58</f>
        <v>GMRON</v>
      </c>
      <c r="Z58" s="209" t="s">
        <v>13</v>
      </c>
      <c r="AA58" s="227" t="s">
        <v>14</v>
      </c>
      <c r="AB58" s="227" t="s">
        <v>12</v>
      </c>
      <c r="AC58" s="227" t="s">
        <v>4</v>
      </c>
      <c r="AD58" s="214" t="s">
        <v>29</v>
      </c>
      <c r="AE58" s="215"/>
      <c r="AF58" s="215"/>
      <c r="AG58" s="216"/>
      <c r="AH58" s="114"/>
      <c r="AI58" s="114"/>
      <c r="AJ58" s="114"/>
      <c r="AK58" s="114"/>
      <c r="AL58" s="114"/>
      <c r="AM58" s="114"/>
      <c r="AN58" s="114"/>
      <c r="AO58" s="114"/>
      <c r="AP58" s="114"/>
      <c r="AQ58" s="217" t="s">
        <v>30</v>
      </c>
      <c r="AR58" s="218"/>
      <c r="AS58" s="218"/>
      <c r="AT58" s="219"/>
      <c r="AU58" s="115"/>
      <c r="AV58" s="115"/>
      <c r="AW58" s="115"/>
      <c r="AX58" s="115"/>
      <c r="AY58" s="115"/>
      <c r="AZ58" s="115"/>
      <c r="BA58" s="115"/>
      <c r="BB58" s="115"/>
      <c r="BC58" s="115"/>
      <c r="BD58" s="196" t="s">
        <v>31</v>
      </c>
      <c r="BE58" s="197"/>
      <c r="BF58" s="197"/>
      <c r="BG58" s="198"/>
      <c r="BH58" s="137"/>
      <c r="BI58" s="116"/>
      <c r="BJ58" s="116"/>
      <c r="BK58" s="116"/>
      <c r="BL58" s="116"/>
      <c r="BM58" s="116"/>
      <c r="BN58" s="116"/>
      <c r="BO58" s="116"/>
      <c r="BP58" s="116"/>
      <c r="BQ58" s="211" t="s">
        <v>32</v>
      </c>
      <c r="BR58" s="212"/>
      <c r="BS58" s="212"/>
      <c r="BT58" s="213"/>
      <c r="BU58" s="144"/>
      <c r="BV58" s="144"/>
      <c r="BW58" s="144"/>
      <c r="BX58" s="144"/>
      <c r="BY58" s="144"/>
      <c r="BZ58" s="144"/>
      <c r="CA58" s="144"/>
      <c r="CB58" s="144"/>
      <c r="CC58" s="144"/>
      <c r="CD58" s="214" t="s">
        <v>27</v>
      </c>
      <c r="CE58" s="215"/>
      <c r="CF58" s="215"/>
      <c r="CG58" s="216"/>
      <c r="CH58" s="148"/>
      <c r="CI58" s="114"/>
      <c r="CJ58" s="114"/>
      <c r="CK58" s="114"/>
      <c r="CL58" s="114"/>
      <c r="CM58" s="114"/>
      <c r="CN58" s="114"/>
      <c r="CO58" s="114"/>
      <c r="CP58" s="114"/>
      <c r="CQ58" s="217" t="s">
        <v>33</v>
      </c>
      <c r="CR58" s="218"/>
      <c r="CS58" s="218"/>
      <c r="CT58" s="219"/>
      <c r="CU58" s="156"/>
      <c r="CV58" s="156"/>
      <c r="CW58" s="156"/>
      <c r="CX58" s="156"/>
      <c r="CY58" s="156"/>
      <c r="CZ58" s="156"/>
      <c r="DA58" s="156"/>
      <c r="DB58" s="156"/>
      <c r="DC58" s="156"/>
      <c r="DD58" s="196" t="s">
        <v>66</v>
      </c>
      <c r="DE58" s="197"/>
      <c r="DF58" s="197"/>
      <c r="DG58" s="198"/>
      <c r="DH58" s="158"/>
      <c r="DI58" s="158"/>
      <c r="DJ58" s="158"/>
      <c r="DK58" s="158"/>
      <c r="DL58" s="158"/>
      <c r="DM58" s="158"/>
      <c r="DN58" s="158"/>
      <c r="DO58" s="158"/>
      <c r="DP58" s="158"/>
      <c r="DQ58" s="211" t="s">
        <v>67</v>
      </c>
      <c r="DR58" s="212"/>
      <c r="DS58" s="212"/>
      <c r="DT58" s="213"/>
      <c r="DU58" s="160"/>
      <c r="DV58" s="160"/>
      <c r="DW58" s="160"/>
      <c r="DX58" s="160"/>
      <c r="DY58" s="160"/>
      <c r="DZ58" s="160"/>
      <c r="EA58" s="160"/>
      <c r="EB58" s="160"/>
      <c r="EC58" s="160"/>
      <c r="ED58" s="214" t="s">
        <v>34</v>
      </c>
      <c r="EE58" s="215"/>
      <c r="EF58" s="215"/>
      <c r="EG58" s="216"/>
      <c r="EH58" s="162"/>
      <c r="EI58" s="162"/>
      <c r="EJ58" s="162"/>
      <c r="EK58" s="162"/>
      <c r="EL58" s="162"/>
      <c r="EM58" s="162"/>
      <c r="EN58" s="162"/>
      <c r="EO58" s="162"/>
      <c r="EP58" s="162"/>
      <c r="EQ58" s="217" t="s">
        <v>35</v>
      </c>
      <c r="ER58" s="218"/>
      <c r="ES58" s="218"/>
      <c r="ET58" s="219"/>
      <c r="EU58" s="156"/>
      <c r="EV58" s="156"/>
      <c r="EW58" s="156"/>
      <c r="EX58" s="156"/>
      <c r="EY58" s="156"/>
      <c r="EZ58" s="156"/>
      <c r="FA58" s="156"/>
      <c r="FB58" s="156"/>
      <c r="FC58" s="156"/>
      <c r="FD58" s="196" t="s">
        <v>68</v>
      </c>
      <c r="FE58" s="197"/>
      <c r="FF58" s="197"/>
      <c r="FG58" s="198"/>
      <c r="FH58" s="137"/>
      <c r="FI58" s="137"/>
      <c r="FJ58" s="137"/>
      <c r="FK58" s="137"/>
      <c r="FL58" s="137"/>
      <c r="FM58" s="137"/>
      <c r="FN58" s="137"/>
      <c r="FO58" s="137"/>
      <c r="FP58" s="137"/>
      <c r="FQ58" s="211" t="s">
        <v>36</v>
      </c>
      <c r="FR58" s="212"/>
      <c r="FS58" s="212"/>
      <c r="FT58" s="213"/>
      <c r="FU58" s="160"/>
      <c r="FV58" s="160"/>
      <c r="FW58" s="160"/>
      <c r="FX58" s="160"/>
      <c r="FY58" s="160"/>
      <c r="FZ58" s="160"/>
      <c r="GA58" s="160"/>
      <c r="GB58" s="160"/>
      <c r="GC58" s="160"/>
      <c r="GD58" s="214" t="s">
        <v>37</v>
      </c>
      <c r="GE58" s="215"/>
      <c r="GF58" s="215"/>
      <c r="GG58" s="216"/>
      <c r="GH58" s="148"/>
      <c r="GI58" s="148"/>
      <c r="GJ58" s="148"/>
      <c r="GK58" s="148"/>
      <c r="GL58" s="148"/>
      <c r="GM58" s="148"/>
      <c r="GN58" s="148"/>
      <c r="GO58" s="148"/>
      <c r="GP58" s="148"/>
      <c r="GQ58" s="217" t="s">
        <v>69</v>
      </c>
      <c r="GR58" s="218"/>
      <c r="GS58" s="218"/>
      <c r="GT58" s="219"/>
      <c r="GU58" s="164"/>
      <c r="GV58" s="164"/>
      <c r="GW58" s="164"/>
      <c r="GX58" s="164"/>
      <c r="GY58" s="164"/>
      <c r="GZ58" s="164"/>
      <c r="HA58" s="164"/>
      <c r="HB58" s="164"/>
      <c r="HC58" s="164"/>
      <c r="HD58" s="196" t="s">
        <v>38</v>
      </c>
      <c r="HE58" s="197"/>
      <c r="HF58" s="197"/>
      <c r="HG58" s="198"/>
      <c r="HH58" s="131"/>
      <c r="HI58" s="131"/>
      <c r="HJ58" s="131"/>
      <c r="HK58" s="131"/>
      <c r="HL58" s="131"/>
      <c r="HM58" s="131"/>
      <c r="HN58" s="131"/>
      <c r="HO58" s="131"/>
      <c r="HP58" s="131"/>
    </row>
    <row r="59" spans="2:224" ht="28.5" customHeight="1" x14ac:dyDescent="0.25">
      <c r="B59" s="225"/>
      <c r="C59" s="225"/>
      <c r="D59" s="226"/>
      <c r="E59" s="225"/>
      <c r="F59" s="225"/>
      <c r="G59" s="225"/>
      <c r="H59" s="225"/>
      <c r="I59" s="225"/>
      <c r="J59" s="206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10"/>
      <c r="AA59" s="227"/>
      <c r="AB59" s="227"/>
      <c r="AC59" s="227"/>
      <c r="AD59" s="20" t="s">
        <v>15</v>
      </c>
      <c r="AE59" s="21" t="s">
        <v>16</v>
      </c>
      <c r="AF59" s="22" t="s">
        <v>17</v>
      </c>
      <c r="AG59" s="20" t="s">
        <v>20</v>
      </c>
      <c r="AH59" s="20" t="s">
        <v>166</v>
      </c>
      <c r="AI59" s="20" t="s">
        <v>163</v>
      </c>
      <c r="AJ59" s="20" t="s">
        <v>162</v>
      </c>
      <c r="AK59" s="20" t="s">
        <v>164</v>
      </c>
      <c r="AL59" s="20" t="s">
        <v>162</v>
      </c>
      <c r="AM59" s="20" t="s">
        <v>165</v>
      </c>
      <c r="AN59" s="20" t="s">
        <v>162</v>
      </c>
      <c r="AO59" s="20" t="s">
        <v>21</v>
      </c>
      <c r="AP59" s="20"/>
      <c r="AQ59" s="3" t="s">
        <v>15</v>
      </c>
      <c r="AR59" s="4" t="s">
        <v>16</v>
      </c>
      <c r="AS59" s="5" t="s">
        <v>17</v>
      </c>
      <c r="AT59" s="3" t="s">
        <v>20</v>
      </c>
      <c r="AU59" s="3" t="s">
        <v>166</v>
      </c>
      <c r="AV59" s="3" t="s">
        <v>163</v>
      </c>
      <c r="AW59" s="3" t="s">
        <v>162</v>
      </c>
      <c r="AX59" s="3" t="s">
        <v>164</v>
      </c>
      <c r="AY59" s="3" t="s">
        <v>162</v>
      </c>
      <c r="AZ59" s="3" t="s">
        <v>165</v>
      </c>
      <c r="BA59" s="3" t="s">
        <v>162</v>
      </c>
      <c r="BB59" s="3" t="s">
        <v>21</v>
      </c>
      <c r="BC59" s="3"/>
      <c r="BD59" s="117" t="s">
        <v>15</v>
      </c>
      <c r="BE59" s="23" t="s">
        <v>16</v>
      </c>
      <c r="BF59" s="24" t="s">
        <v>17</v>
      </c>
      <c r="BG59" s="117" t="s">
        <v>20</v>
      </c>
      <c r="BH59" s="138" t="s">
        <v>166</v>
      </c>
      <c r="BI59" s="117" t="s">
        <v>163</v>
      </c>
      <c r="BJ59" s="117" t="s">
        <v>162</v>
      </c>
      <c r="BK59" s="117" t="s">
        <v>164</v>
      </c>
      <c r="BL59" s="117" t="s">
        <v>162</v>
      </c>
      <c r="BM59" s="117" t="s">
        <v>165</v>
      </c>
      <c r="BN59" s="117" t="s">
        <v>162</v>
      </c>
      <c r="BO59" s="117" t="s">
        <v>21</v>
      </c>
      <c r="BP59" s="117"/>
      <c r="BQ59" s="25" t="s">
        <v>15</v>
      </c>
      <c r="BR59" s="26" t="s">
        <v>16</v>
      </c>
      <c r="BS59" s="27" t="s">
        <v>17</v>
      </c>
      <c r="BT59" s="25" t="s">
        <v>20</v>
      </c>
      <c r="BU59" s="143" t="s">
        <v>166</v>
      </c>
      <c r="BV59" s="143" t="s">
        <v>163</v>
      </c>
      <c r="BW59" s="143" t="s">
        <v>162</v>
      </c>
      <c r="BX59" s="143" t="s">
        <v>164</v>
      </c>
      <c r="BY59" s="143" t="s">
        <v>162</v>
      </c>
      <c r="BZ59" s="143" t="s">
        <v>165</v>
      </c>
      <c r="CA59" s="143" t="s">
        <v>162</v>
      </c>
      <c r="CB59" s="143" t="s">
        <v>21</v>
      </c>
      <c r="CC59" s="143"/>
      <c r="CD59" s="20" t="s">
        <v>15</v>
      </c>
      <c r="CE59" s="21" t="s">
        <v>16</v>
      </c>
      <c r="CF59" s="22" t="s">
        <v>17</v>
      </c>
      <c r="CG59" s="20" t="s">
        <v>20</v>
      </c>
      <c r="CH59" s="149" t="s">
        <v>166</v>
      </c>
      <c r="CI59" s="145" t="s">
        <v>163</v>
      </c>
      <c r="CJ59" s="145" t="s">
        <v>162</v>
      </c>
      <c r="CK59" s="145" t="s">
        <v>164</v>
      </c>
      <c r="CL59" s="145" t="s">
        <v>162</v>
      </c>
      <c r="CM59" s="145" t="s">
        <v>165</v>
      </c>
      <c r="CN59" s="145" t="s">
        <v>162</v>
      </c>
      <c r="CO59" s="145" t="s">
        <v>21</v>
      </c>
      <c r="CP59" s="145"/>
      <c r="CQ59" s="3" t="s">
        <v>15</v>
      </c>
      <c r="CR59" s="4" t="s">
        <v>16</v>
      </c>
      <c r="CS59" s="5" t="s">
        <v>17</v>
      </c>
      <c r="CT59" s="3" t="s">
        <v>20</v>
      </c>
      <c r="CU59" s="157" t="s">
        <v>166</v>
      </c>
      <c r="CV59" s="157" t="s">
        <v>163</v>
      </c>
      <c r="CW59" s="157" t="s">
        <v>162</v>
      </c>
      <c r="CX59" s="157" t="s">
        <v>164</v>
      </c>
      <c r="CY59" s="157" t="s">
        <v>162</v>
      </c>
      <c r="CZ59" s="157" t="s">
        <v>165</v>
      </c>
      <c r="DA59" s="157" t="s">
        <v>162</v>
      </c>
      <c r="DB59" s="157" t="s">
        <v>21</v>
      </c>
      <c r="DC59" s="157"/>
      <c r="DD59" s="117" t="s">
        <v>15</v>
      </c>
      <c r="DE59" s="23" t="s">
        <v>16</v>
      </c>
      <c r="DF59" s="24" t="s">
        <v>17</v>
      </c>
      <c r="DG59" s="117" t="s">
        <v>20</v>
      </c>
      <c r="DH59" s="159" t="s">
        <v>166</v>
      </c>
      <c r="DI59" s="159" t="s">
        <v>163</v>
      </c>
      <c r="DJ59" s="159" t="s">
        <v>162</v>
      </c>
      <c r="DK59" s="159" t="s">
        <v>164</v>
      </c>
      <c r="DL59" s="159" t="s">
        <v>162</v>
      </c>
      <c r="DM59" s="159" t="s">
        <v>165</v>
      </c>
      <c r="DN59" s="159" t="s">
        <v>162</v>
      </c>
      <c r="DO59" s="159" t="s">
        <v>21</v>
      </c>
      <c r="DP59" s="159"/>
      <c r="DQ59" s="25" t="s">
        <v>15</v>
      </c>
      <c r="DR59" s="26" t="s">
        <v>16</v>
      </c>
      <c r="DS59" s="27" t="s">
        <v>17</v>
      </c>
      <c r="DT59" s="25" t="s">
        <v>20</v>
      </c>
      <c r="DU59" s="161" t="s">
        <v>166</v>
      </c>
      <c r="DV59" s="161" t="s">
        <v>163</v>
      </c>
      <c r="DW59" s="161" t="s">
        <v>162</v>
      </c>
      <c r="DX59" s="161" t="s">
        <v>164</v>
      </c>
      <c r="DY59" s="161" t="s">
        <v>162</v>
      </c>
      <c r="DZ59" s="161" t="s">
        <v>165</v>
      </c>
      <c r="EA59" s="161" t="s">
        <v>162</v>
      </c>
      <c r="EB59" s="161" t="s">
        <v>21</v>
      </c>
      <c r="EC59" s="161"/>
      <c r="ED59" s="20" t="s">
        <v>15</v>
      </c>
      <c r="EE59" s="21" t="s">
        <v>16</v>
      </c>
      <c r="EF59" s="22" t="s">
        <v>17</v>
      </c>
      <c r="EG59" s="20" t="s">
        <v>20</v>
      </c>
      <c r="EH59" s="145" t="s">
        <v>166</v>
      </c>
      <c r="EI59" s="145" t="s">
        <v>163</v>
      </c>
      <c r="EJ59" s="145" t="s">
        <v>162</v>
      </c>
      <c r="EK59" s="145" t="s">
        <v>164</v>
      </c>
      <c r="EL59" s="145" t="s">
        <v>162</v>
      </c>
      <c r="EM59" s="145" t="s">
        <v>165</v>
      </c>
      <c r="EN59" s="145" t="s">
        <v>162</v>
      </c>
      <c r="EO59" s="145" t="s">
        <v>21</v>
      </c>
      <c r="EP59" s="145"/>
      <c r="EQ59" s="3" t="s">
        <v>15</v>
      </c>
      <c r="ER59" s="4" t="s">
        <v>16</v>
      </c>
      <c r="ES59" s="5" t="s">
        <v>17</v>
      </c>
      <c r="ET59" s="3" t="s">
        <v>20</v>
      </c>
      <c r="EU59" s="157" t="s">
        <v>166</v>
      </c>
      <c r="EV59" s="157" t="s">
        <v>163</v>
      </c>
      <c r="EW59" s="157" t="s">
        <v>162</v>
      </c>
      <c r="EX59" s="157" t="s">
        <v>164</v>
      </c>
      <c r="EY59" s="157" t="s">
        <v>162</v>
      </c>
      <c r="EZ59" s="157" t="s">
        <v>165</v>
      </c>
      <c r="FA59" s="157" t="s">
        <v>162</v>
      </c>
      <c r="FB59" s="157" t="s">
        <v>21</v>
      </c>
      <c r="FC59" s="157"/>
      <c r="FD59" s="117" t="s">
        <v>15</v>
      </c>
      <c r="FE59" s="23" t="s">
        <v>16</v>
      </c>
      <c r="FF59" s="24" t="s">
        <v>17</v>
      </c>
      <c r="FG59" s="117" t="s">
        <v>20</v>
      </c>
      <c r="FH59" s="138" t="s">
        <v>166</v>
      </c>
      <c r="FI59" s="138" t="s">
        <v>163</v>
      </c>
      <c r="FJ59" s="138" t="s">
        <v>162</v>
      </c>
      <c r="FK59" s="138" t="s">
        <v>164</v>
      </c>
      <c r="FL59" s="138" t="s">
        <v>162</v>
      </c>
      <c r="FM59" s="138" t="s">
        <v>165</v>
      </c>
      <c r="FN59" s="138" t="s">
        <v>162</v>
      </c>
      <c r="FO59" s="138" t="s">
        <v>21</v>
      </c>
      <c r="FP59" s="138"/>
      <c r="FQ59" s="25" t="s">
        <v>15</v>
      </c>
      <c r="FR59" s="26" t="s">
        <v>16</v>
      </c>
      <c r="FS59" s="27" t="s">
        <v>17</v>
      </c>
      <c r="FT59" s="25" t="s">
        <v>20</v>
      </c>
      <c r="FU59" s="161" t="s">
        <v>166</v>
      </c>
      <c r="FV59" s="161" t="s">
        <v>163</v>
      </c>
      <c r="FW59" s="161" t="s">
        <v>162</v>
      </c>
      <c r="FX59" s="161" t="s">
        <v>164</v>
      </c>
      <c r="FY59" s="161" t="s">
        <v>162</v>
      </c>
      <c r="FZ59" s="161" t="s">
        <v>165</v>
      </c>
      <c r="GA59" s="161" t="s">
        <v>162</v>
      </c>
      <c r="GB59" s="161" t="s">
        <v>21</v>
      </c>
      <c r="GC59" s="161"/>
      <c r="GD59" s="20" t="s">
        <v>15</v>
      </c>
      <c r="GE59" s="21" t="s">
        <v>16</v>
      </c>
      <c r="GF59" s="22" t="s">
        <v>17</v>
      </c>
      <c r="GG59" s="20" t="s">
        <v>20</v>
      </c>
      <c r="GH59" s="149" t="s">
        <v>166</v>
      </c>
      <c r="GI59" s="149" t="s">
        <v>163</v>
      </c>
      <c r="GJ59" s="149" t="s">
        <v>162</v>
      </c>
      <c r="GK59" s="149" t="s">
        <v>164</v>
      </c>
      <c r="GL59" s="149" t="s">
        <v>162</v>
      </c>
      <c r="GM59" s="149" t="s">
        <v>165</v>
      </c>
      <c r="GN59" s="149" t="s">
        <v>162</v>
      </c>
      <c r="GO59" s="149" t="s">
        <v>21</v>
      </c>
      <c r="GP59" s="149"/>
      <c r="GQ59" s="3" t="s">
        <v>15</v>
      </c>
      <c r="GR59" s="4" t="s">
        <v>16</v>
      </c>
      <c r="GS59" s="5" t="s">
        <v>17</v>
      </c>
      <c r="GT59" s="3" t="s">
        <v>20</v>
      </c>
      <c r="GU59" s="165" t="s">
        <v>166</v>
      </c>
      <c r="GV59" s="165" t="s">
        <v>163</v>
      </c>
      <c r="GW59" s="165" t="s">
        <v>162</v>
      </c>
      <c r="GX59" s="165" t="s">
        <v>164</v>
      </c>
      <c r="GY59" s="165" t="s">
        <v>162</v>
      </c>
      <c r="GZ59" s="165" t="s">
        <v>165</v>
      </c>
      <c r="HA59" s="165" t="s">
        <v>162</v>
      </c>
      <c r="HB59" s="165" t="s">
        <v>21</v>
      </c>
      <c r="HC59" s="165"/>
      <c r="HD59" s="117" t="s">
        <v>15</v>
      </c>
      <c r="HE59" s="23" t="s">
        <v>16</v>
      </c>
      <c r="HF59" s="24" t="s">
        <v>17</v>
      </c>
      <c r="HG59" s="117" t="s">
        <v>20</v>
      </c>
      <c r="HH59" s="132" t="s">
        <v>166</v>
      </c>
      <c r="HI59" s="132" t="s">
        <v>163</v>
      </c>
      <c r="HJ59" s="132" t="s">
        <v>162</v>
      </c>
      <c r="HK59" s="132" t="s">
        <v>164</v>
      </c>
      <c r="HL59" s="132" t="s">
        <v>162</v>
      </c>
      <c r="HM59" s="132" t="s">
        <v>165</v>
      </c>
      <c r="HN59" s="132" t="s">
        <v>162</v>
      </c>
      <c r="HO59" s="132" t="s">
        <v>21</v>
      </c>
      <c r="HP59" s="132"/>
    </row>
    <row r="60" spans="2:224" x14ac:dyDescent="0.25">
      <c r="B60" s="7">
        <f>'PLAN DE NECESIDADES'!B48</f>
        <v>28</v>
      </c>
      <c r="C60" s="7">
        <f>'PLAN DE NECESIDADES'!C48</f>
        <v>3699056</v>
      </c>
      <c r="D60" s="60" t="str">
        <f>'PLAN DE NECESIDADES'!D48</f>
        <v>PROTECTORES  AUDITIVOS: 
DEBEN SER PRES MOLDEADOS DE TIPO TAPÓN, SE DEBEN AJUSTAR AL CANAL AUDITIVO DE CASI TODAS LAS PERSONAS. DEBEN LLEVAR TRIPLE REBORDE CON DISEÑO DE FÁCIL INSERCIÓN: ESPECIFICACIONES SEGÚN NORMA TÉCNICA NO. NTMD-0356 A2 ÍTEM  3.1.1.1</v>
      </c>
      <c r="E60" s="7" t="str">
        <f>'PLAN DE NECESIDADES'!E48</f>
        <v>UNIDAD</v>
      </c>
      <c r="F60" s="7">
        <f>'PLAN DE NECESIDADES'!F48</f>
        <v>0</v>
      </c>
      <c r="G60" s="7">
        <f>'PLAN DE NECESIDADES'!H48</f>
        <v>46181902</v>
      </c>
      <c r="H60" s="7">
        <f>'PLAN DE NECESIDADES'!I48</f>
        <v>1447319</v>
      </c>
      <c r="I60" s="7" t="str">
        <f>'PLAN DE NECESIDADES'!J48</f>
        <v>6515-80-0011408</v>
      </c>
      <c r="J60" s="7">
        <v>1</v>
      </c>
      <c r="K60" s="85">
        <v>69</v>
      </c>
      <c r="L60" s="85">
        <v>217</v>
      </c>
      <c r="M60" s="85">
        <v>279</v>
      </c>
      <c r="N60" s="85">
        <v>217</v>
      </c>
      <c r="O60" s="85">
        <v>248</v>
      </c>
      <c r="P60" s="85">
        <v>248</v>
      </c>
      <c r="Q60" s="85">
        <v>279</v>
      </c>
      <c r="R60" s="85">
        <v>125</v>
      </c>
      <c r="S60" s="85">
        <v>62</v>
      </c>
      <c r="T60" s="85">
        <v>279</v>
      </c>
      <c r="U60" s="85">
        <v>186</v>
      </c>
      <c r="V60" s="85">
        <v>32</v>
      </c>
      <c r="W60" s="85">
        <v>12</v>
      </c>
      <c r="X60" s="85">
        <v>186</v>
      </c>
      <c r="Y60" s="85">
        <v>186</v>
      </c>
      <c r="Z60" s="85">
        <f t="shared" ref="Z60:AB62" si="406">SUM(AD60,AQ60,BD60,BQ60,CD60,CQ60,DD60,DQ60,ED60,EQ60,FD60,FQ60,GD60,GQ60,HD60)</f>
        <v>2656</v>
      </c>
      <c r="AA60" s="7">
        <f t="shared" si="406"/>
        <v>1805</v>
      </c>
      <c r="AB60" s="7">
        <f t="shared" si="406"/>
        <v>851</v>
      </c>
      <c r="AC60" s="12">
        <v>2500</v>
      </c>
      <c r="AD60" s="7">
        <f>K60*J60</f>
        <v>69</v>
      </c>
      <c r="AE60" s="7">
        <f>J60*47</f>
        <v>47</v>
      </c>
      <c r="AF60" s="8">
        <f t="shared" ref="AF60:AF62" si="407">AD60-AE60</f>
        <v>22</v>
      </c>
      <c r="AG60" s="14">
        <f>AC60*AE60</f>
        <v>117500</v>
      </c>
      <c r="AH60" s="133">
        <f>AE60/J60</f>
        <v>47</v>
      </c>
      <c r="AI60" s="133">
        <v>31</v>
      </c>
      <c r="AJ60" s="133"/>
      <c r="AK60" s="133">
        <v>20</v>
      </c>
      <c r="AL60" s="133">
        <v>4</v>
      </c>
      <c r="AM60" s="133">
        <v>18</v>
      </c>
      <c r="AN60" s="133">
        <v>18</v>
      </c>
      <c r="AO60" s="133">
        <f>AL60+AN60</f>
        <v>22</v>
      </c>
      <c r="AP60" s="133">
        <f t="shared" ref="AP60:AP62" si="408">AH60+AJ60+AL60+AN60</f>
        <v>69</v>
      </c>
      <c r="AQ60" s="7">
        <f>L60*J60</f>
        <v>217</v>
      </c>
      <c r="AR60" s="7">
        <f>J60*149</f>
        <v>149</v>
      </c>
      <c r="AS60" s="8">
        <f t="shared" ref="AS60:AS62" si="409">AQ60-AR60</f>
        <v>68</v>
      </c>
      <c r="AT60" s="14">
        <f>AC60*AR60</f>
        <v>372500</v>
      </c>
      <c r="AU60" s="133">
        <f t="shared" ref="AU60:AU62" si="410">AR60/J60</f>
        <v>149</v>
      </c>
      <c r="AV60" s="133">
        <v>93</v>
      </c>
      <c r="AW60" s="133"/>
      <c r="AX60" s="133">
        <v>62</v>
      </c>
      <c r="AY60" s="133">
        <v>6</v>
      </c>
      <c r="AZ60" s="133">
        <v>62</v>
      </c>
      <c r="BA60" s="133">
        <v>62</v>
      </c>
      <c r="BB60" s="133">
        <f t="shared" ref="BB60:BB62" si="411">AW60+AY60+BA60</f>
        <v>68</v>
      </c>
      <c r="BC60" s="133">
        <f t="shared" ref="BC60:BC62" si="412">AU60+AW60+AY60+BA60</f>
        <v>217</v>
      </c>
      <c r="BD60" s="7">
        <f>M60*J60</f>
        <v>279</v>
      </c>
      <c r="BE60" s="7">
        <f>J60*192</f>
        <v>192</v>
      </c>
      <c r="BF60" s="8">
        <f t="shared" ref="BF60:BF62" si="413">BD60-BE60</f>
        <v>87</v>
      </c>
      <c r="BG60" s="14">
        <f>AC60*BE60</f>
        <v>480000</v>
      </c>
      <c r="BH60" s="133">
        <f t="shared" ref="BH60:BH62" si="414">BE60/J60</f>
        <v>192</v>
      </c>
      <c r="BI60" s="133">
        <v>93</v>
      </c>
      <c r="BJ60" s="133"/>
      <c r="BK60" s="133">
        <v>62</v>
      </c>
      <c r="BL60" s="133"/>
      <c r="BM60" s="133">
        <v>124</v>
      </c>
      <c r="BN60" s="134">
        <v>87</v>
      </c>
      <c r="BO60" s="133">
        <f t="shared" ref="BO60:BO62" si="415">BJ60+BL60+BN60</f>
        <v>87</v>
      </c>
      <c r="BP60" s="133">
        <f t="shared" ref="BP60:BP62" si="416">BH60+BJ60+BL60+BN60</f>
        <v>279</v>
      </c>
      <c r="BQ60" s="7">
        <f>N60*J60</f>
        <v>217</v>
      </c>
      <c r="BR60" s="7">
        <f>J60*149</f>
        <v>149</v>
      </c>
      <c r="BS60" s="8">
        <f t="shared" ref="BS60:BS62" si="417">BQ60-BR60</f>
        <v>68</v>
      </c>
      <c r="BT60" s="14">
        <f>AC60*BR60</f>
        <v>372500</v>
      </c>
      <c r="BU60" s="133">
        <f t="shared" ref="BU60:BU62" si="418">BR60/J60</f>
        <v>149</v>
      </c>
      <c r="BV60" s="133">
        <v>93</v>
      </c>
      <c r="BW60" s="133"/>
      <c r="BX60" s="133">
        <v>62</v>
      </c>
      <c r="BY60" s="133">
        <v>6</v>
      </c>
      <c r="BZ60" s="133">
        <v>62</v>
      </c>
      <c r="CA60" s="133">
        <v>62</v>
      </c>
      <c r="CB60" s="133">
        <f t="shared" ref="CB60:CB62" si="419">BW60+BY60+CA60</f>
        <v>68</v>
      </c>
      <c r="CC60" s="133">
        <f t="shared" ref="CC60:CC62" si="420">BU60+BW60+BY60+CA60</f>
        <v>217</v>
      </c>
      <c r="CD60" s="7">
        <f>M60*J60</f>
        <v>279</v>
      </c>
      <c r="CE60" s="7">
        <f>J60*171</f>
        <v>171</v>
      </c>
      <c r="CF60" s="8">
        <f t="shared" ref="CF60:CF62" si="421">CD60-CE60</f>
        <v>108</v>
      </c>
      <c r="CG60" s="14">
        <f>CE60*AC60</f>
        <v>427500</v>
      </c>
      <c r="CH60" s="134">
        <f t="shared" ref="CH60:CH62" si="422">CE60/J60</f>
        <v>171</v>
      </c>
      <c r="CI60" s="134">
        <v>62</v>
      </c>
      <c r="CJ60" s="134"/>
      <c r="CK60" s="134">
        <v>62</v>
      </c>
      <c r="CL60" s="134"/>
      <c r="CM60" s="134">
        <v>124</v>
      </c>
      <c r="CN60" s="133">
        <v>77</v>
      </c>
      <c r="CO60" s="133">
        <f t="shared" ref="CO60:CO62" si="423">CJ60+CL60+CN60</f>
        <v>77</v>
      </c>
      <c r="CP60" s="133">
        <f t="shared" ref="CP60:CP62" si="424">CH60+CJ60+CL60+CN60</f>
        <v>248</v>
      </c>
      <c r="CQ60" s="7">
        <f>P60*J60</f>
        <v>248</v>
      </c>
      <c r="CR60" s="7">
        <f>J60*171</f>
        <v>171</v>
      </c>
      <c r="CS60" s="8">
        <f t="shared" ref="CS60:CS62" si="425">CQ60-CR60</f>
        <v>77</v>
      </c>
      <c r="CT60" s="14">
        <f>AC60*CR60</f>
        <v>427500</v>
      </c>
      <c r="CU60" s="134">
        <f t="shared" ref="CU60:CU62" si="426">CR60/J60</f>
        <v>171</v>
      </c>
      <c r="CV60" s="134">
        <v>93</v>
      </c>
      <c r="CW60" s="134"/>
      <c r="CX60" s="134">
        <v>93</v>
      </c>
      <c r="CY60" s="134">
        <v>15</v>
      </c>
      <c r="CZ60" s="134">
        <v>62</v>
      </c>
      <c r="DA60" s="134">
        <v>62</v>
      </c>
      <c r="DB60" s="134">
        <f t="shared" ref="DB60:DB62" si="427">CW60+CY60+DA60</f>
        <v>77</v>
      </c>
      <c r="DC60" s="134">
        <f t="shared" ref="DC60:DC62" si="428">CU60+CW60+CY60+DA60</f>
        <v>248</v>
      </c>
      <c r="DD60" s="7">
        <f>Q60*J60</f>
        <v>279</v>
      </c>
      <c r="DE60" s="7">
        <f>J60*192</f>
        <v>192</v>
      </c>
      <c r="DF60" s="8">
        <f t="shared" ref="DF60:DF62" si="429">DD60-DE60</f>
        <v>87</v>
      </c>
      <c r="DG60" s="14">
        <f>DE60*AC60</f>
        <v>480000</v>
      </c>
      <c r="DH60" s="134">
        <f t="shared" ref="DH60:DH62" si="430">DE60/J60</f>
        <v>192</v>
      </c>
      <c r="DI60" s="134">
        <v>93</v>
      </c>
      <c r="DJ60" s="134"/>
      <c r="DK60" s="134">
        <v>124</v>
      </c>
      <c r="DL60" s="134">
        <v>25</v>
      </c>
      <c r="DM60" s="134">
        <v>62</v>
      </c>
      <c r="DN60" s="134">
        <v>62</v>
      </c>
      <c r="DO60" s="134">
        <f t="shared" ref="DO60:DO62" si="431">DJ60+DL60+DN60</f>
        <v>87</v>
      </c>
      <c r="DP60" s="134">
        <f t="shared" ref="DP60:DP62" si="432">DH60+DJ60+DL60+DN60</f>
        <v>279</v>
      </c>
      <c r="DQ60" s="7">
        <f>R60*J60</f>
        <v>125</v>
      </c>
      <c r="DR60" s="7">
        <f>J60*86</f>
        <v>86</v>
      </c>
      <c r="DS60" s="8">
        <f t="shared" ref="DS60:DS62" si="433">DQ60-DR60</f>
        <v>39</v>
      </c>
      <c r="DT60" s="14">
        <f>DR60*AC60</f>
        <v>215000</v>
      </c>
      <c r="DU60" s="134">
        <f t="shared" ref="DU60:DU62" si="434">DR60/J60</f>
        <v>86</v>
      </c>
      <c r="DV60" s="134">
        <v>0</v>
      </c>
      <c r="DW60" s="134"/>
      <c r="DX60" s="134">
        <v>62</v>
      </c>
      <c r="DY60" s="134"/>
      <c r="DZ60" s="134">
        <v>63</v>
      </c>
      <c r="EA60" s="134">
        <v>39</v>
      </c>
      <c r="EB60" s="134">
        <f>DW60+DY60+EA60</f>
        <v>39</v>
      </c>
      <c r="EC60" s="134">
        <f t="shared" ref="EC60:EC62" si="435">DU60+DW60+DY60+EA60</f>
        <v>125</v>
      </c>
      <c r="ED60" s="7">
        <f>S60*J60</f>
        <v>62</v>
      </c>
      <c r="EE60" s="7">
        <f>J60*42</f>
        <v>42</v>
      </c>
      <c r="EF60" s="8">
        <f t="shared" ref="EF60:EF62" si="436">ED60-EE60</f>
        <v>20</v>
      </c>
      <c r="EG60" s="14">
        <f>EE60*AC60</f>
        <v>105000</v>
      </c>
      <c r="EH60" s="133">
        <f t="shared" ref="EH60:EH62" si="437">EE60/J60</f>
        <v>42</v>
      </c>
      <c r="EI60" s="133">
        <v>0</v>
      </c>
      <c r="EJ60" s="133"/>
      <c r="EK60" s="133">
        <v>62</v>
      </c>
      <c r="EL60" s="133">
        <f t="shared" ref="EL60:EL62" si="438">EK60-EH60</f>
        <v>20</v>
      </c>
      <c r="EM60" s="133">
        <v>0</v>
      </c>
      <c r="EN60" s="133"/>
      <c r="EO60" s="133">
        <f t="shared" ref="EO60:EO62" si="439">EJ60+EL60+EN60</f>
        <v>20</v>
      </c>
      <c r="EP60" s="133">
        <f t="shared" ref="EP60:EP62" si="440">EH60+EJ60+EL60+EN60</f>
        <v>62</v>
      </c>
      <c r="EQ60" s="7">
        <f>T60*J60</f>
        <v>279</v>
      </c>
      <c r="ER60" s="7">
        <f>J60*192</f>
        <v>192</v>
      </c>
      <c r="ES60" s="8">
        <f t="shared" ref="ES60:ES62" si="441">EQ60-ER60</f>
        <v>87</v>
      </c>
      <c r="ET60" s="14">
        <f>ER60*AC60</f>
        <v>480000</v>
      </c>
      <c r="EU60" s="134">
        <f t="shared" ref="EU60:EU62" si="442">ER60/J60</f>
        <v>192</v>
      </c>
      <c r="EV60" s="134">
        <v>93</v>
      </c>
      <c r="EW60" s="134"/>
      <c r="EX60" s="134">
        <v>93</v>
      </c>
      <c r="EY60" s="134"/>
      <c r="EZ60" s="134">
        <v>93</v>
      </c>
      <c r="FA60" s="134">
        <v>87</v>
      </c>
      <c r="FB60" s="134">
        <f t="shared" ref="FB60:FB62" si="443">EW60+EY60+FA60</f>
        <v>87</v>
      </c>
      <c r="FC60" s="134">
        <f t="shared" ref="FC60:FC62" si="444">EU60+EW60+EY60+FA60</f>
        <v>279</v>
      </c>
      <c r="FD60" s="7">
        <f>U60*J60</f>
        <v>186</v>
      </c>
      <c r="FE60" s="7">
        <f>J60*128</f>
        <v>128</v>
      </c>
      <c r="FF60" s="8">
        <f t="shared" ref="FF60:FF62" si="445">FD60-FE60</f>
        <v>58</v>
      </c>
      <c r="FG60" s="14">
        <f>FE60*AC60</f>
        <v>320000</v>
      </c>
      <c r="FH60" s="133">
        <f t="shared" ref="FH60:FH62" si="446">FE60/J60</f>
        <v>128</v>
      </c>
      <c r="FI60" s="133">
        <v>62</v>
      </c>
      <c r="FJ60" s="133"/>
      <c r="FK60" s="133">
        <v>62</v>
      </c>
      <c r="FL60" s="133"/>
      <c r="FM60" s="133">
        <v>62</v>
      </c>
      <c r="FN60" s="133">
        <v>58</v>
      </c>
      <c r="FO60" s="133">
        <f t="shared" ref="FO60:FO62" si="447">FJ60+FL60+FN60</f>
        <v>58</v>
      </c>
      <c r="FP60" s="133">
        <f t="shared" ref="FP60:FP62" si="448">FH60+FJ60+FL60+FN60</f>
        <v>186</v>
      </c>
      <c r="FQ60" s="7">
        <f>V60*J60</f>
        <v>32</v>
      </c>
      <c r="FR60" s="7">
        <f>J60*22</f>
        <v>22</v>
      </c>
      <c r="FS60" s="8">
        <f t="shared" ref="FS60:FS62" si="449">FQ60-FR60</f>
        <v>10</v>
      </c>
      <c r="FT60" s="14">
        <f>FR60*AC60</f>
        <v>55000</v>
      </c>
      <c r="FU60" s="134">
        <f t="shared" ref="FU60:FU62" si="450">FR60/J60</f>
        <v>22</v>
      </c>
      <c r="FV60" s="134">
        <v>0</v>
      </c>
      <c r="FW60" s="134"/>
      <c r="FX60" s="134">
        <v>16</v>
      </c>
      <c r="FY60" s="134"/>
      <c r="FZ60" s="134">
        <v>16</v>
      </c>
      <c r="GA60" s="134">
        <v>10</v>
      </c>
      <c r="GB60" s="134">
        <f t="shared" ref="GB60:GB62" si="451">FW60+FY60+GA60</f>
        <v>10</v>
      </c>
      <c r="GC60" s="134">
        <f t="shared" ref="GC60:GC62" si="452">FU60+FW60+FY60+GA60</f>
        <v>32</v>
      </c>
      <c r="GD60" s="7">
        <f>W60*J60</f>
        <v>12</v>
      </c>
      <c r="GE60" s="7">
        <f>J60*8</f>
        <v>8</v>
      </c>
      <c r="GF60" s="8">
        <f t="shared" ref="GF60:GF62" si="453">GD60-GE60</f>
        <v>4</v>
      </c>
      <c r="GG60" s="14">
        <f>GE60*AC60</f>
        <v>20000</v>
      </c>
      <c r="GH60" s="134">
        <f t="shared" ref="GH60:GH62" si="454">GE60/J60</f>
        <v>8</v>
      </c>
      <c r="GI60" s="134">
        <v>4</v>
      </c>
      <c r="GJ60" s="134"/>
      <c r="GK60" s="134">
        <v>4</v>
      </c>
      <c r="GL60" s="134"/>
      <c r="GM60" s="134">
        <v>4</v>
      </c>
      <c r="GN60" s="134">
        <v>4</v>
      </c>
      <c r="GO60" s="134">
        <f t="shared" ref="GO60:GO62" si="455">GJ60+GL60+GN60</f>
        <v>4</v>
      </c>
      <c r="GP60" s="134">
        <f t="shared" ref="GP60:GP62" si="456">GH60+GJ60+GL60+GN60</f>
        <v>12</v>
      </c>
      <c r="GQ60" s="7">
        <f>X60*J60</f>
        <v>186</v>
      </c>
      <c r="GR60" s="7">
        <f>J60*128</f>
        <v>128</v>
      </c>
      <c r="GS60" s="8">
        <f t="shared" ref="GS60:GS62" si="457">GQ60-GR60</f>
        <v>58</v>
      </c>
      <c r="GT60" s="14">
        <f>GR60*AC60</f>
        <v>320000</v>
      </c>
      <c r="GU60" s="133">
        <f t="shared" ref="GU60:GU62" si="458">GR60/J60</f>
        <v>128</v>
      </c>
      <c r="GV60" s="133">
        <v>62</v>
      </c>
      <c r="GW60" s="133"/>
      <c r="GX60" s="133">
        <v>62</v>
      </c>
      <c r="GY60" s="133"/>
      <c r="GZ60" s="133">
        <v>62</v>
      </c>
      <c r="HA60" s="133">
        <v>58</v>
      </c>
      <c r="HB60" s="133">
        <f t="shared" ref="HB60:HB62" si="459">GW60+GY60+HA60</f>
        <v>58</v>
      </c>
      <c r="HC60" s="133">
        <f t="shared" ref="HC60:HC62" si="460">GU60+GW60+GY60+HA60</f>
        <v>186</v>
      </c>
      <c r="HD60" s="7">
        <f>Y60*J60</f>
        <v>186</v>
      </c>
      <c r="HE60" s="7">
        <f>J60*128</f>
        <v>128</v>
      </c>
      <c r="HF60" s="8">
        <f t="shared" ref="HF60:HF62" si="461">HD60-HE60</f>
        <v>58</v>
      </c>
      <c r="HG60" s="14">
        <f>HE60*AC60</f>
        <v>320000</v>
      </c>
      <c r="HH60" s="7">
        <f t="shared" ref="HH60:HH62" si="462">HE60/J60</f>
        <v>128</v>
      </c>
      <c r="HI60" s="7">
        <v>62</v>
      </c>
      <c r="HJ60" s="7"/>
      <c r="HK60" s="7">
        <v>62</v>
      </c>
      <c r="HL60" s="7"/>
      <c r="HM60" s="7">
        <v>62</v>
      </c>
      <c r="HN60" s="7">
        <v>58</v>
      </c>
      <c r="HO60" s="133">
        <f t="shared" ref="HO60:HO62" si="463">HJ60+HL60+HN60</f>
        <v>58</v>
      </c>
      <c r="HP60" s="133">
        <f t="shared" ref="HP60:HP62" si="464">HH60+HJ60+HL60+HN60</f>
        <v>186</v>
      </c>
    </row>
    <row r="61" spans="2:224" x14ac:dyDescent="0.25">
      <c r="B61" s="7">
        <f>'PLAN DE NECESIDADES'!B49</f>
        <v>29</v>
      </c>
      <c r="C61" s="7">
        <f>'PLAN DE NECESIDADES'!C49</f>
        <v>3694006</v>
      </c>
      <c r="D61" s="60" t="str">
        <f>'PLAN DE NECESIDADES'!D49</f>
        <v>JABONERA: 
PLÁSTICA CAPACIDAD JABÓN 130 GRAMOS ESPECIFICACIONES SEGÚN NORMA TÉCNICA NO. NTMD-0356 A2 ÍTEM  3.1.1.9</v>
      </c>
      <c r="E61" s="7" t="str">
        <f>'PLAN DE NECESIDADES'!E49</f>
        <v>UNIDAD</v>
      </c>
      <c r="F61" s="7">
        <f>'PLAN DE NECESIDADES'!F49</f>
        <v>0</v>
      </c>
      <c r="G61" s="7">
        <f>'PLAN DE NECESIDADES'!H49</f>
        <v>30181601</v>
      </c>
      <c r="H61" s="7">
        <f>'PLAN DE NECESIDADES'!I49</f>
        <v>1082381</v>
      </c>
      <c r="I61" s="7" t="str">
        <f>'PLAN DE NECESIDADES'!J49</f>
        <v>8530-80-0011402</v>
      </c>
      <c r="J61" s="7">
        <v>1</v>
      </c>
      <c r="K61" s="85">
        <v>69</v>
      </c>
      <c r="L61" s="85">
        <v>217</v>
      </c>
      <c r="M61" s="85">
        <v>279</v>
      </c>
      <c r="N61" s="85">
        <v>217</v>
      </c>
      <c r="O61" s="85">
        <v>248</v>
      </c>
      <c r="P61" s="85">
        <v>248</v>
      </c>
      <c r="Q61" s="85">
        <v>279</v>
      </c>
      <c r="R61" s="85">
        <v>125</v>
      </c>
      <c r="S61" s="85">
        <v>62</v>
      </c>
      <c r="T61" s="85">
        <v>279</v>
      </c>
      <c r="U61" s="85">
        <v>186</v>
      </c>
      <c r="V61" s="85">
        <v>32</v>
      </c>
      <c r="W61" s="85">
        <v>12</v>
      </c>
      <c r="X61" s="85">
        <v>186</v>
      </c>
      <c r="Y61" s="85">
        <v>186</v>
      </c>
      <c r="Z61" s="85">
        <f t="shared" si="406"/>
        <v>2656</v>
      </c>
      <c r="AA61" s="7">
        <f t="shared" si="406"/>
        <v>1812</v>
      </c>
      <c r="AB61" s="7">
        <f t="shared" si="406"/>
        <v>844</v>
      </c>
      <c r="AC61" s="12">
        <v>1800</v>
      </c>
      <c r="AD61" s="7">
        <f>K61*J61</f>
        <v>69</v>
      </c>
      <c r="AE61" s="7">
        <f>J61*48</f>
        <v>48</v>
      </c>
      <c r="AF61" s="8">
        <f t="shared" si="407"/>
        <v>21</v>
      </c>
      <c r="AG61" s="14">
        <f>AC61*AE61</f>
        <v>86400</v>
      </c>
      <c r="AH61" s="133">
        <f t="shared" ref="AH61:AH62" si="465">AE61/J61</f>
        <v>48</v>
      </c>
      <c r="AI61" s="133">
        <v>31</v>
      </c>
      <c r="AJ61" s="133"/>
      <c r="AK61" s="133">
        <v>20</v>
      </c>
      <c r="AL61" s="133">
        <v>3</v>
      </c>
      <c r="AM61" s="133">
        <v>18</v>
      </c>
      <c r="AN61" s="133">
        <v>18</v>
      </c>
      <c r="AO61" s="133">
        <f t="shared" ref="AO61:AO62" si="466">AL61+AN61</f>
        <v>21</v>
      </c>
      <c r="AP61" s="133">
        <f t="shared" si="408"/>
        <v>69</v>
      </c>
      <c r="AQ61" s="7">
        <f>L61*J61</f>
        <v>217</v>
      </c>
      <c r="AR61" s="7">
        <f>J61*150</f>
        <v>150</v>
      </c>
      <c r="AS61" s="8">
        <f t="shared" si="409"/>
        <v>67</v>
      </c>
      <c r="AT61" s="14">
        <f>AC61*AR61</f>
        <v>270000</v>
      </c>
      <c r="AU61" s="133">
        <f t="shared" si="410"/>
        <v>150</v>
      </c>
      <c r="AV61" s="133">
        <v>93</v>
      </c>
      <c r="AW61" s="133"/>
      <c r="AX61" s="133">
        <v>62</v>
      </c>
      <c r="AY61" s="133">
        <v>5</v>
      </c>
      <c r="AZ61" s="133">
        <v>62</v>
      </c>
      <c r="BA61" s="133">
        <v>62</v>
      </c>
      <c r="BB61" s="133">
        <f t="shared" si="411"/>
        <v>67</v>
      </c>
      <c r="BC61" s="133">
        <f t="shared" si="412"/>
        <v>217</v>
      </c>
      <c r="BD61" s="7">
        <f>M61*J61</f>
        <v>279</v>
      </c>
      <c r="BE61" s="7">
        <f>J61*193</f>
        <v>193</v>
      </c>
      <c r="BF61" s="8">
        <f t="shared" si="413"/>
        <v>86</v>
      </c>
      <c r="BG61" s="14">
        <f>AC61*BE61</f>
        <v>347400</v>
      </c>
      <c r="BH61" s="133">
        <f t="shared" si="414"/>
        <v>193</v>
      </c>
      <c r="BI61" s="133">
        <v>93</v>
      </c>
      <c r="BJ61" s="133"/>
      <c r="BK61" s="133">
        <v>62</v>
      </c>
      <c r="BL61" s="133"/>
      <c r="BM61" s="133">
        <v>124</v>
      </c>
      <c r="BN61" s="134">
        <v>86</v>
      </c>
      <c r="BO61" s="133">
        <f t="shared" si="415"/>
        <v>86</v>
      </c>
      <c r="BP61" s="133">
        <f t="shared" si="416"/>
        <v>279</v>
      </c>
      <c r="BQ61" s="7">
        <f>N61*J61</f>
        <v>217</v>
      </c>
      <c r="BR61" s="7">
        <f>J61*150</f>
        <v>150</v>
      </c>
      <c r="BS61" s="8">
        <f t="shared" si="417"/>
        <v>67</v>
      </c>
      <c r="BT61" s="14">
        <f>AC61*BR61</f>
        <v>270000</v>
      </c>
      <c r="BU61" s="133">
        <f t="shared" si="418"/>
        <v>150</v>
      </c>
      <c r="BV61" s="133">
        <v>93</v>
      </c>
      <c r="BW61" s="133"/>
      <c r="BX61" s="133">
        <v>62</v>
      </c>
      <c r="BY61" s="133">
        <v>5</v>
      </c>
      <c r="BZ61" s="133">
        <v>62</v>
      </c>
      <c r="CA61" s="133">
        <v>62</v>
      </c>
      <c r="CB61" s="133">
        <f t="shared" si="419"/>
        <v>67</v>
      </c>
      <c r="CC61" s="133">
        <f t="shared" si="420"/>
        <v>217</v>
      </c>
      <c r="CD61" s="7">
        <f>M61*J61</f>
        <v>279</v>
      </c>
      <c r="CE61" s="7">
        <f>J61*171</f>
        <v>171</v>
      </c>
      <c r="CF61" s="8">
        <f t="shared" si="421"/>
        <v>108</v>
      </c>
      <c r="CG61" s="14">
        <f>CE61*AC61</f>
        <v>307800</v>
      </c>
      <c r="CH61" s="134">
        <f t="shared" si="422"/>
        <v>171</v>
      </c>
      <c r="CI61" s="134">
        <v>62</v>
      </c>
      <c r="CJ61" s="134"/>
      <c r="CK61" s="134">
        <v>62</v>
      </c>
      <c r="CL61" s="134"/>
      <c r="CM61" s="134">
        <v>124</v>
      </c>
      <c r="CN61" s="133">
        <v>77</v>
      </c>
      <c r="CO61" s="133">
        <f t="shared" si="423"/>
        <v>77</v>
      </c>
      <c r="CP61" s="133">
        <f t="shared" si="424"/>
        <v>248</v>
      </c>
      <c r="CQ61" s="7">
        <f>P61*J61</f>
        <v>248</v>
      </c>
      <c r="CR61" s="7">
        <f>J61*171</f>
        <v>171</v>
      </c>
      <c r="CS61" s="8">
        <f t="shared" si="425"/>
        <v>77</v>
      </c>
      <c r="CT61" s="14">
        <f>AC61*CR61</f>
        <v>307800</v>
      </c>
      <c r="CU61" s="134">
        <f t="shared" si="426"/>
        <v>171</v>
      </c>
      <c r="CV61" s="134">
        <v>93</v>
      </c>
      <c r="CW61" s="134"/>
      <c r="CX61" s="134">
        <v>93</v>
      </c>
      <c r="CY61" s="134">
        <v>15</v>
      </c>
      <c r="CZ61" s="134">
        <v>62</v>
      </c>
      <c r="DA61" s="134">
        <v>62</v>
      </c>
      <c r="DB61" s="134">
        <f t="shared" si="427"/>
        <v>77</v>
      </c>
      <c r="DC61" s="134">
        <f t="shared" si="428"/>
        <v>248</v>
      </c>
      <c r="DD61" s="7">
        <f>Q61*J61</f>
        <v>279</v>
      </c>
      <c r="DE61" s="7">
        <f>J61*193</f>
        <v>193</v>
      </c>
      <c r="DF61" s="8">
        <f t="shared" si="429"/>
        <v>86</v>
      </c>
      <c r="DG61" s="14">
        <f>DE61*AC61</f>
        <v>347400</v>
      </c>
      <c r="DH61" s="134">
        <f t="shared" si="430"/>
        <v>193</v>
      </c>
      <c r="DI61" s="134">
        <v>93</v>
      </c>
      <c r="DJ61" s="134"/>
      <c r="DK61" s="134">
        <v>124</v>
      </c>
      <c r="DL61" s="134">
        <v>24</v>
      </c>
      <c r="DM61" s="134">
        <v>62</v>
      </c>
      <c r="DN61" s="134">
        <v>62</v>
      </c>
      <c r="DO61" s="134">
        <f t="shared" si="431"/>
        <v>86</v>
      </c>
      <c r="DP61" s="134">
        <f t="shared" si="432"/>
        <v>279</v>
      </c>
      <c r="DQ61" s="7">
        <f>R61*J61</f>
        <v>125</v>
      </c>
      <c r="DR61" s="7">
        <f>J61*86</f>
        <v>86</v>
      </c>
      <c r="DS61" s="8">
        <f t="shared" si="433"/>
        <v>39</v>
      </c>
      <c r="DT61" s="14">
        <f>DR61*AC61</f>
        <v>154800</v>
      </c>
      <c r="DU61" s="134">
        <f t="shared" si="434"/>
        <v>86</v>
      </c>
      <c r="DV61" s="134">
        <v>0</v>
      </c>
      <c r="DW61" s="134"/>
      <c r="DX61" s="134">
        <v>62</v>
      </c>
      <c r="DY61" s="134"/>
      <c r="DZ61" s="134">
        <v>63</v>
      </c>
      <c r="EA61" s="134">
        <v>39</v>
      </c>
      <c r="EB61" s="134">
        <f t="shared" ref="EB61:EB62" si="467">DW61+DY61+EA61</f>
        <v>39</v>
      </c>
      <c r="EC61" s="134">
        <f t="shared" si="435"/>
        <v>125</v>
      </c>
      <c r="ED61" s="7">
        <f>S61*J61</f>
        <v>62</v>
      </c>
      <c r="EE61" s="7">
        <f>J61*43</f>
        <v>43</v>
      </c>
      <c r="EF61" s="8">
        <f t="shared" si="436"/>
        <v>19</v>
      </c>
      <c r="EG61" s="14">
        <f>EE61*AC61</f>
        <v>77400</v>
      </c>
      <c r="EH61" s="133">
        <f t="shared" si="437"/>
        <v>43</v>
      </c>
      <c r="EI61" s="133">
        <v>0</v>
      </c>
      <c r="EJ61" s="133"/>
      <c r="EK61" s="133">
        <v>62</v>
      </c>
      <c r="EL61" s="133">
        <f t="shared" si="438"/>
        <v>19</v>
      </c>
      <c r="EM61" s="133">
        <v>0</v>
      </c>
      <c r="EN61" s="133"/>
      <c r="EO61" s="133">
        <f t="shared" si="439"/>
        <v>19</v>
      </c>
      <c r="EP61" s="133">
        <f t="shared" si="440"/>
        <v>62</v>
      </c>
      <c r="EQ61" s="7">
        <f>T61*J61</f>
        <v>279</v>
      </c>
      <c r="ER61" s="7">
        <f>J61*193</f>
        <v>193</v>
      </c>
      <c r="ES61" s="8">
        <f t="shared" si="441"/>
        <v>86</v>
      </c>
      <c r="ET61" s="14">
        <f>ER61*AC61</f>
        <v>347400</v>
      </c>
      <c r="EU61" s="134">
        <f t="shared" si="442"/>
        <v>193</v>
      </c>
      <c r="EV61" s="134">
        <v>93</v>
      </c>
      <c r="EW61" s="134"/>
      <c r="EX61" s="134">
        <v>93</v>
      </c>
      <c r="EY61" s="134"/>
      <c r="EZ61" s="134">
        <v>93</v>
      </c>
      <c r="FA61" s="134">
        <v>86</v>
      </c>
      <c r="FB61" s="134">
        <f t="shared" si="443"/>
        <v>86</v>
      </c>
      <c r="FC61" s="134">
        <f t="shared" si="444"/>
        <v>279</v>
      </c>
      <c r="FD61" s="7">
        <f>U61*J61</f>
        <v>186</v>
      </c>
      <c r="FE61" s="7">
        <f>J61*128</f>
        <v>128</v>
      </c>
      <c r="FF61" s="8">
        <f t="shared" si="445"/>
        <v>58</v>
      </c>
      <c r="FG61" s="14">
        <f>FE61*AC61</f>
        <v>230400</v>
      </c>
      <c r="FH61" s="133">
        <f t="shared" si="446"/>
        <v>128</v>
      </c>
      <c r="FI61" s="133">
        <v>62</v>
      </c>
      <c r="FJ61" s="133"/>
      <c r="FK61" s="133">
        <v>62</v>
      </c>
      <c r="FL61" s="133"/>
      <c r="FM61" s="133">
        <v>62</v>
      </c>
      <c r="FN61" s="133">
        <v>58</v>
      </c>
      <c r="FO61" s="133">
        <f t="shared" si="447"/>
        <v>58</v>
      </c>
      <c r="FP61" s="133">
        <f t="shared" si="448"/>
        <v>186</v>
      </c>
      <c r="FQ61" s="7">
        <f>V61*J61</f>
        <v>32</v>
      </c>
      <c r="FR61" s="7">
        <f>J61*22</f>
        <v>22</v>
      </c>
      <c r="FS61" s="8">
        <f t="shared" si="449"/>
        <v>10</v>
      </c>
      <c r="FT61" s="14">
        <f>FR61*AC61</f>
        <v>39600</v>
      </c>
      <c r="FU61" s="134">
        <f t="shared" si="450"/>
        <v>22</v>
      </c>
      <c r="FV61" s="134">
        <v>0</v>
      </c>
      <c r="FW61" s="134"/>
      <c r="FX61" s="134">
        <v>16</v>
      </c>
      <c r="FY61" s="134"/>
      <c r="FZ61" s="134">
        <v>16</v>
      </c>
      <c r="GA61" s="134">
        <v>10</v>
      </c>
      <c r="GB61" s="134">
        <f t="shared" si="451"/>
        <v>10</v>
      </c>
      <c r="GC61" s="134">
        <f t="shared" si="452"/>
        <v>32</v>
      </c>
      <c r="GD61" s="7">
        <f>W61*J61</f>
        <v>12</v>
      </c>
      <c r="GE61" s="7">
        <f>J61*8</f>
        <v>8</v>
      </c>
      <c r="GF61" s="8">
        <f t="shared" si="453"/>
        <v>4</v>
      </c>
      <c r="GG61" s="14">
        <f>GE61*AC61</f>
        <v>14400</v>
      </c>
      <c r="GH61" s="134">
        <f t="shared" si="454"/>
        <v>8</v>
      </c>
      <c r="GI61" s="134">
        <v>4</v>
      </c>
      <c r="GJ61" s="134"/>
      <c r="GK61" s="134">
        <v>4</v>
      </c>
      <c r="GL61" s="134"/>
      <c r="GM61" s="134">
        <v>4</v>
      </c>
      <c r="GN61" s="134">
        <v>4</v>
      </c>
      <c r="GO61" s="134">
        <f t="shared" si="455"/>
        <v>4</v>
      </c>
      <c r="GP61" s="134">
        <f t="shared" si="456"/>
        <v>12</v>
      </c>
      <c r="GQ61" s="7">
        <f>X61*J61</f>
        <v>186</v>
      </c>
      <c r="GR61" s="7">
        <f>J61*128</f>
        <v>128</v>
      </c>
      <c r="GS61" s="8">
        <f t="shared" si="457"/>
        <v>58</v>
      </c>
      <c r="GT61" s="14">
        <f>GR61*AC61</f>
        <v>230400</v>
      </c>
      <c r="GU61" s="133">
        <f t="shared" si="458"/>
        <v>128</v>
      </c>
      <c r="GV61" s="133">
        <v>62</v>
      </c>
      <c r="GW61" s="133"/>
      <c r="GX61" s="133">
        <v>62</v>
      </c>
      <c r="GY61" s="133"/>
      <c r="GZ61" s="133">
        <v>62</v>
      </c>
      <c r="HA61" s="133">
        <v>58</v>
      </c>
      <c r="HB61" s="133">
        <f t="shared" si="459"/>
        <v>58</v>
      </c>
      <c r="HC61" s="133">
        <f t="shared" si="460"/>
        <v>186</v>
      </c>
      <c r="HD61" s="7">
        <f>Y61*J61</f>
        <v>186</v>
      </c>
      <c r="HE61" s="7">
        <f>J61*128</f>
        <v>128</v>
      </c>
      <c r="HF61" s="8">
        <f t="shared" si="461"/>
        <v>58</v>
      </c>
      <c r="HG61" s="14">
        <f>HE61*AC61</f>
        <v>230400</v>
      </c>
      <c r="HH61" s="7">
        <f t="shared" si="462"/>
        <v>128</v>
      </c>
      <c r="HI61" s="7">
        <v>62</v>
      </c>
      <c r="HJ61" s="7"/>
      <c r="HK61" s="7">
        <v>62</v>
      </c>
      <c r="HL61" s="7"/>
      <c r="HM61" s="7">
        <v>62</v>
      </c>
      <c r="HN61" s="7">
        <v>58</v>
      </c>
      <c r="HO61" s="133">
        <f t="shared" si="463"/>
        <v>58</v>
      </c>
      <c r="HP61" s="133">
        <f t="shared" si="464"/>
        <v>186</v>
      </c>
    </row>
    <row r="62" spans="2:224" x14ac:dyDescent="0.25">
      <c r="B62" s="7">
        <f>'PLAN DE NECESIDADES'!B50</f>
        <v>30</v>
      </c>
      <c r="C62" s="7">
        <f>'PLAN DE NECESIDADES'!C50</f>
        <v>3649006</v>
      </c>
      <c r="D62" s="60" t="str">
        <f>'PLAN DE NECESIDADES'!D50</f>
        <v>PORTA CEPILLO DE DIENTES: ELABORADO EN PLÁSTICO ESPECIFICACIONES SEGÚN NORMA TÉCNICA NO. NTMD-0356 A2 ÍTEM  3.1.1.11</v>
      </c>
      <c r="E62" s="7" t="str">
        <f>'PLAN DE NECESIDADES'!E50</f>
        <v>UNIDAD</v>
      </c>
      <c r="F62" s="7">
        <f>'PLAN DE NECESIDADES'!F50</f>
        <v>0</v>
      </c>
      <c r="G62" s="7">
        <f>'PLAN DE NECESIDADES'!H50</f>
        <v>53121800</v>
      </c>
      <c r="H62" s="7">
        <f>'PLAN DE NECESIDADES'!I50</f>
        <v>1330024</v>
      </c>
      <c r="I62" s="7" t="str">
        <f>'PLAN DE NECESIDADES'!J50</f>
        <v>4510-80-0011407</v>
      </c>
      <c r="J62" s="7">
        <v>1</v>
      </c>
      <c r="K62" s="85">
        <v>69</v>
      </c>
      <c r="L62" s="85">
        <v>217</v>
      </c>
      <c r="M62" s="85">
        <v>279</v>
      </c>
      <c r="N62" s="85">
        <v>217</v>
      </c>
      <c r="O62" s="85">
        <v>248</v>
      </c>
      <c r="P62" s="85">
        <v>248</v>
      </c>
      <c r="Q62" s="85">
        <v>279</v>
      </c>
      <c r="R62" s="85">
        <v>125</v>
      </c>
      <c r="S62" s="85">
        <v>62</v>
      </c>
      <c r="T62" s="85">
        <v>279</v>
      </c>
      <c r="U62" s="85">
        <v>186</v>
      </c>
      <c r="V62" s="85">
        <v>32</v>
      </c>
      <c r="W62" s="85">
        <v>12</v>
      </c>
      <c r="X62" s="85">
        <v>186</v>
      </c>
      <c r="Y62" s="85">
        <v>186</v>
      </c>
      <c r="Z62" s="85">
        <f t="shared" si="406"/>
        <v>2656</v>
      </c>
      <c r="AA62" s="7">
        <f t="shared" si="406"/>
        <v>1807</v>
      </c>
      <c r="AB62" s="7">
        <f t="shared" si="406"/>
        <v>849</v>
      </c>
      <c r="AC62" s="12">
        <v>1600</v>
      </c>
      <c r="AD62" s="7">
        <f>K62*J62</f>
        <v>69</v>
      </c>
      <c r="AE62" s="7">
        <f>J62*47</f>
        <v>47</v>
      </c>
      <c r="AF62" s="8">
        <f t="shared" si="407"/>
        <v>22</v>
      </c>
      <c r="AG62" s="14">
        <f>AC62*AE62</f>
        <v>75200</v>
      </c>
      <c r="AH62" s="133">
        <f t="shared" si="465"/>
        <v>47</v>
      </c>
      <c r="AI62" s="133">
        <v>31</v>
      </c>
      <c r="AJ62" s="133"/>
      <c r="AK62" s="133">
        <v>20</v>
      </c>
      <c r="AL62" s="133">
        <v>4</v>
      </c>
      <c r="AM62" s="133">
        <v>18</v>
      </c>
      <c r="AN62" s="133">
        <v>18</v>
      </c>
      <c r="AO62" s="133">
        <f t="shared" si="466"/>
        <v>22</v>
      </c>
      <c r="AP62" s="133">
        <f t="shared" si="408"/>
        <v>69</v>
      </c>
      <c r="AQ62" s="7">
        <f>L62*J62</f>
        <v>217</v>
      </c>
      <c r="AR62" s="7">
        <f>J62*150</f>
        <v>150</v>
      </c>
      <c r="AS62" s="8">
        <f t="shared" si="409"/>
        <v>67</v>
      </c>
      <c r="AT62" s="14">
        <f>AC62*AR62</f>
        <v>240000</v>
      </c>
      <c r="AU62" s="133">
        <f t="shared" si="410"/>
        <v>150</v>
      </c>
      <c r="AV62" s="133">
        <v>93</v>
      </c>
      <c r="AW62" s="133"/>
      <c r="AX62" s="133">
        <v>62</v>
      </c>
      <c r="AY62" s="133">
        <v>5</v>
      </c>
      <c r="AZ62" s="133">
        <v>62</v>
      </c>
      <c r="BA62" s="133">
        <v>62</v>
      </c>
      <c r="BB62" s="133">
        <f t="shared" si="411"/>
        <v>67</v>
      </c>
      <c r="BC62" s="133">
        <f t="shared" si="412"/>
        <v>217</v>
      </c>
      <c r="BD62" s="7">
        <f>M62*J62</f>
        <v>279</v>
      </c>
      <c r="BE62" s="7">
        <f>J62*192</f>
        <v>192</v>
      </c>
      <c r="BF62" s="8">
        <f t="shared" si="413"/>
        <v>87</v>
      </c>
      <c r="BG62" s="14">
        <f>AC62*BE62</f>
        <v>307200</v>
      </c>
      <c r="BH62" s="133">
        <f t="shared" si="414"/>
        <v>192</v>
      </c>
      <c r="BI62" s="133">
        <v>93</v>
      </c>
      <c r="BJ62" s="133"/>
      <c r="BK62" s="133">
        <v>62</v>
      </c>
      <c r="BL62" s="133"/>
      <c r="BM62" s="133">
        <v>124</v>
      </c>
      <c r="BN62" s="134">
        <v>87</v>
      </c>
      <c r="BO62" s="133">
        <f t="shared" si="415"/>
        <v>87</v>
      </c>
      <c r="BP62" s="133">
        <f t="shared" si="416"/>
        <v>279</v>
      </c>
      <c r="BQ62" s="7">
        <f>N62*J62</f>
        <v>217</v>
      </c>
      <c r="BR62" s="7">
        <f>J62*150</f>
        <v>150</v>
      </c>
      <c r="BS62" s="8">
        <f t="shared" si="417"/>
        <v>67</v>
      </c>
      <c r="BT62" s="14">
        <f>AC62*BR62</f>
        <v>240000</v>
      </c>
      <c r="BU62" s="133">
        <f t="shared" si="418"/>
        <v>150</v>
      </c>
      <c r="BV62" s="133">
        <v>93</v>
      </c>
      <c r="BW62" s="133"/>
      <c r="BX62" s="133">
        <v>62</v>
      </c>
      <c r="BY62" s="133">
        <v>5</v>
      </c>
      <c r="BZ62" s="133">
        <v>62</v>
      </c>
      <c r="CA62" s="133">
        <v>62</v>
      </c>
      <c r="CB62" s="133">
        <f t="shared" si="419"/>
        <v>67</v>
      </c>
      <c r="CC62" s="133">
        <f t="shared" si="420"/>
        <v>217</v>
      </c>
      <c r="CD62" s="7">
        <f>M62*J62</f>
        <v>279</v>
      </c>
      <c r="CE62" s="7">
        <f>J62*170</f>
        <v>170</v>
      </c>
      <c r="CF62" s="8">
        <f t="shared" si="421"/>
        <v>109</v>
      </c>
      <c r="CG62" s="14">
        <f>CE62*AC62</f>
        <v>272000</v>
      </c>
      <c r="CH62" s="134">
        <f t="shared" si="422"/>
        <v>170</v>
      </c>
      <c r="CI62" s="134">
        <v>62</v>
      </c>
      <c r="CJ62" s="134"/>
      <c r="CK62" s="134">
        <v>62</v>
      </c>
      <c r="CL62" s="134"/>
      <c r="CM62" s="134">
        <v>124</v>
      </c>
      <c r="CN62" s="133">
        <v>78</v>
      </c>
      <c r="CO62" s="133">
        <f t="shared" si="423"/>
        <v>78</v>
      </c>
      <c r="CP62" s="133">
        <f t="shared" si="424"/>
        <v>248</v>
      </c>
      <c r="CQ62" s="7">
        <f>P62*J62</f>
        <v>248</v>
      </c>
      <c r="CR62" s="7">
        <f>J62*170</f>
        <v>170</v>
      </c>
      <c r="CS62" s="8">
        <f t="shared" si="425"/>
        <v>78</v>
      </c>
      <c r="CT62" s="14">
        <f>AC62*CR62</f>
        <v>272000</v>
      </c>
      <c r="CU62" s="134">
        <f t="shared" si="426"/>
        <v>170</v>
      </c>
      <c r="CV62" s="134">
        <v>93</v>
      </c>
      <c r="CW62" s="134"/>
      <c r="CX62" s="134">
        <v>93</v>
      </c>
      <c r="CY62" s="134">
        <v>16</v>
      </c>
      <c r="CZ62" s="134">
        <v>62</v>
      </c>
      <c r="DA62" s="134">
        <v>62</v>
      </c>
      <c r="DB62" s="134">
        <f t="shared" si="427"/>
        <v>78</v>
      </c>
      <c r="DC62" s="134">
        <f t="shared" si="428"/>
        <v>248</v>
      </c>
      <c r="DD62" s="7">
        <f>Q62*J62</f>
        <v>279</v>
      </c>
      <c r="DE62" s="7">
        <f>J62*192</f>
        <v>192</v>
      </c>
      <c r="DF62" s="8">
        <f t="shared" si="429"/>
        <v>87</v>
      </c>
      <c r="DG62" s="14">
        <f>DE62*AC62</f>
        <v>307200</v>
      </c>
      <c r="DH62" s="134">
        <f t="shared" si="430"/>
        <v>192</v>
      </c>
      <c r="DI62" s="134">
        <v>93</v>
      </c>
      <c r="DJ62" s="134"/>
      <c r="DK62" s="134">
        <v>124</v>
      </c>
      <c r="DL62" s="134">
        <v>25</v>
      </c>
      <c r="DM62" s="134">
        <v>62</v>
      </c>
      <c r="DN62" s="134">
        <v>62</v>
      </c>
      <c r="DO62" s="134">
        <f t="shared" si="431"/>
        <v>87</v>
      </c>
      <c r="DP62" s="134">
        <f t="shared" si="432"/>
        <v>279</v>
      </c>
      <c r="DQ62" s="7">
        <f>R62*J62</f>
        <v>125</v>
      </c>
      <c r="DR62" s="7">
        <f>J62*86</f>
        <v>86</v>
      </c>
      <c r="DS62" s="8">
        <f t="shared" si="433"/>
        <v>39</v>
      </c>
      <c r="DT62" s="14">
        <f>DR62*AC62</f>
        <v>137600</v>
      </c>
      <c r="DU62" s="134">
        <f t="shared" si="434"/>
        <v>86</v>
      </c>
      <c r="DV62" s="134">
        <v>0</v>
      </c>
      <c r="DW62" s="134"/>
      <c r="DX62" s="134">
        <v>62</v>
      </c>
      <c r="DY62" s="134"/>
      <c r="DZ62" s="134">
        <v>63</v>
      </c>
      <c r="EA62" s="134">
        <v>39</v>
      </c>
      <c r="EB62" s="134">
        <f t="shared" si="467"/>
        <v>39</v>
      </c>
      <c r="EC62" s="134">
        <f t="shared" si="435"/>
        <v>125</v>
      </c>
      <c r="ED62" s="7">
        <f>S62*J62</f>
        <v>62</v>
      </c>
      <c r="EE62" s="7">
        <f>J62*43</f>
        <v>43</v>
      </c>
      <c r="EF62" s="8">
        <f t="shared" si="436"/>
        <v>19</v>
      </c>
      <c r="EG62" s="14">
        <f>EE62*AC62</f>
        <v>68800</v>
      </c>
      <c r="EH62" s="133">
        <f t="shared" si="437"/>
        <v>43</v>
      </c>
      <c r="EI62" s="133">
        <v>0</v>
      </c>
      <c r="EJ62" s="133"/>
      <c r="EK62" s="133">
        <v>62</v>
      </c>
      <c r="EL62" s="133">
        <f t="shared" si="438"/>
        <v>19</v>
      </c>
      <c r="EM62" s="133">
        <v>0</v>
      </c>
      <c r="EN62" s="133"/>
      <c r="EO62" s="133">
        <f t="shared" si="439"/>
        <v>19</v>
      </c>
      <c r="EP62" s="133">
        <f t="shared" si="440"/>
        <v>62</v>
      </c>
      <c r="EQ62" s="7">
        <f>T62*J62</f>
        <v>279</v>
      </c>
      <c r="ER62" s="7">
        <f>J62*192</f>
        <v>192</v>
      </c>
      <c r="ES62" s="8">
        <f t="shared" si="441"/>
        <v>87</v>
      </c>
      <c r="ET62" s="14">
        <f>ER62*AC62</f>
        <v>307200</v>
      </c>
      <c r="EU62" s="134">
        <f t="shared" si="442"/>
        <v>192</v>
      </c>
      <c r="EV62" s="134">
        <v>93</v>
      </c>
      <c r="EW62" s="134"/>
      <c r="EX62" s="134">
        <v>93</v>
      </c>
      <c r="EY62" s="134"/>
      <c r="EZ62" s="134">
        <v>93</v>
      </c>
      <c r="FA62" s="134">
        <v>87</v>
      </c>
      <c r="FB62" s="134">
        <f t="shared" si="443"/>
        <v>87</v>
      </c>
      <c r="FC62" s="134">
        <f t="shared" si="444"/>
        <v>279</v>
      </c>
      <c r="FD62" s="7">
        <f>U62*J62</f>
        <v>186</v>
      </c>
      <c r="FE62" s="7">
        <f>J62*128</f>
        <v>128</v>
      </c>
      <c r="FF62" s="8">
        <f t="shared" si="445"/>
        <v>58</v>
      </c>
      <c r="FG62" s="14">
        <f>FE62*AC62</f>
        <v>204800</v>
      </c>
      <c r="FH62" s="133">
        <f t="shared" si="446"/>
        <v>128</v>
      </c>
      <c r="FI62" s="133">
        <v>62</v>
      </c>
      <c r="FJ62" s="133"/>
      <c r="FK62" s="133">
        <v>62</v>
      </c>
      <c r="FL62" s="133"/>
      <c r="FM62" s="133">
        <v>62</v>
      </c>
      <c r="FN62" s="133">
        <v>58</v>
      </c>
      <c r="FO62" s="133">
        <f t="shared" si="447"/>
        <v>58</v>
      </c>
      <c r="FP62" s="133">
        <f t="shared" si="448"/>
        <v>186</v>
      </c>
      <c r="FQ62" s="7">
        <f>V62*J62</f>
        <v>32</v>
      </c>
      <c r="FR62" s="7">
        <f>J62*22</f>
        <v>22</v>
      </c>
      <c r="FS62" s="8">
        <f t="shared" si="449"/>
        <v>10</v>
      </c>
      <c r="FT62" s="14">
        <f>FR62*AC62</f>
        <v>35200</v>
      </c>
      <c r="FU62" s="134">
        <f t="shared" si="450"/>
        <v>22</v>
      </c>
      <c r="FV62" s="134">
        <v>0</v>
      </c>
      <c r="FW62" s="134"/>
      <c r="FX62" s="134">
        <v>16</v>
      </c>
      <c r="FY62" s="134"/>
      <c r="FZ62" s="134">
        <v>16</v>
      </c>
      <c r="GA62" s="134">
        <v>10</v>
      </c>
      <c r="GB62" s="134">
        <f t="shared" si="451"/>
        <v>10</v>
      </c>
      <c r="GC62" s="134">
        <f t="shared" si="452"/>
        <v>32</v>
      </c>
      <c r="GD62" s="7">
        <f>W62*J62</f>
        <v>12</v>
      </c>
      <c r="GE62" s="7">
        <f>J62*9</f>
        <v>9</v>
      </c>
      <c r="GF62" s="8">
        <f t="shared" si="453"/>
        <v>3</v>
      </c>
      <c r="GG62" s="14">
        <f>GE62*AC62</f>
        <v>14400</v>
      </c>
      <c r="GH62" s="134">
        <f t="shared" si="454"/>
        <v>9</v>
      </c>
      <c r="GI62" s="134">
        <v>4</v>
      </c>
      <c r="GJ62" s="134"/>
      <c r="GK62" s="134">
        <v>4</v>
      </c>
      <c r="GL62" s="134"/>
      <c r="GM62" s="134">
        <v>4</v>
      </c>
      <c r="GN62" s="134">
        <v>3</v>
      </c>
      <c r="GO62" s="134">
        <f t="shared" si="455"/>
        <v>3</v>
      </c>
      <c r="GP62" s="134">
        <f t="shared" si="456"/>
        <v>12</v>
      </c>
      <c r="GQ62" s="7">
        <f>X62*J62</f>
        <v>186</v>
      </c>
      <c r="GR62" s="7">
        <f>J62*128</f>
        <v>128</v>
      </c>
      <c r="GS62" s="8">
        <f t="shared" si="457"/>
        <v>58</v>
      </c>
      <c r="GT62" s="14">
        <f>GR62*AC62</f>
        <v>204800</v>
      </c>
      <c r="GU62" s="133">
        <f t="shared" si="458"/>
        <v>128</v>
      </c>
      <c r="GV62" s="133">
        <v>62</v>
      </c>
      <c r="GW62" s="133"/>
      <c r="GX62" s="133">
        <v>62</v>
      </c>
      <c r="GY62" s="133"/>
      <c r="GZ62" s="133">
        <v>62</v>
      </c>
      <c r="HA62" s="133">
        <v>58</v>
      </c>
      <c r="HB62" s="133">
        <f t="shared" si="459"/>
        <v>58</v>
      </c>
      <c r="HC62" s="133">
        <f t="shared" si="460"/>
        <v>186</v>
      </c>
      <c r="HD62" s="7">
        <f>Y62*J62</f>
        <v>186</v>
      </c>
      <c r="HE62" s="7">
        <f>J62*128</f>
        <v>128</v>
      </c>
      <c r="HF62" s="8">
        <f t="shared" si="461"/>
        <v>58</v>
      </c>
      <c r="HG62" s="14">
        <f>HE62*AC62</f>
        <v>204800</v>
      </c>
      <c r="HH62" s="7">
        <f t="shared" si="462"/>
        <v>128</v>
      </c>
      <c r="HI62" s="7">
        <v>62</v>
      </c>
      <c r="HJ62" s="7"/>
      <c r="HK62" s="7">
        <v>62</v>
      </c>
      <c r="HL62" s="7"/>
      <c r="HM62" s="7">
        <v>62</v>
      </c>
      <c r="HN62" s="7">
        <v>58</v>
      </c>
      <c r="HO62" s="133">
        <f t="shared" si="463"/>
        <v>58</v>
      </c>
      <c r="HP62" s="133">
        <f t="shared" si="464"/>
        <v>186</v>
      </c>
    </row>
    <row r="63" spans="2:224" hidden="1" x14ac:dyDescent="0.25">
      <c r="B63" s="226" t="s">
        <v>18</v>
      </c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8">
        <f>SUM(AG60:AG62)</f>
        <v>279100</v>
      </c>
      <c r="AE63" s="228"/>
      <c r="AF63" s="228"/>
      <c r="AG63" s="228"/>
      <c r="AH63" s="113"/>
      <c r="AI63" s="113"/>
      <c r="AJ63" s="113"/>
      <c r="AK63" s="113"/>
      <c r="AL63" s="113"/>
      <c r="AM63" s="113"/>
      <c r="AN63" s="113"/>
      <c r="AO63" s="113"/>
      <c r="AP63" s="113"/>
      <c r="AQ63" s="228">
        <f t="shared" ref="AQ63" si="468">SUM(AT60:AT62)</f>
        <v>882500</v>
      </c>
      <c r="AR63" s="228"/>
      <c r="AS63" s="228"/>
      <c r="AT63" s="228"/>
      <c r="AU63" s="113"/>
      <c r="AV63" s="113"/>
      <c r="AW63" s="133">
        <f t="shared" ref="AW63:AW65" si="469">AU63-AV63</f>
        <v>0</v>
      </c>
      <c r="AX63" s="113"/>
      <c r="AY63" s="113"/>
      <c r="AZ63" s="113"/>
      <c r="BA63" s="113"/>
      <c r="BB63" s="113"/>
      <c r="BC63" s="113"/>
      <c r="BD63" s="228">
        <f t="shared" ref="BD63" si="470">SUM(BG60:BG62)</f>
        <v>1134600</v>
      </c>
      <c r="BE63" s="228"/>
      <c r="BF63" s="228"/>
      <c r="BG63" s="228"/>
      <c r="BH63" s="142"/>
      <c r="BI63" s="113"/>
      <c r="BJ63" s="133">
        <f t="shared" ref="BJ63:BJ65" si="471">BH63-BI63</f>
        <v>0</v>
      </c>
      <c r="BK63" s="113"/>
      <c r="BL63" s="113"/>
      <c r="BM63" s="113"/>
      <c r="BN63" s="113"/>
      <c r="BO63" s="113"/>
      <c r="BP63" s="113"/>
      <c r="BQ63" s="228">
        <f t="shared" ref="BQ63" si="472">SUM(BT60:BT62)</f>
        <v>882500</v>
      </c>
      <c r="BR63" s="228"/>
      <c r="BS63" s="228"/>
      <c r="BT63" s="228"/>
      <c r="BU63" s="142"/>
      <c r="BV63" s="142"/>
      <c r="BW63" s="142"/>
      <c r="BX63" s="142"/>
      <c r="BY63" s="142"/>
      <c r="BZ63" s="142"/>
      <c r="CA63" s="142"/>
      <c r="CB63" s="142"/>
      <c r="CC63" s="142"/>
      <c r="CD63" s="228">
        <f t="shared" ref="CD63" si="473">SUM(CG60:CG62)</f>
        <v>1007300</v>
      </c>
      <c r="CE63" s="228"/>
      <c r="CF63" s="228"/>
      <c r="CG63" s="228"/>
      <c r="CH63" s="153"/>
      <c r="CI63" s="113"/>
      <c r="CJ63" s="113"/>
      <c r="CK63" s="113"/>
      <c r="CL63" s="113"/>
      <c r="CM63" s="113"/>
      <c r="CN63" s="113"/>
      <c r="CO63" s="113"/>
      <c r="CP63" s="113"/>
      <c r="CQ63" s="228">
        <f t="shared" ref="CQ63" si="474">SUM(CT60:CT62)</f>
        <v>1007300</v>
      </c>
      <c r="CR63" s="228"/>
      <c r="CS63" s="228"/>
      <c r="CT63" s="228"/>
      <c r="CU63" s="153"/>
      <c r="CV63" s="153"/>
      <c r="CW63" s="134">
        <f t="shared" ref="CW63:CW65" si="475">CU63-CV63</f>
        <v>0</v>
      </c>
      <c r="CX63" s="153"/>
      <c r="CY63" s="153"/>
      <c r="CZ63" s="153"/>
      <c r="DA63" s="153"/>
      <c r="DB63" s="153"/>
      <c r="DC63" s="153"/>
      <c r="DD63" s="228">
        <f t="shared" ref="DD63" si="476">SUM(DG60:DG62)</f>
        <v>1134600</v>
      </c>
      <c r="DE63" s="228"/>
      <c r="DF63" s="228"/>
      <c r="DG63" s="228"/>
      <c r="DH63" s="153"/>
      <c r="DI63" s="153"/>
      <c r="DJ63" s="153"/>
      <c r="DK63" s="153"/>
      <c r="DL63" s="153"/>
      <c r="DM63" s="153"/>
      <c r="DN63" s="153"/>
      <c r="DO63" s="153"/>
      <c r="DP63" s="153"/>
      <c r="DQ63" s="228">
        <f t="shared" ref="DQ63" si="477">SUM(DT60:DT62)</f>
        <v>507400</v>
      </c>
      <c r="DR63" s="228"/>
      <c r="DS63" s="228"/>
      <c r="DT63" s="228"/>
      <c r="DU63" s="153"/>
      <c r="DV63" s="153"/>
      <c r="DW63" s="153"/>
      <c r="DX63" s="153"/>
      <c r="DY63" s="153"/>
      <c r="DZ63" s="153"/>
      <c r="EA63" s="153"/>
      <c r="EB63" s="153"/>
      <c r="EC63" s="153"/>
      <c r="ED63" s="228">
        <f t="shared" ref="ED63" si="478">SUM(EG60:EG62)</f>
        <v>251200</v>
      </c>
      <c r="EE63" s="228"/>
      <c r="EF63" s="228"/>
      <c r="EG63" s="228"/>
      <c r="EH63" s="142"/>
      <c r="EI63" s="142"/>
      <c r="EJ63" s="142"/>
      <c r="EK63" s="142"/>
      <c r="EL63" s="142"/>
      <c r="EM63" s="142"/>
      <c r="EN63" s="142"/>
      <c r="EO63" s="142"/>
      <c r="EP63" s="142"/>
      <c r="EQ63" s="228">
        <f t="shared" ref="EQ63" si="479">SUM(ET60:ET62)</f>
        <v>1134600</v>
      </c>
      <c r="ER63" s="228"/>
      <c r="ES63" s="228"/>
      <c r="ET63" s="228"/>
      <c r="EU63" s="153"/>
      <c r="EV63" s="153"/>
      <c r="EW63" s="153"/>
      <c r="EX63" s="153"/>
      <c r="EY63" s="153"/>
      <c r="EZ63" s="153"/>
      <c r="FA63" s="153"/>
      <c r="FB63" s="153"/>
      <c r="FC63" s="153"/>
      <c r="FD63" s="228">
        <f t="shared" ref="FD63" si="480">SUM(FG60:FG62)</f>
        <v>755200</v>
      </c>
      <c r="FE63" s="228"/>
      <c r="FF63" s="228"/>
      <c r="FG63" s="228"/>
      <c r="FH63" s="142"/>
      <c r="FI63" s="142"/>
      <c r="FJ63" s="142"/>
      <c r="FK63" s="142"/>
      <c r="FL63" s="142"/>
      <c r="FM63" s="142"/>
      <c r="FN63" s="142"/>
      <c r="FO63" s="142"/>
      <c r="FP63" s="142"/>
      <c r="FQ63" s="228">
        <f t="shared" ref="FQ63" si="481">SUM(FT60:FT62)</f>
        <v>129800</v>
      </c>
      <c r="FR63" s="228"/>
      <c r="FS63" s="228"/>
      <c r="FT63" s="228"/>
      <c r="FU63" s="153"/>
      <c r="FV63" s="153"/>
      <c r="FW63" s="153"/>
      <c r="FX63" s="153"/>
      <c r="FY63" s="153"/>
      <c r="FZ63" s="153"/>
      <c r="GA63" s="153"/>
      <c r="GB63" s="153"/>
      <c r="GC63" s="153"/>
      <c r="GD63" s="228">
        <f t="shared" ref="GD63" si="482">SUM(GG60:GG62)</f>
        <v>48800</v>
      </c>
      <c r="GE63" s="228"/>
      <c r="GF63" s="228"/>
      <c r="GG63" s="228"/>
      <c r="GH63" s="153"/>
      <c r="GI63" s="153"/>
      <c r="GJ63" s="153"/>
      <c r="GK63" s="153"/>
      <c r="GL63" s="153"/>
      <c r="GM63" s="153"/>
      <c r="GN63" s="153"/>
      <c r="GO63" s="153"/>
      <c r="GP63" s="153"/>
      <c r="GQ63" s="228">
        <f t="shared" ref="GQ63" si="483">SUM(GT60:GT62)</f>
        <v>755200</v>
      </c>
      <c r="GR63" s="228"/>
      <c r="GS63" s="228"/>
      <c r="GT63" s="228"/>
      <c r="GU63" s="142"/>
      <c r="GV63" s="142"/>
      <c r="GW63" s="142"/>
      <c r="GX63" s="142"/>
      <c r="GY63" s="133">
        <f t="shared" ref="GY63:GY65" si="484">GW63-GX63</f>
        <v>0</v>
      </c>
      <c r="GZ63" s="142"/>
      <c r="HA63" s="142"/>
      <c r="HB63" s="142"/>
      <c r="HC63" s="142"/>
      <c r="HD63" s="228">
        <f t="shared" ref="HD63" si="485">SUM(HG60:HG62)</f>
        <v>755200</v>
      </c>
      <c r="HE63" s="228"/>
      <c r="HF63" s="228"/>
      <c r="HG63" s="228"/>
      <c r="HJ63" s="7">
        <f t="shared" ref="HJ63:HJ65" si="486">HH63-HI63</f>
        <v>0</v>
      </c>
    </row>
    <row r="64" spans="2:224" hidden="1" x14ac:dyDescent="0.25">
      <c r="B64" s="226" t="s">
        <v>19</v>
      </c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8">
        <f>SUMIFS(PRESUPUESTO!$G$123:$G$137,PRESUPUESTO!$E$123:$E$137,'MÍNIMAS (2)'!AD58)</f>
        <v>280686.848</v>
      </c>
      <c r="AE64" s="228"/>
      <c r="AF64" s="228"/>
      <c r="AG64" s="228"/>
      <c r="AH64" s="113"/>
      <c r="AI64" s="113"/>
      <c r="AJ64" s="113"/>
      <c r="AK64" s="113"/>
      <c r="AL64" s="113"/>
      <c r="AM64" s="113"/>
      <c r="AN64" s="113"/>
      <c r="AO64" s="113"/>
      <c r="AP64" s="113"/>
      <c r="AQ64" s="228">
        <f>SUMIFS(PRESUPUESTO!$G$123:$G$137,PRESUPUESTO!$E$123:$E$137,'MÍNIMAS (2)'!AQ58)</f>
        <v>882739.79733333329</v>
      </c>
      <c r="AR64" s="228"/>
      <c r="AS64" s="228"/>
      <c r="AT64" s="228"/>
      <c r="AU64" s="113"/>
      <c r="AV64" s="113"/>
      <c r="AW64" s="133">
        <f t="shared" si="469"/>
        <v>0</v>
      </c>
      <c r="AX64" s="113"/>
      <c r="AY64" s="113"/>
      <c r="AZ64" s="113"/>
      <c r="BA64" s="113"/>
      <c r="BB64" s="113"/>
      <c r="BC64" s="113"/>
      <c r="BD64" s="228">
        <f>SUMIFS(PRESUPUESTO!$G$123:$G$137,PRESUPUESTO!$E$123:$E$137,'MÍNIMAS (2)'!BD58)</f>
        <v>1134951.1679999998</v>
      </c>
      <c r="BE64" s="228"/>
      <c r="BF64" s="228"/>
      <c r="BG64" s="228"/>
      <c r="BH64" s="142"/>
      <c r="BI64" s="113"/>
      <c r="BJ64" s="133">
        <f t="shared" si="471"/>
        <v>0</v>
      </c>
      <c r="BK64" s="113"/>
      <c r="BL64" s="113"/>
      <c r="BM64" s="113"/>
      <c r="BN64" s="113"/>
      <c r="BO64" s="113"/>
      <c r="BP64" s="113"/>
      <c r="BQ64" s="228">
        <f>SUMIFS(PRESUPUESTO!$G$123:$G$137,PRESUPUESTO!$E$123:$E$137,'MÍNIMAS (2)'!BQ58)</f>
        <v>882739.79733333329</v>
      </c>
      <c r="BR64" s="228"/>
      <c r="BS64" s="228"/>
      <c r="BT64" s="228"/>
      <c r="BU64" s="142"/>
      <c r="BV64" s="142"/>
      <c r="BW64" s="142"/>
      <c r="BX64" s="142"/>
      <c r="BY64" s="142"/>
      <c r="BZ64" s="142"/>
      <c r="CA64" s="142"/>
      <c r="CB64" s="142"/>
      <c r="CC64" s="142"/>
      <c r="CD64" s="228">
        <f>SUMIFS(PRESUPUESTO!$G$123:$G$137,PRESUPUESTO!$E$123:$E$137,'MÍNIMAS (2)'!CD58)</f>
        <v>1008845.4826666666</v>
      </c>
      <c r="CE64" s="228"/>
      <c r="CF64" s="228"/>
      <c r="CG64" s="228"/>
      <c r="CH64" s="153"/>
      <c r="CI64" s="113"/>
      <c r="CJ64" s="113"/>
      <c r="CK64" s="113"/>
      <c r="CL64" s="113"/>
      <c r="CM64" s="113"/>
      <c r="CN64" s="113"/>
      <c r="CO64" s="113"/>
      <c r="CP64" s="113"/>
      <c r="CQ64" s="228">
        <f>SUMIFS(PRESUPUESTO!$G$123:$G$137,PRESUPUESTO!$E$123:$E$137,'MÍNIMAS (2)'!CQ58)</f>
        <v>1008845.4826666666</v>
      </c>
      <c r="CR64" s="228"/>
      <c r="CS64" s="228"/>
      <c r="CT64" s="228"/>
      <c r="CU64" s="153"/>
      <c r="CV64" s="153"/>
      <c r="CW64" s="134">
        <f t="shared" si="475"/>
        <v>0</v>
      </c>
      <c r="CX64" s="153"/>
      <c r="CY64" s="153"/>
      <c r="CZ64" s="153"/>
      <c r="DA64" s="153"/>
      <c r="DB64" s="153"/>
      <c r="DC64" s="153"/>
      <c r="DD64" s="228">
        <f>SUMIFS(PRESUPUESTO!$G$123:$G$137,PRESUPUESTO!$E$123:$E$137,'MÍNIMAS (2)'!DD58)</f>
        <v>1134951.1679999998</v>
      </c>
      <c r="DE64" s="228"/>
      <c r="DF64" s="228"/>
      <c r="DG64" s="228"/>
      <c r="DH64" s="153"/>
      <c r="DI64" s="153"/>
      <c r="DJ64" s="153"/>
      <c r="DK64" s="153"/>
      <c r="DL64" s="153"/>
      <c r="DM64" s="153"/>
      <c r="DN64" s="153"/>
      <c r="DO64" s="153"/>
      <c r="DP64" s="153"/>
      <c r="DQ64" s="228">
        <f>SUMIFS(PRESUPUESTO!$G$123:$G$137,PRESUPUESTO!$E$123:$E$137,'MÍNIMAS (2)'!DQ58)</f>
        <v>508490.66666666663</v>
      </c>
      <c r="DR64" s="228"/>
      <c r="DS64" s="228"/>
      <c r="DT64" s="228"/>
      <c r="DU64" s="153"/>
      <c r="DV64" s="153"/>
      <c r="DW64" s="153"/>
      <c r="DX64" s="153"/>
      <c r="DY64" s="153"/>
      <c r="DZ64" s="153"/>
      <c r="EA64" s="153"/>
      <c r="EB64" s="153"/>
      <c r="EC64" s="153"/>
      <c r="ED64" s="228">
        <f>SUMIFS(PRESUPUESTO!$G$123:$G$137,PRESUPUESTO!$E$123:$E$137,'MÍNIMAS (2)'!ED58)</f>
        <v>252211.37066666665</v>
      </c>
      <c r="EE64" s="228"/>
      <c r="EF64" s="228"/>
      <c r="EG64" s="228"/>
      <c r="EH64" s="142"/>
      <c r="EI64" s="142"/>
      <c r="EJ64" s="142"/>
      <c r="EK64" s="142"/>
      <c r="EL64" s="142"/>
      <c r="EM64" s="142"/>
      <c r="EN64" s="142"/>
      <c r="EO64" s="142"/>
      <c r="EP64" s="142"/>
      <c r="EQ64" s="228">
        <f>SUMIFS(PRESUPUESTO!$G$123:$G$137,PRESUPUESTO!$E$123:$E$137,'MÍNIMAS (2)'!EQ58)</f>
        <v>1134951.1679999998</v>
      </c>
      <c r="ER64" s="228"/>
      <c r="ES64" s="228"/>
      <c r="ET64" s="228"/>
      <c r="EU64" s="153"/>
      <c r="EV64" s="153"/>
      <c r="EW64" s="153"/>
      <c r="EX64" s="153"/>
      <c r="EY64" s="153"/>
      <c r="EZ64" s="153"/>
      <c r="FA64" s="153"/>
      <c r="FB64" s="153"/>
      <c r="FC64" s="153"/>
      <c r="FD64" s="228">
        <f>SUMIFS(PRESUPUESTO!$G$123:$G$137,PRESUPUESTO!$E$123:$E$137,'MÍNIMAS (2)'!FD58)</f>
        <v>756634.11199999996</v>
      </c>
      <c r="FE64" s="228"/>
      <c r="FF64" s="228"/>
      <c r="FG64" s="228"/>
      <c r="FH64" s="142"/>
      <c r="FI64" s="142"/>
      <c r="FJ64" s="142"/>
      <c r="FK64" s="142"/>
      <c r="FL64" s="142"/>
      <c r="FM64" s="142"/>
      <c r="FN64" s="142"/>
      <c r="FO64" s="142"/>
      <c r="FP64" s="142"/>
      <c r="FQ64" s="228">
        <f>SUMIFS(PRESUPUESTO!$G$123:$G$137,PRESUPUESTO!$E$123:$E$137,'MÍNIMAS (2)'!FQ58)</f>
        <v>130173.61066666666</v>
      </c>
      <c r="FR64" s="228"/>
      <c r="FS64" s="228"/>
      <c r="FT64" s="228"/>
      <c r="FU64" s="153"/>
      <c r="FV64" s="153"/>
      <c r="FW64" s="153"/>
      <c r="FX64" s="153"/>
      <c r="FY64" s="153"/>
      <c r="FZ64" s="153"/>
      <c r="GA64" s="153"/>
      <c r="GB64" s="153"/>
      <c r="GC64" s="153"/>
      <c r="GD64" s="228">
        <f>SUMIFS(PRESUPUESTO!$G$123:$G$137,PRESUPUESTO!$E$123:$E$137,'MÍNIMAS (2)'!GD58)</f>
        <v>48815.103999999999</v>
      </c>
      <c r="GE64" s="228"/>
      <c r="GF64" s="228"/>
      <c r="GG64" s="228"/>
      <c r="GH64" s="153"/>
      <c r="GI64" s="153"/>
      <c r="GJ64" s="153"/>
      <c r="GK64" s="153"/>
      <c r="GL64" s="153"/>
      <c r="GM64" s="153"/>
      <c r="GN64" s="153"/>
      <c r="GO64" s="153"/>
      <c r="GP64" s="153"/>
      <c r="GQ64" s="228">
        <f>SUMIFS(PRESUPUESTO!$G$123:$G$137,PRESUPUESTO!$E$123:$E$137,'MÍNIMAS (2)'!GQ58)</f>
        <v>756634.11199999996</v>
      </c>
      <c r="GR64" s="228"/>
      <c r="GS64" s="228"/>
      <c r="GT64" s="228"/>
      <c r="GU64" s="142"/>
      <c r="GV64" s="142"/>
      <c r="GW64" s="142"/>
      <c r="GX64" s="142"/>
      <c r="GY64" s="133">
        <f t="shared" si="484"/>
        <v>0</v>
      </c>
      <c r="GZ64" s="142"/>
      <c r="HA64" s="142"/>
      <c r="HB64" s="142"/>
      <c r="HC64" s="142"/>
      <c r="HD64" s="228">
        <f>SUMIFS(PRESUPUESTO!$G$123:$G$137,PRESUPUESTO!$E$123:$E$137,'MÍNIMAS (2)'!HD58)</f>
        <v>756634.11199999996</v>
      </c>
      <c r="HE64" s="228"/>
      <c r="HF64" s="228"/>
      <c r="HG64" s="228"/>
      <c r="HH64" s="167">
        <f>SUM(AD64:HG64)</f>
        <v>10678303.999999998</v>
      </c>
      <c r="HJ64" s="7">
        <f t="shared" si="486"/>
        <v>10678303.999999998</v>
      </c>
    </row>
    <row r="65" spans="2:224" hidden="1" x14ac:dyDescent="0.25">
      <c r="B65" s="226" t="s">
        <v>10</v>
      </c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26"/>
      <c r="Z65" s="226"/>
      <c r="AA65" s="226"/>
      <c r="AB65" s="226"/>
      <c r="AC65" s="226"/>
      <c r="AD65" s="224">
        <f>AD64-AD63</f>
        <v>1586.8479999999981</v>
      </c>
      <c r="AE65" s="224"/>
      <c r="AF65" s="224"/>
      <c r="AG65" s="224"/>
      <c r="AH65" s="118"/>
      <c r="AI65" s="118"/>
      <c r="AJ65" s="118"/>
      <c r="AK65" s="118"/>
      <c r="AL65" s="118"/>
      <c r="AM65" s="118"/>
      <c r="AN65" s="118"/>
      <c r="AO65" s="118"/>
      <c r="AP65" s="118"/>
      <c r="AQ65" s="224">
        <f>AQ64-AQ63</f>
        <v>239.79733333329204</v>
      </c>
      <c r="AR65" s="224"/>
      <c r="AS65" s="224"/>
      <c r="AT65" s="224"/>
      <c r="AU65" s="118"/>
      <c r="AV65" s="118"/>
      <c r="AW65" s="133">
        <f t="shared" si="469"/>
        <v>0</v>
      </c>
      <c r="AX65" s="118"/>
      <c r="AY65" s="118"/>
      <c r="AZ65" s="118"/>
      <c r="BA65" s="118"/>
      <c r="BB65" s="118"/>
      <c r="BC65" s="118"/>
      <c r="BD65" s="224">
        <f>BD64-BD63</f>
        <v>351.1679999998305</v>
      </c>
      <c r="BE65" s="224"/>
      <c r="BF65" s="224"/>
      <c r="BG65" s="224"/>
      <c r="BH65" s="140"/>
      <c r="BI65" s="118"/>
      <c r="BJ65" s="133">
        <f t="shared" si="471"/>
        <v>0</v>
      </c>
      <c r="BK65" s="118"/>
      <c r="BL65" s="118"/>
      <c r="BM65" s="118"/>
      <c r="BN65" s="118"/>
      <c r="BO65" s="118"/>
      <c r="BP65" s="118"/>
      <c r="BQ65" s="224">
        <f t="shared" ref="BQ65" si="487">BQ64-BQ63</f>
        <v>239.79733333329204</v>
      </c>
      <c r="BR65" s="224"/>
      <c r="BS65" s="224"/>
      <c r="BT65" s="224"/>
      <c r="BU65" s="140"/>
      <c r="BV65" s="140"/>
      <c r="BW65" s="140"/>
      <c r="BX65" s="140"/>
      <c r="BY65" s="140"/>
      <c r="BZ65" s="140"/>
      <c r="CA65" s="140"/>
      <c r="CB65" s="140"/>
      <c r="CC65" s="140"/>
      <c r="CD65" s="224">
        <f>CD64-CD63</f>
        <v>1545.4826666666195</v>
      </c>
      <c r="CE65" s="224"/>
      <c r="CF65" s="224"/>
      <c r="CG65" s="224"/>
      <c r="CH65" s="151"/>
      <c r="CI65" s="118"/>
      <c r="CJ65" s="118"/>
      <c r="CK65" s="118"/>
      <c r="CL65" s="118"/>
      <c r="CM65" s="118"/>
      <c r="CN65" s="118"/>
      <c r="CO65" s="118"/>
      <c r="CP65" s="118"/>
      <c r="CQ65" s="224">
        <f>CQ64-CQ63</f>
        <v>1545.4826666666195</v>
      </c>
      <c r="CR65" s="224"/>
      <c r="CS65" s="224"/>
      <c r="CT65" s="224"/>
      <c r="CU65" s="151"/>
      <c r="CV65" s="151"/>
      <c r="CW65" s="134">
        <f t="shared" si="475"/>
        <v>0</v>
      </c>
      <c r="CX65" s="151"/>
      <c r="CY65" s="151"/>
      <c r="CZ65" s="151"/>
      <c r="DA65" s="151"/>
      <c r="DB65" s="151"/>
      <c r="DC65" s="151"/>
      <c r="DD65" s="224">
        <f>DD64-DD63</f>
        <v>351.1679999998305</v>
      </c>
      <c r="DE65" s="224"/>
      <c r="DF65" s="224"/>
      <c r="DG65" s="224"/>
      <c r="DH65" s="151"/>
      <c r="DI65" s="151"/>
      <c r="DJ65" s="151"/>
      <c r="DK65" s="151"/>
      <c r="DL65" s="151"/>
      <c r="DM65" s="151"/>
      <c r="DN65" s="151"/>
      <c r="DO65" s="151"/>
      <c r="DP65" s="151"/>
      <c r="DQ65" s="224">
        <f t="shared" ref="DQ65" si="488">DQ64-DQ63</f>
        <v>1090.6666666666279</v>
      </c>
      <c r="DR65" s="224"/>
      <c r="DS65" s="224"/>
      <c r="DT65" s="224"/>
      <c r="DU65" s="151"/>
      <c r="DV65" s="151"/>
      <c r="DW65" s="151"/>
      <c r="DX65" s="151"/>
      <c r="DY65" s="151"/>
      <c r="DZ65" s="151"/>
      <c r="EA65" s="151"/>
      <c r="EB65" s="151"/>
      <c r="EC65" s="151"/>
      <c r="ED65" s="224">
        <f>ED64-ED63</f>
        <v>1011.3706666666549</v>
      </c>
      <c r="EE65" s="224"/>
      <c r="EF65" s="224"/>
      <c r="EG65" s="224"/>
      <c r="EH65" s="140"/>
      <c r="EI65" s="140"/>
      <c r="EJ65" s="140"/>
      <c r="EK65" s="140"/>
      <c r="EL65" s="140"/>
      <c r="EM65" s="140"/>
      <c r="EN65" s="140"/>
      <c r="EO65" s="140"/>
      <c r="EP65" s="140"/>
      <c r="EQ65" s="224">
        <f>EQ64-EQ63</f>
        <v>351.1679999998305</v>
      </c>
      <c r="ER65" s="224"/>
      <c r="ES65" s="224"/>
      <c r="ET65" s="224"/>
      <c r="EU65" s="151"/>
      <c r="EV65" s="151"/>
      <c r="EW65" s="151"/>
      <c r="EX65" s="151"/>
      <c r="EY65" s="151"/>
      <c r="EZ65" s="151"/>
      <c r="FA65" s="151"/>
      <c r="FB65" s="151"/>
      <c r="FC65" s="151"/>
      <c r="FD65" s="224">
        <f>FD64-FD63</f>
        <v>1434.1119999999646</v>
      </c>
      <c r="FE65" s="224"/>
      <c r="FF65" s="224"/>
      <c r="FG65" s="224"/>
      <c r="FH65" s="140"/>
      <c r="FI65" s="140"/>
      <c r="FJ65" s="140"/>
      <c r="FK65" s="140"/>
      <c r="FL65" s="140"/>
      <c r="FM65" s="140"/>
      <c r="FN65" s="140"/>
      <c r="FO65" s="140"/>
      <c r="FP65" s="140"/>
      <c r="FQ65" s="224">
        <f t="shared" ref="FQ65" si="489">FQ64-FQ63</f>
        <v>373.61066666666011</v>
      </c>
      <c r="FR65" s="224"/>
      <c r="FS65" s="224"/>
      <c r="FT65" s="224"/>
      <c r="FU65" s="151"/>
      <c r="FV65" s="151"/>
      <c r="FW65" s="151"/>
      <c r="FX65" s="151"/>
      <c r="FY65" s="151"/>
      <c r="FZ65" s="151"/>
      <c r="GA65" s="151"/>
      <c r="GB65" s="151"/>
      <c r="GC65" s="151"/>
      <c r="GD65" s="224">
        <f>GD64-GD63</f>
        <v>15.10399999999936</v>
      </c>
      <c r="GE65" s="224"/>
      <c r="GF65" s="224"/>
      <c r="GG65" s="224"/>
      <c r="GH65" s="151"/>
      <c r="GI65" s="151"/>
      <c r="GJ65" s="151"/>
      <c r="GK65" s="151"/>
      <c r="GL65" s="151"/>
      <c r="GM65" s="151"/>
      <c r="GN65" s="151"/>
      <c r="GO65" s="151"/>
      <c r="GP65" s="151"/>
      <c r="GQ65" s="224">
        <f>GQ64-GQ63</f>
        <v>1434.1119999999646</v>
      </c>
      <c r="GR65" s="224"/>
      <c r="GS65" s="224"/>
      <c r="GT65" s="224"/>
      <c r="GU65" s="140"/>
      <c r="GV65" s="140"/>
      <c r="GW65" s="140"/>
      <c r="GX65" s="140"/>
      <c r="GY65" s="133">
        <f t="shared" si="484"/>
        <v>0</v>
      </c>
      <c r="GZ65" s="140"/>
      <c r="HA65" s="140"/>
      <c r="HB65" s="140"/>
      <c r="HC65" s="140"/>
      <c r="HD65" s="224">
        <f>HD64-HD63</f>
        <v>1434.1119999999646</v>
      </c>
      <c r="HE65" s="224"/>
      <c r="HF65" s="224"/>
      <c r="HG65" s="224"/>
      <c r="HJ65" s="7">
        <f t="shared" si="486"/>
        <v>0</v>
      </c>
    </row>
    <row r="67" spans="2:224" x14ac:dyDescent="0.25">
      <c r="B67" s="199" t="s">
        <v>48</v>
      </c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199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0"/>
      <c r="AT67" s="200"/>
      <c r="AU67" s="200"/>
      <c r="AV67" s="200"/>
      <c r="AW67" s="200"/>
      <c r="AX67" s="200"/>
      <c r="AY67" s="200"/>
      <c r="AZ67" s="200"/>
      <c r="BA67" s="200"/>
      <c r="BB67" s="200"/>
      <c r="BC67" s="200"/>
      <c r="BD67" s="200"/>
      <c r="BE67" s="200"/>
      <c r="BF67" s="200"/>
      <c r="BG67" s="200"/>
      <c r="BH67" s="200"/>
      <c r="BI67" s="200"/>
      <c r="BJ67" s="200"/>
      <c r="BK67" s="200"/>
      <c r="BL67" s="200"/>
      <c r="BM67" s="200"/>
      <c r="BN67" s="200"/>
      <c r="BO67" s="200"/>
      <c r="BP67" s="200"/>
      <c r="BQ67" s="200"/>
      <c r="BR67" s="199"/>
      <c r="BS67" s="200"/>
      <c r="BT67" s="200"/>
      <c r="BU67" s="200"/>
      <c r="BV67" s="200"/>
      <c r="BW67" s="200"/>
      <c r="BX67" s="200"/>
      <c r="BY67" s="200"/>
      <c r="BZ67" s="200"/>
      <c r="CA67" s="200"/>
      <c r="CB67" s="200"/>
      <c r="CC67" s="200"/>
      <c r="CD67" s="200"/>
      <c r="CE67" s="200"/>
      <c r="CF67" s="200"/>
      <c r="CG67" s="200"/>
      <c r="CH67" s="200"/>
      <c r="CI67" s="200"/>
      <c r="CJ67" s="200"/>
      <c r="CK67" s="200"/>
      <c r="CL67" s="200"/>
      <c r="CM67" s="200"/>
      <c r="CN67" s="200"/>
      <c r="CO67" s="200"/>
      <c r="CP67" s="200"/>
      <c r="CQ67" s="200"/>
      <c r="CR67" s="200"/>
      <c r="CS67" s="200"/>
      <c r="CT67" s="200"/>
      <c r="CU67" s="200"/>
      <c r="CV67" s="200"/>
      <c r="CW67" s="200"/>
      <c r="CX67" s="200"/>
      <c r="CY67" s="200"/>
      <c r="CZ67" s="200"/>
      <c r="DA67" s="200"/>
      <c r="DB67" s="200"/>
      <c r="DC67" s="200"/>
      <c r="DD67" s="200"/>
      <c r="DE67" s="200"/>
      <c r="DF67" s="199"/>
      <c r="DG67" s="200"/>
      <c r="DH67" s="200"/>
      <c r="DI67" s="200"/>
      <c r="DJ67" s="200"/>
      <c r="DK67" s="200"/>
      <c r="DL67" s="200"/>
      <c r="DM67" s="200"/>
      <c r="DN67" s="200"/>
      <c r="DO67" s="200"/>
      <c r="DP67" s="200"/>
      <c r="DQ67" s="200"/>
      <c r="DR67" s="200"/>
      <c r="DS67" s="200"/>
      <c r="DT67" s="200"/>
      <c r="DU67" s="200"/>
      <c r="DV67" s="200"/>
      <c r="DW67" s="200"/>
      <c r="DX67" s="200"/>
      <c r="DY67" s="200"/>
      <c r="DZ67" s="200"/>
      <c r="EA67" s="200"/>
      <c r="EB67" s="200"/>
      <c r="EC67" s="200"/>
      <c r="ED67" s="200"/>
      <c r="EE67" s="200"/>
      <c r="EF67" s="200"/>
      <c r="EG67" s="200"/>
      <c r="EH67" s="200"/>
      <c r="EI67" s="200"/>
      <c r="EJ67" s="200"/>
      <c r="EK67" s="200"/>
      <c r="EL67" s="200"/>
      <c r="EM67" s="200"/>
      <c r="EN67" s="200"/>
      <c r="EO67" s="200"/>
      <c r="EP67" s="200"/>
      <c r="EQ67" s="200"/>
      <c r="ER67" s="200"/>
      <c r="ES67" s="200"/>
      <c r="ET67" s="199"/>
      <c r="EU67" s="200"/>
      <c r="EV67" s="200"/>
      <c r="EW67" s="200"/>
      <c r="EX67" s="200"/>
      <c r="EY67" s="200"/>
      <c r="EZ67" s="200"/>
      <c r="FA67" s="200"/>
      <c r="FB67" s="200"/>
      <c r="FC67" s="200"/>
      <c r="FD67" s="200"/>
      <c r="FE67" s="200"/>
      <c r="FF67" s="200"/>
      <c r="FG67" s="200"/>
      <c r="FH67" s="200"/>
      <c r="FI67" s="200"/>
      <c r="FJ67" s="200"/>
      <c r="FK67" s="200"/>
      <c r="FL67" s="200"/>
      <c r="FM67" s="200"/>
      <c r="FN67" s="200"/>
      <c r="FO67" s="200"/>
      <c r="FP67" s="200"/>
      <c r="FQ67" s="200"/>
      <c r="FR67" s="200"/>
      <c r="FS67" s="200"/>
      <c r="FT67" s="200"/>
      <c r="FU67" s="200"/>
      <c r="FV67" s="200"/>
      <c r="FW67" s="200"/>
      <c r="FX67" s="200"/>
      <c r="FY67" s="200"/>
      <c r="FZ67" s="200"/>
      <c r="GA67" s="200"/>
      <c r="GB67" s="200"/>
      <c r="GC67" s="200"/>
      <c r="GD67" s="200"/>
      <c r="GE67" s="200"/>
      <c r="GF67" s="200"/>
      <c r="GG67" s="200"/>
      <c r="GH67" s="163"/>
      <c r="GI67" s="163"/>
      <c r="GJ67" s="163"/>
      <c r="GK67" s="163"/>
      <c r="GL67" s="163"/>
      <c r="GM67" s="163"/>
      <c r="GN67" s="163"/>
      <c r="GO67" s="163"/>
      <c r="GP67" s="163"/>
      <c r="GQ67" s="199"/>
      <c r="GR67" s="200"/>
      <c r="GS67" s="200"/>
      <c r="GT67" s="200"/>
      <c r="GU67" s="200"/>
      <c r="GV67" s="200"/>
      <c r="GW67" s="200"/>
      <c r="GX67" s="200"/>
      <c r="GY67" s="200"/>
      <c r="GZ67" s="200"/>
      <c r="HA67" s="200"/>
      <c r="HB67" s="200"/>
      <c r="HC67" s="200"/>
      <c r="HD67" s="200"/>
      <c r="HE67" s="200"/>
      <c r="HF67" s="200"/>
      <c r="HG67" s="200"/>
      <c r="HH67" s="130"/>
      <c r="HI67" s="130"/>
      <c r="HJ67" s="130"/>
      <c r="HK67" s="130"/>
      <c r="HL67" s="130"/>
      <c r="HM67" s="130"/>
      <c r="HN67" s="130"/>
      <c r="HO67" s="130"/>
      <c r="HP67" s="130"/>
    </row>
    <row r="68" spans="2:224" ht="28.5" customHeight="1" x14ac:dyDescent="0.25">
      <c r="B68" s="225" t="str">
        <f>'PLAN DE NECESIDADES'!B54</f>
        <v>ÍTEM</v>
      </c>
      <c r="C68" s="225" t="str">
        <f>'PLAN DE NECESIDADES'!C54</f>
        <v>CÓDIGO DANE</v>
      </c>
      <c r="D68" s="226" t="str">
        <f>'PLAN DE NECESIDADES'!D54</f>
        <v xml:space="preserve">DESCRIPCIÓN DEL BIEN Y/O SERVICIO </v>
      </c>
      <c r="E68" s="225" t="str">
        <f>'PLAN DE NECESIDADES'!E54</f>
        <v>UNIDAD MEDIDA</v>
      </c>
      <c r="F68" s="225" t="str">
        <f>'PLAN DE NECESIDADES'!F54</f>
        <v>EXISTENCIAS (STOCK - INVENTARIOS)</v>
      </c>
      <c r="G68" s="225" t="str">
        <f>'PLAN DE NECESIDADES'!H54</f>
        <v>UNSPSC (CCE)</v>
      </c>
      <c r="H68" s="225" t="str">
        <f>'PLAN DE NECESIDADES'!I54</f>
        <v xml:space="preserve">CÓDIGO MATERIAL SAP </v>
      </c>
      <c r="I68" s="225" t="str">
        <f>'PLAN DE NECESIDADES'!J54</f>
        <v xml:space="preserve">CÓDIGO OTAN - NOC </v>
      </c>
      <c r="J68" s="205" t="s">
        <v>155</v>
      </c>
      <c r="K68" s="203" t="str">
        <f>AD68</f>
        <v>BAABS3</v>
      </c>
      <c r="L68" s="203" t="str">
        <f>AQ68</f>
        <v>BAACA10</v>
      </c>
      <c r="M68" s="203" t="str">
        <f>BD68</f>
        <v>BAACA2</v>
      </c>
      <c r="N68" s="203" t="str">
        <f>BQ68</f>
        <v>BAADA1</v>
      </c>
      <c r="O68" s="203" t="str">
        <f>CD68</f>
        <v>BAEEV2</v>
      </c>
      <c r="P68" s="203" t="str">
        <f>CQ68</f>
        <v>BAEEV3</v>
      </c>
      <c r="Q68" s="203" t="str">
        <f>DD68</f>
        <v>BAMMA7</v>
      </c>
      <c r="R68" s="203" t="str">
        <f>DQ68</f>
        <v>BASPC10</v>
      </c>
      <c r="S68" s="203" t="str">
        <f>ED68</f>
        <v>BASAC</v>
      </c>
      <c r="T68" s="203" t="str">
        <f>EQ68</f>
        <v>BICAR</v>
      </c>
      <c r="U68" s="203" t="str">
        <f>FD68</f>
        <v>BIMOC70</v>
      </c>
      <c r="V68" s="203" t="str">
        <f>FQ68</f>
        <v>BITER10</v>
      </c>
      <c r="W68" s="203" t="str">
        <f>GD68</f>
        <v>DIM15</v>
      </c>
      <c r="X68" s="203" t="str">
        <f>GQ68</f>
        <v>GMMAT</v>
      </c>
      <c r="Y68" s="203" t="str">
        <f>HD68</f>
        <v>GMRON</v>
      </c>
      <c r="Z68" s="209" t="s">
        <v>13</v>
      </c>
      <c r="AA68" s="227" t="s">
        <v>14</v>
      </c>
      <c r="AB68" s="227" t="s">
        <v>12</v>
      </c>
      <c r="AC68" s="227" t="s">
        <v>4</v>
      </c>
      <c r="AD68" s="214" t="s">
        <v>29</v>
      </c>
      <c r="AE68" s="215"/>
      <c r="AF68" s="215"/>
      <c r="AG68" s="216"/>
      <c r="AH68" s="114"/>
      <c r="AI68" s="114"/>
      <c r="AJ68" s="114"/>
      <c r="AK68" s="114"/>
      <c r="AL68" s="114"/>
      <c r="AM68" s="114"/>
      <c r="AN68" s="114"/>
      <c r="AO68" s="114"/>
      <c r="AP68" s="114"/>
      <c r="AQ68" s="217" t="s">
        <v>30</v>
      </c>
      <c r="AR68" s="218"/>
      <c r="AS68" s="218"/>
      <c r="AT68" s="219"/>
      <c r="AU68" s="115"/>
      <c r="AV68" s="115"/>
      <c r="AW68" s="115"/>
      <c r="AX68" s="115"/>
      <c r="AY68" s="115"/>
      <c r="AZ68" s="115"/>
      <c r="BA68" s="115"/>
      <c r="BB68" s="115"/>
      <c r="BC68" s="115"/>
      <c r="BD68" s="196" t="s">
        <v>31</v>
      </c>
      <c r="BE68" s="197"/>
      <c r="BF68" s="197"/>
      <c r="BG68" s="198"/>
      <c r="BH68" s="137"/>
      <c r="BI68" s="116"/>
      <c r="BJ68" s="116"/>
      <c r="BK68" s="116"/>
      <c r="BL68" s="116"/>
      <c r="BM68" s="116"/>
      <c r="BN68" s="116"/>
      <c r="BO68" s="116"/>
      <c r="BP68" s="116"/>
      <c r="BQ68" s="211" t="s">
        <v>32</v>
      </c>
      <c r="BR68" s="212"/>
      <c r="BS68" s="212"/>
      <c r="BT68" s="213"/>
      <c r="BU68" s="144"/>
      <c r="BV68" s="144"/>
      <c r="BW68" s="144"/>
      <c r="BX68" s="144"/>
      <c r="BY68" s="144"/>
      <c r="BZ68" s="144"/>
      <c r="CA68" s="144"/>
      <c r="CB68" s="144"/>
      <c r="CC68" s="144"/>
      <c r="CD68" s="214" t="s">
        <v>27</v>
      </c>
      <c r="CE68" s="215"/>
      <c r="CF68" s="215"/>
      <c r="CG68" s="216"/>
      <c r="CH68" s="148"/>
      <c r="CI68" s="114"/>
      <c r="CJ68" s="114"/>
      <c r="CK68" s="114"/>
      <c r="CL68" s="114"/>
      <c r="CM68" s="114"/>
      <c r="CN68" s="114"/>
      <c r="CO68" s="114"/>
      <c r="CP68" s="114"/>
      <c r="CQ68" s="217" t="s">
        <v>33</v>
      </c>
      <c r="CR68" s="218"/>
      <c r="CS68" s="218"/>
      <c r="CT68" s="219"/>
      <c r="CU68" s="156"/>
      <c r="CV68" s="156"/>
      <c r="CW68" s="156"/>
      <c r="CX68" s="156"/>
      <c r="CY68" s="156"/>
      <c r="CZ68" s="156"/>
      <c r="DA68" s="156"/>
      <c r="DB68" s="156"/>
      <c r="DC68" s="156"/>
      <c r="DD68" s="196" t="s">
        <v>66</v>
      </c>
      <c r="DE68" s="197"/>
      <c r="DF68" s="197"/>
      <c r="DG68" s="198"/>
      <c r="DH68" s="158"/>
      <c r="DI68" s="158"/>
      <c r="DJ68" s="158"/>
      <c r="DK68" s="158"/>
      <c r="DL68" s="158"/>
      <c r="DM68" s="158"/>
      <c r="DN68" s="158"/>
      <c r="DO68" s="158"/>
      <c r="DP68" s="158"/>
      <c r="DQ68" s="211" t="s">
        <v>67</v>
      </c>
      <c r="DR68" s="212"/>
      <c r="DS68" s="212"/>
      <c r="DT68" s="213"/>
      <c r="DU68" s="160"/>
      <c r="DV68" s="160"/>
      <c r="DW68" s="160"/>
      <c r="DX68" s="160"/>
      <c r="DY68" s="160"/>
      <c r="DZ68" s="160"/>
      <c r="EA68" s="160"/>
      <c r="EB68" s="160"/>
      <c r="EC68" s="160"/>
      <c r="ED68" s="214" t="s">
        <v>34</v>
      </c>
      <c r="EE68" s="215"/>
      <c r="EF68" s="215"/>
      <c r="EG68" s="216"/>
      <c r="EH68" s="162"/>
      <c r="EI68" s="162"/>
      <c r="EJ68" s="162"/>
      <c r="EK68" s="162"/>
      <c r="EL68" s="162"/>
      <c r="EM68" s="162"/>
      <c r="EN68" s="162"/>
      <c r="EO68" s="162"/>
      <c r="EP68" s="162"/>
      <c r="EQ68" s="217" t="s">
        <v>35</v>
      </c>
      <c r="ER68" s="218"/>
      <c r="ES68" s="218"/>
      <c r="ET68" s="219"/>
      <c r="EU68" s="156"/>
      <c r="EV68" s="156"/>
      <c r="EW68" s="156"/>
      <c r="EX68" s="156"/>
      <c r="EY68" s="156"/>
      <c r="EZ68" s="156"/>
      <c r="FA68" s="156"/>
      <c r="FB68" s="156"/>
      <c r="FC68" s="156"/>
      <c r="FD68" s="196" t="s">
        <v>68</v>
      </c>
      <c r="FE68" s="197"/>
      <c r="FF68" s="197"/>
      <c r="FG68" s="198"/>
      <c r="FH68" s="137"/>
      <c r="FI68" s="137"/>
      <c r="FJ68" s="137"/>
      <c r="FK68" s="137"/>
      <c r="FL68" s="137"/>
      <c r="FM68" s="137"/>
      <c r="FN68" s="137"/>
      <c r="FO68" s="137"/>
      <c r="FP68" s="137"/>
      <c r="FQ68" s="211" t="s">
        <v>36</v>
      </c>
      <c r="FR68" s="212"/>
      <c r="FS68" s="212"/>
      <c r="FT68" s="213"/>
      <c r="FU68" s="160"/>
      <c r="FV68" s="160"/>
      <c r="FW68" s="160"/>
      <c r="FX68" s="160"/>
      <c r="FY68" s="160"/>
      <c r="FZ68" s="160"/>
      <c r="GA68" s="160"/>
      <c r="GB68" s="160"/>
      <c r="GC68" s="160"/>
      <c r="GD68" s="214" t="s">
        <v>37</v>
      </c>
      <c r="GE68" s="215"/>
      <c r="GF68" s="215"/>
      <c r="GG68" s="216"/>
      <c r="GH68" s="148"/>
      <c r="GI68" s="148"/>
      <c r="GJ68" s="148"/>
      <c r="GK68" s="148"/>
      <c r="GL68" s="148"/>
      <c r="GM68" s="148"/>
      <c r="GN68" s="148"/>
      <c r="GO68" s="148"/>
      <c r="GP68" s="148"/>
      <c r="GQ68" s="217" t="s">
        <v>69</v>
      </c>
      <c r="GR68" s="218"/>
      <c r="GS68" s="218"/>
      <c r="GT68" s="219"/>
      <c r="GU68" s="164"/>
      <c r="GV68" s="164"/>
      <c r="GW68" s="164"/>
      <c r="GX68" s="164"/>
      <c r="GY68" s="164"/>
      <c r="GZ68" s="164"/>
      <c r="HA68" s="164"/>
      <c r="HB68" s="164"/>
      <c r="HC68" s="164"/>
      <c r="HD68" s="196" t="s">
        <v>38</v>
      </c>
      <c r="HE68" s="197"/>
      <c r="HF68" s="197"/>
      <c r="HG68" s="198"/>
      <c r="HH68" s="131"/>
      <c r="HI68" s="131"/>
      <c r="HJ68" s="131"/>
      <c r="HK68" s="131"/>
      <c r="HL68" s="131"/>
      <c r="HM68" s="131"/>
      <c r="HN68" s="131"/>
      <c r="HO68" s="131"/>
      <c r="HP68" s="131"/>
    </row>
    <row r="69" spans="2:224" ht="28.5" customHeight="1" x14ac:dyDescent="0.25">
      <c r="B69" s="225"/>
      <c r="C69" s="225"/>
      <c r="D69" s="226"/>
      <c r="E69" s="225"/>
      <c r="F69" s="225"/>
      <c r="G69" s="225"/>
      <c r="H69" s="225"/>
      <c r="I69" s="225"/>
      <c r="J69" s="206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10"/>
      <c r="AA69" s="227"/>
      <c r="AB69" s="227"/>
      <c r="AC69" s="227"/>
      <c r="AD69" s="20" t="s">
        <v>15</v>
      </c>
      <c r="AE69" s="21" t="s">
        <v>16</v>
      </c>
      <c r="AF69" s="22" t="s">
        <v>17</v>
      </c>
      <c r="AG69" s="20" t="s">
        <v>20</v>
      </c>
      <c r="AH69" s="20" t="s">
        <v>166</v>
      </c>
      <c r="AI69" s="20" t="s">
        <v>163</v>
      </c>
      <c r="AJ69" s="20" t="s">
        <v>162</v>
      </c>
      <c r="AK69" s="20" t="s">
        <v>164</v>
      </c>
      <c r="AL69" s="20" t="s">
        <v>162</v>
      </c>
      <c r="AM69" s="20" t="s">
        <v>165</v>
      </c>
      <c r="AN69" s="20" t="s">
        <v>162</v>
      </c>
      <c r="AO69" s="20" t="s">
        <v>21</v>
      </c>
      <c r="AP69" s="20"/>
      <c r="AQ69" s="3" t="s">
        <v>15</v>
      </c>
      <c r="AR69" s="4" t="s">
        <v>16</v>
      </c>
      <c r="AS69" s="5" t="s">
        <v>17</v>
      </c>
      <c r="AT69" s="3" t="s">
        <v>20</v>
      </c>
      <c r="AU69" s="3" t="s">
        <v>166</v>
      </c>
      <c r="AV69" s="3" t="s">
        <v>163</v>
      </c>
      <c r="AW69" s="3" t="s">
        <v>162</v>
      </c>
      <c r="AX69" s="3" t="s">
        <v>164</v>
      </c>
      <c r="AY69" s="3" t="s">
        <v>162</v>
      </c>
      <c r="AZ69" s="3" t="s">
        <v>165</v>
      </c>
      <c r="BA69" s="3" t="s">
        <v>162</v>
      </c>
      <c r="BB69" s="3" t="s">
        <v>21</v>
      </c>
      <c r="BC69" s="3"/>
      <c r="BD69" s="117" t="s">
        <v>15</v>
      </c>
      <c r="BE69" s="23" t="s">
        <v>16</v>
      </c>
      <c r="BF69" s="24" t="s">
        <v>17</v>
      </c>
      <c r="BG69" s="117" t="s">
        <v>20</v>
      </c>
      <c r="BH69" s="138" t="s">
        <v>166</v>
      </c>
      <c r="BI69" s="117" t="s">
        <v>163</v>
      </c>
      <c r="BJ69" s="117" t="s">
        <v>162</v>
      </c>
      <c r="BK69" s="117" t="s">
        <v>164</v>
      </c>
      <c r="BL69" s="117" t="s">
        <v>162</v>
      </c>
      <c r="BM69" s="117" t="s">
        <v>165</v>
      </c>
      <c r="BN69" s="117" t="s">
        <v>162</v>
      </c>
      <c r="BO69" s="117" t="s">
        <v>21</v>
      </c>
      <c r="BP69" s="117"/>
      <c r="BQ69" s="25" t="s">
        <v>15</v>
      </c>
      <c r="BR69" s="26" t="s">
        <v>16</v>
      </c>
      <c r="BS69" s="27" t="s">
        <v>17</v>
      </c>
      <c r="BT69" s="25" t="s">
        <v>20</v>
      </c>
      <c r="BU69" s="143" t="s">
        <v>166</v>
      </c>
      <c r="BV69" s="143" t="s">
        <v>163</v>
      </c>
      <c r="BW69" s="143" t="s">
        <v>162</v>
      </c>
      <c r="BX69" s="143" t="s">
        <v>164</v>
      </c>
      <c r="BY69" s="143" t="s">
        <v>162</v>
      </c>
      <c r="BZ69" s="143" t="s">
        <v>165</v>
      </c>
      <c r="CA69" s="143" t="s">
        <v>162</v>
      </c>
      <c r="CB69" s="143" t="s">
        <v>21</v>
      </c>
      <c r="CC69" s="143"/>
      <c r="CD69" s="20" t="s">
        <v>15</v>
      </c>
      <c r="CE69" s="21" t="s">
        <v>16</v>
      </c>
      <c r="CF69" s="22" t="s">
        <v>17</v>
      </c>
      <c r="CG69" s="20" t="s">
        <v>20</v>
      </c>
      <c r="CH69" s="149" t="s">
        <v>166</v>
      </c>
      <c r="CI69" s="145" t="s">
        <v>163</v>
      </c>
      <c r="CJ69" s="145" t="s">
        <v>162</v>
      </c>
      <c r="CK69" s="145" t="s">
        <v>164</v>
      </c>
      <c r="CL69" s="145" t="s">
        <v>162</v>
      </c>
      <c r="CM69" s="145" t="s">
        <v>165</v>
      </c>
      <c r="CN69" s="145" t="s">
        <v>162</v>
      </c>
      <c r="CO69" s="145" t="s">
        <v>21</v>
      </c>
      <c r="CP69" s="145"/>
      <c r="CQ69" s="3" t="s">
        <v>15</v>
      </c>
      <c r="CR69" s="4" t="s">
        <v>16</v>
      </c>
      <c r="CS69" s="5" t="s">
        <v>17</v>
      </c>
      <c r="CT69" s="3" t="s">
        <v>20</v>
      </c>
      <c r="CU69" s="157" t="s">
        <v>166</v>
      </c>
      <c r="CV69" s="157" t="s">
        <v>163</v>
      </c>
      <c r="CW69" s="157" t="s">
        <v>162</v>
      </c>
      <c r="CX69" s="157" t="s">
        <v>164</v>
      </c>
      <c r="CY69" s="157" t="s">
        <v>162</v>
      </c>
      <c r="CZ69" s="157" t="s">
        <v>165</v>
      </c>
      <c r="DA69" s="157" t="s">
        <v>162</v>
      </c>
      <c r="DB69" s="157" t="s">
        <v>21</v>
      </c>
      <c r="DC69" s="157"/>
      <c r="DD69" s="117" t="s">
        <v>15</v>
      </c>
      <c r="DE69" s="23" t="s">
        <v>16</v>
      </c>
      <c r="DF69" s="24" t="s">
        <v>17</v>
      </c>
      <c r="DG69" s="117" t="s">
        <v>20</v>
      </c>
      <c r="DH69" s="159" t="s">
        <v>166</v>
      </c>
      <c r="DI69" s="159" t="s">
        <v>163</v>
      </c>
      <c r="DJ69" s="159" t="s">
        <v>162</v>
      </c>
      <c r="DK69" s="159" t="s">
        <v>164</v>
      </c>
      <c r="DL69" s="159" t="s">
        <v>162</v>
      </c>
      <c r="DM69" s="159" t="s">
        <v>165</v>
      </c>
      <c r="DN69" s="159" t="s">
        <v>162</v>
      </c>
      <c r="DO69" s="159" t="s">
        <v>21</v>
      </c>
      <c r="DP69" s="159"/>
      <c r="DQ69" s="25" t="s">
        <v>15</v>
      </c>
      <c r="DR69" s="26" t="s">
        <v>16</v>
      </c>
      <c r="DS69" s="27" t="s">
        <v>17</v>
      </c>
      <c r="DT69" s="25" t="s">
        <v>20</v>
      </c>
      <c r="DU69" s="161" t="s">
        <v>166</v>
      </c>
      <c r="DV69" s="161" t="s">
        <v>163</v>
      </c>
      <c r="DW69" s="161" t="s">
        <v>162</v>
      </c>
      <c r="DX69" s="161" t="s">
        <v>164</v>
      </c>
      <c r="DY69" s="161" t="s">
        <v>162</v>
      </c>
      <c r="DZ69" s="161" t="s">
        <v>165</v>
      </c>
      <c r="EA69" s="161" t="s">
        <v>162</v>
      </c>
      <c r="EB69" s="161" t="s">
        <v>21</v>
      </c>
      <c r="EC69" s="161"/>
      <c r="ED69" s="20" t="s">
        <v>15</v>
      </c>
      <c r="EE69" s="21" t="s">
        <v>16</v>
      </c>
      <c r="EF69" s="22" t="s">
        <v>17</v>
      </c>
      <c r="EG69" s="20" t="s">
        <v>20</v>
      </c>
      <c r="EH69" s="145" t="s">
        <v>166</v>
      </c>
      <c r="EI69" s="145" t="s">
        <v>163</v>
      </c>
      <c r="EJ69" s="145" t="s">
        <v>162</v>
      </c>
      <c r="EK69" s="145" t="s">
        <v>164</v>
      </c>
      <c r="EL69" s="145" t="s">
        <v>162</v>
      </c>
      <c r="EM69" s="145" t="s">
        <v>165</v>
      </c>
      <c r="EN69" s="145" t="s">
        <v>162</v>
      </c>
      <c r="EO69" s="145" t="s">
        <v>21</v>
      </c>
      <c r="EP69" s="145"/>
      <c r="EQ69" s="3" t="s">
        <v>15</v>
      </c>
      <c r="ER69" s="4" t="s">
        <v>16</v>
      </c>
      <c r="ES69" s="5" t="s">
        <v>17</v>
      </c>
      <c r="ET69" s="3" t="s">
        <v>20</v>
      </c>
      <c r="EU69" s="157" t="s">
        <v>166</v>
      </c>
      <c r="EV69" s="157" t="s">
        <v>163</v>
      </c>
      <c r="EW69" s="157" t="s">
        <v>162</v>
      </c>
      <c r="EX69" s="157" t="s">
        <v>164</v>
      </c>
      <c r="EY69" s="157" t="s">
        <v>162</v>
      </c>
      <c r="EZ69" s="157" t="s">
        <v>165</v>
      </c>
      <c r="FA69" s="157" t="s">
        <v>162</v>
      </c>
      <c r="FB69" s="157" t="s">
        <v>21</v>
      </c>
      <c r="FC69" s="157"/>
      <c r="FD69" s="117" t="s">
        <v>15</v>
      </c>
      <c r="FE69" s="23" t="s">
        <v>16</v>
      </c>
      <c r="FF69" s="24" t="s">
        <v>17</v>
      </c>
      <c r="FG69" s="117" t="s">
        <v>20</v>
      </c>
      <c r="FH69" s="138" t="s">
        <v>166</v>
      </c>
      <c r="FI69" s="138" t="s">
        <v>163</v>
      </c>
      <c r="FJ69" s="138" t="s">
        <v>162</v>
      </c>
      <c r="FK69" s="138" t="s">
        <v>164</v>
      </c>
      <c r="FL69" s="138" t="s">
        <v>162</v>
      </c>
      <c r="FM69" s="138" t="s">
        <v>165</v>
      </c>
      <c r="FN69" s="138" t="s">
        <v>162</v>
      </c>
      <c r="FO69" s="138" t="s">
        <v>21</v>
      </c>
      <c r="FP69" s="138"/>
      <c r="FQ69" s="25" t="s">
        <v>15</v>
      </c>
      <c r="FR69" s="26" t="s">
        <v>16</v>
      </c>
      <c r="FS69" s="27" t="s">
        <v>17</v>
      </c>
      <c r="FT69" s="25" t="s">
        <v>20</v>
      </c>
      <c r="FU69" s="161" t="s">
        <v>166</v>
      </c>
      <c r="FV69" s="161" t="s">
        <v>163</v>
      </c>
      <c r="FW69" s="161" t="s">
        <v>162</v>
      </c>
      <c r="FX69" s="161" t="s">
        <v>164</v>
      </c>
      <c r="FY69" s="161" t="s">
        <v>162</v>
      </c>
      <c r="FZ69" s="161" t="s">
        <v>165</v>
      </c>
      <c r="GA69" s="161" t="s">
        <v>162</v>
      </c>
      <c r="GB69" s="161" t="s">
        <v>21</v>
      </c>
      <c r="GC69" s="161"/>
      <c r="GD69" s="20" t="s">
        <v>15</v>
      </c>
      <c r="GE69" s="21" t="s">
        <v>16</v>
      </c>
      <c r="GF69" s="22" t="s">
        <v>17</v>
      </c>
      <c r="GG69" s="20" t="s">
        <v>20</v>
      </c>
      <c r="GH69" s="149" t="s">
        <v>166</v>
      </c>
      <c r="GI69" s="149" t="s">
        <v>163</v>
      </c>
      <c r="GJ69" s="149" t="s">
        <v>162</v>
      </c>
      <c r="GK69" s="149" t="s">
        <v>164</v>
      </c>
      <c r="GL69" s="149" t="s">
        <v>162</v>
      </c>
      <c r="GM69" s="149" t="s">
        <v>165</v>
      </c>
      <c r="GN69" s="149" t="s">
        <v>162</v>
      </c>
      <c r="GO69" s="149" t="s">
        <v>21</v>
      </c>
      <c r="GP69" s="149"/>
      <c r="GQ69" s="3" t="s">
        <v>15</v>
      </c>
      <c r="GR69" s="4" t="s">
        <v>16</v>
      </c>
      <c r="GS69" s="5" t="s">
        <v>17</v>
      </c>
      <c r="GT69" s="3" t="s">
        <v>20</v>
      </c>
      <c r="GU69" s="165" t="s">
        <v>166</v>
      </c>
      <c r="GV69" s="165" t="s">
        <v>163</v>
      </c>
      <c r="GW69" s="165" t="s">
        <v>162</v>
      </c>
      <c r="GX69" s="165" t="s">
        <v>164</v>
      </c>
      <c r="GY69" s="165" t="s">
        <v>162</v>
      </c>
      <c r="GZ69" s="165" t="s">
        <v>165</v>
      </c>
      <c r="HA69" s="165" t="s">
        <v>162</v>
      </c>
      <c r="HB69" s="165" t="s">
        <v>21</v>
      </c>
      <c r="HC69" s="165"/>
      <c r="HD69" s="117" t="s">
        <v>15</v>
      </c>
      <c r="HE69" s="23" t="s">
        <v>16</v>
      </c>
      <c r="HF69" s="24" t="s">
        <v>17</v>
      </c>
      <c r="HG69" s="117" t="s">
        <v>20</v>
      </c>
      <c r="HH69" s="132" t="s">
        <v>166</v>
      </c>
      <c r="HI69" s="132" t="s">
        <v>163</v>
      </c>
      <c r="HJ69" s="132" t="s">
        <v>162</v>
      </c>
      <c r="HK69" s="132" t="s">
        <v>164</v>
      </c>
      <c r="HL69" s="132" t="s">
        <v>162</v>
      </c>
      <c r="HM69" s="132" t="s">
        <v>165</v>
      </c>
      <c r="HN69" s="132" t="s">
        <v>162</v>
      </c>
      <c r="HO69" s="132" t="s">
        <v>21</v>
      </c>
      <c r="HP69" s="132"/>
    </row>
    <row r="70" spans="2:224" x14ac:dyDescent="0.25">
      <c r="B70" s="7">
        <f>'PLAN DE NECESIDADES'!B55</f>
        <v>31</v>
      </c>
      <c r="C70" s="7">
        <f>'PLAN DE NECESIDADES'!C55</f>
        <v>3899307</v>
      </c>
      <c r="D70" s="60" t="str">
        <f>'PLAN DE NECESIDADES'!D55</f>
        <v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v>
      </c>
      <c r="E70" s="7" t="str">
        <f>'PLAN DE NECESIDADES'!E55</f>
        <v>UNIDAD</v>
      </c>
      <c r="F70" s="7">
        <f>'PLAN DE NECESIDADES'!F55</f>
        <v>0</v>
      </c>
      <c r="G70" s="7">
        <f>'PLAN DE NECESIDADES'!H55</f>
        <v>53131503</v>
      </c>
      <c r="H70" s="7">
        <f>'PLAN DE NECESIDADES'!I55</f>
        <v>1349993</v>
      </c>
      <c r="I70" s="7" t="str">
        <f>'PLAN DE NECESIDADES'!J55</f>
        <v>8530-80-0011406</v>
      </c>
      <c r="J70" s="7">
        <v>1</v>
      </c>
      <c r="K70" s="85">
        <v>69</v>
      </c>
      <c r="L70" s="85">
        <v>217</v>
      </c>
      <c r="M70" s="85">
        <v>279</v>
      </c>
      <c r="N70" s="85">
        <v>217</v>
      </c>
      <c r="O70" s="85">
        <v>248</v>
      </c>
      <c r="P70" s="85">
        <v>248</v>
      </c>
      <c r="Q70" s="85">
        <v>279</v>
      </c>
      <c r="R70" s="85">
        <v>125</v>
      </c>
      <c r="S70" s="85">
        <v>62</v>
      </c>
      <c r="T70" s="85">
        <v>279</v>
      </c>
      <c r="U70" s="85">
        <v>186</v>
      </c>
      <c r="V70" s="85">
        <v>32</v>
      </c>
      <c r="W70" s="85">
        <v>12</v>
      </c>
      <c r="X70" s="85">
        <v>186</v>
      </c>
      <c r="Y70" s="85">
        <v>186</v>
      </c>
      <c r="Z70" s="85">
        <f t="shared" ref="Z70:AB73" si="490">SUM(AD70,AQ70,BD70,BQ70,CD70,CQ70,DD70,DQ70,ED70,EQ70,FD70,FQ70,GD70,GQ70,HD70)</f>
        <v>2656</v>
      </c>
      <c r="AA70" s="7">
        <f t="shared" si="490"/>
        <v>1532</v>
      </c>
      <c r="AB70" s="7">
        <f t="shared" si="490"/>
        <v>1124</v>
      </c>
      <c r="AC70" s="12">
        <v>3000</v>
      </c>
      <c r="AD70" s="7">
        <f>K70*J70</f>
        <v>69</v>
      </c>
      <c r="AE70" s="7">
        <f>J70*40</f>
        <v>40</v>
      </c>
      <c r="AF70" s="8">
        <f t="shared" ref="AF70:AF73" si="491">AD70-AE70</f>
        <v>29</v>
      </c>
      <c r="AG70" s="14">
        <f>AC70*AE70</f>
        <v>120000</v>
      </c>
      <c r="AH70" s="133">
        <f t="shared" ref="AH70:AH73" si="492">AE70/J70</f>
        <v>40</v>
      </c>
      <c r="AI70" s="133">
        <v>31</v>
      </c>
      <c r="AJ70" s="133"/>
      <c r="AK70" s="133">
        <v>20</v>
      </c>
      <c r="AL70" s="133">
        <v>11</v>
      </c>
      <c r="AM70" s="133">
        <v>18</v>
      </c>
      <c r="AN70" s="133">
        <v>18</v>
      </c>
      <c r="AO70" s="133">
        <f>AL70+AN70</f>
        <v>29</v>
      </c>
      <c r="AP70" s="133">
        <f>AH70+AJ70+AL70+AN70</f>
        <v>69</v>
      </c>
      <c r="AQ70" s="7">
        <f>L70*J70</f>
        <v>217</v>
      </c>
      <c r="AR70" s="7">
        <f>J70*126</f>
        <v>126</v>
      </c>
      <c r="AS70" s="8">
        <f t="shared" ref="AS70:AS73" si="493">AQ70-AR70</f>
        <v>91</v>
      </c>
      <c r="AT70" s="14">
        <f>AC70*AR70</f>
        <v>378000</v>
      </c>
      <c r="AU70" s="133">
        <f t="shared" ref="AU70:AU73" si="494">AR70/J70</f>
        <v>126</v>
      </c>
      <c r="AV70" s="133">
        <v>93</v>
      </c>
      <c r="AW70" s="133"/>
      <c r="AX70" s="133">
        <v>62</v>
      </c>
      <c r="AY70" s="133">
        <v>29</v>
      </c>
      <c r="AZ70" s="133">
        <v>62</v>
      </c>
      <c r="BA70" s="133">
        <v>62</v>
      </c>
      <c r="BB70" s="133">
        <f t="shared" ref="BB70:BB73" si="495">AW70+AY70+BA70</f>
        <v>91</v>
      </c>
      <c r="BC70" s="133">
        <f t="shared" ref="BC70:BC73" si="496">AU70+AW70+AY70+BA70</f>
        <v>217</v>
      </c>
      <c r="BD70" s="7">
        <f>M70*J70</f>
        <v>279</v>
      </c>
      <c r="BE70" s="7">
        <f>J70*163</f>
        <v>163</v>
      </c>
      <c r="BF70" s="8">
        <f t="shared" ref="BF70:BF73" si="497">BD70-BE70</f>
        <v>116</v>
      </c>
      <c r="BG70" s="14">
        <f>AC70*BE70</f>
        <v>489000</v>
      </c>
      <c r="BH70" s="133">
        <f t="shared" ref="BH70:BH73" si="498">BE70/J70</f>
        <v>163</v>
      </c>
      <c r="BI70" s="133">
        <v>93</v>
      </c>
      <c r="BJ70" s="133"/>
      <c r="BK70" s="133">
        <v>62</v>
      </c>
      <c r="BL70" s="133"/>
      <c r="BM70" s="133">
        <v>124</v>
      </c>
      <c r="BN70" s="133">
        <v>116</v>
      </c>
      <c r="BO70" s="133">
        <f t="shared" ref="BO70:BO73" si="499">BJ70+BL70+BN70</f>
        <v>116</v>
      </c>
      <c r="BP70" s="133">
        <f t="shared" ref="BP70:BP73" si="500">BH70+BJ70+BL70+BN70</f>
        <v>279</v>
      </c>
      <c r="BQ70" s="7">
        <f>N70*J70</f>
        <v>217</v>
      </c>
      <c r="BR70" s="7">
        <f>J70*127</f>
        <v>127</v>
      </c>
      <c r="BS70" s="8">
        <f t="shared" ref="BS70:BS73" si="501">BQ70-BR70</f>
        <v>90</v>
      </c>
      <c r="BT70" s="14">
        <f>AC70*BR70</f>
        <v>381000</v>
      </c>
      <c r="BU70" s="133">
        <f t="shared" ref="BU70:BU73" si="502">BR70/J70</f>
        <v>127</v>
      </c>
      <c r="BV70" s="133">
        <v>93</v>
      </c>
      <c r="BW70" s="133"/>
      <c r="BX70" s="133">
        <v>62</v>
      </c>
      <c r="BY70" s="133">
        <v>28</v>
      </c>
      <c r="BZ70" s="133">
        <v>62</v>
      </c>
      <c r="CA70" s="133">
        <v>62</v>
      </c>
      <c r="CB70" s="133">
        <f t="shared" ref="CB70:CB73" si="503">BW70+BY70+CA70</f>
        <v>90</v>
      </c>
      <c r="CC70" s="133">
        <f t="shared" ref="CC70:CC73" si="504">BU70+BW70+BY70+CA70</f>
        <v>217</v>
      </c>
      <c r="CD70" s="7">
        <f>M70*J70</f>
        <v>279</v>
      </c>
      <c r="CE70" s="7">
        <f>J70*143</f>
        <v>143</v>
      </c>
      <c r="CF70" s="8">
        <f t="shared" ref="CF70:CF73" si="505">CD70-CE70</f>
        <v>136</v>
      </c>
      <c r="CG70" s="14">
        <f>CE70*AC70</f>
        <v>429000</v>
      </c>
      <c r="CH70" s="134">
        <f t="shared" ref="CH70:CH73" si="506">CE70/J70</f>
        <v>143</v>
      </c>
      <c r="CI70" s="134">
        <v>62</v>
      </c>
      <c r="CJ70" s="134"/>
      <c r="CK70" s="134">
        <v>62</v>
      </c>
      <c r="CL70" s="134"/>
      <c r="CM70" s="134">
        <v>124</v>
      </c>
      <c r="CN70" s="134">
        <v>105</v>
      </c>
      <c r="CO70" s="134">
        <f t="shared" ref="CO70:CO73" si="507">CJ70+CL70+CN70</f>
        <v>105</v>
      </c>
      <c r="CP70" s="134">
        <f t="shared" ref="CP70:CP73" si="508">CH70+CJ70+CL70+CN70</f>
        <v>248</v>
      </c>
      <c r="CQ70" s="7">
        <f>P70*J70</f>
        <v>248</v>
      </c>
      <c r="CR70" s="7">
        <f>J70*145</f>
        <v>145</v>
      </c>
      <c r="CS70" s="8">
        <f t="shared" ref="CS70:CS73" si="509">CQ70-CR70</f>
        <v>103</v>
      </c>
      <c r="CT70" s="14">
        <f>AC70*CR70</f>
        <v>435000</v>
      </c>
      <c r="CU70" s="134">
        <f t="shared" ref="CU70:CU73" si="510">CR70/J70</f>
        <v>145</v>
      </c>
      <c r="CV70" s="134">
        <v>93</v>
      </c>
      <c r="CW70" s="134"/>
      <c r="CX70" s="134">
        <v>93</v>
      </c>
      <c r="CY70" s="134">
        <v>41</v>
      </c>
      <c r="CZ70" s="134">
        <v>62</v>
      </c>
      <c r="DA70" s="134">
        <v>62</v>
      </c>
      <c r="DB70" s="134">
        <f t="shared" ref="DB70:DB73" si="511">CW70+CY70+DA70</f>
        <v>103</v>
      </c>
      <c r="DC70" s="134">
        <f t="shared" ref="DC70:DC73" si="512">CU70+CW70+CY70+DA70</f>
        <v>248</v>
      </c>
      <c r="DD70" s="7">
        <f>Q70*J70</f>
        <v>279</v>
      </c>
      <c r="DE70" s="7">
        <f>J70*163</f>
        <v>163</v>
      </c>
      <c r="DF70" s="8">
        <f t="shared" ref="DF70:DF73" si="513">DD70-DE70</f>
        <v>116</v>
      </c>
      <c r="DG70" s="14">
        <f>DE70*AC70</f>
        <v>489000</v>
      </c>
      <c r="DH70" s="134">
        <f t="shared" ref="DH70:DH73" si="514">DE70/J70</f>
        <v>163</v>
      </c>
      <c r="DI70" s="134">
        <v>93</v>
      </c>
      <c r="DJ70" s="134"/>
      <c r="DK70" s="134">
        <v>124</v>
      </c>
      <c r="DL70" s="134">
        <v>54</v>
      </c>
      <c r="DM70" s="134">
        <v>62</v>
      </c>
      <c r="DN70" s="134">
        <v>62</v>
      </c>
      <c r="DO70" s="134">
        <f t="shared" ref="DO70:DO73" si="515">DJ70+DL70+DN70</f>
        <v>116</v>
      </c>
      <c r="DP70" s="134">
        <f t="shared" ref="DP70:DP73" si="516">DH70+DJ70+DL70+DN70</f>
        <v>279</v>
      </c>
      <c r="DQ70" s="7">
        <f>R70*J70</f>
        <v>125</v>
      </c>
      <c r="DR70" s="7">
        <f>J70*74</f>
        <v>74</v>
      </c>
      <c r="DS70" s="8">
        <f t="shared" ref="DS70:DS73" si="517">DQ70-DR70</f>
        <v>51</v>
      </c>
      <c r="DT70" s="14">
        <f>DR70*AC70</f>
        <v>222000</v>
      </c>
      <c r="DU70" s="134">
        <f t="shared" ref="DU70:DU73" si="518">DR70/J70</f>
        <v>74</v>
      </c>
      <c r="DV70" s="134">
        <v>0</v>
      </c>
      <c r="DW70" s="134"/>
      <c r="DX70" s="134">
        <v>62</v>
      </c>
      <c r="DY70" s="134"/>
      <c r="DZ70" s="134">
        <v>63</v>
      </c>
      <c r="EA70" s="134">
        <v>51</v>
      </c>
      <c r="EB70" s="134">
        <f>DW70+DY70+EA70</f>
        <v>51</v>
      </c>
      <c r="EC70" s="134">
        <f>DU70+DW70+DY70+EA70</f>
        <v>125</v>
      </c>
      <c r="ED70" s="7">
        <f>S70*J70</f>
        <v>62</v>
      </c>
      <c r="EE70" s="7">
        <f>J70*36</f>
        <v>36</v>
      </c>
      <c r="EF70" s="8">
        <f t="shared" ref="EF70:EF73" si="519">ED70-EE70</f>
        <v>26</v>
      </c>
      <c r="EG70" s="14">
        <f>EE70*AC70</f>
        <v>108000</v>
      </c>
      <c r="EH70" s="133">
        <f t="shared" ref="EH70:EH73" si="520">EE70/J70</f>
        <v>36</v>
      </c>
      <c r="EI70" s="133">
        <v>0</v>
      </c>
      <c r="EJ70" s="133"/>
      <c r="EK70" s="133">
        <v>62</v>
      </c>
      <c r="EL70" s="133">
        <f t="shared" ref="EL70:EL73" si="521">EK70-EH70</f>
        <v>26</v>
      </c>
      <c r="EM70" s="133">
        <v>0</v>
      </c>
      <c r="EN70" s="133"/>
      <c r="EO70" s="133">
        <f t="shared" ref="EO70:EO73" si="522">EJ70+EL70+EN70</f>
        <v>26</v>
      </c>
      <c r="EP70" s="133">
        <f t="shared" ref="EP70:EP73" si="523">EH70+EJ70+EL70+EN70</f>
        <v>62</v>
      </c>
      <c r="EQ70" s="7">
        <f>T70*J70</f>
        <v>279</v>
      </c>
      <c r="ER70" s="7">
        <f>J70*163</f>
        <v>163</v>
      </c>
      <c r="ES70" s="8">
        <f t="shared" ref="ES70:ES73" si="524">EQ70-ER70</f>
        <v>116</v>
      </c>
      <c r="ET70" s="14">
        <f>ER70*AC70</f>
        <v>489000</v>
      </c>
      <c r="EU70" s="134">
        <f t="shared" ref="EU70:EU73" si="525">ER70/J70</f>
        <v>163</v>
      </c>
      <c r="EV70" s="134">
        <v>93</v>
      </c>
      <c r="EW70" s="134"/>
      <c r="EX70" s="134">
        <v>93</v>
      </c>
      <c r="EY70" s="134">
        <v>23</v>
      </c>
      <c r="EZ70" s="134">
        <v>93</v>
      </c>
      <c r="FA70" s="134">
        <v>93</v>
      </c>
      <c r="FB70" s="134">
        <f t="shared" ref="FB70:FB73" si="526">EW70+EY70+FA70</f>
        <v>116</v>
      </c>
      <c r="FC70" s="134">
        <f t="shared" ref="FC70:FC73" si="527">EU70+EW70+EY70+FA70</f>
        <v>279</v>
      </c>
      <c r="FD70" s="7">
        <f>U70*J70</f>
        <v>186</v>
      </c>
      <c r="FE70" s="7">
        <f>J70*109</f>
        <v>109</v>
      </c>
      <c r="FF70" s="8">
        <f t="shared" ref="FF70:FF73" si="528">FD70-FE70</f>
        <v>77</v>
      </c>
      <c r="FG70" s="14">
        <f>FE70*AC70</f>
        <v>327000</v>
      </c>
      <c r="FH70" s="133">
        <f t="shared" ref="FH70:FH73" si="529">FE70/J70</f>
        <v>109</v>
      </c>
      <c r="FI70" s="133">
        <v>62</v>
      </c>
      <c r="FJ70" s="133"/>
      <c r="FK70" s="133">
        <v>62</v>
      </c>
      <c r="FL70" s="133">
        <v>15</v>
      </c>
      <c r="FM70" s="133">
        <v>62</v>
      </c>
      <c r="FN70" s="133">
        <v>62</v>
      </c>
      <c r="FO70" s="133">
        <f t="shared" ref="FO70:FO73" si="530">FJ70+FL70+FN70</f>
        <v>77</v>
      </c>
      <c r="FP70" s="133">
        <f t="shared" ref="FP70:FP73" si="531">FH70+FJ70+FL70+FN70</f>
        <v>186</v>
      </c>
      <c r="FQ70" s="7">
        <f>V70*J70</f>
        <v>32</v>
      </c>
      <c r="FR70" s="7">
        <f>J70*18</f>
        <v>18</v>
      </c>
      <c r="FS70" s="8">
        <f t="shared" ref="FS70:FS73" si="532">FQ70-FR70</f>
        <v>14</v>
      </c>
      <c r="FT70" s="14">
        <f>FR70*AC70</f>
        <v>54000</v>
      </c>
      <c r="FU70" s="134">
        <f t="shared" ref="FU70:FU73" si="533">FR70/J70</f>
        <v>18</v>
      </c>
      <c r="FV70" s="134">
        <v>0</v>
      </c>
      <c r="FW70" s="134"/>
      <c r="FX70" s="134">
        <v>16</v>
      </c>
      <c r="FY70" s="134"/>
      <c r="FZ70" s="134">
        <v>16</v>
      </c>
      <c r="GA70" s="134">
        <v>14</v>
      </c>
      <c r="GB70" s="134">
        <f t="shared" ref="GB70:GB73" si="534">FW70+FY70+GA70</f>
        <v>14</v>
      </c>
      <c r="GC70" s="134">
        <f t="shared" ref="GC70:GC73" si="535">FU70+FW70+FY70+GA70</f>
        <v>32</v>
      </c>
      <c r="GD70" s="7">
        <f>W70*J70</f>
        <v>12</v>
      </c>
      <c r="GE70" s="7">
        <f>J70*7</f>
        <v>7</v>
      </c>
      <c r="GF70" s="8">
        <f t="shared" ref="GF70:GF73" si="536">GD70-GE70</f>
        <v>5</v>
      </c>
      <c r="GG70" s="14">
        <f>GE70*AC70</f>
        <v>21000</v>
      </c>
      <c r="GH70" s="134">
        <f t="shared" ref="GH70:GH73" si="537">GE70/J70</f>
        <v>7</v>
      </c>
      <c r="GI70" s="134">
        <v>4</v>
      </c>
      <c r="GJ70" s="134"/>
      <c r="GK70" s="134">
        <v>4</v>
      </c>
      <c r="GL70" s="134">
        <v>1</v>
      </c>
      <c r="GM70" s="134">
        <v>4</v>
      </c>
      <c r="GN70" s="134">
        <v>4</v>
      </c>
      <c r="GO70" s="134">
        <f t="shared" ref="GO70:GO73" si="538">GJ70+GL70+GN70</f>
        <v>5</v>
      </c>
      <c r="GP70" s="134">
        <f t="shared" ref="GP70:GP73" si="539">GH70+GJ70+GL70+GN70</f>
        <v>12</v>
      </c>
      <c r="GQ70" s="7">
        <f>X70*J70</f>
        <v>186</v>
      </c>
      <c r="GR70" s="7">
        <f>J70*109</f>
        <v>109</v>
      </c>
      <c r="GS70" s="8">
        <f t="shared" ref="GS70:GS73" si="540">GQ70-GR70</f>
        <v>77</v>
      </c>
      <c r="GT70" s="14">
        <f>GR70*AC70</f>
        <v>327000</v>
      </c>
      <c r="GU70" s="133">
        <f t="shared" ref="GU70:GU73" si="541">GR70/J70</f>
        <v>109</v>
      </c>
      <c r="GV70" s="133">
        <v>62</v>
      </c>
      <c r="GW70" s="133"/>
      <c r="GX70" s="133">
        <v>62</v>
      </c>
      <c r="GY70" s="133">
        <v>15</v>
      </c>
      <c r="GZ70" s="133">
        <v>62</v>
      </c>
      <c r="HA70" s="133">
        <v>62</v>
      </c>
      <c r="HB70" s="133">
        <f t="shared" ref="HB70:HB73" si="542">GW70+GY70+HA70</f>
        <v>77</v>
      </c>
      <c r="HC70" s="133">
        <f t="shared" ref="HC70:HC73" si="543">GU70+GW70+GY70+HA70</f>
        <v>186</v>
      </c>
      <c r="HD70" s="7">
        <f>Y70*J70</f>
        <v>186</v>
      </c>
      <c r="HE70" s="7">
        <f>J70*109</f>
        <v>109</v>
      </c>
      <c r="HF70" s="8">
        <f t="shared" ref="HF70:HF73" si="544">HD70-HE70</f>
        <v>77</v>
      </c>
      <c r="HG70" s="14">
        <f>HE70*AC70</f>
        <v>327000</v>
      </c>
      <c r="HH70" s="7">
        <f t="shared" ref="HH70:HH73" si="545">HE70/J70</f>
        <v>109</v>
      </c>
      <c r="HI70" s="7">
        <v>62</v>
      </c>
      <c r="HJ70" s="7"/>
      <c r="HK70" s="7">
        <v>62</v>
      </c>
      <c r="HL70" s="7">
        <v>15</v>
      </c>
      <c r="HM70" s="7">
        <v>62</v>
      </c>
      <c r="HN70" s="7">
        <v>62</v>
      </c>
      <c r="HO70" s="133">
        <f t="shared" ref="HO70:HO73" si="546">HJ70+HL70+HN70</f>
        <v>77</v>
      </c>
      <c r="HP70" s="133">
        <f t="shared" ref="HP70:HP73" si="547">HH70+HJ70+HL70+HN70</f>
        <v>186</v>
      </c>
    </row>
    <row r="71" spans="2:224" x14ac:dyDescent="0.25">
      <c r="B71" s="7">
        <f>'PLAN DE NECESIDADES'!B56</f>
        <v>32</v>
      </c>
      <c r="C71" s="7">
        <f>'PLAN DE NECESIDADES'!C56</f>
        <v>3899402</v>
      </c>
      <c r="D71" s="60" t="str">
        <f>'PLAN DE NECESIDADES'!D56</f>
        <v>PEINILLA: 
(LARGO: 120 MM ± 5 MM; ALTO: 28 MM ± 5 MM), ESPECIFICACIONES SEGÚN NORMA TÉCNICA NO. NTMD-0356 A2  ÍTEM  3.1.1.12</v>
      </c>
      <c r="E71" s="7" t="str">
        <f>'PLAN DE NECESIDADES'!E56</f>
        <v>UNIDAD</v>
      </c>
      <c r="F71" s="7">
        <f>'PLAN DE NECESIDADES'!F56</f>
        <v>0</v>
      </c>
      <c r="G71" s="7">
        <f>'PLAN DE NECESIDADES'!H56</f>
        <v>53131604</v>
      </c>
      <c r="H71" s="7">
        <f>'PLAN DE NECESIDADES'!I56</f>
        <v>1082385</v>
      </c>
      <c r="I71" s="7" t="str">
        <f>'PLAN DE NECESIDADES'!J56</f>
        <v>8530-80-0011404</v>
      </c>
      <c r="J71" s="7">
        <v>1</v>
      </c>
      <c r="K71" s="85">
        <v>69</v>
      </c>
      <c r="L71" s="85">
        <v>217</v>
      </c>
      <c r="M71" s="85">
        <v>279</v>
      </c>
      <c r="N71" s="85">
        <v>217</v>
      </c>
      <c r="O71" s="85">
        <v>248</v>
      </c>
      <c r="P71" s="85">
        <v>248</v>
      </c>
      <c r="Q71" s="85">
        <v>279</v>
      </c>
      <c r="R71" s="85">
        <v>125</v>
      </c>
      <c r="S71" s="85">
        <v>62</v>
      </c>
      <c r="T71" s="85">
        <v>279</v>
      </c>
      <c r="U71" s="85">
        <v>186</v>
      </c>
      <c r="V71" s="85">
        <v>32</v>
      </c>
      <c r="W71" s="85">
        <v>12</v>
      </c>
      <c r="X71" s="85">
        <v>186</v>
      </c>
      <c r="Y71" s="85">
        <v>186</v>
      </c>
      <c r="Z71" s="85">
        <f t="shared" si="490"/>
        <v>2656</v>
      </c>
      <c r="AA71" s="7">
        <f t="shared" si="490"/>
        <v>1529</v>
      </c>
      <c r="AB71" s="7">
        <f t="shared" si="490"/>
        <v>1127</v>
      </c>
      <c r="AC71" s="12">
        <v>1700</v>
      </c>
      <c r="AD71" s="7">
        <f>K71*J71</f>
        <v>69</v>
      </c>
      <c r="AE71" s="7">
        <f>J71*41</f>
        <v>41</v>
      </c>
      <c r="AF71" s="8">
        <f t="shared" si="491"/>
        <v>28</v>
      </c>
      <c r="AG71" s="14">
        <f>AC71*AE71</f>
        <v>69700</v>
      </c>
      <c r="AH71" s="133">
        <f t="shared" si="492"/>
        <v>41</v>
      </c>
      <c r="AI71" s="133">
        <v>31</v>
      </c>
      <c r="AJ71" s="133"/>
      <c r="AK71" s="133">
        <v>20</v>
      </c>
      <c r="AL71" s="133">
        <v>10</v>
      </c>
      <c r="AM71" s="133">
        <v>18</v>
      </c>
      <c r="AN71" s="133">
        <v>18</v>
      </c>
      <c r="AO71" s="133">
        <f t="shared" ref="AO71:AO73" si="548">AL71+AN71</f>
        <v>28</v>
      </c>
      <c r="AP71" s="133">
        <f t="shared" ref="AP71:AP73" si="549">AH71+AJ71+AL71+AN71</f>
        <v>69</v>
      </c>
      <c r="AQ71" s="7">
        <f>L71*J71</f>
        <v>217</v>
      </c>
      <c r="AR71" s="7">
        <f>J71*128</f>
        <v>128</v>
      </c>
      <c r="AS71" s="8">
        <f t="shared" si="493"/>
        <v>89</v>
      </c>
      <c r="AT71" s="14">
        <f>AC71*AR71</f>
        <v>217600</v>
      </c>
      <c r="AU71" s="133">
        <f t="shared" si="494"/>
        <v>128</v>
      </c>
      <c r="AV71" s="133">
        <v>93</v>
      </c>
      <c r="AW71" s="133"/>
      <c r="AX71" s="133">
        <v>62</v>
      </c>
      <c r="AY71" s="133">
        <v>27</v>
      </c>
      <c r="AZ71" s="133">
        <v>62</v>
      </c>
      <c r="BA71" s="133">
        <v>62</v>
      </c>
      <c r="BB71" s="133">
        <f t="shared" si="495"/>
        <v>89</v>
      </c>
      <c r="BC71" s="133">
        <f t="shared" si="496"/>
        <v>217</v>
      </c>
      <c r="BD71" s="7">
        <f>M71*J71</f>
        <v>279</v>
      </c>
      <c r="BE71" s="7">
        <f>J71*163</f>
        <v>163</v>
      </c>
      <c r="BF71" s="8">
        <f t="shared" si="497"/>
        <v>116</v>
      </c>
      <c r="BG71" s="14">
        <f>AC71*BE71</f>
        <v>277100</v>
      </c>
      <c r="BH71" s="133">
        <f t="shared" si="498"/>
        <v>163</v>
      </c>
      <c r="BI71" s="133">
        <v>93</v>
      </c>
      <c r="BJ71" s="133"/>
      <c r="BK71" s="133">
        <v>62</v>
      </c>
      <c r="BL71" s="133"/>
      <c r="BM71" s="133">
        <v>124</v>
      </c>
      <c r="BN71" s="133">
        <v>116</v>
      </c>
      <c r="BO71" s="133">
        <f t="shared" si="499"/>
        <v>116</v>
      </c>
      <c r="BP71" s="133">
        <f t="shared" si="500"/>
        <v>279</v>
      </c>
      <c r="BQ71" s="7">
        <f>N71*J71</f>
        <v>217</v>
      </c>
      <c r="BR71" s="7">
        <f>J71*126</f>
        <v>126</v>
      </c>
      <c r="BS71" s="8">
        <f t="shared" si="501"/>
        <v>91</v>
      </c>
      <c r="BT71" s="14">
        <f>AC71*BR71</f>
        <v>214200</v>
      </c>
      <c r="BU71" s="133">
        <f t="shared" si="502"/>
        <v>126</v>
      </c>
      <c r="BV71" s="133">
        <v>93</v>
      </c>
      <c r="BW71" s="133"/>
      <c r="BX71" s="133">
        <v>62</v>
      </c>
      <c r="BY71" s="133">
        <v>29</v>
      </c>
      <c r="BZ71" s="133">
        <v>62</v>
      </c>
      <c r="CA71" s="133">
        <v>62</v>
      </c>
      <c r="CB71" s="133">
        <f t="shared" si="503"/>
        <v>91</v>
      </c>
      <c r="CC71" s="133">
        <f t="shared" si="504"/>
        <v>217</v>
      </c>
      <c r="CD71" s="7">
        <f>M71*J71</f>
        <v>279</v>
      </c>
      <c r="CE71" s="7">
        <f>J71*143</f>
        <v>143</v>
      </c>
      <c r="CF71" s="8">
        <f t="shared" si="505"/>
        <v>136</v>
      </c>
      <c r="CG71" s="14">
        <f>CE71*AC71</f>
        <v>243100</v>
      </c>
      <c r="CH71" s="134">
        <f t="shared" si="506"/>
        <v>143</v>
      </c>
      <c r="CI71" s="134">
        <v>62</v>
      </c>
      <c r="CJ71" s="134"/>
      <c r="CK71" s="134">
        <v>62</v>
      </c>
      <c r="CL71" s="134"/>
      <c r="CM71" s="134">
        <v>124</v>
      </c>
      <c r="CN71" s="134">
        <v>105</v>
      </c>
      <c r="CO71" s="134">
        <f t="shared" si="507"/>
        <v>105</v>
      </c>
      <c r="CP71" s="134">
        <f t="shared" si="508"/>
        <v>248</v>
      </c>
      <c r="CQ71" s="7">
        <f>P71*J71</f>
        <v>248</v>
      </c>
      <c r="CR71" s="7">
        <f>J71*144</f>
        <v>144</v>
      </c>
      <c r="CS71" s="8">
        <f t="shared" si="509"/>
        <v>104</v>
      </c>
      <c r="CT71" s="14">
        <f>AC71*CR71</f>
        <v>244800</v>
      </c>
      <c r="CU71" s="134">
        <f t="shared" si="510"/>
        <v>144</v>
      </c>
      <c r="CV71" s="134">
        <v>93</v>
      </c>
      <c r="CW71" s="134"/>
      <c r="CX71" s="134">
        <v>93</v>
      </c>
      <c r="CY71" s="134">
        <v>42</v>
      </c>
      <c r="CZ71" s="134">
        <v>62</v>
      </c>
      <c r="DA71" s="134">
        <v>62</v>
      </c>
      <c r="DB71" s="134">
        <f t="shared" si="511"/>
        <v>104</v>
      </c>
      <c r="DC71" s="134">
        <f t="shared" si="512"/>
        <v>248</v>
      </c>
      <c r="DD71" s="7">
        <f>Q71*J71</f>
        <v>279</v>
      </c>
      <c r="DE71" s="7">
        <f>J71*163</f>
        <v>163</v>
      </c>
      <c r="DF71" s="8">
        <f t="shared" si="513"/>
        <v>116</v>
      </c>
      <c r="DG71" s="14">
        <f>DE71*AC71</f>
        <v>277100</v>
      </c>
      <c r="DH71" s="134">
        <f t="shared" si="514"/>
        <v>163</v>
      </c>
      <c r="DI71" s="134">
        <v>93</v>
      </c>
      <c r="DJ71" s="134"/>
      <c r="DK71" s="134">
        <v>124</v>
      </c>
      <c r="DL71" s="134">
        <v>54</v>
      </c>
      <c r="DM71" s="134">
        <v>62</v>
      </c>
      <c r="DN71" s="134">
        <v>62</v>
      </c>
      <c r="DO71" s="134">
        <f t="shared" si="515"/>
        <v>116</v>
      </c>
      <c r="DP71" s="134">
        <f t="shared" si="516"/>
        <v>279</v>
      </c>
      <c r="DQ71" s="7">
        <f>R71*J71</f>
        <v>125</v>
      </c>
      <c r="DR71" s="7">
        <f>J71*73</f>
        <v>73</v>
      </c>
      <c r="DS71" s="8">
        <f t="shared" si="517"/>
        <v>52</v>
      </c>
      <c r="DT71" s="14">
        <f>DR71*AC71</f>
        <v>124100</v>
      </c>
      <c r="DU71" s="134">
        <f t="shared" si="518"/>
        <v>73</v>
      </c>
      <c r="DV71" s="134">
        <v>0</v>
      </c>
      <c r="DW71" s="134"/>
      <c r="DX71" s="134">
        <v>62</v>
      </c>
      <c r="DY71" s="134"/>
      <c r="DZ71" s="134">
        <v>63</v>
      </c>
      <c r="EA71" s="134">
        <v>52</v>
      </c>
      <c r="EB71" s="134">
        <f>DW71+DY71+EA71</f>
        <v>52</v>
      </c>
      <c r="EC71" s="134">
        <f>DU71+DW71+DY71+EA71</f>
        <v>125</v>
      </c>
      <c r="ED71" s="7">
        <f>S71*J71</f>
        <v>62</v>
      </c>
      <c r="EE71" s="7">
        <f>J71*36</f>
        <v>36</v>
      </c>
      <c r="EF71" s="8">
        <f t="shared" si="519"/>
        <v>26</v>
      </c>
      <c r="EG71" s="14">
        <f>EE71*AC71</f>
        <v>61200</v>
      </c>
      <c r="EH71" s="133">
        <f t="shared" si="520"/>
        <v>36</v>
      </c>
      <c r="EI71" s="133">
        <v>0</v>
      </c>
      <c r="EJ71" s="133"/>
      <c r="EK71" s="133">
        <v>62</v>
      </c>
      <c r="EL71" s="133">
        <f t="shared" si="521"/>
        <v>26</v>
      </c>
      <c r="EM71" s="133">
        <v>0</v>
      </c>
      <c r="EN71" s="133"/>
      <c r="EO71" s="133">
        <f t="shared" si="522"/>
        <v>26</v>
      </c>
      <c r="EP71" s="133">
        <f t="shared" si="523"/>
        <v>62</v>
      </c>
      <c r="EQ71" s="7">
        <f>T71*J71</f>
        <v>279</v>
      </c>
      <c r="ER71" s="7">
        <f>J71*163</f>
        <v>163</v>
      </c>
      <c r="ES71" s="8">
        <f t="shared" si="524"/>
        <v>116</v>
      </c>
      <c r="ET71" s="14">
        <f>ER71*AC71</f>
        <v>277100</v>
      </c>
      <c r="EU71" s="134">
        <f t="shared" si="525"/>
        <v>163</v>
      </c>
      <c r="EV71" s="134">
        <v>93</v>
      </c>
      <c r="EW71" s="134"/>
      <c r="EX71" s="134">
        <v>93</v>
      </c>
      <c r="EY71" s="134">
        <v>23</v>
      </c>
      <c r="EZ71" s="134">
        <v>93</v>
      </c>
      <c r="FA71" s="134">
        <v>93</v>
      </c>
      <c r="FB71" s="134">
        <f t="shared" si="526"/>
        <v>116</v>
      </c>
      <c r="FC71" s="134">
        <f t="shared" si="527"/>
        <v>279</v>
      </c>
      <c r="FD71" s="7">
        <f>U71*J71</f>
        <v>186</v>
      </c>
      <c r="FE71" s="7">
        <f>J71*108</f>
        <v>108</v>
      </c>
      <c r="FF71" s="8">
        <f t="shared" si="528"/>
        <v>78</v>
      </c>
      <c r="FG71" s="14">
        <f>FE71*AC71</f>
        <v>183600</v>
      </c>
      <c r="FH71" s="133">
        <f t="shared" si="529"/>
        <v>108</v>
      </c>
      <c r="FI71" s="133">
        <v>62</v>
      </c>
      <c r="FJ71" s="133"/>
      <c r="FK71" s="133">
        <v>62</v>
      </c>
      <c r="FL71" s="133">
        <v>16</v>
      </c>
      <c r="FM71" s="133">
        <v>62</v>
      </c>
      <c r="FN71" s="133">
        <v>62</v>
      </c>
      <c r="FO71" s="133">
        <f t="shared" si="530"/>
        <v>78</v>
      </c>
      <c r="FP71" s="133">
        <f t="shared" si="531"/>
        <v>186</v>
      </c>
      <c r="FQ71" s="7">
        <f>V71*J71</f>
        <v>32</v>
      </c>
      <c r="FR71" s="7">
        <f>J71*18</f>
        <v>18</v>
      </c>
      <c r="FS71" s="8">
        <f t="shared" si="532"/>
        <v>14</v>
      </c>
      <c r="FT71" s="14">
        <f>FR71*AC71</f>
        <v>30600</v>
      </c>
      <c r="FU71" s="134">
        <f t="shared" si="533"/>
        <v>18</v>
      </c>
      <c r="FV71" s="134">
        <v>0</v>
      </c>
      <c r="FW71" s="134"/>
      <c r="FX71" s="134">
        <v>16</v>
      </c>
      <c r="FY71" s="134"/>
      <c r="FZ71" s="134">
        <v>16</v>
      </c>
      <c r="GA71" s="134">
        <v>14</v>
      </c>
      <c r="GB71" s="134">
        <f t="shared" si="534"/>
        <v>14</v>
      </c>
      <c r="GC71" s="134">
        <f t="shared" si="535"/>
        <v>32</v>
      </c>
      <c r="GD71" s="7">
        <f>W71*J71</f>
        <v>12</v>
      </c>
      <c r="GE71" s="7">
        <f>J71*7</f>
        <v>7</v>
      </c>
      <c r="GF71" s="8">
        <f t="shared" si="536"/>
        <v>5</v>
      </c>
      <c r="GG71" s="14">
        <f>GE71*AC71</f>
        <v>11900</v>
      </c>
      <c r="GH71" s="134">
        <f t="shared" si="537"/>
        <v>7</v>
      </c>
      <c r="GI71" s="134">
        <v>4</v>
      </c>
      <c r="GJ71" s="134"/>
      <c r="GK71" s="134">
        <v>4</v>
      </c>
      <c r="GL71" s="134">
        <v>1</v>
      </c>
      <c r="GM71" s="134">
        <v>4</v>
      </c>
      <c r="GN71" s="134">
        <v>4</v>
      </c>
      <c r="GO71" s="134">
        <f t="shared" si="538"/>
        <v>5</v>
      </c>
      <c r="GP71" s="134">
        <f t="shared" si="539"/>
        <v>12</v>
      </c>
      <c r="GQ71" s="7">
        <f>X71*J71</f>
        <v>186</v>
      </c>
      <c r="GR71" s="7">
        <f>J71*108</f>
        <v>108</v>
      </c>
      <c r="GS71" s="8">
        <f t="shared" si="540"/>
        <v>78</v>
      </c>
      <c r="GT71" s="14">
        <f>GR71*AC71</f>
        <v>183600</v>
      </c>
      <c r="GU71" s="133">
        <f t="shared" si="541"/>
        <v>108</v>
      </c>
      <c r="GV71" s="133">
        <v>62</v>
      </c>
      <c r="GW71" s="133"/>
      <c r="GX71" s="133">
        <v>62</v>
      </c>
      <c r="GY71" s="133">
        <v>16</v>
      </c>
      <c r="GZ71" s="133">
        <v>62</v>
      </c>
      <c r="HA71" s="133">
        <v>62</v>
      </c>
      <c r="HB71" s="133">
        <f t="shared" si="542"/>
        <v>78</v>
      </c>
      <c r="HC71" s="133">
        <f t="shared" si="543"/>
        <v>186</v>
      </c>
      <c r="HD71" s="7">
        <f>Y71*J71</f>
        <v>186</v>
      </c>
      <c r="HE71" s="7">
        <f>J71*108</f>
        <v>108</v>
      </c>
      <c r="HF71" s="8">
        <f t="shared" si="544"/>
        <v>78</v>
      </c>
      <c r="HG71" s="14">
        <f>HE71*AC71</f>
        <v>183600</v>
      </c>
      <c r="HH71" s="7">
        <f t="shared" si="545"/>
        <v>108</v>
      </c>
      <c r="HI71" s="7">
        <v>62</v>
      </c>
      <c r="HJ71" s="7"/>
      <c r="HK71" s="7">
        <v>62</v>
      </c>
      <c r="HL71" s="7">
        <v>16</v>
      </c>
      <c r="HM71" s="7">
        <v>62</v>
      </c>
      <c r="HN71" s="7">
        <v>62</v>
      </c>
      <c r="HO71" s="133">
        <f t="shared" si="546"/>
        <v>78</v>
      </c>
      <c r="HP71" s="133">
        <f t="shared" si="547"/>
        <v>186</v>
      </c>
    </row>
    <row r="72" spans="2:224" x14ac:dyDescent="0.25">
      <c r="B72" s="7">
        <f>'PLAN DE NECESIDADES'!B57</f>
        <v>33</v>
      </c>
      <c r="C72" s="7">
        <f>'PLAN DE NECESIDADES'!C57</f>
        <v>3899306</v>
      </c>
      <c r="D72" s="60" t="str">
        <f>'PLAN DE NECESIDADES'!D57</f>
        <v>CEPILLOS GRANDE Y PEQUEÑO PARA BRILLAR CALZADO: DEBE ESTAR CONFORMADO POR UN MANGO Y UNA BASE, SOBRE LA CUAL SE FIJAN LAS CERDAS, APTOS PARA LIMPIAR, LAVAR, BRILLAR O BARRER, ESPECIFICACIONES SEGÚN NORMA TÉCNICA NO. NTMD-0356 A2  ÍTEM  3.1.1.16</v>
      </c>
      <c r="E72" s="7" t="str">
        <f>'PLAN DE NECESIDADES'!E57</f>
        <v>UNIDAD</v>
      </c>
      <c r="F72" s="7">
        <f>'PLAN DE NECESIDADES'!F57</f>
        <v>0</v>
      </c>
      <c r="G72" s="7">
        <f>'PLAN DE NECESIDADES'!H57</f>
        <v>27113000</v>
      </c>
      <c r="H72" s="7">
        <f>'PLAN DE NECESIDADES'!I57</f>
        <v>1017232</v>
      </c>
      <c r="I72" s="7" t="str">
        <f>'PLAN DE NECESIDADES'!J57</f>
        <v>7920-80-0011395</v>
      </c>
      <c r="J72" s="7">
        <v>1</v>
      </c>
      <c r="K72" s="85">
        <v>69</v>
      </c>
      <c r="L72" s="85">
        <v>217</v>
      </c>
      <c r="M72" s="85">
        <v>279</v>
      </c>
      <c r="N72" s="85">
        <v>217</v>
      </c>
      <c r="O72" s="85">
        <v>248</v>
      </c>
      <c r="P72" s="85">
        <v>248</v>
      </c>
      <c r="Q72" s="85">
        <v>279</v>
      </c>
      <c r="R72" s="85">
        <v>125</v>
      </c>
      <c r="S72" s="85">
        <v>62</v>
      </c>
      <c r="T72" s="85">
        <v>279</v>
      </c>
      <c r="U72" s="85">
        <v>186</v>
      </c>
      <c r="V72" s="85">
        <v>32</v>
      </c>
      <c r="W72" s="85">
        <v>12</v>
      </c>
      <c r="X72" s="85">
        <v>186</v>
      </c>
      <c r="Y72" s="85">
        <v>186</v>
      </c>
      <c r="Z72" s="85">
        <f t="shared" si="490"/>
        <v>2656</v>
      </c>
      <c r="AA72" s="7">
        <f t="shared" si="490"/>
        <v>1525</v>
      </c>
      <c r="AB72" s="7">
        <f t="shared" si="490"/>
        <v>1131</v>
      </c>
      <c r="AC72" s="12">
        <v>8100</v>
      </c>
      <c r="AD72" s="7">
        <f>K72*J72</f>
        <v>69</v>
      </c>
      <c r="AE72" s="7">
        <f>J72*40</f>
        <v>40</v>
      </c>
      <c r="AF72" s="8">
        <f t="shared" si="491"/>
        <v>29</v>
      </c>
      <c r="AG72" s="14">
        <f>AC72*AE72</f>
        <v>324000</v>
      </c>
      <c r="AH72" s="133">
        <f t="shared" si="492"/>
        <v>40</v>
      </c>
      <c r="AI72" s="133">
        <v>31</v>
      </c>
      <c r="AJ72" s="133"/>
      <c r="AK72" s="133">
        <v>20</v>
      </c>
      <c r="AL72" s="133">
        <v>11</v>
      </c>
      <c r="AM72" s="133">
        <v>18</v>
      </c>
      <c r="AN72" s="133">
        <v>18</v>
      </c>
      <c r="AO72" s="133">
        <f t="shared" si="548"/>
        <v>29</v>
      </c>
      <c r="AP72" s="133">
        <f t="shared" si="549"/>
        <v>69</v>
      </c>
      <c r="AQ72" s="7">
        <f>L72*J72</f>
        <v>217</v>
      </c>
      <c r="AR72" s="7">
        <f>J72*126</f>
        <v>126</v>
      </c>
      <c r="AS72" s="8">
        <f t="shared" si="493"/>
        <v>91</v>
      </c>
      <c r="AT72" s="14">
        <f>AC72*AR72</f>
        <v>1020600</v>
      </c>
      <c r="AU72" s="133">
        <f t="shared" si="494"/>
        <v>126</v>
      </c>
      <c r="AV72" s="133">
        <v>93</v>
      </c>
      <c r="AW72" s="133"/>
      <c r="AX72" s="133">
        <v>62</v>
      </c>
      <c r="AY72" s="133">
        <v>29</v>
      </c>
      <c r="AZ72" s="133">
        <v>62</v>
      </c>
      <c r="BA72" s="133">
        <v>62</v>
      </c>
      <c r="BB72" s="133">
        <f t="shared" si="495"/>
        <v>91</v>
      </c>
      <c r="BC72" s="133">
        <f t="shared" si="496"/>
        <v>217</v>
      </c>
      <c r="BD72" s="7">
        <f>M72*J72</f>
        <v>279</v>
      </c>
      <c r="BE72" s="7">
        <f>J72*162</f>
        <v>162</v>
      </c>
      <c r="BF72" s="8">
        <f t="shared" si="497"/>
        <v>117</v>
      </c>
      <c r="BG72" s="14">
        <f>AC72*BE72</f>
        <v>1312200</v>
      </c>
      <c r="BH72" s="133">
        <f t="shared" si="498"/>
        <v>162</v>
      </c>
      <c r="BI72" s="133">
        <v>93</v>
      </c>
      <c r="BJ72" s="133"/>
      <c r="BK72" s="133">
        <v>62</v>
      </c>
      <c r="BL72" s="133"/>
      <c r="BM72" s="133">
        <v>124</v>
      </c>
      <c r="BN72" s="133">
        <v>117</v>
      </c>
      <c r="BO72" s="133">
        <f t="shared" si="499"/>
        <v>117</v>
      </c>
      <c r="BP72" s="133">
        <f t="shared" si="500"/>
        <v>279</v>
      </c>
      <c r="BQ72" s="7">
        <f>N72*J72</f>
        <v>217</v>
      </c>
      <c r="BR72" s="7">
        <f>J72*126</f>
        <v>126</v>
      </c>
      <c r="BS72" s="8">
        <f t="shared" si="501"/>
        <v>91</v>
      </c>
      <c r="BT72" s="14">
        <f>AC72*BR72</f>
        <v>1020600</v>
      </c>
      <c r="BU72" s="133">
        <f t="shared" si="502"/>
        <v>126</v>
      </c>
      <c r="BV72" s="133">
        <v>93</v>
      </c>
      <c r="BW72" s="133"/>
      <c r="BX72" s="133">
        <v>62</v>
      </c>
      <c r="BY72" s="133">
        <v>29</v>
      </c>
      <c r="BZ72" s="133">
        <v>62</v>
      </c>
      <c r="CA72" s="133">
        <v>62</v>
      </c>
      <c r="CB72" s="133">
        <f t="shared" si="503"/>
        <v>91</v>
      </c>
      <c r="CC72" s="133">
        <f t="shared" si="504"/>
        <v>217</v>
      </c>
      <c r="CD72" s="7">
        <f>M72*J72</f>
        <v>279</v>
      </c>
      <c r="CE72" s="7">
        <f>J72*145</f>
        <v>145</v>
      </c>
      <c r="CF72" s="8">
        <f t="shared" si="505"/>
        <v>134</v>
      </c>
      <c r="CG72" s="14">
        <f>CE72*AC72</f>
        <v>1174500</v>
      </c>
      <c r="CH72" s="134">
        <f t="shared" si="506"/>
        <v>145</v>
      </c>
      <c r="CI72" s="134">
        <v>62</v>
      </c>
      <c r="CJ72" s="134"/>
      <c r="CK72" s="134">
        <v>62</v>
      </c>
      <c r="CL72" s="134"/>
      <c r="CM72" s="134">
        <v>124</v>
      </c>
      <c r="CN72" s="134">
        <v>103</v>
      </c>
      <c r="CO72" s="134">
        <f t="shared" si="507"/>
        <v>103</v>
      </c>
      <c r="CP72" s="134">
        <f t="shared" si="508"/>
        <v>248</v>
      </c>
      <c r="CQ72" s="7">
        <f>P72*J72</f>
        <v>248</v>
      </c>
      <c r="CR72" s="7">
        <f>J72*144</f>
        <v>144</v>
      </c>
      <c r="CS72" s="8">
        <f t="shared" si="509"/>
        <v>104</v>
      </c>
      <c r="CT72" s="14">
        <f>AC72*CR72</f>
        <v>1166400</v>
      </c>
      <c r="CU72" s="134">
        <f t="shared" si="510"/>
        <v>144</v>
      </c>
      <c r="CV72" s="134">
        <v>93</v>
      </c>
      <c r="CW72" s="134"/>
      <c r="CX72" s="134">
        <v>93</v>
      </c>
      <c r="CY72" s="134">
        <v>42</v>
      </c>
      <c r="CZ72" s="134">
        <v>62</v>
      </c>
      <c r="DA72" s="134">
        <v>62</v>
      </c>
      <c r="DB72" s="134">
        <f t="shared" si="511"/>
        <v>104</v>
      </c>
      <c r="DC72" s="134">
        <f t="shared" si="512"/>
        <v>248</v>
      </c>
      <c r="DD72" s="7">
        <f>Q72*J72</f>
        <v>279</v>
      </c>
      <c r="DE72" s="7">
        <f>J72*162</f>
        <v>162</v>
      </c>
      <c r="DF72" s="8">
        <f t="shared" si="513"/>
        <v>117</v>
      </c>
      <c r="DG72" s="14">
        <f>DE72*AC72</f>
        <v>1312200</v>
      </c>
      <c r="DH72" s="134">
        <f t="shared" si="514"/>
        <v>162</v>
      </c>
      <c r="DI72" s="134">
        <v>93</v>
      </c>
      <c r="DJ72" s="134"/>
      <c r="DK72" s="134">
        <v>124</v>
      </c>
      <c r="DL72" s="134">
        <v>55</v>
      </c>
      <c r="DM72" s="134">
        <v>62</v>
      </c>
      <c r="DN72" s="134">
        <v>62</v>
      </c>
      <c r="DO72" s="134">
        <f t="shared" si="515"/>
        <v>117</v>
      </c>
      <c r="DP72" s="134">
        <f t="shared" si="516"/>
        <v>279</v>
      </c>
      <c r="DQ72" s="7">
        <f>R72*J72</f>
        <v>125</v>
      </c>
      <c r="DR72" s="7">
        <f>J72*72</f>
        <v>72</v>
      </c>
      <c r="DS72" s="8">
        <f t="shared" si="517"/>
        <v>53</v>
      </c>
      <c r="DT72" s="14">
        <f>DR72*AC72</f>
        <v>583200</v>
      </c>
      <c r="DU72" s="134">
        <f t="shared" si="518"/>
        <v>72</v>
      </c>
      <c r="DV72" s="134">
        <v>0</v>
      </c>
      <c r="DW72" s="134"/>
      <c r="DX72" s="134">
        <v>62</v>
      </c>
      <c r="DY72" s="134"/>
      <c r="DZ72" s="134">
        <v>63</v>
      </c>
      <c r="EA72" s="134">
        <v>53</v>
      </c>
      <c r="EB72" s="134">
        <f t="shared" ref="EB72:EB73" si="550">DW72+DY72+EA72</f>
        <v>53</v>
      </c>
      <c r="EC72" s="134">
        <f t="shared" ref="EC72:EC73" si="551">DU72+DW72+DY72+EA72</f>
        <v>125</v>
      </c>
      <c r="ED72" s="7">
        <f>S72*J72</f>
        <v>62</v>
      </c>
      <c r="EE72" s="7">
        <f>J72*36</f>
        <v>36</v>
      </c>
      <c r="EF72" s="8">
        <f t="shared" si="519"/>
        <v>26</v>
      </c>
      <c r="EG72" s="14">
        <f>EE72*AC72</f>
        <v>291600</v>
      </c>
      <c r="EH72" s="133">
        <f t="shared" si="520"/>
        <v>36</v>
      </c>
      <c r="EI72" s="133">
        <v>0</v>
      </c>
      <c r="EJ72" s="133"/>
      <c r="EK72" s="133">
        <v>62</v>
      </c>
      <c r="EL72" s="133">
        <f t="shared" si="521"/>
        <v>26</v>
      </c>
      <c r="EM72" s="133">
        <v>0</v>
      </c>
      <c r="EN72" s="133"/>
      <c r="EO72" s="133">
        <f t="shared" si="522"/>
        <v>26</v>
      </c>
      <c r="EP72" s="133">
        <f t="shared" si="523"/>
        <v>62</v>
      </c>
      <c r="EQ72" s="7">
        <f>T72*J72</f>
        <v>279</v>
      </c>
      <c r="ER72" s="7">
        <f>J72*162</f>
        <v>162</v>
      </c>
      <c r="ES72" s="8">
        <f t="shared" si="524"/>
        <v>117</v>
      </c>
      <c r="ET72" s="14">
        <f>ER72*AC72</f>
        <v>1312200</v>
      </c>
      <c r="EU72" s="134">
        <f t="shared" si="525"/>
        <v>162</v>
      </c>
      <c r="EV72" s="134">
        <v>93</v>
      </c>
      <c r="EW72" s="134"/>
      <c r="EX72" s="134">
        <v>93</v>
      </c>
      <c r="EY72" s="134">
        <v>24</v>
      </c>
      <c r="EZ72" s="134">
        <v>93</v>
      </c>
      <c r="FA72" s="134">
        <v>93</v>
      </c>
      <c r="FB72" s="134">
        <f t="shared" si="526"/>
        <v>117</v>
      </c>
      <c r="FC72" s="134">
        <f t="shared" si="527"/>
        <v>279</v>
      </c>
      <c r="FD72" s="7">
        <f>U72*J72</f>
        <v>186</v>
      </c>
      <c r="FE72" s="7">
        <f>J72*108</f>
        <v>108</v>
      </c>
      <c r="FF72" s="8">
        <f t="shared" si="528"/>
        <v>78</v>
      </c>
      <c r="FG72" s="14">
        <f>FE72*AC72</f>
        <v>874800</v>
      </c>
      <c r="FH72" s="133">
        <f t="shared" si="529"/>
        <v>108</v>
      </c>
      <c r="FI72" s="133">
        <v>62</v>
      </c>
      <c r="FJ72" s="133"/>
      <c r="FK72" s="133">
        <v>62</v>
      </c>
      <c r="FL72" s="133">
        <v>16</v>
      </c>
      <c r="FM72" s="133">
        <v>62</v>
      </c>
      <c r="FN72" s="133">
        <v>62</v>
      </c>
      <c r="FO72" s="133">
        <f t="shared" si="530"/>
        <v>78</v>
      </c>
      <c r="FP72" s="133">
        <f t="shared" si="531"/>
        <v>186</v>
      </c>
      <c r="FQ72" s="7">
        <f>V72*J72</f>
        <v>32</v>
      </c>
      <c r="FR72" s="7">
        <f>J72*19</f>
        <v>19</v>
      </c>
      <c r="FS72" s="8">
        <f t="shared" si="532"/>
        <v>13</v>
      </c>
      <c r="FT72" s="14">
        <f>FR72*AC72</f>
        <v>153900</v>
      </c>
      <c r="FU72" s="134">
        <f t="shared" si="533"/>
        <v>19</v>
      </c>
      <c r="FV72" s="134">
        <v>0</v>
      </c>
      <c r="FW72" s="134"/>
      <c r="FX72" s="134">
        <v>16</v>
      </c>
      <c r="FY72" s="134"/>
      <c r="FZ72" s="134">
        <v>16</v>
      </c>
      <c r="GA72" s="134">
        <v>13</v>
      </c>
      <c r="GB72" s="134">
        <f t="shared" si="534"/>
        <v>13</v>
      </c>
      <c r="GC72" s="134">
        <f t="shared" si="535"/>
        <v>32</v>
      </c>
      <c r="GD72" s="7">
        <f>W72*J72</f>
        <v>12</v>
      </c>
      <c r="GE72" s="7">
        <f>J72*7</f>
        <v>7</v>
      </c>
      <c r="GF72" s="8">
        <f t="shared" si="536"/>
        <v>5</v>
      </c>
      <c r="GG72" s="14">
        <f>GE72*AC72</f>
        <v>56700</v>
      </c>
      <c r="GH72" s="134">
        <f t="shared" si="537"/>
        <v>7</v>
      </c>
      <c r="GI72" s="134">
        <v>4</v>
      </c>
      <c r="GJ72" s="134"/>
      <c r="GK72" s="134">
        <v>4</v>
      </c>
      <c r="GL72" s="134">
        <v>1</v>
      </c>
      <c r="GM72" s="134">
        <v>4</v>
      </c>
      <c r="GN72" s="134">
        <v>4</v>
      </c>
      <c r="GO72" s="134">
        <f t="shared" si="538"/>
        <v>5</v>
      </c>
      <c r="GP72" s="134">
        <f t="shared" si="539"/>
        <v>12</v>
      </c>
      <c r="GQ72" s="7">
        <f>X72*J72</f>
        <v>186</v>
      </c>
      <c r="GR72" s="7">
        <f>J72*108</f>
        <v>108</v>
      </c>
      <c r="GS72" s="8">
        <f t="shared" si="540"/>
        <v>78</v>
      </c>
      <c r="GT72" s="14">
        <f>GR72*AC72</f>
        <v>874800</v>
      </c>
      <c r="GU72" s="133">
        <f t="shared" si="541"/>
        <v>108</v>
      </c>
      <c r="GV72" s="133">
        <v>62</v>
      </c>
      <c r="GW72" s="133"/>
      <c r="GX72" s="133">
        <v>62</v>
      </c>
      <c r="GY72" s="133">
        <v>16</v>
      </c>
      <c r="GZ72" s="133">
        <v>62</v>
      </c>
      <c r="HA72" s="133">
        <v>62</v>
      </c>
      <c r="HB72" s="133">
        <f t="shared" si="542"/>
        <v>78</v>
      </c>
      <c r="HC72" s="133">
        <f t="shared" si="543"/>
        <v>186</v>
      </c>
      <c r="HD72" s="7">
        <f>Y72*J72</f>
        <v>186</v>
      </c>
      <c r="HE72" s="7">
        <f>J72*108</f>
        <v>108</v>
      </c>
      <c r="HF72" s="8">
        <f t="shared" si="544"/>
        <v>78</v>
      </c>
      <c r="HG72" s="14">
        <f>HE72*AC72</f>
        <v>874800</v>
      </c>
      <c r="HH72" s="7">
        <f t="shared" si="545"/>
        <v>108</v>
      </c>
      <c r="HI72" s="7">
        <v>62</v>
      </c>
      <c r="HJ72" s="7"/>
      <c r="HK72" s="7">
        <v>62</v>
      </c>
      <c r="HL72" s="7">
        <v>16</v>
      </c>
      <c r="HM72" s="7">
        <v>62</v>
      </c>
      <c r="HN72" s="7">
        <v>62</v>
      </c>
      <c r="HO72" s="133">
        <f t="shared" si="546"/>
        <v>78</v>
      </c>
      <c r="HP72" s="133">
        <f t="shared" si="547"/>
        <v>186</v>
      </c>
    </row>
    <row r="73" spans="2:224" x14ac:dyDescent="0.25">
      <c r="B73" s="7">
        <f>'PLAN DE NECESIDADES'!B58</f>
        <v>34</v>
      </c>
      <c r="C73" s="7">
        <f>'PLAN DE NECESIDADES'!C58</f>
        <v>3891103</v>
      </c>
      <c r="D73" s="60" t="str">
        <f>'PLAN DE NECESIDADES'!D58</f>
        <v>LAPICERO:
(14 CM DE LONGITUD Y 7 MM DE DIÁMETRO), ESPECIFICACIONES SEGÚN NORMA TÉCNICA NO. NTMD-0356 A2  ÍTEM  3.1.1.19</v>
      </c>
      <c r="E73" s="7" t="str">
        <f>'PLAN DE NECESIDADES'!E58</f>
        <v>UNIDAD</v>
      </c>
      <c r="F73" s="7">
        <f>'PLAN DE NECESIDADES'!F58</f>
        <v>0</v>
      </c>
      <c r="G73" s="7">
        <f>'PLAN DE NECESIDADES'!H58</f>
        <v>44121701</v>
      </c>
      <c r="H73" s="7">
        <f>'PLAN DE NECESIDADES'!I58</f>
        <v>1749319</v>
      </c>
      <c r="I73" s="7" t="str">
        <f>'PLAN DE NECESIDADES'!J58</f>
        <v>SIN CREAR</v>
      </c>
      <c r="J73" s="7">
        <v>1</v>
      </c>
      <c r="K73" s="85">
        <v>69</v>
      </c>
      <c r="L73" s="85">
        <v>217</v>
      </c>
      <c r="M73" s="85">
        <v>279</v>
      </c>
      <c r="N73" s="85">
        <v>217</v>
      </c>
      <c r="O73" s="85">
        <v>248</v>
      </c>
      <c r="P73" s="85">
        <v>248</v>
      </c>
      <c r="Q73" s="85">
        <v>279</v>
      </c>
      <c r="R73" s="85">
        <v>125</v>
      </c>
      <c r="S73" s="85">
        <v>62</v>
      </c>
      <c r="T73" s="85">
        <v>279</v>
      </c>
      <c r="U73" s="85">
        <v>186</v>
      </c>
      <c r="V73" s="85">
        <v>32</v>
      </c>
      <c r="W73" s="85">
        <v>12</v>
      </c>
      <c r="X73" s="85">
        <v>186</v>
      </c>
      <c r="Y73" s="85">
        <v>186</v>
      </c>
      <c r="Z73" s="85">
        <f t="shared" si="490"/>
        <v>2656</v>
      </c>
      <c r="AA73" s="7">
        <f t="shared" si="490"/>
        <v>1525</v>
      </c>
      <c r="AB73" s="7">
        <f t="shared" si="490"/>
        <v>1131</v>
      </c>
      <c r="AC73" s="12">
        <v>1200</v>
      </c>
      <c r="AD73" s="7">
        <f>K73*J73</f>
        <v>69</v>
      </c>
      <c r="AE73" s="7">
        <f>J73*40</f>
        <v>40</v>
      </c>
      <c r="AF73" s="8">
        <f t="shared" si="491"/>
        <v>29</v>
      </c>
      <c r="AG73" s="14">
        <f>AC73*AE73</f>
        <v>48000</v>
      </c>
      <c r="AH73" s="133">
        <f t="shared" si="492"/>
        <v>40</v>
      </c>
      <c r="AI73" s="133">
        <v>31</v>
      </c>
      <c r="AJ73" s="133"/>
      <c r="AK73" s="133">
        <v>20</v>
      </c>
      <c r="AL73" s="133">
        <v>11</v>
      </c>
      <c r="AM73" s="133">
        <v>18</v>
      </c>
      <c r="AN73" s="133">
        <v>18</v>
      </c>
      <c r="AO73" s="133">
        <f t="shared" si="548"/>
        <v>29</v>
      </c>
      <c r="AP73" s="133">
        <f t="shared" si="549"/>
        <v>69</v>
      </c>
      <c r="AQ73" s="7">
        <f>L73*J73</f>
        <v>217</v>
      </c>
      <c r="AR73" s="7">
        <f>J73*126</f>
        <v>126</v>
      </c>
      <c r="AS73" s="8">
        <f t="shared" si="493"/>
        <v>91</v>
      </c>
      <c r="AT73" s="14">
        <f>AC73*AR73</f>
        <v>151200</v>
      </c>
      <c r="AU73" s="133">
        <f t="shared" si="494"/>
        <v>126</v>
      </c>
      <c r="AV73" s="133">
        <v>93</v>
      </c>
      <c r="AW73" s="133"/>
      <c r="AX73" s="133">
        <v>62</v>
      </c>
      <c r="AY73" s="133">
        <v>29</v>
      </c>
      <c r="AZ73" s="133">
        <v>62</v>
      </c>
      <c r="BA73" s="133">
        <v>62</v>
      </c>
      <c r="BB73" s="133">
        <f t="shared" si="495"/>
        <v>91</v>
      </c>
      <c r="BC73" s="133">
        <f t="shared" si="496"/>
        <v>217</v>
      </c>
      <c r="BD73" s="7">
        <f>M73*J73</f>
        <v>279</v>
      </c>
      <c r="BE73" s="7">
        <f>J73*162</f>
        <v>162</v>
      </c>
      <c r="BF73" s="8">
        <f t="shared" si="497"/>
        <v>117</v>
      </c>
      <c r="BG73" s="14">
        <f>AC73*BE73</f>
        <v>194400</v>
      </c>
      <c r="BH73" s="133">
        <f t="shared" si="498"/>
        <v>162</v>
      </c>
      <c r="BI73" s="133">
        <v>93</v>
      </c>
      <c r="BJ73" s="133"/>
      <c r="BK73" s="133">
        <v>62</v>
      </c>
      <c r="BL73" s="133"/>
      <c r="BM73" s="133">
        <v>124</v>
      </c>
      <c r="BN73" s="133">
        <v>117</v>
      </c>
      <c r="BO73" s="133">
        <f t="shared" si="499"/>
        <v>117</v>
      </c>
      <c r="BP73" s="133">
        <f t="shared" si="500"/>
        <v>279</v>
      </c>
      <c r="BQ73" s="7">
        <f>N73*J73</f>
        <v>217</v>
      </c>
      <c r="BR73" s="7">
        <f>J73*126</f>
        <v>126</v>
      </c>
      <c r="BS73" s="8">
        <f t="shared" si="501"/>
        <v>91</v>
      </c>
      <c r="BT73" s="14">
        <f>AC73*BR73</f>
        <v>151200</v>
      </c>
      <c r="BU73" s="133">
        <f t="shared" si="502"/>
        <v>126</v>
      </c>
      <c r="BV73" s="133">
        <v>93</v>
      </c>
      <c r="BW73" s="133"/>
      <c r="BX73" s="133">
        <v>62</v>
      </c>
      <c r="BY73" s="133">
        <v>29</v>
      </c>
      <c r="BZ73" s="133">
        <v>62</v>
      </c>
      <c r="CA73" s="133">
        <v>62</v>
      </c>
      <c r="CB73" s="133">
        <f t="shared" si="503"/>
        <v>91</v>
      </c>
      <c r="CC73" s="133">
        <f t="shared" si="504"/>
        <v>217</v>
      </c>
      <c r="CD73" s="7">
        <f>M73*J73</f>
        <v>279</v>
      </c>
      <c r="CE73" s="7">
        <f>J73*144</f>
        <v>144</v>
      </c>
      <c r="CF73" s="8">
        <f t="shared" si="505"/>
        <v>135</v>
      </c>
      <c r="CG73" s="14">
        <f>CE73*AC73</f>
        <v>172800</v>
      </c>
      <c r="CH73" s="134">
        <f t="shared" si="506"/>
        <v>144</v>
      </c>
      <c r="CI73" s="134">
        <v>62</v>
      </c>
      <c r="CJ73" s="134"/>
      <c r="CK73" s="134">
        <v>62</v>
      </c>
      <c r="CL73" s="134"/>
      <c r="CM73" s="134">
        <v>124</v>
      </c>
      <c r="CN73" s="134">
        <v>104</v>
      </c>
      <c r="CO73" s="134">
        <f t="shared" si="507"/>
        <v>104</v>
      </c>
      <c r="CP73" s="134">
        <f t="shared" si="508"/>
        <v>248</v>
      </c>
      <c r="CQ73" s="7">
        <f>P73*J73</f>
        <v>248</v>
      </c>
      <c r="CR73" s="7">
        <f>J73*145</f>
        <v>145</v>
      </c>
      <c r="CS73" s="8">
        <f t="shared" si="509"/>
        <v>103</v>
      </c>
      <c r="CT73" s="14">
        <f>AC73*CR73</f>
        <v>174000</v>
      </c>
      <c r="CU73" s="134">
        <f t="shared" si="510"/>
        <v>145</v>
      </c>
      <c r="CV73" s="134">
        <v>93</v>
      </c>
      <c r="CW73" s="134"/>
      <c r="CX73" s="134">
        <v>93</v>
      </c>
      <c r="CY73" s="134">
        <v>41</v>
      </c>
      <c r="CZ73" s="134">
        <v>62</v>
      </c>
      <c r="DA73" s="134">
        <v>62</v>
      </c>
      <c r="DB73" s="134">
        <f t="shared" si="511"/>
        <v>103</v>
      </c>
      <c r="DC73" s="134">
        <f t="shared" si="512"/>
        <v>248</v>
      </c>
      <c r="DD73" s="7">
        <f>Q73*J73</f>
        <v>279</v>
      </c>
      <c r="DE73" s="7">
        <f>J73*162</f>
        <v>162</v>
      </c>
      <c r="DF73" s="8">
        <f t="shared" si="513"/>
        <v>117</v>
      </c>
      <c r="DG73" s="14">
        <f>DE73*AC73</f>
        <v>194400</v>
      </c>
      <c r="DH73" s="134">
        <f t="shared" si="514"/>
        <v>162</v>
      </c>
      <c r="DI73" s="134">
        <v>93</v>
      </c>
      <c r="DJ73" s="134"/>
      <c r="DK73" s="134">
        <v>124</v>
      </c>
      <c r="DL73" s="134">
        <v>55</v>
      </c>
      <c r="DM73" s="134">
        <v>62</v>
      </c>
      <c r="DN73" s="134">
        <v>62</v>
      </c>
      <c r="DO73" s="134">
        <f t="shared" si="515"/>
        <v>117</v>
      </c>
      <c r="DP73" s="134">
        <f t="shared" si="516"/>
        <v>279</v>
      </c>
      <c r="DQ73" s="7">
        <f>R73*J73</f>
        <v>125</v>
      </c>
      <c r="DR73" s="7">
        <f>J73*74</f>
        <v>74</v>
      </c>
      <c r="DS73" s="8">
        <f t="shared" si="517"/>
        <v>51</v>
      </c>
      <c r="DT73" s="14">
        <f>DR73*AC73</f>
        <v>88800</v>
      </c>
      <c r="DU73" s="134">
        <f t="shared" si="518"/>
        <v>74</v>
      </c>
      <c r="DV73" s="134">
        <v>0</v>
      </c>
      <c r="DW73" s="134"/>
      <c r="DX73" s="134">
        <v>62</v>
      </c>
      <c r="DY73" s="134"/>
      <c r="DZ73" s="134">
        <v>63</v>
      </c>
      <c r="EA73" s="134">
        <v>51</v>
      </c>
      <c r="EB73" s="134">
        <f t="shared" si="550"/>
        <v>51</v>
      </c>
      <c r="EC73" s="134">
        <f t="shared" si="551"/>
        <v>125</v>
      </c>
      <c r="ED73" s="7">
        <f>S73*J73</f>
        <v>62</v>
      </c>
      <c r="EE73" s="7">
        <f>J73*36</f>
        <v>36</v>
      </c>
      <c r="EF73" s="8">
        <f t="shared" si="519"/>
        <v>26</v>
      </c>
      <c r="EG73" s="14">
        <f>EE73*AC73</f>
        <v>43200</v>
      </c>
      <c r="EH73" s="133">
        <f t="shared" si="520"/>
        <v>36</v>
      </c>
      <c r="EI73" s="133">
        <v>0</v>
      </c>
      <c r="EJ73" s="133"/>
      <c r="EK73" s="133">
        <v>62</v>
      </c>
      <c r="EL73" s="133">
        <f t="shared" si="521"/>
        <v>26</v>
      </c>
      <c r="EM73" s="133">
        <v>0</v>
      </c>
      <c r="EN73" s="133"/>
      <c r="EO73" s="133">
        <f t="shared" si="522"/>
        <v>26</v>
      </c>
      <c r="EP73" s="133">
        <f t="shared" si="523"/>
        <v>62</v>
      </c>
      <c r="EQ73" s="7">
        <f>T73*J73</f>
        <v>279</v>
      </c>
      <c r="ER73" s="7">
        <f>J73*162</f>
        <v>162</v>
      </c>
      <c r="ES73" s="8">
        <f t="shared" si="524"/>
        <v>117</v>
      </c>
      <c r="ET73" s="14">
        <f>ER73*AC73</f>
        <v>194400</v>
      </c>
      <c r="EU73" s="134">
        <f t="shared" si="525"/>
        <v>162</v>
      </c>
      <c r="EV73" s="134">
        <v>93</v>
      </c>
      <c r="EW73" s="134"/>
      <c r="EX73" s="134">
        <v>93</v>
      </c>
      <c r="EY73" s="134">
        <v>24</v>
      </c>
      <c r="EZ73" s="134">
        <v>93</v>
      </c>
      <c r="FA73" s="134">
        <v>93</v>
      </c>
      <c r="FB73" s="134">
        <f t="shared" si="526"/>
        <v>117</v>
      </c>
      <c r="FC73" s="134">
        <f t="shared" si="527"/>
        <v>279</v>
      </c>
      <c r="FD73" s="7">
        <f>U73*J73</f>
        <v>186</v>
      </c>
      <c r="FE73" s="7">
        <f>J73*108</f>
        <v>108</v>
      </c>
      <c r="FF73" s="8">
        <f t="shared" si="528"/>
        <v>78</v>
      </c>
      <c r="FG73" s="14">
        <f>FE73*AC73</f>
        <v>129600</v>
      </c>
      <c r="FH73" s="133">
        <f t="shared" si="529"/>
        <v>108</v>
      </c>
      <c r="FI73" s="133">
        <v>62</v>
      </c>
      <c r="FJ73" s="133"/>
      <c r="FK73" s="133">
        <v>62</v>
      </c>
      <c r="FL73" s="133">
        <v>16</v>
      </c>
      <c r="FM73" s="133">
        <v>62</v>
      </c>
      <c r="FN73" s="133">
        <v>62</v>
      </c>
      <c r="FO73" s="133">
        <f t="shared" si="530"/>
        <v>78</v>
      </c>
      <c r="FP73" s="133">
        <f t="shared" si="531"/>
        <v>186</v>
      </c>
      <c r="FQ73" s="7">
        <f>V73*J73</f>
        <v>32</v>
      </c>
      <c r="FR73" s="7">
        <f>J73*18</f>
        <v>18</v>
      </c>
      <c r="FS73" s="8">
        <f t="shared" si="532"/>
        <v>14</v>
      </c>
      <c r="FT73" s="14">
        <f>FR73*AC73</f>
        <v>21600</v>
      </c>
      <c r="FU73" s="134">
        <f t="shared" si="533"/>
        <v>18</v>
      </c>
      <c r="FV73" s="134">
        <v>0</v>
      </c>
      <c r="FW73" s="134"/>
      <c r="FX73" s="134">
        <v>16</v>
      </c>
      <c r="FY73" s="134"/>
      <c r="FZ73" s="134">
        <v>16</v>
      </c>
      <c r="GA73" s="134">
        <v>14</v>
      </c>
      <c r="GB73" s="134">
        <f t="shared" si="534"/>
        <v>14</v>
      </c>
      <c r="GC73" s="134">
        <f t="shared" si="535"/>
        <v>32</v>
      </c>
      <c r="GD73" s="7">
        <f>W73*J73</f>
        <v>12</v>
      </c>
      <c r="GE73" s="7">
        <f>J73*6</f>
        <v>6</v>
      </c>
      <c r="GF73" s="8">
        <f t="shared" si="536"/>
        <v>6</v>
      </c>
      <c r="GG73" s="14">
        <f>GE73*AC73</f>
        <v>7200</v>
      </c>
      <c r="GH73" s="134">
        <f t="shared" si="537"/>
        <v>6</v>
      </c>
      <c r="GI73" s="134">
        <v>4</v>
      </c>
      <c r="GJ73" s="134"/>
      <c r="GK73" s="134">
        <v>4</v>
      </c>
      <c r="GL73" s="134">
        <v>2</v>
      </c>
      <c r="GM73" s="134">
        <v>4</v>
      </c>
      <c r="GN73" s="134">
        <v>4</v>
      </c>
      <c r="GO73" s="134">
        <f t="shared" si="538"/>
        <v>6</v>
      </c>
      <c r="GP73" s="134">
        <f t="shared" si="539"/>
        <v>12</v>
      </c>
      <c r="GQ73" s="7">
        <f>X73*J73</f>
        <v>186</v>
      </c>
      <c r="GR73" s="7">
        <f>J73*108</f>
        <v>108</v>
      </c>
      <c r="GS73" s="8">
        <f t="shared" si="540"/>
        <v>78</v>
      </c>
      <c r="GT73" s="14">
        <f>GR73*AC73</f>
        <v>129600</v>
      </c>
      <c r="GU73" s="133">
        <f t="shared" si="541"/>
        <v>108</v>
      </c>
      <c r="GV73" s="133">
        <v>62</v>
      </c>
      <c r="GW73" s="133"/>
      <c r="GX73" s="133">
        <v>62</v>
      </c>
      <c r="GY73" s="133">
        <v>16</v>
      </c>
      <c r="GZ73" s="133">
        <v>62</v>
      </c>
      <c r="HA73" s="133">
        <v>62</v>
      </c>
      <c r="HB73" s="133">
        <f t="shared" si="542"/>
        <v>78</v>
      </c>
      <c r="HC73" s="133">
        <f t="shared" si="543"/>
        <v>186</v>
      </c>
      <c r="HD73" s="7">
        <f>Y73*J73</f>
        <v>186</v>
      </c>
      <c r="HE73" s="7">
        <f>J73*108</f>
        <v>108</v>
      </c>
      <c r="HF73" s="8">
        <f t="shared" si="544"/>
        <v>78</v>
      </c>
      <c r="HG73" s="14">
        <f>HE73*AC73</f>
        <v>129600</v>
      </c>
      <c r="HH73" s="7">
        <f t="shared" si="545"/>
        <v>108</v>
      </c>
      <c r="HI73" s="7">
        <v>62</v>
      </c>
      <c r="HJ73" s="7"/>
      <c r="HK73" s="7">
        <v>62</v>
      </c>
      <c r="HL73" s="7">
        <v>16</v>
      </c>
      <c r="HM73" s="7">
        <v>62</v>
      </c>
      <c r="HN73" s="7">
        <v>62</v>
      </c>
      <c r="HO73" s="133">
        <f t="shared" si="546"/>
        <v>78</v>
      </c>
      <c r="HP73" s="133">
        <f t="shared" si="547"/>
        <v>186</v>
      </c>
    </row>
    <row r="74" spans="2:224" hidden="1" x14ac:dyDescent="0.25">
      <c r="B74" s="226" t="s">
        <v>18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8">
        <f>SUM(AG70:AG73)</f>
        <v>561700</v>
      </c>
      <c r="AE74" s="228"/>
      <c r="AF74" s="228"/>
      <c r="AG74" s="228"/>
      <c r="AH74" s="113"/>
      <c r="AI74" s="113"/>
      <c r="AJ74" s="113"/>
      <c r="AK74" s="113"/>
      <c r="AL74" s="113"/>
      <c r="AM74" s="113"/>
      <c r="AN74" s="113"/>
      <c r="AO74" s="113"/>
      <c r="AP74" s="113"/>
      <c r="AQ74" s="228">
        <f t="shared" ref="AQ74" si="552">SUM(AT70:AT73)</f>
        <v>1767400</v>
      </c>
      <c r="AR74" s="228"/>
      <c r="AS74" s="228"/>
      <c r="AT74" s="228"/>
      <c r="AU74" s="113"/>
      <c r="AV74" s="113"/>
      <c r="AW74" s="113"/>
      <c r="AX74" s="113"/>
      <c r="AY74" s="113"/>
      <c r="AZ74" s="113"/>
      <c r="BA74" s="113"/>
      <c r="BB74" s="113"/>
      <c r="BC74" s="113"/>
      <c r="BD74" s="228">
        <f t="shared" ref="BD74" si="553">SUM(BG70:BG73)</f>
        <v>2272700</v>
      </c>
      <c r="BE74" s="228"/>
      <c r="BF74" s="228"/>
      <c r="BG74" s="228"/>
      <c r="BH74" s="142"/>
      <c r="BI74" s="113"/>
      <c r="BJ74" s="113"/>
      <c r="BK74" s="113"/>
      <c r="BL74" s="113"/>
      <c r="BM74" s="113"/>
      <c r="BN74" s="113"/>
      <c r="BO74" s="113"/>
      <c r="BP74" s="113"/>
      <c r="BQ74" s="228">
        <f t="shared" ref="BQ74" si="554">SUM(BT70:BT73)</f>
        <v>1767000</v>
      </c>
      <c r="BR74" s="228"/>
      <c r="BS74" s="228"/>
      <c r="BT74" s="228"/>
      <c r="BU74" s="142"/>
      <c r="BV74" s="142"/>
      <c r="BW74" s="142"/>
      <c r="BX74" s="142"/>
      <c r="BY74" s="142"/>
      <c r="BZ74" s="142"/>
      <c r="CA74" s="142"/>
      <c r="CB74" s="142"/>
      <c r="CC74" s="142"/>
      <c r="CD74" s="228">
        <f t="shared" ref="CD74" si="555">SUM(CG70:CG73)</f>
        <v>2019400</v>
      </c>
      <c r="CE74" s="228"/>
      <c r="CF74" s="228"/>
      <c r="CG74" s="228"/>
      <c r="CH74" s="153"/>
      <c r="CI74" s="113"/>
      <c r="CJ74" s="113"/>
      <c r="CK74" s="113"/>
      <c r="CL74" s="113"/>
      <c r="CM74" s="113"/>
      <c r="CN74" s="113"/>
      <c r="CO74" s="113"/>
      <c r="CP74" s="113"/>
      <c r="CQ74" s="228">
        <f t="shared" ref="CQ74" si="556">SUM(CT70:CT73)</f>
        <v>2020200</v>
      </c>
      <c r="CR74" s="228"/>
      <c r="CS74" s="228"/>
      <c r="CT74" s="228"/>
      <c r="CU74" s="153"/>
      <c r="CV74" s="153"/>
      <c r="CW74" s="153"/>
      <c r="CX74" s="153"/>
      <c r="CY74" s="153"/>
      <c r="CZ74" s="153"/>
      <c r="DA74" s="153"/>
      <c r="DB74" s="153"/>
      <c r="DC74" s="153"/>
      <c r="DD74" s="228">
        <f t="shared" ref="DD74" si="557">SUM(DG70:DG73)</f>
        <v>2272700</v>
      </c>
      <c r="DE74" s="228"/>
      <c r="DF74" s="228"/>
      <c r="DG74" s="228"/>
      <c r="DH74" s="153"/>
      <c r="DI74" s="153"/>
      <c r="DJ74" s="153"/>
      <c r="DK74" s="153"/>
      <c r="DL74" s="153"/>
      <c r="DM74" s="153"/>
      <c r="DN74" s="153"/>
      <c r="DO74" s="153"/>
      <c r="DP74" s="153"/>
      <c r="DQ74" s="228">
        <f t="shared" ref="DQ74" si="558">SUM(DT70:DT73)</f>
        <v>1018100</v>
      </c>
      <c r="DR74" s="228"/>
      <c r="DS74" s="228"/>
      <c r="DT74" s="228"/>
      <c r="DU74" s="153"/>
      <c r="DV74" s="153"/>
      <c r="DW74" s="153"/>
      <c r="DX74" s="153"/>
      <c r="DY74" s="153"/>
      <c r="DZ74" s="153"/>
      <c r="EA74" s="153"/>
      <c r="EB74" s="153"/>
      <c r="EC74" s="153"/>
      <c r="ED74" s="228">
        <f t="shared" ref="ED74" si="559">SUM(EG70:EG73)</f>
        <v>504000</v>
      </c>
      <c r="EE74" s="228"/>
      <c r="EF74" s="228"/>
      <c r="EG74" s="228"/>
      <c r="EH74" s="142"/>
      <c r="EI74" s="142"/>
      <c r="EJ74" s="142"/>
      <c r="EK74" s="142"/>
      <c r="EL74" s="142"/>
      <c r="EM74" s="142"/>
      <c r="EN74" s="142"/>
      <c r="EO74" s="142"/>
      <c r="EP74" s="142"/>
      <c r="EQ74" s="228">
        <f t="shared" ref="EQ74" si="560">SUM(ET70:ET73)</f>
        <v>2272700</v>
      </c>
      <c r="ER74" s="228"/>
      <c r="ES74" s="228"/>
      <c r="ET74" s="228"/>
      <c r="EU74" s="153"/>
      <c r="EV74" s="153"/>
      <c r="EW74" s="153"/>
      <c r="EX74" s="153"/>
      <c r="EY74" s="153"/>
      <c r="EZ74" s="153"/>
      <c r="FA74" s="153"/>
      <c r="FB74" s="153"/>
      <c r="FC74" s="153"/>
      <c r="FD74" s="228">
        <f t="shared" ref="FD74" si="561">SUM(FG70:FG73)</f>
        <v>1515000</v>
      </c>
      <c r="FE74" s="228"/>
      <c r="FF74" s="228"/>
      <c r="FG74" s="228"/>
      <c r="FH74" s="142"/>
      <c r="FI74" s="142"/>
      <c r="FJ74" s="142"/>
      <c r="FK74" s="142"/>
      <c r="FL74" s="142"/>
      <c r="FM74" s="142"/>
      <c r="FN74" s="142"/>
      <c r="FO74" s="142"/>
      <c r="FP74" s="142"/>
      <c r="FQ74" s="228">
        <f t="shared" ref="FQ74" si="562">SUM(FT70:FT73)</f>
        <v>260100</v>
      </c>
      <c r="FR74" s="228"/>
      <c r="FS74" s="228"/>
      <c r="FT74" s="228"/>
      <c r="FU74" s="153"/>
      <c r="FV74" s="153"/>
      <c r="FW74" s="153"/>
      <c r="FX74" s="153"/>
      <c r="FY74" s="153"/>
      <c r="FZ74" s="153"/>
      <c r="GA74" s="153"/>
      <c r="GB74" s="153"/>
      <c r="GC74" s="153"/>
      <c r="GD74" s="228">
        <f t="shared" ref="GD74" si="563">SUM(GG70:GG73)</f>
        <v>96800</v>
      </c>
      <c r="GE74" s="228"/>
      <c r="GF74" s="228"/>
      <c r="GG74" s="228"/>
      <c r="GH74" s="153"/>
      <c r="GI74" s="153"/>
      <c r="GJ74" s="134">
        <f t="shared" ref="GJ74:GJ76" si="564">GH74-GI74</f>
        <v>0</v>
      </c>
      <c r="GK74" s="153"/>
      <c r="GL74" s="153"/>
      <c r="GM74" s="153"/>
      <c r="GN74" s="153"/>
      <c r="GO74" s="153"/>
      <c r="GP74" s="153"/>
      <c r="GQ74" s="228">
        <f t="shared" ref="GQ74" si="565">SUM(GT70:GT73)</f>
        <v>1515000</v>
      </c>
      <c r="GR74" s="228"/>
      <c r="GS74" s="228"/>
      <c r="GT74" s="228"/>
      <c r="GU74" s="142"/>
      <c r="GV74" s="142"/>
      <c r="GW74" s="142"/>
      <c r="GX74" s="142"/>
      <c r="GY74" s="133">
        <v>0</v>
      </c>
      <c r="GZ74" s="142"/>
      <c r="HA74" s="142"/>
      <c r="HB74" s="142"/>
      <c r="HC74" s="142"/>
      <c r="HD74" s="228">
        <f t="shared" ref="HD74" si="566">SUM(HG70:HG73)</f>
        <v>1515000</v>
      </c>
      <c r="HE74" s="228"/>
      <c r="HF74" s="228"/>
      <c r="HG74" s="228"/>
    </row>
    <row r="75" spans="2:224" hidden="1" x14ac:dyDescent="0.25">
      <c r="B75" s="226" t="s">
        <v>19</v>
      </c>
      <c r="C75" s="226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26"/>
      <c r="Z75" s="226"/>
      <c r="AA75" s="226"/>
      <c r="AB75" s="226"/>
      <c r="AC75" s="226"/>
      <c r="AD75" s="228">
        <f>SUMIFS(PRESUPUESTO!$G$141:$G$155,PRESUPUESTO!$E$141:$E$155,'MÍNIMAS (2)'!AD68)</f>
        <v>562100.86400000006</v>
      </c>
      <c r="AE75" s="228"/>
      <c r="AF75" s="228"/>
      <c r="AG75" s="228"/>
      <c r="AH75" s="113"/>
      <c r="AI75" s="113"/>
      <c r="AJ75" s="113"/>
      <c r="AK75" s="113"/>
      <c r="AL75" s="113"/>
      <c r="AM75" s="113"/>
      <c r="AN75" s="113"/>
      <c r="AO75" s="113"/>
      <c r="AP75" s="113"/>
      <c r="AQ75" s="228">
        <f>SUMIFS(PRESUPUESTO!$G$141:$G$155,PRESUPUESTO!$E$141:$E$155,'MÍNIMAS (2)'!AQ68)</f>
        <v>1767766.4853333335</v>
      </c>
      <c r="AR75" s="228"/>
      <c r="AS75" s="228"/>
      <c r="AT75" s="228"/>
      <c r="AU75" s="113"/>
      <c r="AV75" s="113"/>
      <c r="AW75" s="113"/>
      <c r="AX75" s="113"/>
      <c r="AY75" s="113"/>
      <c r="AZ75" s="113"/>
      <c r="BA75" s="113"/>
      <c r="BB75" s="113"/>
      <c r="BC75" s="113"/>
      <c r="BD75" s="228">
        <f>SUMIFS(PRESUPUESTO!$G$141:$G$155,PRESUPUESTO!$E$141:$E$155,'MÍNIMAS (2)'!BD68)</f>
        <v>2272842.6239999998</v>
      </c>
      <c r="BE75" s="228"/>
      <c r="BF75" s="228"/>
      <c r="BG75" s="228"/>
      <c r="BH75" s="142"/>
      <c r="BI75" s="113"/>
      <c r="BJ75" s="113"/>
      <c r="BK75" s="113"/>
      <c r="BL75" s="113"/>
      <c r="BM75" s="113"/>
      <c r="BN75" s="113"/>
      <c r="BO75" s="113"/>
      <c r="BP75" s="113"/>
      <c r="BQ75" s="228">
        <f>SUMIFS(PRESUPUESTO!$G$141:$G$155,PRESUPUESTO!$E$141:$E$155,'MÍNIMAS (2)'!BQ68)</f>
        <v>1767766.4853333335</v>
      </c>
      <c r="BR75" s="228"/>
      <c r="BS75" s="228"/>
      <c r="BT75" s="228"/>
      <c r="BU75" s="142"/>
      <c r="BV75" s="142"/>
      <c r="BW75" s="142"/>
      <c r="BX75" s="142"/>
      <c r="BY75" s="142"/>
      <c r="BZ75" s="142"/>
      <c r="CA75" s="142"/>
      <c r="CB75" s="142"/>
      <c r="CC75" s="142"/>
      <c r="CD75" s="228">
        <f>SUMIFS(PRESUPUESTO!$G$141:$G$155,PRESUPUESTO!$E$141:$E$155,'MÍNIMAS (2)'!CD68)</f>
        <v>2020304.5546666668</v>
      </c>
      <c r="CE75" s="228"/>
      <c r="CF75" s="228"/>
      <c r="CG75" s="228"/>
      <c r="CH75" s="153"/>
      <c r="CI75" s="113"/>
      <c r="CJ75" s="113"/>
      <c r="CK75" s="113"/>
      <c r="CL75" s="113"/>
      <c r="CM75" s="113"/>
      <c r="CN75" s="113"/>
      <c r="CO75" s="113"/>
      <c r="CP75" s="113"/>
      <c r="CQ75" s="228">
        <f>SUMIFS(PRESUPUESTO!$G$141:$G$155,PRESUPUESTO!$E$141:$E$155,'MÍNIMAS (2)'!CQ68)</f>
        <v>2020304.5546666668</v>
      </c>
      <c r="CR75" s="228"/>
      <c r="CS75" s="228"/>
      <c r="CT75" s="228"/>
      <c r="CU75" s="153"/>
      <c r="CV75" s="153"/>
      <c r="CW75" s="153"/>
      <c r="CX75" s="153"/>
      <c r="CY75" s="153"/>
      <c r="CZ75" s="153"/>
      <c r="DA75" s="153"/>
      <c r="DB75" s="153"/>
      <c r="DC75" s="153"/>
      <c r="DD75" s="228">
        <f>SUMIFS(PRESUPUESTO!$G$141:$G$155,PRESUPUESTO!$E$141:$E$155,'MÍNIMAS (2)'!DD68)</f>
        <v>2272842.6239999998</v>
      </c>
      <c r="DE75" s="228"/>
      <c r="DF75" s="228"/>
      <c r="DG75" s="228"/>
      <c r="DH75" s="153"/>
      <c r="DI75" s="153"/>
      <c r="DJ75" s="153"/>
      <c r="DK75" s="153"/>
      <c r="DL75" s="153"/>
      <c r="DM75" s="153"/>
      <c r="DN75" s="153"/>
      <c r="DO75" s="153"/>
      <c r="DP75" s="153"/>
      <c r="DQ75" s="228">
        <f>SUMIFS(PRESUPUESTO!$G$141:$G$155,PRESUPUESTO!$E$141:$E$155,'MÍNIMAS (2)'!DQ68)</f>
        <v>1018298.6666666667</v>
      </c>
      <c r="DR75" s="228"/>
      <c r="DS75" s="228"/>
      <c r="DT75" s="228"/>
      <c r="DU75" s="153"/>
      <c r="DV75" s="153"/>
      <c r="DW75" s="153"/>
      <c r="DX75" s="153"/>
      <c r="DY75" s="153"/>
      <c r="DZ75" s="153"/>
      <c r="EA75" s="153"/>
      <c r="EB75" s="153"/>
      <c r="EC75" s="153"/>
      <c r="ED75" s="228">
        <f>SUMIFS(PRESUPUESTO!$G$141:$G$155,PRESUPUESTO!$E$141:$E$155,'MÍNIMAS (2)'!ED68)</f>
        <v>505076.13866666669</v>
      </c>
      <c r="EE75" s="228"/>
      <c r="EF75" s="228"/>
      <c r="EG75" s="228"/>
      <c r="EH75" s="142"/>
      <c r="EI75" s="142"/>
      <c r="EJ75" s="142"/>
      <c r="EK75" s="142"/>
      <c r="EL75" s="142"/>
      <c r="EM75" s="142"/>
      <c r="EN75" s="142"/>
      <c r="EO75" s="142"/>
      <c r="EP75" s="142"/>
      <c r="EQ75" s="228">
        <f>SUMIFS(PRESUPUESTO!$G$141:$G$155,PRESUPUESTO!$E$141:$E$155,'MÍNIMAS (2)'!EQ68)</f>
        <v>2272842.6239999998</v>
      </c>
      <c r="ER75" s="228"/>
      <c r="ES75" s="228"/>
      <c r="ET75" s="228"/>
      <c r="EU75" s="153"/>
      <c r="EV75" s="153"/>
      <c r="EW75" s="153"/>
      <c r="EX75" s="153"/>
      <c r="EY75" s="153"/>
      <c r="EZ75" s="153"/>
      <c r="FA75" s="153"/>
      <c r="FB75" s="153"/>
      <c r="FC75" s="153"/>
      <c r="FD75" s="228">
        <f>SUMIFS(PRESUPUESTO!$G$141:$G$155,PRESUPUESTO!$E$141:$E$155,'MÍNIMAS (2)'!FD68)</f>
        <v>1515228.416</v>
      </c>
      <c r="FE75" s="228"/>
      <c r="FF75" s="228"/>
      <c r="FG75" s="228"/>
      <c r="FH75" s="142"/>
      <c r="FI75" s="142"/>
      <c r="FJ75" s="142"/>
      <c r="FK75" s="142"/>
      <c r="FL75" s="142"/>
      <c r="FM75" s="142"/>
      <c r="FN75" s="142"/>
      <c r="FO75" s="142"/>
      <c r="FP75" s="142"/>
      <c r="FQ75" s="228">
        <f>SUMIFS(PRESUPUESTO!$G$141:$G$155,PRESUPUESTO!$E$141:$E$155,'MÍNIMAS (2)'!FQ68)</f>
        <v>260684.45866666667</v>
      </c>
      <c r="FR75" s="228"/>
      <c r="FS75" s="228"/>
      <c r="FT75" s="228"/>
      <c r="FU75" s="153"/>
      <c r="FV75" s="153"/>
      <c r="FW75" s="153"/>
      <c r="FX75" s="153"/>
      <c r="FY75" s="153"/>
      <c r="FZ75" s="153"/>
      <c r="GA75" s="153"/>
      <c r="GB75" s="153"/>
      <c r="GC75" s="153"/>
      <c r="GD75" s="228">
        <f>SUMIFS(PRESUPUESTO!$G$141:$G$155,PRESUPUESTO!$E$141:$E$155,'MÍNIMAS (2)'!GD68)</f>
        <v>97756.672000000006</v>
      </c>
      <c r="GE75" s="228"/>
      <c r="GF75" s="228"/>
      <c r="GG75" s="228"/>
      <c r="GH75" s="153"/>
      <c r="GI75" s="153"/>
      <c r="GJ75" s="134">
        <f t="shared" si="564"/>
        <v>0</v>
      </c>
      <c r="GK75" s="153"/>
      <c r="GL75" s="153"/>
      <c r="GM75" s="153"/>
      <c r="GN75" s="153"/>
      <c r="GO75" s="153"/>
      <c r="GP75" s="153"/>
      <c r="GQ75" s="228">
        <f>SUMIFS(PRESUPUESTO!$G$141:$G$155,PRESUPUESTO!$E$141:$E$155,'MÍNIMAS (2)'!GQ68)</f>
        <v>1515228.416</v>
      </c>
      <c r="GR75" s="228"/>
      <c r="GS75" s="228"/>
      <c r="GT75" s="228"/>
      <c r="GU75" s="142"/>
      <c r="GV75" s="142"/>
      <c r="GW75" s="142"/>
      <c r="GX75" s="142"/>
      <c r="GY75" s="133">
        <v>0</v>
      </c>
      <c r="GZ75" s="142"/>
      <c r="HA75" s="142"/>
      <c r="HB75" s="142"/>
      <c r="HC75" s="142"/>
      <c r="HD75" s="228">
        <f>SUMIFS(PRESUPUESTO!$G$141:$G$155,PRESUPUESTO!$E$141:$E$155,'MÍNIMAS (2)'!HD68)</f>
        <v>1515228.416</v>
      </c>
      <c r="HE75" s="228"/>
      <c r="HF75" s="228"/>
      <c r="HG75" s="228"/>
      <c r="HH75" s="167">
        <f>SUM(AD75:HG75)</f>
        <v>21384272</v>
      </c>
    </row>
    <row r="76" spans="2:224" hidden="1" x14ac:dyDescent="0.25">
      <c r="B76" s="226" t="s">
        <v>10</v>
      </c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4">
        <f>AD75-AD74</f>
        <v>400.8640000000596</v>
      </c>
      <c r="AE76" s="224"/>
      <c r="AF76" s="224"/>
      <c r="AG76" s="224"/>
      <c r="AH76" s="118"/>
      <c r="AI76" s="118"/>
      <c r="AJ76" s="118"/>
      <c r="AK76" s="118"/>
      <c r="AL76" s="118"/>
      <c r="AM76" s="118"/>
      <c r="AN76" s="118"/>
      <c r="AO76" s="118"/>
      <c r="AP76" s="118"/>
      <c r="AQ76" s="224">
        <f>AQ75-AQ74</f>
        <v>366.48533333349042</v>
      </c>
      <c r="AR76" s="224"/>
      <c r="AS76" s="224"/>
      <c r="AT76" s="224"/>
      <c r="AU76" s="118"/>
      <c r="AV76" s="118"/>
      <c r="AW76" s="118"/>
      <c r="AX76" s="118"/>
      <c r="AY76" s="118"/>
      <c r="AZ76" s="118"/>
      <c r="BA76" s="118"/>
      <c r="BB76" s="118"/>
      <c r="BC76" s="118"/>
      <c r="BD76" s="224">
        <f>BD75-BD74</f>
        <v>142.62399999983609</v>
      </c>
      <c r="BE76" s="224"/>
      <c r="BF76" s="224"/>
      <c r="BG76" s="224"/>
      <c r="BH76" s="140"/>
      <c r="BI76" s="118"/>
      <c r="BJ76" s="118"/>
      <c r="BK76" s="118"/>
      <c r="BL76" s="118"/>
      <c r="BM76" s="118"/>
      <c r="BN76" s="118"/>
      <c r="BO76" s="118"/>
      <c r="BP76" s="118"/>
      <c r="BQ76" s="224">
        <f t="shared" ref="BQ76" si="567">BQ75-BQ74</f>
        <v>766.48533333349042</v>
      </c>
      <c r="BR76" s="224"/>
      <c r="BS76" s="224"/>
      <c r="BT76" s="224"/>
      <c r="BU76" s="140"/>
      <c r="BV76" s="140"/>
      <c r="BW76" s="140"/>
      <c r="BX76" s="140"/>
      <c r="BY76" s="140"/>
      <c r="BZ76" s="140"/>
      <c r="CA76" s="140"/>
      <c r="CB76" s="140"/>
      <c r="CC76" s="140"/>
      <c r="CD76" s="224">
        <f>CD75-CD74</f>
        <v>904.55466666677967</v>
      </c>
      <c r="CE76" s="224"/>
      <c r="CF76" s="224"/>
      <c r="CG76" s="224"/>
      <c r="CH76" s="151"/>
      <c r="CI76" s="118"/>
      <c r="CJ76" s="118"/>
      <c r="CK76" s="118"/>
      <c r="CL76" s="118"/>
      <c r="CM76" s="118"/>
      <c r="CN76" s="118"/>
      <c r="CO76" s="118"/>
      <c r="CP76" s="118"/>
      <c r="CQ76" s="224">
        <f>CQ75-CQ74</f>
        <v>104.55466666677967</v>
      </c>
      <c r="CR76" s="224"/>
      <c r="CS76" s="224"/>
      <c r="CT76" s="224"/>
      <c r="CU76" s="151"/>
      <c r="CV76" s="151"/>
      <c r="CW76" s="151"/>
      <c r="CX76" s="151"/>
      <c r="CY76" s="151"/>
      <c r="CZ76" s="151"/>
      <c r="DA76" s="151"/>
      <c r="DB76" s="151"/>
      <c r="DC76" s="151"/>
      <c r="DD76" s="224">
        <f>DD75-DD74</f>
        <v>142.62399999983609</v>
      </c>
      <c r="DE76" s="224"/>
      <c r="DF76" s="224"/>
      <c r="DG76" s="224"/>
      <c r="DH76" s="151"/>
      <c r="DI76" s="151"/>
      <c r="DJ76" s="151"/>
      <c r="DK76" s="151"/>
      <c r="DL76" s="151"/>
      <c r="DM76" s="151"/>
      <c r="DN76" s="151"/>
      <c r="DO76" s="151"/>
      <c r="DP76" s="151"/>
      <c r="DQ76" s="224">
        <f t="shared" ref="DQ76" si="568">DQ75-DQ74</f>
        <v>198.66666666674428</v>
      </c>
      <c r="DR76" s="224"/>
      <c r="DS76" s="224"/>
      <c r="DT76" s="224"/>
      <c r="DU76" s="151"/>
      <c r="DV76" s="151"/>
      <c r="DW76" s="151"/>
      <c r="DX76" s="151"/>
      <c r="DY76" s="151"/>
      <c r="DZ76" s="151"/>
      <c r="EA76" s="151"/>
      <c r="EB76" s="151"/>
      <c r="EC76" s="151"/>
      <c r="ED76" s="224">
        <f>ED75-ED74</f>
        <v>1076.1386666666949</v>
      </c>
      <c r="EE76" s="224"/>
      <c r="EF76" s="224"/>
      <c r="EG76" s="224"/>
      <c r="EH76" s="140"/>
      <c r="EI76" s="140"/>
      <c r="EJ76" s="140"/>
      <c r="EK76" s="140"/>
      <c r="EL76" s="140"/>
      <c r="EM76" s="140"/>
      <c r="EN76" s="140"/>
      <c r="EO76" s="140"/>
      <c r="EP76" s="140"/>
      <c r="EQ76" s="224">
        <f>EQ75-EQ74</f>
        <v>142.62399999983609</v>
      </c>
      <c r="ER76" s="224"/>
      <c r="ES76" s="224"/>
      <c r="ET76" s="224"/>
      <c r="EU76" s="151"/>
      <c r="EV76" s="151"/>
      <c r="EW76" s="151"/>
      <c r="EX76" s="151"/>
      <c r="EY76" s="151"/>
      <c r="EZ76" s="151"/>
      <c r="FA76" s="151"/>
      <c r="FB76" s="151"/>
      <c r="FC76" s="151"/>
      <c r="FD76" s="224">
        <f>FD75-FD74</f>
        <v>228.41599999996834</v>
      </c>
      <c r="FE76" s="224"/>
      <c r="FF76" s="224"/>
      <c r="FG76" s="224"/>
      <c r="FH76" s="140"/>
      <c r="FI76" s="140"/>
      <c r="FJ76" s="140"/>
      <c r="FK76" s="140"/>
      <c r="FL76" s="140"/>
      <c r="FM76" s="140"/>
      <c r="FN76" s="140"/>
      <c r="FO76" s="140"/>
      <c r="FP76" s="140"/>
      <c r="FQ76" s="224">
        <f t="shared" ref="FQ76" si="569">FQ75-FQ74</f>
        <v>584.4586666666728</v>
      </c>
      <c r="FR76" s="224"/>
      <c r="FS76" s="224"/>
      <c r="FT76" s="224"/>
      <c r="FU76" s="151"/>
      <c r="FV76" s="151"/>
      <c r="FW76" s="151"/>
      <c r="FX76" s="151"/>
      <c r="FY76" s="151"/>
      <c r="FZ76" s="151"/>
      <c r="GA76" s="151"/>
      <c r="GB76" s="151"/>
      <c r="GC76" s="151"/>
      <c r="GD76" s="224">
        <f>GD75-GD74</f>
        <v>956.67200000000594</v>
      </c>
      <c r="GE76" s="224"/>
      <c r="GF76" s="224"/>
      <c r="GG76" s="224"/>
      <c r="GH76" s="151"/>
      <c r="GI76" s="151"/>
      <c r="GJ76" s="134">
        <f t="shared" si="564"/>
        <v>0</v>
      </c>
      <c r="GK76" s="151"/>
      <c r="GL76" s="151"/>
      <c r="GM76" s="151"/>
      <c r="GN76" s="151"/>
      <c r="GO76" s="151"/>
      <c r="GP76" s="151"/>
      <c r="GQ76" s="224">
        <f>GQ75-GQ74</f>
        <v>228.41599999996834</v>
      </c>
      <c r="GR76" s="224"/>
      <c r="GS76" s="224"/>
      <c r="GT76" s="224"/>
      <c r="GU76" s="140"/>
      <c r="GV76" s="140"/>
      <c r="GW76" s="140"/>
      <c r="GX76" s="140"/>
      <c r="GY76" s="133">
        <v>0</v>
      </c>
      <c r="GZ76" s="140"/>
      <c r="HA76" s="140"/>
      <c r="HB76" s="140"/>
      <c r="HC76" s="140"/>
      <c r="HD76" s="224">
        <f>HD75-HD74</f>
        <v>228.41599999996834</v>
      </c>
      <c r="HE76" s="224"/>
      <c r="HF76" s="224"/>
      <c r="HG76" s="224"/>
    </row>
    <row r="78" spans="2:224" x14ac:dyDescent="0.25">
      <c r="B78" s="199" t="s">
        <v>149</v>
      </c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0"/>
      <c r="O78" s="200"/>
      <c r="P78" s="200"/>
      <c r="Q78" s="200"/>
      <c r="R78" s="200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199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200"/>
      <c r="AR78" s="200"/>
      <c r="AS78" s="200"/>
      <c r="AT78" s="200"/>
      <c r="AU78" s="200"/>
      <c r="AV78" s="200"/>
      <c r="AW78" s="200"/>
      <c r="AX78" s="200"/>
      <c r="AY78" s="200"/>
      <c r="AZ78" s="200"/>
      <c r="BA78" s="200"/>
      <c r="BB78" s="200"/>
      <c r="BC78" s="200"/>
      <c r="BD78" s="200"/>
      <c r="BE78" s="200"/>
      <c r="BF78" s="200"/>
      <c r="BG78" s="200"/>
      <c r="BH78" s="200"/>
      <c r="BI78" s="200"/>
      <c r="BJ78" s="200"/>
      <c r="BK78" s="200"/>
      <c r="BL78" s="200"/>
      <c r="BM78" s="200"/>
      <c r="BN78" s="200"/>
      <c r="BO78" s="200"/>
      <c r="BP78" s="200"/>
      <c r="BQ78" s="200"/>
      <c r="BR78" s="200"/>
      <c r="BS78" s="200"/>
      <c r="BT78" s="200"/>
      <c r="BU78" s="200"/>
      <c r="BV78" s="200"/>
      <c r="BW78" s="200"/>
      <c r="BX78" s="200"/>
      <c r="BY78" s="200"/>
      <c r="BZ78" s="200"/>
      <c r="CA78" s="200"/>
      <c r="CB78" s="200"/>
      <c r="CC78" s="200"/>
      <c r="CD78" s="200"/>
      <c r="CE78" s="200"/>
      <c r="CF78" s="200"/>
      <c r="CG78" s="200"/>
      <c r="CH78" s="200"/>
      <c r="CI78" s="200"/>
      <c r="CJ78" s="200"/>
      <c r="CK78" s="200"/>
      <c r="CL78" s="200"/>
      <c r="CM78" s="200"/>
      <c r="CN78" s="200"/>
      <c r="CO78" s="200"/>
      <c r="CP78" s="200"/>
      <c r="CQ78" s="200"/>
      <c r="CR78" s="200"/>
      <c r="CS78" s="200"/>
      <c r="CT78" s="200"/>
      <c r="CU78" s="200"/>
      <c r="CV78" s="200"/>
      <c r="CW78" s="200"/>
      <c r="CX78" s="200"/>
      <c r="CY78" s="200"/>
      <c r="CZ78" s="200"/>
      <c r="DA78" s="200"/>
      <c r="DB78" s="200"/>
      <c r="DC78" s="200"/>
      <c r="DD78" s="200"/>
      <c r="DE78" s="200"/>
      <c r="DF78" s="200"/>
      <c r="DG78" s="200"/>
      <c r="DH78" s="200"/>
      <c r="DI78" s="200"/>
      <c r="DJ78" s="200"/>
      <c r="DK78" s="200"/>
      <c r="DL78" s="200"/>
      <c r="DM78" s="200"/>
      <c r="DN78" s="200"/>
      <c r="DO78" s="200"/>
      <c r="DP78" s="200"/>
      <c r="DQ78" s="200"/>
      <c r="DR78" s="200"/>
      <c r="DS78" s="200"/>
      <c r="DT78" s="200"/>
      <c r="DU78" s="200"/>
      <c r="DV78" s="200"/>
      <c r="DW78" s="200"/>
      <c r="DX78" s="200"/>
      <c r="DY78" s="200"/>
      <c r="DZ78" s="200"/>
      <c r="EA78" s="200"/>
      <c r="EB78" s="200"/>
      <c r="EC78" s="200"/>
      <c r="ED78" s="200"/>
      <c r="EE78" s="200"/>
      <c r="EF78" s="200"/>
      <c r="EG78" s="200"/>
      <c r="EH78" s="200"/>
      <c r="EI78" s="200"/>
      <c r="EJ78" s="200"/>
      <c r="EK78" s="200"/>
      <c r="EL78" s="200"/>
      <c r="EM78" s="200"/>
      <c r="EN78" s="200"/>
      <c r="EO78" s="200"/>
      <c r="EP78" s="200"/>
      <c r="EQ78" s="200"/>
      <c r="ER78" s="200"/>
      <c r="ES78" s="200"/>
      <c r="ET78" s="200"/>
      <c r="EU78" s="200"/>
      <c r="EV78" s="200"/>
      <c r="EW78" s="200"/>
      <c r="EX78" s="200"/>
      <c r="EY78" s="200"/>
      <c r="EZ78" s="200"/>
      <c r="FA78" s="200"/>
      <c r="FB78" s="200"/>
      <c r="FC78" s="200"/>
      <c r="FD78" s="200"/>
      <c r="FE78" s="200"/>
      <c r="FF78" s="200"/>
      <c r="FG78" s="200"/>
      <c r="FH78" s="200"/>
      <c r="FI78" s="200"/>
      <c r="FJ78" s="200"/>
      <c r="FK78" s="200"/>
      <c r="FL78" s="200"/>
      <c r="FM78" s="200"/>
      <c r="FN78" s="200"/>
      <c r="FO78" s="200"/>
      <c r="FP78" s="200"/>
      <c r="FQ78" s="200"/>
      <c r="FR78" s="200"/>
      <c r="FS78" s="200"/>
      <c r="FT78" s="200"/>
      <c r="FU78" s="200"/>
      <c r="FV78" s="200"/>
      <c r="FW78" s="200"/>
      <c r="FX78" s="200"/>
      <c r="FY78" s="200"/>
      <c r="FZ78" s="200"/>
      <c r="GA78" s="200"/>
      <c r="GB78" s="200"/>
      <c r="GC78" s="200"/>
      <c r="GD78" s="200"/>
      <c r="GE78" s="200"/>
      <c r="GF78" s="200"/>
      <c r="GG78" s="200"/>
      <c r="GH78" s="200"/>
      <c r="GI78" s="200"/>
      <c r="GJ78" s="200"/>
      <c r="GK78" s="200"/>
      <c r="GL78" s="200"/>
      <c r="GM78" s="200"/>
      <c r="GN78" s="200"/>
      <c r="GO78" s="200"/>
      <c r="GP78" s="200"/>
      <c r="GQ78" s="200"/>
      <c r="GR78" s="200"/>
      <c r="GS78" s="200"/>
      <c r="GT78" s="200"/>
      <c r="GU78" s="200"/>
      <c r="GV78" s="200"/>
      <c r="GW78" s="200"/>
      <c r="GX78" s="200"/>
      <c r="GY78" s="200"/>
      <c r="GZ78" s="200"/>
      <c r="HA78" s="200"/>
      <c r="HB78" s="200"/>
      <c r="HC78" s="200"/>
      <c r="HD78" s="200"/>
      <c r="HE78" s="200"/>
      <c r="HF78" s="200"/>
      <c r="HG78" s="200"/>
      <c r="HH78" s="200"/>
      <c r="HI78" s="200"/>
      <c r="HJ78" s="200"/>
      <c r="HK78" s="200"/>
      <c r="HL78" s="200"/>
      <c r="HM78" s="200"/>
      <c r="HN78" s="200"/>
      <c r="HO78" s="200"/>
      <c r="HP78" s="201"/>
    </row>
    <row r="79" spans="2:224" ht="28.5" customHeight="1" x14ac:dyDescent="0.25">
      <c r="B79" s="225" t="str">
        <f>'PLAN DE NECESIDADES'!B62</f>
        <v>ÍTEM</v>
      </c>
      <c r="C79" s="225" t="str">
        <f>'PLAN DE NECESIDADES'!C62</f>
        <v>CÓDIGO DANE</v>
      </c>
      <c r="D79" s="226" t="str">
        <f>'PLAN DE NECESIDADES'!D62</f>
        <v xml:space="preserve">DESCRIPCIÓN DEL BIEN Y/O SERVICIO </v>
      </c>
      <c r="E79" s="225" t="str">
        <f>'PLAN DE NECESIDADES'!E62</f>
        <v>UNIDAD MEDIDA</v>
      </c>
      <c r="F79" s="225" t="str">
        <f>'PLAN DE NECESIDADES'!F62</f>
        <v>EXISTENCIAS (STOCK - INVENTARIOS)</v>
      </c>
      <c r="G79" s="225" t="str">
        <f>'PLAN DE NECESIDADES'!H62</f>
        <v>UNSPSC (CCE)</v>
      </c>
      <c r="H79" s="225" t="str">
        <f>'PLAN DE NECESIDADES'!I62</f>
        <v xml:space="preserve">CÓDIGO MATERIAL SAP </v>
      </c>
      <c r="I79" s="225" t="str">
        <f>'PLAN DE NECESIDADES'!J62</f>
        <v xml:space="preserve">CÓDIGO OTAN - NOC </v>
      </c>
      <c r="J79" s="205" t="s">
        <v>155</v>
      </c>
      <c r="K79" s="203" t="str">
        <f>AD79</f>
        <v>BAABS3</v>
      </c>
      <c r="L79" s="203" t="str">
        <f>AQ79</f>
        <v>BAACA10</v>
      </c>
      <c r="M79" s="203" t="str">
        <f>BD79</f>
        <v>BAACA2</v>
      </c>
      <c r="N79" s="203" t="str">
        <f>BQ79</f>
        <v>BAADA1</v>
      </c>
      <c r="O79" s="203" t="str">
        <f>CD79</f>
        <v>BAEEV2</v>
      </c>
      <c r="P79" s="203" t="str">
        <f>CQ79</f>
        <v>BAEEV3</v>
      </c>
      <c r="Q79" s="203" t="str">
        <f>DD79</f>
        <v>BAMMA7</v>
      </c>
      <c r="R79" s="203" t="str">
        <f>DQ79</f>
        <v>BASPC10</v>
      </c>
      <c r="S79" s="203" t="str">
        <f>ED79</f>
        <v>BASAC</v>
      </c>
      <c r="T79" s="203" t="str">
        <f>EQ79</f>
        <v>BICAR</v>
      </c>
      <c r="U79" s="203" t="str">
        <f>FD79</f>
        <v>BIMOC70</v>
      </c>
      <c r="V79" s="203" t="str">
        <f>FQ79</f>
        <v>BITER10</v>
      </c>
      <c r="W79" s="203" t="str">
        <f>GD79</f>
        <v>DIM15</v>
      </c>
      <c r="X79" s="203" t="str">
        <f>GQ79</f>
        <v>GMMAT</v>
      </c>
      <c r="Y79" s="203" t="str">
        <f>HD79</f>
        <v>GMRON</v>
      </c>
      <c r="Z79" s="209" t="s">
        <v>13</v>
      </c>
      <c r="AA79" s="227" t="s">
        <v>14</v>
      </c>
      <c r="AB79" s="227" t="s">
        <v>12</v>
      </c>
      <c r="AC79" s="227" t="s">
        <v>4</v>
      </c>
      <c r="AD79" s="214" t="s">
        <v>29</v>
      </c>
      <c r="AE79" s="215"/>
      <c r="AF79" s="215"/>
      <c r="AG79" s="216"/>
      <c r="AH79" s="114"/>
      <c r="AI79" s="114"/>
      <c r="AJ79" s="114"/>
      <c r="AK79" s="114"/>
      <c r="AL79" s="114"/>
      <c r="AM79" s="114"/>
      <c r="AN79" s="114"/>
      <c r="AO79" s="114"/>
      <c r="AP79" s="114"/>
      <c r="AQ79" s="217" t="s">
        <v>30</v>
      </c>
      <c r="AR79" s="218"/>
      <c r="AS79" s="218"/>
      <c r="AT79" s="219"/>
      <c r="AU79" s="115"/>
      <c r="AV79" s="115"/>
      <c r="AW79" s="115"/>
      <c r="AX79" s="115"/>
      <c r="AY79" s="115"/>
      <c r="AZ79" s="115"/>
      <c r="BA79" s="115"/>
      <c r="BB79" s="115"/>
      <c r="BC79" s="115"/>
      <c r="BD79" s="196" t="s">
        <v>31</v>
      </c>
      <c r="BE79" s="197"/>
      <c r="BF79" s="197"/>
      <c r="BG79" s="198"/>
      <c r="BH79" s="137"/>
      <c r="BI79" s="116"/>
      <c r="BJ79" s="116"/>
      <c r="BK79" s="116"/>
      <c r="BL79" s="116"/>
      <c r="BM79" s="116"/>
      <c r="BN79" s="116"/>
      <c r="BO79" s="116"/>
      <c r="BP79" s="116"/>
      <c r="BQ79" s="211" t="s">
        <v>32</v>
      </c>
      <c r="BR79" s="212"/>
      <c r="BS79" s="212"/>
      <c r="BT79" s="213"/>
      <c r="BU79" s="144"/>
      <c r="BV79" s="144"/>
      <c r="BW79" s="144"/>
      <c r="BX79" s="144"/>
      <c r="BY79" s="144"/>
      <c r="BZ79" s="144"/>
      <c r="CA79" s="144"/>
      <c r="CB79" s="144"/>
      <c r="CC79" s="144"/>
      <c r="CD79" s="214" t="s">
        <v>27</v>
      </c>
      <c r="CE79" s="215"/>
      <c r="CF79" s="215"/>
      <c r="CG79" s="216"/>
      <c r="CH79" s="148"/>
      <c r="CI79" s="114"/>
      <c r="CJ79" s="114"/>
      <c r="CK79" s="114"/>
      <c r="CL79" s="114"/>
      <c r="CM79" s="114"/>
      <c r="CN79" s="114"/>
      <c r="CO79" s="114"/>
      <c r="CP79" s="114"/>
      <c r="CQ79" s="217" t="s">
        <v>33</v>
      </c>
      <c r="CR79" s="218"/>
      <c r="CS79" s="218"/>
      <c r="CT79" s="219"/>
      <c r="CU79" s="156"/>
      <c r="CV79" s="156"/>
      <c r="CW79" s="156"/>
      <c r="CX79" s="156"/>
      <c r="CY79" s="156"/>
      <c r="CZ79" s="156"/>
      <c r="DA79" s="156"/>
      <c r="DB79" s="156"/>
      <c r="DC79" s="156"/>
      <c r="DD79" s="196" t="s">
        <v>66</v>
      </c>
      <c r="DE79" s="197"/>
      <c r="DF79" s="197"/>
      <c r="DG79" s="198"/>
      <c r="DH79" s="158"/>
      <c r="DI79" s="158"/>
      <c r="DJ79" s="158"/>
      <c r="DK79" s="158"/>
      <c r="DL79" s="158"/>
      <c r="DM79" s="158"/>
      <c r="DN79" s="158"/>
      <c r="DO79" s="158"/>
      <c r="DP79" s="158"/>
      <c r="DQ79" s="211" t="s">
        <v>67</v>
      </c>
      <c r="DR79" s="212"/>
      <c r="DS79" s="212"/>
      <c r="DT79" s="213"/>
      <c r="DU79" s="160"/>
      <c r="DV79" s="160"/>
      <c r="DW79" s="160"/>
      <c r="DX79" s="160"/>
      <c r="DY79" s="160"/>
      <c r="DZ79" s="160"/>
      <c r="EA79" s="160"/>
      <c r="EB79" s="160"/>
      <c r="EC79" s="160"/>
      <c r="ED79" s="214" t="s">
        <v>34</v>
      </c>
      <c r="EE79" s="215"/>
      <c r="EF79" s="215"/>
      <c r="EG79" s="216"/>
      <c r="EH79" s="162"/>
      <c r="EI79" s="162"/>
      <c r="EJ79" s="162"/>
      <c r="EK79" s="162"/>
      <c r="EL79" s="162"/>
      <c r="EM79" s="162"/>
      <c r="EN79" s="162"/>
      <c r="EO79" s="162"/>
      <c r="EP79" s="162"/>
      <c r="EQ79" s="217" t="s">
        <v>35</v>
      </c>
      <c r="ER79" s="218"/>
      <c r="ES79" s="218"/>
      <c r="ET79" s="219"/>
      <c r="EU79" s="156"/>
      <c r="EV79" s="156"/>
      <c r="EW79" s="156"/>
      <c r="EX79" s="156"/>
      <c r="EY79" s="156"/>
      <c r="EZ79" s="156"/>
      <c r="FA79" s="156"/>
      <c r="FB79" s="156"/>
      <c r="FC79" s="156"/>
      <c r="FD79" s="196" t="s">
        <v>68</v>
      </c>
      <c r="FE79" s="197"/>
      <c r="FF79" s="197"/>
      <c r="FG79" s="198"/>
      <c r="FH79" s="137"/>
      <c r="FI79" s="137"/>
      <c r="FJ79" s="137"/>
      <c r="FK79" s="137"/>
      <c r="FL79" s="137"/>
      <c r="FM79" s="137"/>
      <c r="FN79" s="137"/>
      <c r="FO79" s="137"/>
      <c r="FP79" s="137"/>
      <c r="FQ79" s="211" t="s">
        <v>36</v>
      </c>
      <c r="FR79" s="212"/>
      <c r="FS79" s="212"/>
      <c r="FT79" s="213"/>
      <c r="FU79" s="160"/>
      <c r="FV79" s="160"/>
      <c r="FW79" s="160"/>
      <c r="FX79" s="160"/>
      <c r="FY79" s="160"/>
      <c r="FZ79" s="160"/>
      <c r="GA79" s="160"/>
      <c r="GB79" s="160"/>
      <c r="GC79" s="160"/>
      <c r="GD79" s="214" t="s">
        <v>37</v>
      </c>
      <c r="GE79" s="215"/>
      <c r="GF79" s="215"/>
      <c r="GG79" s="216"/>
      <c r="GH79" s="148"/>
      <c r="GI79" s="148"/>
      <c r="GJ79" s="148"/>
      <c r="GK79" s="148"/>
      <c r="GL79" s="148"/>
      <c r="GM79" s="148"/>
      <c r="GN79" s="148"/>
      <c r="GO79" s="148"/>
      <c r="GP79" s="148"/>
      <c r="GQ79" s="217" t="s">
        <v>69</v>
      </c>
      <c r="GR79" s="218"/>
      <c r="GS79" s="218"/>
      <c r="GT79" s="219"/>
      <c r="GU79" s="164"/>
      <c r="GV79" s="164"/>
      <c r="GW79" s="164"/>
      <c r="GX79" s="164"/>
      <c r="GY79" s="164"/>
      <c r="GZ79" s="164"/>
      <c r="HA79" s="164"/>
      <c r="HB79" s="164"/>
      <c r="HC79" s="164"/>
      <c r="HD79" s="196" t="s">
        <v>38</v>
      </c>
      <c r="HE79" s="197"/>
      <c r="HF79" s="197"/>
      <c r="HG79" s="197"/>
      <c r="HH79" s="196"/>
      <c r="HI79" s="197"/>
      <c r="HJ79" s="197"/>
      <c r="HK79" s="197"/>
      <c r="HL79" s="197"/>
      <c r="HM79" s="197"/>
      <c r="HN79" s="197"/>
      <c r="HO79" s="197"/>
      <c r="HP79" s="198"/>
    </row>
    <row r="80" spans="2:224" ht="28.5" customHeight="1" x14ac:dyDescent="0.25">
      <c r="B80" s="225"/>
      <c r="C80" s="225"/>
      <c r="D80" s="226"/>
      <c r="E80" s="225"/>
      <c r="F80" s="225"/>
      <c r="G80" s="225"/>
      <c r="H80" s="225"/>
      <c r="I80" s="225"/>
      <c r="J80" s="206"/>
      <c r="K80" s="204"/>
      <c r="L80" s="204"/>
      <c r="M80" s="204"/>
      <c r="N80" s="204"/>
      <c r="O80" s="204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10"/>
      <c r="AA80" s="227"/>
      <c r="AB80" s="227"/>
      <c r="AC80" s="227"/>
      <c r="AD80" s="20" t="s">
        <v>15</v>
      </c>
      <c r="AE80" s="21" t="s">
        <v>16</v>
      </c>
      <c r="AF80" s="22" t="s">
        <v>17</v>
      </c>
      <c r="AG80" s="20" t="s">
        <v>20</v>
      </c>
      <c r="AH80" s="20" t="s">
        <v>166</v>
      </c>
      <c r="AI80" s="20" t="s">
        <v>163</v>
      </c>
      <c r="AJ80" s="20" t="s">
        <v>162</v>
      </c>
      <c r="AK80" s="20" t="s">
        <v>164</v>
      </c>
      <c r="AL80" s="20" t="s">
        <v>162</v>
      </c>
      <c r="AM80" s="20" t="s">
        <v>165</v>
      </c>
      <c r="AN80" s="20" t="s">
        <v>162</v>
      </c>
      <c r="AO80" s="20" t="s">
        <v>21</v>
      </c>
      <c r="AP80" s="20"/>
      <c r="AQ80" s="3" t="s">
        <v>15</v>
      </c>
      <c r="AR80" s="4" t="s">
        <v>16</v>
      </c>
      <c r="AS80" s="5" t="s">
        <v>17</v>
      </c>
      <c r="AT80" s="3" t="s">
        <v>20</v>
      </c>
      <c r="AU80" s="3" t="s">
        <v>166</v>
      </c>
      <c r="AV80" s="3" t="s">
        <v>163</v>
      </c>
      <c r="AW80" s="3" t="s">
        <v>162</v>
      </c>
      <c r="AX80" s="3" t="s">
        <v>164</v>
      </c>
      <c r="AY80" s="3" t="s">
        <v>162</v>
      </c>
      <c r="AZ80" s="3" t="s">
        <v>165</v>
      </c>
      <c r="BA80" s="3" t="s">
        <v>162</v>
      </c>
      <c r="BB80" s="3" t="s">
        <v>21</v>
      </c>
      <c r="BC80" s="3"/>
      <c r="BD80" s="117" t="s">
        <v>15</v>
      </c>
      <c r="BE80" s="23" t="s">
        <v>16</v>
      </c>
      <c r="BF80" s="24" t="s">
        <v>17</v>
      </c>
      <c r="BG80" s="117" t="s">
        <v>20</v>
      </c>
      <c r="BH80" s="138" t="s">
        <v>166</v>
      </c>
      <c r="BI80" s="117" t="s">
        <v>163</v>
      </c>
      <c r="BJ80" s="117" t="s">
        <v>162</v>
      </c>
      <c r="BK80" s="117" t="s">
        <v>164</v>
      </c>
      <c r="BL80" s="117" t="s">
        <v>162</v>
      </c>
      <c r="BM80" s="117" t="s">
        <v>165</v>
      </c>
      <c r="BN80" s="117" t="s">
        <v>162</v>
      </c>
      <c r="BO80" s="117" t="s">
        <v>21</v>
      </c>
      <c r="BP80" s="117"/>
      <c r="BQ80" s="25" t="s">
        <v>15</v>
      </c>
      <c r="BR80" s="26" t="s">
        <v>16</v>
      </c>
      <c r="BS80" s="27" t="s">
        <v>17</v>
      </c>
      <c r="BT80" s="25" t="s">
        <v>20</v>
      </c>
      <c r="BU80" s="143" t="s">
        <v>166</v>
      </c>
      <c r="BV80" s="143" t="s">
        <v>163</v>
      </c>
      <c r="BW80" s="143" t="s">
        <v>162</v>
      </c>
      <c r="BX80" s="143" t="s">
        <v>164</v>
      </c>
      <c r="BY80" s="143" t="s">
        <v>162</v>
      </c>
      <c r="BZ80" s="143" t="s">
        <v>165</v>
      </c>
      <c r="CA80" s="143" t="s">
        <v>162</v>
      </c>
      <c r="CB80" s="143" t="s">
        <v>21</v>
      </c>
      <c r="CC80" s="143"/>
      <c r="CD80" s="20" t="s">
        <v>15</v>
      </c>
      <c r="CE80" s="21" t="s">
        <v>16</v>
      </c>
      <c r="CF80" s="22" t="s">
        <v>17</v>
      </c>
      <c r="CG80" s="20" t="s">
        <v>20</v>
      </c>
      <c r="CH80" s="149" t="s">
        <v>166</v>
      </c>
      <c r="CI80" s="145" t="s">
        <v>163</v>
      </c>
      <c r="CJ80" s="145" t="s">
        <v>162</v>
      </c>
      <c r="CK80" s="145" t="s">
        <v>164</v>
      </c>
      <c r="CL80" s="145" t="s">
        <v>162</v>
      </c>
      <c r="CM80" s="145" t="s">
        <v>165</v>
      </c>
      <c r="CN80" s="145" t="s">
        <v>162</v>
      </c>
      <c r="CO80" s="145" t="s">
        <v>21</v>
      </c>
      <c r="CP80" s="145"/>
      <c r="CQ80" s="3" t="s">
        <v>15</v>
      </c>
      <c r="CR80" s="4" t="s">
        <v>16</v>
      </c>
      <c r="CS80" s="5" t="s">
        <v>17</v>
      </c>
      <c r="CT80" s="3" t="s">
        <v>20</v>
      </c>
      <c r="CU80" s="157" t="s">
        <v>166</v>
      </c>
      <c r="CV80" s="157" t="s">
        <v>163</v>
      </c>
      <c r="CW80" s="157" t="s">
        <v>162</v>
      </c>
      <c r="CX80" s="157" t="s">
        <v>164</v>
      </c>
      <c r="CY80" s="157" t="s">
        <v>162</v>
      </c>
      <c r="CZ80" s="157" t="s">
        <v>165</v>
      </c>
      <c r="DA80" s="157" t="s">
        <v>162</v>
      </c>
      <c r="DB80" s="157" t="s">
        <v>21</v>
      </c>
      <c r="DC80" s="157"/>
      <c r="DD80" s="117" t="s">
        <v>15</v>
      </c>
      <c r="DE80" s="23" t="s">
        <v>16</v>
      </c>
      <c r="DF80" s="24" t="s">
        <v>17</v>
      </c>
      <c r="DG80" s="117" t="s">
        <v>20</v>
      </c>
      <c r="DH80" s="159" t="s">
        <v>166</v>
      </c>
      <c r="DI80" s="159" t="s">
        <v>163</v>
      </c>
      <c r="DJ80" s="159" t="s">
        <v>162</v>
      </c>
      <c r="DK80" s="159" t="s">
        <v>164</v>
      </c>
      <c r="DL80" s="159" t="s">
        <v>162</v>
      </c>
      <c r="DM80" s="159" t="s">
        <v>165</v>
      </c>
      <c r="DN80" s="159" t="s">
        <v>162</v>
      </c>
      <c r="DO80" s="159" t="s">
        <v>21</v>
      </c>
      <c r="DP80" s="159"/>
      <c r="DQ80" s="25" t="s">
        <v>15</v>
      </c>
      <c r="DR80" s="26" t="s">
        <v>16</v>
      </c>
      <c r="DS80" s="27" t="s">
        <v>17</v>
      </c>
      <c r="DT80" s="25" t="s">
        <v>20</v>
      </c>
      <c r="DU80" s="161" t="s">
        <v>166</v>
      </c>
      <c r="DV80" s="161" t="s">
        <v>163</v>
      </c>
      <c r="DW80" s="161" t="s">
        <v>162</v>
      </c>
      <c r="DX80" s="161" t="s">
        <v>164</v>
      </c>
      <c r="DY80" s="161" t="s">
        <v>162</v>
      </c>
      <c r="DZ80" s="161" t="s">
        <v>165</v>
      </c>
      <c r="EA80" s="161" t="s">
        <v>162</v>
      </c>
      <c r="EB80" s="161" t="s">
        <v>21</v>
      </c>
      <c r="EC80" s="161"/>
      <c r="ED80" s="20" t="s">
        <v>15</v>
      </c>
      <c r="EE80" s="21" t="s">
        <v>16</v>
      </c>
      <c r="EF80" s="22" t="s">
        <v>17</v>
      </c>
      <c r="EG80" s="20" t="s">
        <v>20</v>
      </c>
      <c r="EH80" s="145" t="s">
        <v>166</v>
      </c>
      <c r="EI80" s="145" t="s">
        <v>163</v>
      </c>
      <c r="EJ80" s="145" t="s">
        <v>162</v>
      </c>
      <c r="EK80" s="145" t="s">
        <v>164</v>
      </c>
      <c r="EL80" s="145" t="s">
        <v>162</v>
      </c>
      <c r="EM80" s="145" t="s">
        <v>165</v>
      </c>
      <c r="EN80" s="145" t="s">
        <v>162</v>
      </c>
      <c r="EO80" s="145" t="s">
        <v>21</v>
      </c>
      <c r="EP80" s="145"/>
      <c r="EQ80" s="3" t="s">
        <v>15</v>
      </c>
      <c r="ER80" s="4" t="s">
        <v>16</v>
      </c>
      <c r="ES80" s="5" t="s">
        <v>17</v>
      </c>
      <c r="ET80" s="3" t="s">
        <v>20</v>
      </c>
      <c r="EU80" s="157" t="s">
        <v>166</v>
      </c>
      <c r="EV80" s="157" t="s">
        <v>163</v>
      </c>
      <c r="EW80" s="157" t="s">
        <v>162</v>
      </c>
      <c r="EX80" s="157" t="s">
        <v>164</v>
      </c>
      <c r="EY80" s="157" t="s">
        <v>162</v>
      </c>
      <c r="EZ80" s="157" t="s">
        <v>165</v>
      </c>
      <c r="FA80" s="157" t="s">
        <v>162</v>
      </c>
      <c r="FB80" s="157" t="s">
        <v>21</v>
      </c>
      <c r="FC80" s="157"/>
      <c r="FD80" s="117" t="s">
        <v>15</v>
      </c>
      <c r="FE80" s="23" t="s">
        <v>16</v>
      </c>
      <c r="FF80" s="24" t="s">
        <v>17</v>
      </c>
      <c r="FG80" s="117" t="s">
        <v>20</v>
      </c>
      <c r="FH80" s="138" t="s">
        <v>166</v>
      </c>
      <c r="FI80" s="138" t="s">
        <v>163</v>
      </c>
      <c r="FJ80" s="138" t="s">
        <v>162</v>
      </c>
      <c r="FK80" s="138" t="s">
        <v>164</v>
      </c>
      <c r="FL80" s="138" t="s">
        <v>162</v>
      </c>
      <c r="FM80" s="138" t="s">
        <v>165</v>
      </c>
      <c r="FN80" s="138" t="s">
        <v>162</v>
      </c>
      <c r="FO80" s="138" t="s">
        <v>21</v>
      </c>
      <c r="FP80" s="138"/>
      <c r="FQ80" s="25" t="s">
        <v>15</v>
      </c>
      <c r="FR80" s="26" t="s">
        <v>16</v>
      </c>
      <c r="FS80" s="27" t="s">
        <v>17</v>
      </c>
      <c r="FT80" s="25" t="s">
        <v>20</v>
      </c>
      <c r="FU80" s="161" t="s">
        <v>166</v>
      </c>
      <c r="FV80" s="161" t="s">
        <v>163</v>
      </c>
      <c r="FW80" s="161" t="s">
        <v>162</v>
      </c>
      <c r="FX80" s="161" t="s">
        <v>164</v>
      </c>
      <c r="FY80" s="161" t="s">
        <v>162</v>
      </c>
      <c r="FZ80" s="161" t="s">
        <v>165</v>
      </c>
      <c r="GA80" s="161" t="s">
        <v>162</v>
      </c>
      <c r="GB80" s="161" t="s">
        <v>21</v>
      </c>
      <c r="GC80" s="161"/>
      <c r="GD80" s="20" t="s">
        <v>15</v>
      </c>
      <c r="GE80" s="21" t="s">
        <v>16</v>
      </c>
      <c r="GF80" s="22" t="s">
        <v>17</v>
      </c>
      <c r="GG80" s="20" t="s">
        <v>20</v>
      </c>
      <c r="GH80" s="149" t="s">
        <v>166</v>
      </c>
      <c r="GI80" s="149" t="s">
        <v>163</v>
      </c>
      <c r="GJ80" s="149" t="s">
        <v>162</v>
      </c>
      <c r="GK80" s="149" t="s">
        <v>164</v>
      </c>
      <c r="GL80" s="149" t="s">
        <v>162</v>
      </c>
      <c r="GM80" s="149" t="s">
        <v>165</v>
      </c>
      <c r="GN80" s="149" t="s">
        <v>162</v>
      </c>
      <c r="GO80" s="149" t="s">
        <v>21</v>
      </c>
      <c r="GP80" s="149"/>
      <c r="GQ80" s="3" t="s">
        <v>15</v>
      </c>
      <c r="GR80" s="4" t="s">
        <v>16</v>
      </c>
      <c r="GS80" s="5" t="s">
        <v>17</v>
      </c>
      <c r="GT80" s="3" t="s">
        <v>20</v>
      </c>
      <c r="GU80" s="165" t="s">
        <v>166</v>
      </c>
      <c r="GV80" s="165" t="s">
        <v>163</v>
      </c>
      <c r="GW80" s="165" t="s">
        <v>162</v>
      </c>
      <c r="GX80" s="165" t="s">
        <v>164</v>
      </c>
      <c r="GY80" s="165" t="s">
        <v>162</v>
      </c>
      <c r="GZ80" s="165" t="s">
        <v>165</v>
      </c>
      <c r="HA80" s="165" t="s">
        <v>162</v>
      </c>
      <c r="HB80" s="165" t="s">
        <v>21</v>
      </c>
      <c r="HC80" s="165"/>
      <c r="HD80" s="117" t="s">
        <v>15</v>
      </c>
      <c r="HE80" s="23" t="s">
        <v>16</v>
      </c>
      <c r="HF80" s="24" t="s">
        <v>17</v>
      </c>
      <c r="HG80" s="154" t="s">
        <v>20</v>
      </c>
      <c r="HH80" s="132" t="s">
        <v>166</v>
      </c>
      <c r="HI80" s="132" t="s">
        <v>163</v>
      </c>
      <c r="HJ80" s="132" t="s">
        <v>162</v>
      </c>
      <c r="HK80" s="132" t="s">
        <v>164</v>
      </c>
      <c r="HL80" s="132" t="s">
        <v>162</v>
      </c>
      <c r="HM80" s="132" t="s">
        <v>165</v>
      </c>
      <c r="HN80" s="132" t="s">
        <v>162</v>
      </c>
      <c r="HO80" s="132" t="s">
        <v>21</v>
      </c>
      <c r="HP80" s="132"/>
    </row>
    <row r="81" spans="2:224" x14ac:dyDescent="0.25">
      <c r="B81" s="7">
        <f>'PLAN DE NECESIDADES'!B63</f>
        <v>35</v>
      </c>
      <c r="C81" s="7">
        <f>'PLAN DE NECESIDADES'!C63</f>
        <v>4291403</v>
      </c>
      <c r="D81" s="60" t="str">
        <f>'PLAN DE NECESIDADES'!D63</f>
        <v>MAQUINA  PARA AFEITAR: DESECHABLE, MÍNIMO TRIPLE HOJA, DEBE TENER BANDA LUBRICANTE ESPECIFICACIONES SEGÚN NORMA TÉCNICA NO. NTMD-0356 A2 ÍTEM  3.1.1.4</v>
      </c>
      <c r="E81" s="7" t="str">
        <f>'PLAN DE NECESIDADES'!E63</f>
        <v>UNIDAD</v>
      </c>
      <c r="F81" s="7">
        <f>'PLAN DE NECESIDADES'!F63</f>
        <v>0</v>
      </c>
      <c r="G81" s="7">
        <f>'PLAN DE NECESIDADES'!H63</f>
        <v>53131603</v>
      </c>
      <c r="H81" s="7">
        <f>'PLAN DE NECESIDADES'!I63</f>
        <v>1266905</v>
      </c>
      <c r="I81" s="7" t="str">
        <f>'PLAN DE NECESIDADES'!J63</f>
        <v>SIN CREAR</v>
      </c>
      <c r="J81" s="7">
        <v>3</v>
      </c>
      <c r="K81" s="85">
        <v>69</v>
      </c>
      <c r="L81" s="85">
        <v>217</v>
      </c>
      <c r="M81" s="85">
        <v>279</v>
      </c>
      <c r="N81" s="85">
        <v>217</v>
      </c>
      <c r="O81" s="85">
        <v>248</v>
      </c>
      <c r="P81" s="85">
        <v>248</v>
      </c>
      <c r="Q81" s="85">
        <v>279</v>
      </c>
      <c r="R81" s="85">
        <v>125</v>
      </c>
      <c r="S81" s="85">
        <v>62</v>
      </c>
      <c r="T81" s="85">
        <v>279</v>
      </c>
      <c r="U81" s="85">
        <v>186</v>
      </c>
      <c r="V81" s="85">
        <v>32</v>
      </c>
      <c r="W81" s="85">
        <v>12</v>
      </c>
      <c r="X81" s="85">
        <v>186</v>
      </c>
      <c r="Y81" s="85">
        <v>186</v>
      </c>
      <c r="Z81" s="85">
        <f t="shared" ref="Z81:AB84" si="570">SUM(AD81,AQ81,BD81,BQ81,CD81,CQ81,DD81,DQ81,ED81,EQ81,FD81,FQ81,GD81,GQ81,HD81)</f>
        <v>7968</v>
      </c>
      <c r="AA81" s="7">
        <f t="shared" si="570"/>
        <v>4908</v>
      </c>
      <c r="AB81" s="7">
        <f t="shared" si="570"/>
        <v>3060</v>
      </c>
      <c r="AC81" s="12">
        <v>3500</v>
      </c>
      <c r="AD81" s="7">
        <f>K81*J81</f>
        <v>207</v>
      </c>
      <c r="AE81" s="7">
        <f>J81*44</f>
        <v>132</v>
      </c>
      <c r="AF81" s="8">
        <f t="shared" ref="AF81:AF84" si="571">AD81-AE81</f>
        <v>75</v>
      </c>
      <c r="AG81" s="14">
        <f>AC81*AE81</f>
        <v>462000</v>
      </c>
      <c r="AH81" s="133">
        <f t="shared" ref="AH81:AH84" si="572">AE81/J81</f>
        <v>44</v>
      </c>
      <c r="AI81" s="133">
        <v>31</v>
      </c>
      <c r="AJ81" s="133"/>
      <c r="AK81" s="133">
        <v>20</v>
      </c>
      <c r="AL81" s="133">
        <v>7</v>
      </c>
      <c r="AM81" s="133">
        <v>18</v>
      </c>
      <c r="AN81" s="133">
        <v>18</v>
      </c>
      <c r="AO81" s="133">
        <f>AL81+AN81</f>
        <v>25</v>
      </c>
      <c r="AP81" s="133">
        <f t="shared" ref="AP81:AP84" si="573">AH81+AJ81+AL81+AN81</f>
        <v>69</v>
      </c>
      <c r="AQ81" s="7">
        <f>L81*J81</f>
        <v>651</v>
      </c>
      <c r="AR81" s="7">
        <f>J81*135</f>
        <v>405</v>
      </c>
      <c r="AS81" s="8">
        <f t="shared" ref="AS81:AS84" si="574">AQ81-AR81</f>
        <v>246</v>
      </c>
      <c r="AT81" s="14">
        <f>AC81*AR81</f>
        <v>1417500</v>
      </c>
      <c r="AU81" s="133">
        <f t="shared" ref="AU81:AU84" si="575">AR81/J81</f>
        <v>135</v>
      </c>
      <c r="AV81" s="133">
        <v>93</v>
      </c>
      <c r="AW81" s="133"/>
      <c r="AX81" s="133">
        <v>62</v>
      </c>
      <c r="AY81" s="133">
        <v>20</v>
      </c>
      <c r="AZ81" s="133">
        <v>62</v>
      </c>
      <c r="BA81" s="133">
        <v>62</v>
      </c>
      <c r="BB81" s="133">
        <f t="shared" ref="BB81:BB84" si="576">AW81+AY81+BA81</f>
        <v>82</v>
      </c>
      <c r="BC81" s="133">
        <f t="shared" ref="BC81:BC84" si="577">AU81+AW81+AY81+BA81</f>
        <v>217</v>
      </c>
      <c r="BD81" s="7">
        <f>M81*J81</f>
        <v>837</v>
      </c>
      <c r="BE81" s="7">
        <f>J81*174</f>
        <v>522</v>
      </c>
      <c r="BF81" s="8">
        <f t="shared" ref="BF81:BF84" si="578">BD81-BE81</f>
        <v>315</v>
      </c>
      <c r="BG81" s="14">
        <f>AC81*BE81</f>
        <v>1827000</v>
      </c>
      <c r="BH81" s="133">
        <f t="shared" ref="BH81:BH84" si="579">BE81/J81</f>
        <v>174</v>
      </c>
      <c r="BI81" s="133">
        <v>93</v>
      </c>
      <c r="BJ81" s="133"/>
      <c r="BK81" s="133">
        <v>62</v>
      </c>
      <c r="BL81" s="133"/>
      <c r="BM81" s="133">
        <v>124</v>
      </c>
      <c r="BN81" s="134">
        <v>105</v>
      </c>
      <c r="BO81" s="133">
        <f t="shared" ref="BO81:BO84" si="580">BJ81+BL81+BN81</f>
        <v>105</v>
      </c>
      <c r="BP81" s="133">
        <f t="shared" ref="BP81:BP84" si="581">BH81+BJ81+BL81+BN81</f>
        <v>279</v>
      </c>
      <c r="BQ81" s="7">
        <f>N81*J81</f>
        <v>651</v>
      </c>
      <c r="BR81" s="7">
        <f>J81*135</f>
        <v>405</v>
      </c>
      <c r="BS81" s="8">
        <f t="shared" ref="BS81:BS84" si="582">BQ81-BR81</f>
        <v>246</v>
      </c>
      <c r="BT81" s="14">
        <f>AC81*BR81</f>
        <v>1417500</v>
      </c>
      <c r="BU81" s="133">
        <f t="shared" ref="BU81:BU84" si="583">BR81/J81</f>
        <v>135</v>
      </c>
      <c r="BV81" s="133">
        <v>93</v>
      </c>
      <c r="BW81" s="133"/>
      <c r="BX81" s="133">
        <v>62</v>
      </c>
      <c r="BY81" s="133">
        <v>20</v>
      </c>
      <c r="BZ81" s="133">
        <v>62</v>
      </c>
      <c r="CA81" s="133">
        <v>62</v>
      </c>
      <c r="CB81" s="133">
        <f t="shared" ref="CB81:CB84" si="584">BW81+BY81+CA81</f>
        <v>82</v>
      </c>
      <c r="CC81" s="133">
        <f t="shared" ref="CC81:CC84" si="585">BU81+BW81+BY81+CA81</f>
        <v>217</v>
      </c>
      <c r="CD81" s="7">
        <f>M81*J81</f>
        <v>837</v>
      </c>
      <c r="CE81" s="7">
        <f>J81*155</f>
        <v>465</v>
      </c>
      <c r="CF81" s="8">
        <f t="shared" ref="CF81:CF84" si="586">CD81-CE81</f>
        <v>372</v>
      </c>
      <c r="CG81" s="14">
        <f>CE81*AC81</f>
        <v>1627500</v>
      </c>
      <c r="CH81" s="134">
        <f t="shared" ref="CH81:CH84" si="587">CE81/J81</f>
        <v>155</v>
      </c>
      <c r="CI81" s="134">
        <v>62</v>
      </c>
      <c r="CJ81" s="134"/>
      <c r="CK81" s="134">
        <v>62</v>
      </c>
      <c r="CL81" s="134"/>
      <c r="CM81" s="134">
        <v>124</v>
      </c>
      <c r="CN81" s="134">
        <v>93</v>
      </c>
      <c r="CO81" s="133">
        <f t="shared" ref="CO81:CO84" si="588">CJ81+CL81+CN81</f>
        <v>93</v>
      </c>
      <c r="CP81" s="133">
        <f t="shared" ref="CP81:CP84" si="589">CH81+CJ81+CL81+CN81</f>
        <v>248</v>
      </c>
      <c r="CQ81" s="7">
        <f>P81*J81</f>
        <v>744</v>
      </c>
      <c r="CR81" s="7">
        <f>J81*155</f>
        <v>465</v>
      </c>
      <c r="CS81" s="8">
        <f t="shared" ref="CS81:CS84" si="590">CQ81-CR81</f>
        <v>279</v>
      </c>
      <c r="CT81" s="14">
        <f>AC81*CR81</f>
        <v>1627500</v>
      </c>
      <c r="CU81" s="134">
        <f t="shared" ref="CU81:CU84" si="591">CR81/J81</f>
        <v>155</v>
      </c>
      <c r="CV81" s="134">
        <v>93</v>
      </c>
      <c r="CW81" s="134"/>
      <c r="CX81" s="134">
        <v>93</v>
      </c>
      <c r="CY81" s="134"/>
      <c r="CZ81" s="134">
        <v>62</v>
      </c>
      <c r="DA81" s="134"/>
      <c r="DB81" s="134">
        <f t="shared" ref="DB81:DB84" si="592">CW81+CY81+DA81</f>
        <v>0</v>
      </c>
      <c r="DC81" s="134">
        <f t="shared" ref="DC81:DC84" si="593">CU81+CW81+CY81+DA81</f>
        <v>155</v>
      </c>
      <c r="DD81" s="7">
        <f>Q81*J81</f>
        <v>837</v>
      </c>
      <c r="DE81" s="7">
        <f>J81*174</f>
        <v>522</v>
      </c>
      <c r="DF81" s="8">
        <f t="shared" ref="DF81:DF84" si="594">DD81-DE81</f>
        <v>315</v>
      </c>
      <c r="DG81" s="14">
        <f>DE81*AC81</f>
        <v>1827000</v>
      </c>
      <c r="DH81" s="134">
        <f t="shared" ref="DH81:DH84" si="595">DE81/J81</f>
        <v>174</v>
      </c>
      <c r="DI81" s="134">
        <v>93</v>
      </c>
      <c r="DJ81" s="134"/>
      <c r="DK81" s="134">
        <v>124</v>
      </c>
      <c r="DL81" s="134">
        <v>43</v>
      </c>
      <c r="DM81" s="134">
        <v>62</v>
      </c>
      <c r="DN81" s="134">
        <v>62</v>
      </c>
      <c r="DO81" s="134">
        <f t="shared" ref="DO81:DO84" si="596">DJ81+DL81+DN81</f>
        <v>105</v>
      </c>
      <c r="DP81" s="134">
        <f t="shared" ref="DP81:DP84" si="597">DH81+DJ81+DL81+DN81</f>
        <v>279</v>
      </c>
      <c r="DQ81" s="7">
        <f>R81*J81</f>
        <v>375</v>
      </c>
      <c r="DR81" s="7">
        <f>J81*78</f>
        <v>234</v>
      </c>
      <c r="DS81" s="8">
        <f t="shared" ref="DS81:DS84" si="598">DQ81-DR81</f>
        <v>141</v>
      </c>
      <c r="DT81" s="14">
        <f>DR81*AC81</f>
        <v>819000</v>
      </c>
      <c r="DU81" s="134">
        <f t="shared" ref="DU81:DU84" si="599">DR81/J81</f>
        <v>78</v>
      </c>
      <c r="DV81" s="134">
        <v>0</v>
      </c>
      <c r="DW81" s="134"/>
      <c r="DX81" s="134">
        <v>62</v>
      </c>
      <c r="DY81" s="134"/>
      <c r="DZ81" s="134">
        <v>63</v>
      </c>
      <c r="EA81" s="134">
        <v>47</v>
      </c>
      <c r="EB81" s="134">
        <f t="shared" ref="EB81:EB84" si="600">DW81+DY81+EA81</f>
        <v>47</v>
      </c>
      <c r="EC81" s="134">
        <f t="shared" ref="EC81:EC84" si="601">DU81+DW81+DY81+EA81</f>
        <v>125</v>
      </c>
      <c r="ED81" s="7">
        <f>S81*J81</f>
        <v>186</v>
      </c>
      <c r="EE81" s="7">
        <f>J81*39</f>
        <v>117</v>
      </c>
      <c r="EF81" s="8">
        <f t="shared" ref="EF81:EF84" si="602">ED81-EE81</f>
        <v>69</v>
      </c>
      <c r="EG81" s="14">
        <f>EE81*AC81</f>
        <v>409500</v>
      </c>
      <c r="EH81" s="133">
        <f t="shared" ref="EH81:EH84" si="603">EE81/J81</f>
        <v>39</v>
      </c>
      <c r="EI81" s="133">
        <v>0</v>
      </c>
      <c r="EJ81" s="133"/>
      <c r="EK81" s="133">
        <v>62</v>
      </c>
      <c r="EL81" s="133">
        <f t="shared" ref="EL81:EL84" si="604">EK81-EH81</f>
        <v>23</v>
      </c>
      <c r="EM81" s="133">
        <v>0</v>
      </c>
      <c r="EN81" s="133"/>
      <c r="EO81" s="133">
        <f t="shared" ref="EO81:EO84" si="605">EJ81+EL81+EN81</f>
        <v>23</v>
      </c>
      <c r="EP81" s="133">
        <f t="shared" ref="EP81:EP84" si="606">EH81+EJ81+EL81+EN81</f>
        <v>62</v>
      </c>
      <c r="EQ81" s="7">
        <f>T81*J81</f>
        <v>837</v>
      </c>
      <c r="ER81" s="7">
        <f>J81*174</f>
        <v>522</v>
      </c>
      <c r="ES81" s="8">
        <f t="shared" ref="ES81:ES84" si="607">EQ81-ER81</f>
        <v>315</v>
      </c>
      <c r="ET81" s="14">
        <f>ER81*AC81</f>
        <v>1827000</v>
      </c>
      <c r="EU81" s="134">
        <f t="shared" ref="EU81:EU84" si="608">ER81/J81</f>
        <v>174</v>
      </c>
      <c r="EV81" s="134">
        <v>93</v>
      </c>
      <c r="EW81" s="134"/>
      <c r="EX81" s="134">
        <v>93</v>
      </c>
      <c r="EY81" s="134">
        <v>12</v>
      </c>
      <c r="EZ81" s="134">
        <v>93</v>
      </c>
      <c r="FA81" s="134">
        <v>93</v>
      </c>
      <c r="FB81" s="134">
        <f t="shared" ref="FB81:FB84" si="609">EW81+EY81+FA81</f>
        <v>105</v>
      </c>
      <c r="FC81" s="134">
        <f t="shared" ref="FC81:FC84" si="610">EU81+EW81+EY81+FA81</f>
        <v>279</v>
      </c>
      <c r="FD81" s="7">
        <f>U81*J81</f>
        <v>558</v>
      </c>
      <c r="FE81" s="7">
        <f>J81*116</f>
        <v>348</v>
      </c>
      <c r="FF81" s="8">
        <f t="shared" ref="FF81:FF84" si="611">FD81-FE81</f>
        <v>210</v>
      </c>
      <c r="FG81" s="14">
        <f>FE81*AC81</f>
        <v>1218000</v>
      </c>
      <c r="FH81" s="133">
        <f t="shared" ref="FH81:FH84" si="612">FE81/J81</f>
        <v>116</v>
      </c>
      <c r="FI81" s="133">
        <v>62</v>
      </c>
      <c r="FJ81" s="133"/>
      <c r="FK81" s="133">
        <v>62</v>
      </c>
      <c r="FL81" s="133">
        <v>8</v>
      </c>
      <c r="FM81" s="133">
        <v>62</v>
      </c>
      <c r="FN81" s="133">
        <v>62</v>
      </c>
      <c r="FO81" s="133">
        <f t="shared" ref="FO81:FO84" si="613">FJ81+FL81+FN81</f>
        <v>70</v>
      </c>
      <c r="FP81" s="133">
        <f t="shared" ref="FP81:FP84" si="614">FH81+FJ81+FL81+FN81</f>
        <v>186</v>
      </c>
      <c r="FQ81" s="7">
        <f>V81*J81</f>
        <v>96</v>
      </c>
      <c r="FR81" s="7">
        <f>J81*20</f>
        <v>60</v>
      </c>
      <c r="FS81" s="8">
        <f t="shared" ref="FS81:FS84" si="615">FQ81-FR81</f>
        <v>36</v>
      </c>
      <c r="FT81" s="14">
        <f>FR81*AC81</f>
        <v>210000</v>
      </c>
      <c r="FU81" s="134">
        <f>FR81/J81</f>
        <v>20</v>
      </c>
      <c r="FV81" s="134">
        <v>0</v>
      </c>
      <c r="FW81" s="134"/>
      <c r="FX81" s="134">
        <v>16</v>
      </c>
      <c r="FY81" s="134"/>
      <c r="FZ81" s="134">
        <v>16</v>
      </c>
      <c r="GA81" s="134">
        <v>12</v>
      </c>
      <c r="GB81" s="134">
        <f t="shared" ref="GB81:GB84" si="616">FW81+FY81+GA81</f>
        <v>12</v>
      </c>
      <c r="GC81" s="134">
        <f t="shared" ref="GC81:GC84" si="617">FU81+FW81+FY81+GA81</f>
        <v>32</v>
      </c>
      <c r="GD81" s="7">
        <f>W81*J81</f>
        <v>36</v>
      </c>
      <c r="GE81" s="7">
        <f>J81*7</f>
        <v>21</v>
      </c>
      <c r="GF81" s="8">
        <f t="shared" ref="GF81:GF84" si="618">GD81-GE81</f>
        <v>15</v>
      </c>
      <c r="GG81" s="14">
        <f>GE81*AC81</f>
        <v>73500</v>
      </c>
      <c r="GH81" s="134">
        <f t="shared" ref="GH81:GH84" si="619">GE81/J81</f>
        <v>7</v>
      </c>
      <c r="GI81" s="134">
        <v>4</v>
      </c>
      <c r="GJ81" s="134"/>
      <c r="GK81" s="134">
        <v>4</v>
      </c>
      <c r="GL81" s="134">
        <v>1</v>
      </c>
      <c r="GM81" s="134">
        <v>4</v>
      </c>
      <c r="GN81" s="134">
        <v>4</v>
      </c>
      <c r="GO81" s="134">
        <f t="shared" ref="GO81:GO84" si="620">GJ81+GL81+GN81</f>
        <v>5</v>
      </c>
      <c r="GP81" s="134">
        <f t="shared" ref="GP81:GP84" si="621">GH81+GJ81+GL81+GN81</f>
        <v>12</v>
      </c>
      <c r="GQ81" s="7">
        <f>X81*J81</f>
        <v>558</v>
      </c>
      <c r="GR81" s="7">
        <f>J81*115</f>
        <v>345</v>
      </c>
      <c r="GS81" s="8">
        <f t="shared" ref="GS81:GS84" si="622">GQ81-GR81</f>
        <v>213</v>
      </c>
      <c r="GT81" s="14">
        <f>GR81*AC81</f>
        <v>1207500</v>
      </c>
      <c r="GU81" s="133">
        <f t="shared" ref="GU81:GU84" si="623">GR81/J81</f>
        <v>115</v>
      </c>
      <c r="GV81" s="133">
        <v>62</v>
      </c>
      <c r="GW81" s="133"/>
      <c r="GX81" s="133">
        <v>62</v>
      </c>
      <c r="GY81" s="133">
        <v>9</v>
      </c>
      <c r="GZ81" s="133">
        <v>62</v>
      </c>
      <c r="HA81" s="133">
        <v>62</v>
      </c>
      <c r="HB81" s="133">
        <f t="shared" ref="HB81:HB84" si="624">GW81+GY81+HA81</f>
        <v>71</v>
      </c>
      <c r="HC81" s="133">
        <f t="shared" ref="HC81:HC84" si="625">GU81+GW81+GY81+HA81</f>
        <v>186</v>
      </c>
      <c r="HD81" s="7">
        <f>Y81*J81</f>
        <v>558</v>
      </c>
      <c r="HE81" s="7">
        <f>J81*115</f>
        <v>345</v>
      </c>
      <c r="HF81" s="8">
        <f t="shared" ref="HF81:HF84" si="626">HD81-HE81</f>
        <v>213</v>
      </c>
      <c r="HG81" s="155">
        <f>HE81*AC81</f>
        <v>1207500</v>
      </c>
      <c r="HH81" s="7">
        <f t="shared" ref="HH81:HH84" si="627">HE81/J81</f>
        <v>115</v>
      </c>
      <c r="HI81" s="7">
        <v>62</v>
      </c>
      <c r="HJ81" s="7"/>
      <c r="HK81" s="7">
        <v>62</v>
      </c>
      <c r="HL81" s="7">
        <v>9</v>
      </c>
      <c r="HM81" s="7">
        <v>62</v>
      </c>
      <c r="HN81" s="7">
        <v>62</v>
      </c>
      <c r="HO81" s="133">
        <f t="shared" ref="HO81:HO84" si="628">HJ81+HL81+HN81</f>
        <v>71</v>
      </c>
      <c r="HP81" s="133">
        <f t="shared" ref="HP81:HP84" si="629">HH81+HJ81+HL81+HN81</f>
        <v>186</v>
      </c>
    </row>
    <row r="82" spans="2:224" x14ac:dyDescent="0.25">
      <c r="B82" s="7">
        <f>'PLAN DE NECESIDADES'!B64</f>
        <v>36</v>
      </c>
      <c r="C82" s="7">
        <f>'PLAN DE NECESIDADES'!C64</f>
        <v>4299206</v>
      </c>
      <c r="D82" s="60" t="str">
        <f>'PLAN DE NECESIDADES'!D64</f>
        <v>CANDADO: AALTO 60 MM ± 5 MM
ANCHO 35 MM ± 5 MM, ESPECIFICACIONES SEGÚN NORMA TÉCNICA NO. NTMD-0356 A2 ÍTEM  3.1.1.15</v>
      </c>
      <c r="E82" s="7" t="str">
        <f>'PLAN DE NECESIDADES'!E64</f>
        <v>UNIDAD</v>
      </c>
      <c r="F82" s="7">
        <f>'PLAN DE NECESIDADES'!F64</f>
        <v>0</v>
      </c>
      <c r="G82" s="7">
        <f>'PLAN DE NECESIDADES'!H64</f>
        <v>46171501</v>
      </c>
      <c r="H82" s="7">
        <f>'PLAN DE NECESIDADES'!I64</f>
        <v>1448704</v>
      </c>
      <c r="I82" s="7" t="str">
        <f>'PLAN DE NECESIDADES'!J64</f>
        <v>5340-80-0011396</v>
      </c>
      <c r="J82" s="7">
        <v>1</v>
      </c>
      <c r="K82" s="85">
        <v>69</v>
      </c>
      <c r="L82" s="85">
        <v>217</v>
      </c>
      <c r="M82" s="85">
        <v>279</v>
      </c>
      <c r="N82" s="85">
        <v>217</v>
      </c>
      <c r="O82" s="85">
        <v>248</v>
      </c>
      <c r="P82" s="85">
        <v>248</v>
      </c>
      <c r="Q82" s="85">
        <v>279</v>
      </c>
      <c r="R82" s="85">
        <v>125</v>
      </c>
      <c r="S82" s="85">
        <v>62</v>
      </c>
      <c r="T82" s="85">
        <v>279</v>
      </c>
      <c r="U82" s="85">
        <v>186</v>
      </c>
      <c r="V82" s="85">
        <v>32</v>
      </c>
      <c r="W82" s="85">
        <v>12</v>
      </c>
      <c r="X82" s="85">
        <v>186</v>
      </c>
      <c r="Y82" s="85">
        <v>186</v>
      </c>
      <c r="Z82" s="85">
        <f t="shared" si="570"/>
        <v>2656</v>
      </c>
      <c r="AA82" s="7">
        <f t="shared" si="570"/>
        <v>1635</v>
      </c>
      <c r="AB82" s="7">
        <f t="shared" si="570"/>
        <v>1021</v>
      </c>
      <c r="AC82" s="12">
        <v>5400</v>
      </c>
      <c r="AD82" s="7">
        <f>K82*J82</f>
        <v>69</v>
      </c>
      <c r="AE82" s="7">
        <f>J82*43</f>
        <v>43</v>
      </c>
      <c r="AF82" s="8">
        <f t="shared" si="571"/>
        <v>26</v>
      </c>
      <c r="AG82" s="14">
        <f>AC82*AE82</f>
        <v>232200</v>
      </c>
      <c r="AH82" s="133">
        <f t="shared" si="572"/>
        <v>43</v>
      </c>
      <c r="AI82" s="133">
        <v>31</v>
      </c>
      <c r="AJ82" s="133"/>
      <c r="AK82" s="133">
        <v>20</v>
      </c>
      <c r="AL82" s="133">
        <v>8</v>
      </c>
      <c r="AM82" s="133">
        <v>18</v>
      </c>
      <c r="AN82" s="133">
        <v>18</v>
      </c>
      <c r="AO82" s="133">
        <f t="shared" ref="AO82:AO84" si="630">AL82+AN82</f>
        <v>26</v>
      </c>
      <c r="AP82" s="133">
        <f t="shared" si="573"/>
        <v>69</v>
      </c>
      <c r="AQ82" s="7">
        <f>L82*J82</f>
        <v>217</v>
      </c>
      <c r="AR82" s="7">
        <f>J82*135</f>
        <v>135</v>
      </c>
      <c r="AS82" s="8">
        <f t="shared" si="574"/>
        <v>82</v>
      </c>
      <c r="AT82" s="14">
        <f>AC82*AR82</f>
        <v>729000</v>
      </c>
      <c r="AU82" s="133">
        <f t="shared" si="575"/>
        <v>135</v>
      </c>
      <c r="AV82" s="133">
        <v>93</v>
      </c>
      <c r="AW82" s="133"/>
      <c r="AX82" s="133">
        <v>62</v>
      </c>
      <c r="AY82" s="133">
        <v>20</v>
      </c>
      <c r="AZ82" s="133">
        <v>62</v>
      </c>
      <c r="BA82" s="133">
        <v>62</v>
      </c>
      <c r="BB82" s="133">
        <f t="shared" si="576"/>
        <v>82</v>
      </c>
      <c r="BC82" s="133">
        <f t="shared" si="577"/>
        <v>217</v>
      </c>
      <c r="BD82" s="7">
        <f>M82*J82</f>
        <v>279</v>
      </c>
      <c r="BE82" s="7">
        <f>J82*174</f>
        <v>174</v>
      </c>
      <c r="BF82" s="8">
        <f t="shared" si="578"/>
        <v>105</v>
      </c>
      <c r="BG82" s="14">
        <f>AC82*BE82</f>
        <v>939600</v>
      </c>
      <c r="BH82" s="133">
        <f t="shared" si="579"/>
        <v>174</v>
      </c>
      <c r="BI82" s="133">
        <v>93</v>
      </c>
      <c r="BJ82" s="133"/>
      <c r="BK82" s="133">
        <v>62</v>
      </c>
      <c r="BL82" s="133"/>
      <c r="BM82" s="133">
        <v>124</v>
      </c>
      <c r="BN82" s="134">
        <v>105</v>
      </c>
      <c r="BO82" s="133">
        <f t="shared" si="580"/>
        <v>105</v>
      </c>
      <c r="BP82" s="133">
        <f t="shared" si="581"/>
        <v>279</v>
      </c>
      <c r="BQ82" s="7">
        <f>N82*J82</f>
        <v>217</v>
      </c>
      <c r="BR82" s="7">
        <f>J82*135</f>
        <v>135</v>
      </c>
      <c r="BS82" s="8">
        <f t="shared" si="582"/>
        <v>82</v>
      </c>
      <c r="BT82" s="14">
        <f>AC82*BR82</f>
        <v>729000</v>
      </c>
      <c r="BU82" s="133">
        <f t="shared" si="583"/>
        <v>135</v>
      </c>
      <c r="BV82" s="133">
        <v>93</v>
      </c>
      <c r="BW82" s="133"/>
      <c r="BX82" s="133">
        <v>62</v>
      </c>
      <c r="BY82" s="133">
        <v>20</v>
      </c>
      <c r="BZ82" s="133">
        <v>62</v>
      </c>
      <c r="CA82" s="133">
        <v>62</v>
      </c>
      <c r="CB82" s="133">
        <f t="shared" si="584"/>
        <v>82</v>
      </c>
      <c r="CC82" s="133">
        <f t="shared" si="585"/>
        <v>217</v>
      </c>
      <c r="CD82" s="7">
        <f>M82*J82</f>
        <v>279</v>
      </c>
      <c r="CE82" s="7">
        <f>J82*154</f>
        <v>154</v>
      </c>
      <c r="CF82" s="8">
        <f t="shared" si="586"/>
        <v>125</v>
      </c>
      <c r="CG82" s="14">
        <f>CE82*AC82</f>
        <v>831600</v>
      </c>
      <c r="CH82" s="134">
        <f t="shared" si="587"/>
        <v>154</v>
      </c>
      <c r="CI82" s="134">
        <v>62</v>
      </c>
      <c r="CJ82" s="134"/>
      <c r="CK82" s="134">
        <v>62</v>
      </c>
      <c r="CL82" s="134"/>
      <c r="CM82" s="134">
        <v>124</v>
      </c>
      <c r="CN82" s="134">
        <v>94</v>
      </c>
      <c r="CO82" s="133">
        <f t="shared" si="588"/>
        <v>94</v>
      </c>
      <c r="CP82" s="133">
        <f t="shared" si="589"/>
        <v>248</v>
      </c>
      <c r="CQ82" s="7">
        <f>P82*J82</f>
        <v>248</v>
      </c>
      <c r="CR82" s="7">
        <f>J82*154</f>
        <v>154</v>
      </c>
      <c r="CS82" s="8">
        <f t="shared" si="590"/>
        <v>94</v>
      </c>
      <c r="CT82" s="14">
        <f>AC82*CR82</f>
        <v>831600</v>
      </c>
      <c r="CU82" s="134">
        <f t="shared" si="591"/>
        <v>154</v>
      </c>
      <c r="CV82" s="134">
        <v>93</v>
      </c>
      <c r="CW82" s="134"/>
      <c r="CX82" s="134">
        <v>93</v>
      </c>
      <c r="CY82" s="134"/>
      <c r="CZ82" s="134">
        <v>62</v>
      </c>
      <c r="DA82" s="134"/>
      <c r="DB82" s="134">
        <f t="shared" si="592"/>
        <v>0</v>
      </c>
      <c r="DC82" s="134">
        <f t="shared" si="593"/>
        <v>154</v>
      </c>
      <c r="DD82" s="7">
        <f>Q82*J82</f>
        <v>279</v>
      </c>
      <c r="DE82" s="7">
        <f>J82*174</f>
        <v>174</v>
      </c>
      <c r="DF82" s="8">
        <f t="shared" si="594"/>
        <v>105</v>
      </c>
      <c r="DG82" s="14">
        <f>DE82*AC82</f>
        <v>939600</v>
      </c>
      <c r="DH82" s="134">
        <f t="shared" si="595"/>
        <v>174</v>
      </c>
      <c r="DI82" s="134">
        <v>93</v>
      </c>
      <c r="DJ82" s="134"/>
      <c r="DK82" s="134">
        <v>124</v>
      </c>
      <c r="DL82" s="134">
        <v>43</v>
      </c>
      <c r="DM82" s="134">
        <v>62</v>
      </c>
      <c r="DN82" s="134">
        <v>62</v>
      </c>
      <c r="DO82" s="134">
        <f t="shared" si="596"/>
        <v>105</v>
      </c>
      <c r="DP82" s="134">
        <f t="shared" si="597"/>
        <v>279</v>
      </c>
      <c r="DQ82" s="7">
        <f>R82*J82</f>
        <v>125</v>
      </c>
      <c r="DR82" s="7">
        <f>J82*77</f>
        <v>77</v>
      </c>
      <c r="DS82" s="8">
        <f t="shared" si="598"/>
        <v>48</v>
      </c>
      <c r="DT82" s="14">
        <f>DR82*AC82</f>
        <v>415800</v>
      </c>
      <c r="DU82" s="134">
        <f t="shared" si="599"/>
        <v>77</v>
      </c>
      <c r="DV82" s="134">
        <v>0</v>
      </c>
      <c r="DW82" s="134"/>
      <c r="DX82" s="134">
        <v>62</v>
      </c>
      <c r="DY82" s="134"/>
      <c r="DZ82" s="134">
        <v>63</v>
      </c>
      <c r="EA82" s="134">
        <v>48</v>
      </c>
      <c r="EB82" s="134">
        <f t="shared" si="600"/>
        <v>48</v>
      </c>
      <c r="EC82" s="134">
        <f t="shared" si="601"/>
        <v>125</v>
      </c>
      <c r="ED82" s="7">
        <f>S82*J82</f>
        <v>62</v>
      </c>
      <c r="EE82" s="7">
        <f>J82*39</f>
        <v>39</v>
      </c>
      <c r="EF82" s="8">
        <f t="shared" si="602"/>
        <v>23</v>
      </c>
      <c r="EG82" s="14">
        <f>EE82*AC82</f>
        <v>210600</v>
      </c>
      <c r="EH82" s="133">
        <f t="shared" si="603"/>
        <v>39</v>
      </c>
      <c r="EI82" s="133">
        <v>0</v>
      </c>
      <c r="EJ82" s="133"/>
      <c r="EK82" s="133">
        <v>62</v>
      </c>
      <c r="EL82" s="133">
        <f t="shared" si="604"/>
        <v>23</v>
      </c>
      <c r="EM82" s="133">
        <v>0</v>
      </c>
      <c r="EN82" s="133"/>
      <c r="EO82" s="133">
        <f t="shared" si="605"/>
        <v>23</v>
      </c>
      <c r="EP82" s="133">
        <f t="shared" si="606"/>
        <v>62</v>
      </c>
      <c r="EQ82" s="7">
        <f>T82*J82</f>
        <v>279</v>
      </c>
      <c r="ER82" s="7">
        <f>J82*174</f>
        <v>174</v>
      </c>
      <c r="ES82" s="8">
        <f t="shared" si="607"/>
        <v>105</v>
      </c>
      <c r="ET82" s="14">
        <f>ER82*AC82</f>
        <v>939600</v>
      </c>
      <c r="EU82" s="134">
        <f t="shared" si="608"/>
        <v>174</v>
      </c>
      <c r="EV82" s="134">
        <v>93</v>
      </c>
      <c r="EW82" s="134"/>
      <c r="EX82" s="134">
        <v>93</v>
      </c>
      <c r="EY82" s="134">
        <v>12</v>
      </c>
      <c r="EZ82" s="134">
        <v>93</v>
      </c>
      <c r="FA82" s="134">
        <v>93</v>
      </c>
      <c r="FB82" s="134">
        <f t="shared" si="609"/>
        <v>105</v>
      </c>
      <c r="FC82" s="134">
        <f t="shared" si="610"/>
        <v>279</v>
      </c>
      <c r="FD82" s="7">
        <f>U82*J82</f>
        <v>186</v>
      </c>
      <c r="FE82" s="7">
        <f>J82*116</f>
        <v>116</v>
      </c>
      <c r="FF82" s="8">
        <f t="shared" si="611"/>
        <v>70</v>
      </c>
      <c r="FG82" s="14">
        <f>FE82*AC82</f>
        <v>626400</v>
      </c>
      <c r="FH82" s="133">
        <f t="shared" si="612"/>
        <v>116</v>
      </c>
      <c r="FI82" s="133">
        <v>62</v>
      </c>
      <c r="FJ82" s="133"/>
      <c r="FK82" s="133">
        <v>62</v>
      </c>
      <c r="FL82" s="133">
        <v>8</v>
      </c>
      <c r="FM82" s="133">
        <v>62</v>
      </c>
      <c r="FN82" s="133">
        <v>62</v>
      </c>
      <c r="FO82" s="133">
        <f t="shared" si="613"/>
        <v>70</v>
      </c>
      <c r="FP82" s="133">
        <f t="shared" si="614"/>
        <v>186</v>
      </c>
      <c r="FQ82" s="7">
        <f>V82*J82</f>
        <v>32</v>
      </c>
      <c r="FR82" s="7">
        <f>J82*20</f>
        <v>20</v>
      </c>
      <c r="FS82" s="8">
        <f t="shared" si="615"/>
        <v>12</v>
      </c>
      <c r="FT82" s="14">
        <f>FR82*AC82</f>
        <v>108000</v>
      </c>
      <c r="FU82" s="134">
        <f t="shared" ref="FU82:FU84" si="631">FR82/J82</f>
        <v>20</v>
      </c>
      <c r="FV82" s="134">
        <v>0</v>
      </c>
      <c r="FW82" s="134"/>
      <c r="FX82" s="134">
        <v>16</v>
      </c>
      <c r="FY82" s="134"/>
      <c r="FZ82" s="134">
        <v>16</v>
      </c>
      <c r="GA82" s="134">
        <v>12</v>
      </c>
      <c r="GB82" s="134">
        <f t="shared" si="616"/>
        <v>12</v>
      </c>
      <c r="GC82" s="134">
        <f t="shared" si="617"/>
        <v>32</v>
      </c>
      <c r="GD82" s="7">
        <f>W82*J82</f>
        <v>12</v>
      </c>
      <c r="GE82" s="7">
        <f>J82*8</f>
        <v>8</v>
      </c>
      <c r="GF82" s="8">
        <f t="shared" si="618"/>
        <v>4</v>
      </c>
      <c r="GG82" s="14">
        <f>GE82*AC82</f>
        <v>43200</v>
      </c>
      <c r="GH82" s="134">
        <f t="shared" si="619"/>
        <v>8</v>
      </c>
      <c r="GI82" s="134">
        <v>4</v>
      </c>
      <c r="GJ82" s="134"/>
      <c r="GK82" s="134">
        <v>4</v>
      </c>
      <c r="GL82" s="134"/>
      <c r="GM82" s="134">
        <v>4</v>
      </c>
      <c r="GN82" s="134">
        <f t="shared" ref="GN82" si="632">GM82-GL82</f>
        <v>4</v>
      </c>
      <c r="GO82" s="134">
        <f t="shared" si="620"/>
        <v>4</v>
      </c>
      <c r="GP82" s="134">
        <f t="shared" si="621"/>
        <v>12</v>
      </c>
      <c r="GQ82" s="7">
        <f>X82*J82</f>
        <v>186</v>
      </c>
      <c r="GR82" s="7">
        <f>J82*117</f>
        <v>117</v>
      </c>
      <c r="GS82" s="8">
        <f t="shared" si="622"/>
        <v>69</v>
      </c>
      <c r="GT82" s="14">
        <f>GR82*AC82</f>
        <v>631800</v>
      </c>
      <c r="GU82" s="133">
        <f t="shared" si="623"/>
        <v>117</v>
      </c>
      <c r="GV82" s="133">
        <v>62</v>
      </c>
      <c r="GW82" s="133"/>
      <c r="GX82" s="133">
        <v>62</v>
      </c>
      <c r="GY82" s="133">
        <v>7</v>
      </c>
      <c r="GZ82" s="133">
        <v>62</v>
      </c>
      <c r="HA82" s="133">
        <v>62</v>
      </c>
      <c r="HB82" s="133">
        <f t="shared" si="624"/>
        <v>69</v>
      </c>
      <c r="HC82" s="133">
        <f t="shared" si="625"/>
        <v>186</v>
      </c>
      <c r="HD82" s="7">
        <f>Y82*J82</f>
        <v>186</v>
      </c>
      <c r="HE82" s="7">
        <f>J82*115</f>
        <v>115</v>
      </c>
      <c r="HF82" s="8">
        <f t="shared" si="626"/>
        <v>71</v>
      </c>
      <c r="HG82" s="155">
        <f>HE82*AC82</f>
        <v>621000</v>
      </c>
      <c r="HH82" s="7">
        <f t="shared" si="627"/>
        <v>115</v>
      </c>
      <c r="HI82" s="7">
        <v>62</v>
      </c>
      <c r="HJ82" s="7"/>
      <c r="HK82" s="7">
        <v>62</v>
      </c>
      <c r="HL82" s="7">
        <v>9</v>
      </c>
      <c r="HM82" s="7">
        <v>62</v>
      </c>
      <c r="HN82" s="7">
        <v>62</v>
      </c>
      <c r="HO82" s="133">
        <f t="shared" si="628"/>
        <v>71</v>
      </c>
      <c r="HP82" s="133">
        <f t="shared" si="629"/>
        <v>186</v>
      </c>
    </row>
    <row r="83" spans="2:224" x14ac:dyDescent="0.25">
      <c r="B83" s="7">
        <f>'PLAN DE NECESIDADES'!B65</f>
        <v>37</v>
      </c>
      <c r="C83" s="7">
        <f>'PLAN DE NECESIDADES'!C65</f>
        <v>4291502</v>
      </c>
      <c r="D83" s="60" t="str">
        <f>'PLAN DE NECESIDADES'!D65</f>
        <v>CORTA UÑAS:
80 MM DE LONGITUD  ESPECIFICACIONES SEGÚN NORMA TÉCNICA NO. NTMD-0356 A2 ÍTEM  3.1.1.17</v>
      </c>
      <c r="E83" s="7" t="str">
        <f>'PLAN DE NECESIDADES'!E65</f>
        <v>UNIDAD</v>
      </c>
      <c r="F83" s="7">
        <f>'PLAN DE NECESIDADES'!F65</f>
        <v>0</v>
      </c>
      <c r="G83" s="7">
        <f>'PLAN DE NECESIDADES'!H65</f>
        <v>53131621</v>
      </c>
      <c r="H83" s="7">
        <f>'PLAN DE NECESIDADES'!I65</f>
        <v>1315903</v>
      </c>
      <c r="I83" s="7" t="str">
        <f>'PLAN DE NECESIDADES'!J65</f>
        <v>8530-80-0011403</v>
      </c>
      <c r="J83" s="7">
        <v>1</v>
      </c>
      <c r="K83" s="85">
        <v>69</v>
      </c>
      <c r="L83" s="85">
        <v>217</v>
      </c>
      <c r="M83" s="85">
        <v>279</v>
      </c>
      <c r="N83" s="85">
        <v>217</v>
      </c>
      <c r="O83" s="85">
        <v>248</v>
      </c>
      <c r="P83" s="85">
        <v>248</v>
      </c>
      <c r="Q83" s="85">
        <v>279</v>
      </c>
      <c r="R83" s="85">
        <v>125</v>
      </c>
      <c r="S83" s="85">
        <v>62</v>
      </c>
      <c r="T83" s="85">
        <v>279</v>
      </c>
      <c r="U83" s="85">
        <v>186</v>
      </c>
      <c r="V83" s="85">
        <v>32</v>
      </c>
      <c r="W83" s="85">
        <v>12</v>
      </c>
      <c r="X83" s="85">
        <v>186</v>
      </c>
      <c r="Y83" s="85">
        <v>186</v>
      </c>
      <c r="Z83" s="85">
        <f t="shared" si="570"/>
        <v>2656</v>
      </c>
      <c r="AA83" s="7">
        <f t="shared" si="570"/>
        <v>1634</v>
      </c>
      <c r="AB83" s="7">
        <f t="shared" si="570"/>
        <v>1022</v>
      </c>
      <c r="AC83" s="12">
        <v>4100</v>
      </c>
      <c r="AD83" s="7">
        <f>K83*J83</f>
        <v>69</v>
      </c>
      <c r="AE83" s="7">
        <f>J83*42</f>
        <v>42</v>
      </c>
      <c r="AF83" s="8">
        <f t="shared" si="571"/>
        <v>27</v>
      </c>
      <c r="AG83" s="14">
        <f>AC83*AE83</f>
        <v>172200</v>
      </c>
      <c r="AH83" s="133">
        <f t="shared" si="572"/>
        <v>42</v>
      </c>
      <c r="AI83" s="133">
        <v>31</v>
      </c>
      <c r="AJ83" s="133"/>
      <c r="AK83" s="133">
        <v>20</v>
      </c>
      <c r="AL83" s="133">
        <v>9</v>
      </c>
      <c r="AM83" s="133">
        <v>18</v>
      </c>
      <c r="AN83" s="133">
        <v>18</v>
      </c>
      <c r="AO83" s="133">
        <f t="shared" si="630"/>
        <v>27</v>
      </c>
      <c r="AP83" s="133">
        <f t="shared" si="573"/>
        <v>69</v>
      </c>
      <c r="AQ83" s="7">
        <f>L83*J83</f>
        <v>217</v>
      </c>
      <c r="AR83" s="7">
        <f>J83*135</f>
        <v>135</v>
      </c>
      <c r="AS83" s="8">
        <f t="shared" si="574"/>
        <v>82</v>
      </c>
      <c r="AT83" s="14">
        <f>AC83*AR83</f>
        <v>553500</v>
      </c>
      <c r="AU83" s="133">
        <f t="shared" si="575"/>
        <v>135</v>
      </c>
      <c r="AV83" s="133">
        <v>93</v>
      </c>
      <c r="AW83" s="133"/>
      <c r="AX83" s="133">
        <v>62</v>
      </c>
      <c r="AY83" s="133">
        <v>20</v>
      </c>
      <c r="AZ83" s="133">
        <v>62</v>
      </c>
      <c r="BA83" s="133">
        <v>62</v>
      </c>
      <c r="BB83" s="133">
        <f t="shared" si="576"/>
        <v>82</v>
      </c>
      <c r="BC83" s="133">
        <f t="shared" si="577"/>
        <v>217</v>
      </c>
      <c r="BD83" s="7">
        <f>M83*J83</f>
        <v>279</v>
      </c>
      <c r="BE83" s="7">
        <f>J83*174</f>
        <v>174</v>
      </c>
      <c r="BF83" s="8">
        <f t="shared" si="578"/>
        <v>105</v>
      </c>
      <c r="BG83" s="14">
        <f>AC83*BE83</f>
        <v>713400</v>
      </c>
      <c r="BH83" s="133">
        <f t="shared" si="579"/>
        <v>174</v>
      </c>
      <c r="BI83" s="133">
        <v>93</v>
      </c>
      <c r="BJ83" s="133"/>
      <c r="BK83" s="133">
        <v>62</v>
      </c>
      <c r="BL83" s="133"/>
      <c r="BM83" s="133">
        <v>124</v>
      </c>
      <c r="BN83" s="134">
        <v>105</v>
      </c>
      <c r="BO83" s="133">
        <f t="shared" si="580"/>
        <v>105</v>
      </c>
      <c r="BP83" s="133">
        <f t="shared" si="581"/>
        <v>279</v>
      </c>
      <c r="BQ83" s="7">
        <f>N83*J83</f>
        <v>217</v>
      </c>
      <c r="BR83" s="7">
        <f>J83*135</f>
        <v>135</v>
      </c>
      <c r="BS83" s="8">
        <f t="shared" si="582"/>
        <v>82</v>
      </c>
      <c r="BT83" s="14">
        <f>AC83*BR83</f>
        <v>553500</v>
      </c>
      <c r="BU83" s="133">
        <f t="shared" si="583"/>
        <v>135</v>
      </c>
      <c r="BV83" s="133">
        <v>93</v>
      </c>
      <c r="BW83" s="133"/>
      <c r="BX83" s="133">
        <v>62</v>
      </c>
      <c r="BY83" s="133">
        <v>20</v>
      </c>
      <c r="BZ83" s="133">
        <v>62</v>
      </c>
      <c r="CA83" s="133">
        <v>62</v>
      </c>
      <c r="CB83" s="133">
        <f t="shared" si="584"/>
        <v>82</v>
      </c>
      <c r="CC83" s="133">
        <f t="shared" si="585"/>
        <v>217</v>
      </c>
      <c r="CD83" s="7">
        <f>M83*J83</f>
        <v>279</v>
      </c>
      <c r="CE83" s="7">
        <f>J83*154</f>
        <v>154</v>
      </c>
      <c r="CF83" s="8">
        <f t="shared" si="586"/>
        <v>125</v>
      </c>
      <c r="CG83" s="14">
        <f>CE83*AC83</f>
        <v>631400</v>
      </c>
      <c r="CH83" s="134">
        <f t="shared" si="587"/>
        <v>154</v>
      </c>
      <c r="CI83" s="134">
        <v>62</v>
      </c>
      <c r="CJ83" s="134"/>
      <c r="CK83" s="134">
        <v>62</v>
      </c>
      <c r="CL83" s="134"/>
      <c r="CM83" s="134">
        <v>124</v>
      </c>
      <c r="CN83" s="134">
        <v>94</v>
      </c>
      <c r="CO83" s="133">
        <f t="shared" si="588"/>
        <v>94</v>
      </c>
      <c r="CP83" s="133">
        <f t="shared" si="589"/>
        <v>248</v>
      </c>
      <c r="CQ83" s="7">
        <f>P83*J83</f>
        <v>248</v>
      </c>
      <c r="CR83" s="7">
        <f>J83*154</f>
        <v>154</v>
      </c>
      <c r="CS83" s="8">
        <f t="shared" si="590"/>
        <v>94</v>
      </c>
      <c r="CT83" s="14">
        <f>AC83*CR83</f>
        <v>631400</v>
      </c>
      <c r="CU83" s="134">
        <f t="shared" si="591"/>
        <v>154</v>
      </c>
      <c r="CV83" s="134">
        <v>93</v>
      </c>
      <c r="CW83" s="134"/>
      <c r="CX83" s="134">
        <v>93</v>
      </c>
      <c r="CY83" s="134"/>
      <c r="CZ83" s="134">
        <v>62</v>
      </c>
      <c r="DA83" s="134"/>
      <c r="DB83" s="134">
        <f t="shared" si="592"/>
        <v>0</v>
      </c>
      <c r="DC83" s="134">
        <f t="shared" si="593"/>
        <v>154</v>
      </c>
      <c r="DD83" s="7">
        <f>Q83*J83</f>
        <v>279</v>
      </c>
      <c r="DE83" s="7">
        <f>J83*174</f>
        <v>174</v>
      </c>
      <c r="DF83" s="8">
        <f t="shared" si="594"/>
        <v>105</v>
      </c>
      <c r="DG83" s="14">
        <f>DE83*AC83</f>
        <v>713400</v>
      </c>
      <c r="DH83" s="134">
        <f t="shared" si="595"/>
        <v>174</v>
      </c>
      <c r="DI83" s="134">
        <v>93</v>
      </c>
      <c r="DJ83" s="134"/>
      <c r="DK83" s="134">
        <v>124</v>
      </c>
      <c r="DL83" s="134">
        <v>43</v>
      </c>
      <c r="DM83" s="134">
        <v>62</v>
      </c>
      <c r="DN83" s="134">
        <v>62</v>
      </c>
      <c r="DO83" s="134">
        <f t="shared" si="596"/>
        <v>105</v>
      </c>
      <c r="DP83" s="134">
        <f t="shared" si="597"/>
        <v>279</v>
      </c>
      <c r="DQ83" s="7">
        <f>R83*J83</f>
        <v>125</v>
      </c>
      <c r="DR83" s="7">
        <f>J83*78</f>
        <v>78</v>
      </c>
      <c r="DS83" s="8">
        <f t="shared" si="598"/>
        <v>47</v>
      </c>
      <c r="DT83" s="14">
        <f>DR83*AC83</f>
        <v>319800</v>
      </c>
      <c r="DU83" s="134">
        <f t="shared" si="599"/>
        <v>78</v>
      </c>
      <c r="DV83" s="134">
        <v>0</v>
      </c>
      <c r="DW83" s="134"/>
      <c r="DX83" s="134">
        <v>62</v>
      </c>
      <c r="DY83" s="134"/>
      <c r="DZ83" s="134">
        <v>63</v>
      </c>
      <c r="EA83" s="134">
        <v>47</v>
      </c>
      <c r="EB83" s="134">
        <f t="shared" si="600"/>
        <v>47</v>
      </c>
      <c r="EC83" s="134">
        <f t="shared" si="601"/>
        <v>125</v>
      </c>
      <c r="ED83" s="7">
        <f>S83*J83</f>
        <v>62</v>
      </c>
      <c r="EE83" s="7">
        <f>J83*38</f>
        <v>38</v>
      </c>
      <c r="EF83" s="8">
        <f t="shared" si="602"/>
        <v>24</v>
      </c>
      <c r="EG83" s="14">
        <f>EE83*AC83</f>
        <v>155800</v>
      </c>
      <c r="EH83" s="133">
        <f t="shared" si="603"/>
        <v>38</v>
      </c>
      <c r="EI83" s="133">
        <v>0</v>
      </c>
      <c r="EJ83" s="133"/>
      <c r="EK83" s="133">
        <v>62</v>
      </c>
      <c r="EL83" s="133">
        <f t="shared" si="604"/>
        <v>24</v>
      </c>
      <c r="EM83" s="133">
        <v>0</v>
      </c>
      <c r="EN83" s="133"/>
      <c r="EO83" s="133">
        <f t="shared" si="605"/>
        <v>24</v>
      </c>
      <c r="EP83" s="133">
        <f t="shared" si="606"/>
        <v>62</v>
      </c>
      <c r="EQ83" s="7">
        <f>T83*J83</f>
        <v>279</v>
      </c>
      <c r="ER83" s="7">
        <f>J83*174</f>
        <v>174</v>
      </c>
      <c r="ES83" s="8">
        <f t="shared" si="607"/>
        <v>105</v>
      </c>
      <c r="ET83" s="14">
        <f>ER83*AC83</f>
        <v>713400</v>
      </c>
      <c r="EU83" s="134">
        <f t="shared" si="608"/>
        <v>174</v>
      </c>
      <c r="EV83" s="134">
        <v>93</v>
      </c>
      <c r="EW83" s="134"/>
      <c r="EX83" s="134">
        <v>93</v>
      </c>
      <c r="EY83" s="134">
        <v>12</v>
      </c>
      <c r="EZ83" s="134">
        <v>93</v>
      </c>
      <c r="FA83" s="134">
        <v>93</v>
      </c>
      <c r="FB83" s="134">
        <f t="shared" si="609"/>
        <v>105</v>
      </c>
      <c r="FC83" s="134">
        <f t="shared" si="610"/>
        <v>279</v>
      </c>
      <c r="FD83" s="7">
        <f>U83*J83</f>
        <v>186</v>
      </c>
      <c r="FE83" s="7">
        <f>J83*117</f>
        <v>117</v>
      </c>
      <c r="FF83" s="8">
        <f t="shared" si="611"/>
        <v>69</v>
      </c>
      <c r="FG83" s="14">
        <f>FE83*AC83</f>
        <v>479700</v>
      </c>
      <c r="FH83" s="133">
        <f t="shared" si="612"/>
        <v>117</v>
      </c>
      <c r="FI83" s="133">
        <v>62</v>
      </c>
      <c r="FJ83" s="133"/>
      <c r="FK83" s="133">
        <v>62</v>
      </c>
      <c r="FL83" s="133">
        <v>7</v>
      </c>
      <c r="FM83" s="133">
        <v>62</v>
      </c>
      <c r="FN83" s="133">
        <v>62</v>
      </c>
      <c r="FO83" s="133">
        <f t="shared" si="613"/>
        <v>69</v>
      </c>
      <c r="FP83" s="133">
        <f t="shared" si="614"/>
        <v>186</v>
      </c>
      <c r="FQ83" s="7">
        <f>V83*J83</f>
        <v>32</v>
      </c>
      <c r="FR83" s="7">
        <f>J83*19</f>
        <v>19</v>
      </c>
      <c r="FS83" s="8">
        <f t="shared" si="615"/>
        <v>13</v>
      </c>
      <c r="FT83" s="14">
        <f>FR83*AC83</f>
        <v>77900</v>
      </c>
      <c r="FU83" s="134">
        <f t="shared" si="631"/>
        <v>19</v>
      </c>
      <c r="FV83" s="134">
        <v>0</v>
      </c>
      <c r="FW83" s="134"/>
      <c r="FX83" s="134">
        <v>16</v>
      </c>
      <c r="FY83" s="134"/>
      <c r="FZ83" s="134">
        <v>16</v>
      </c>
      <c r="GA83" s="134">
        <v>13</v>
      </c>
      <c r="GB83" s="134">
        <f t="shared" si="616"/>
        <v>13</v>
      </c>
      <c r="GC83" s="134">
        <f t="shared" si="617"/>
        <v>32</v>
      </c>
      <c r="GD83" s="7">
        <f>W83*J83</f>
        <v>12</v>
      </c>
      <c r="GE83" s="7">
        <f>J83*9</f>
        <v>9</v>
      </c>
      <c r="GF83" s="8">
        <f t="shared" si="618"/>
        <v>3</v>
      </c>
      <c r="GG83" s="14">
        <f>GE83*AC83</f>
        <v>36900</v>
      </c>
      <c r="GH83" s="134">
        <f t="shared" si="619"/>
        <v>9</v>
      </c>
      <c r="GI83" s="134">
        <v>4</v>
      </c>
      <c r="GJ83" s="134"/>
      <c r="GK83" s="134">
        <v>4</v>
      </c>
      <c r="GL83" s="134"/>
      <c r="GM83" s="134">
        <v>4</v>
      </c>
      <c r="GN83" s="134">
        <v>3</v>
      </c>
      <c r="GO83" s="134">
        <f t="shared" si="620"/>
        <v>3</v>
      </c>
      <c r="GP83" s="134">
        <f t="shared" si="621"/>
        <v>12</v>
      </c>
      <c r="GQ83" s="7">
        <f>X83*J83</f>
        <v>186</v>
      </c>
      <c r="GR83" s="7">
        <f>J83*115</f>
        <v>115</v>
      </c>
      <c r="GS83" s="8">
        <f t="shared" si="622"/>
        <v>71</v>
      </c>
      <c r="GT83" s="14">
        <f>GR83*AC83</f>
        <v>471500</v>
      </c>
      <c r="GU83" s="133">
        <f t="shared" si="623"/>
        <v>115</v>
      </c>
      <c r="GV83" s="133">
        <v>62</v>
      </c>
      <c r="GW83" s="133"/>
      <c r="GX83" s="133">
        <v>62</v>
      </c>
      <c r="GY83" s="133">
        <v>9</v>
      </c>
      <c r="GZ83" s="133">
        <v>62</v>
      </c>
      <c r="HA83" s="133">
        <v>62</v>
      </c>
      <c r="HB83" s="133">
        <f t="shared" si="624"/>
        <v>71</v>
      </c>
      <c r="HC83" s="133">
        <f t="shared" si="625"/>
        <v>186</v>
      </c>
      <c r="HD83" s="7">
        <f>Y83*J83</f>
        <v>186</v>
      </c>
      <c r="HE83" s="7">
        <f>J83*116</f>
        <v>116</v>
      </c>
      <c r="HF83" s="8">
        <f t="shared" si="626"/>
        <v>70</v>
      </c>
      <c r="HG83" s="155">
        <f>HE83*AC83</f>
        <v>475600</v>
      </c>
      <c r="HH83" s="7">
        <f t="shared" si="627"/>
        <v>116</v>
      </c>
      <c r="HI83" s="7">
        <v>62</v>
      </c>
      <c r="HJ83" s="7"/>
      <c r="HK83" s="7">
        <v>62</v>
      </c>
      <c r="HL83" s="7">
        <v>8</v>
      </c>
      <c r="HM83" s="7">
        <v>62</v>
      </c>
      <c r="HN83" s="7">
        <v>62</v>
      </c>
      <c r="HO83" s="133">
        <f t="shared" si="628"/>
        <v>70</v>
      </c>
      <c r="HP83" s="133">
        <f t="shared" si="629"/>
        <v>186</v>
      </c>
    </row>
    <row r="84" spans="2:224" x14ac:dyDescent="0.25">
      <c r="B84" s="7">
        <f>'PLAN DE NECESIDADES'!B66</f>
        <v>38</v>
      </c>
      <c r="C84" s="7">
        <f>'PLAN DE NECESIDADES'!C66</f>
        <v>4299904</v>
      </c>
      <c r="D84" s="60" t="str">
        <f>'PLAN DE NECESIDADES'!D66</f>
        <v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v>
      </c>
      <c r="E84" s="7" t="str">
        <f>'PLAN DE NECESIDADES'!E66</f>
        <v>JUEGO</v>
      </c>
      <c r="F84" s="7">
        <f>'PLAN DE NECESIDADES'!F66</f>
        <v>0</v>
      </c>
      <c r="G84" s="7">
        <f>'PLAN DE NECESIDADES'!H66</f>
        <v>60101717</v>
      </c>
      <c r="H84" s="7">
        <f>'PLAN DE NECESIDADES'!I66</f>
        <v>1108870</v>
      </c>
      <c r="I84" s="7" t="str">
        <f>'PLAN DE NECESIDADES'!J66</f>
        <v>8465-80-0011304</v>
      </c>
      <c r="J84" s="7">
        <v>1</v>
      </c>
      <c r="K84" s="85">
        <v>69</v>
      </c>
      <c r="L84" s="85">
        <v>217</v>
      </c>
      <c r="M84" s="85">
        <v>279</v>
      </c>
      <c r="N84" s="85">
        <v>217</v>
      </c>
      <c r="O84" s="85">
        <v>248</v>
      </c>
      <c r="P84" s="85">
        <v>248</v>
      </c>
      <c r="Q84" s="85">
        <v>279</v>
      </c>
      <c r="R84" s="85">
        <v>125</v>
      </c>
      <c r="S84" s="85">
        <v>62</v>
      </c>
      <c r="T84" s="85">
        <v>279</v>
      </c>
      <c r="U84" s="85">
        <v>186</v>
      </c>
      <c r="V84" s="85">
        <v>32</v>
      </c>
      <c r="W84" s="85">
        <v>12</v>
      </c>
      <c r="X84" s="85">
        <v>186</v>
      </c>
      <c r="Y84" s="85">
        <v>186</v>
      </c>
      <c r="Z84" s="85">
        <f t="shared" si="570"/>
        <v>2656</v>
      </c>
      <c r="AA84" s="7">
        <f t="shared" si="570"/>
        <v>1629</v>
      </c>
      <c r="AB84" s="7">
        <f t="shared" si="570"/>
        <v>1027</v>
      </c>
      <c r="AC84" s="12">
        <v>11300</v>
      </c>
      <c r="AD84" s="7">
        <f>K84*J84</f>
        <v>69</v>
      </c>
      <c r="AE84" s="7">
        <f>J84*42</f>
        <v>42</v>
      </c>
      <c r="AF84" s="8">
        <f t="shared" si="571"/>
        <v>27</v>
      </c>
      <c r="AG84" s="14">
        <f>AC84*AE84</f>
        <v>474600</v>
      </c>
      <c r="AH84" s="133">
        <f t="shared" si="572"/>
        <v>42</v>
      </c>
      <c r="AI84" s="133">
        <v>31</v>
      </c>
      <c r="AJ84" s="133"/>
      <c r="AK84" s="133">
        <v>20</v>
      </c>
      <c r="AL84" s="133">
        <v>9</v>
      </c>
      <c r="AM84" s="133">
        <v>18</v>
      </c>
      <c r="AN84" s="133">
        <v>18</v>
      </c>
      <c r="AO84" s="133">
        <f t="shared" si="630"/>
        <v>27</v>
      </c>
      <c r="AP84" s="133">
        <f t="shared" si="573"/>
        <v>69</v>
      </c>
      <c r="AQ84" s="7">
        <f>L84*J84</f>
        <v>217</v>
      </c>
      <c r="AR84" s="7">
        <f>J84*135</f>
        <v>135</v>
      </c>
      <c r="AS84" s="8">
        <f t="shared" si="574"/>
        <v>82</v>
      </c>
      <c r="AT84" s="14">
        <f>AC84*AR84</f>
        <v>1525500</v>
      </c>
      <c r="AU84" s="133">
        <f t="shared" si="575"/>
        <v>135</v>
      </c>
      <c r="AV84" s="133">
        <v>93</v>
      </c>
      <c r="AW84" s="133"/>
      <c r="AX84" s="133">
        <v>62</v>
      </c>
      <c r="AY84" s="133">
        <v>20</v>
      </c>
      <c r="AZ84" s="133">
        <v>62</v>
      </c>
      <c r="BA84" s="133">
        <v>62</v>
      </c>
      <c r="BB84" s="133">
        <f t="shared" si="576"/>
        <v>82</v>
      </c>
      <c r="BC84" s="133">
        <f t="shared" si="577"/>
        <v>217</v>
      </c>
      <c r="BD84" s="7">
        <f>M84*J84</f>
        <v>279</v>
      </c>
      <c r="BE84" s="7">
        <f>J84*173</f>
        <v>173</v>
      </c>
      <c r="BF84" s="8">
        <f t="shared" si="578"/>
        <v>106</v>
      </c>
      <c r="BG84" s="14">
        <f>AC84*BE84</f>
        <v>1954900</v>
      </c>
      <c r="BH84" s="133">
        <f t="shared" si="579"/>
        <v>173</v>
      </c>
      <c r="BI84" s="133">
        <v>93</v>
      </c>
      <c r="BJ84" s="133"/>
      <c r="BK84" s="133">
        <v>62</v>
      </c>
      <c r="BL84" s="133"/>
      <c r="BM84" s="133">
        <v>124</v>
      </c>
      <c r="BN84" s="134">
        <v>106</v>
      </c>
      <c r="BO84" s="133">
        <f t="shared" si="580"/>
        <v>106</v>
      </c>
      <c r="BP84" s="133">
        <f t="shared" si="581"/>
        <v>279</v>
      </c>
      <c r="BQ84" s="7">
        <f>N84*J84</f>
        <v>217</v>
      </c>
      <c r="BR84" s="7">
        <f>J84*135</f>
        <v>135</v>
      </c>
      <c r="BS84" s="8">
        <f t="shared" si="582"/>
        <v>82</v>
      </c>
      <c r="BT84" s="14">
        <f>AC84*BR84</f>
        <v>1525500</v>
      </c>
      <c r="BU84" s="133">
        <f t="shared" si="583"/>
        <v>135</v>
      </c>
      <c r="BV84" s="133">
        <v>93</v>
      </c>
      <c r="BW84" s="133"/>
      <c r="BX84" s="133">
        <v>62</v>
      </c>
      <c r="BY84" s="133">
        <v>20</v>
      </c>
      <c r="BZ84" s="133">
        <v>62</v>
      </c>
      <c r="CA84" s="133">
        <v>62</v>
      </c>
      <c r="CB84" s="133">
        <f t="shared" si="584"/>
        <v>82</v>
      </c>
      <c r="CC84" s="133">
        <f t="shared" si="585"/>
        <v>217</v>
      </c>
      <c r="CD84" s="7">
        <f>M84*J84</f>
        <v>279</v>
      </c>
      <c r="CE84" s="7">
        <f>J84*154</f>
        <v>154</v>
      </c>
      <c r="CF84" s="8">
        <f t="shared" si="586"/>
        <v>125</v>
      </c>
      <c r="CG84" s="14">
        <f>CE84*AC84</f>
        <v>1740200</v>
      </c>
      <c r="CH84" s="134">
        <f t="shared" si="587"/>
        <v>154</v>
      </c>
      <c r="CI84" s="134">
        <v>62</v>
      </c>
      <c r="CJ84" s="134"/>
      <c r="CK84" s="134">
        <v>62</v>
      </c>
      <c r="CL84" s="134"/>
      <c r="CM84" s="134">
        <v>124</v>
      </c>
      <c r="CN84" s="134">
        <v>94</v>
      </c>
      <c r="CO84" s="133">
        <f t="shared" si="588"/>
        <v>94</v>
      </c>
      <c r="CP84" s="133">
        <f t="shared" si="589"/>
        <v>248</v>
      </c>
      <c r="CQ84" s="7">
        <f>P84*J84</f>
        <v>248</v>
      </c>
      <c r="CR84" s="7">
        <f>J84*154</f>
        <v>154</v>
      </c>
      <c r="CS84" s="8">
        <f t="shared" si="590"/>
        <v>94</v>
      </c>
      <c r="CT84" s="14">
        <f>AC84*CR84</f>
        <v>1740200</v>
      </c>
      <c r="CU84" s="134">
        <f t="shared" si="591"/>
        <v>154</v>
      </c>
      <c r="CV84" s="134">
        <v>93</v>
      </c>
      <c r="CW84" s="134"/>
      <c r="CX84" s="134">
        <v>93</v>
      </c>
      <c r="CY84" s="134"/>
      <c r="CZ84" s="134">
        <v>62</v>
      </c>
      <c r="DA84" s="134"/>
      <c r="DB84" s="134">
        <f t="shared" si="592"/>
        <v>0</v>
      </c>
      <c r="DC84" s="134">
        <f t="shared" si="593"/>
        <v>154</v>
      </c>
      <c r="DD84" s="7">
        <f>Q84*J84</f>
        <v>279</v>
      </c>
      <c r="DE84" s="7">
        <f>J84*173</f>
        <v>173</v>
      </c>
      <c r="DF84" s="8">
        <f t="shared" si="594"/>
        <v>106</v>
      </c>
      <c r="DG84" s="14">
        <f>DE84*AC84</f>
        <v>1954900</v>
      </c>
      <c r="DH84" s="134">
        <f t="shared" si="595"/>
        <v>173</v>
      </c>
      <c r="DI84" s="134">
        <v>93</v>
      </c>
      <c r="DJ84" s="134"/>
      <c r="DK84" s="134">
        <v>124</v>
      </c>
      <c r="DL84" s="134">
        <v>44</v>
      </c>
      <c r="DM84" s="134">
        <v>62</v>
      </c>
      <c r="DN84" s="134">
        <v>62</v>
      </c>
      <c r="DO84" s="134">
        <f t="shared" si="596"/>
        <v>106</v>
      </c>
      <c r="DP84" s="134">
        <f t="shared" si="597"/>
        <v>279</v>
      </c>
      <c r="DQ84" s="7">
        <f>R84*J84</f>
        <v>125</v>
      </c>
      <c r="DR84" s="7">
        <f>J84*78</f>
        <v>78</v>
      </c>
      <c r="DS84" s="8">
        <f t="shared" si="598"/>
        <v>47</v>
      </c>
      <c r="DT84" s="14">
        <f>DR84*AC84</f>
        <v>881400</v>
      </c>
      <c r="DU84" s="134">
        <f t="shared" si="599"/>
        <v>78</v>
      </c>
      <c r="DV84" s="134">
        <v>0</v>
      </c>
      <c r="DW84" s="134"/>
      <c r="DX84" s="134">
        <v>62</v>
      </c>
      <c r="DY84" s="134"/>
      <c r="DZ84" s="134">
        <v>63</v>
      </c>
      <c r="EA84" s="134">
        <v>47</v>
      </c>
      <c r="EB84" s="134">
        <f t="shared" si="600"/>
        <v>47</v>
      </c>
      <c r="EC84" s="134">
        <f t="shared" si="601"/>
        <v>125</v>
      </c>
      <c r="ED84" s="7">
        <f>S84*J84</f>
        <v>62</v>
      </c>
      <c r="EE84" s="7">
        <f>J84*38</f>
        <v>38</v>
      </c>
      <c r="EF84" s="8">
        <f t="shared" si="602"/>
        <v>24</v>
      </c>
      <c r="EG84" s="14">
        <f>EE84*AC84</f>
        <v>429400</v>
      </c>
      <c r="EH84" s="133">
        <f t="shared" si="603"/>
        <v>38</v>
      </c>
      <c r="EI84" s="133">
        <v>0</v>
      </c>
      <c r="EJ84" s="133"/>
      <c r="EK84" s="133">
        <v>62</v>
      </c>
      <c r="EL84" s="133">
        <f t="shared" si="604"/>
        <v>24</v>
      </c>
      <c r="EM84" s="133">
        <v>0</v>
      </c>
      <c r="EN84" s="133"/>
      <c r="EO84" s="133">
        <f t="shared" si="605"/>
        <v>24</v>
      </c>
      <c r="EP84" s="133">
        <f t="shared" si="606"/>
        <v>62</v>
      </c>
      <c r="EQ84" s="7">
        <f>T84*J84</f>
        <v>279</v>
      </c>
      <c r="ER84" s="7">
        <f>J84*173</f>
        <v>173</v>
      </c>
      <c r="ES84" s="8">
        <f t="shared" si="607"/>
        <v>106</v>
      </c>
      <c r="ET84" s="14">
        <f>ER84*AC84</f>
        <v>1954900</v>
      </c>
      <c r="EU84" s="134">
        <f t="shared" si="608"/>
        <v>173</v>
      </c>
      <c r="EV84" s="134">
        <v>93</v>
      </c>
      <c r="EW84" s="134"/>
      <c r="EX84" s="134">
        <v>93</v>
      </c>
      <c r="EY84" s="134">
        <v>13</v>
      </c>
      <c r="EZ84" s="134">
        <v>93</v>
      </c>
      <c r="FA84" s="134">
        <v>93</v>
      </c>
      <c r="FB84" s="134">
        <f t="shared" si="609"/>
        <v>106</v>
      </c>
      <c r="FC84" s="134">
        <f t="shared" si="610"/>
        <v>279</v>
      </c>
      <c r="FD84" s="7">
        <f>U84*J84</f>
        <v>186</v>
      </c>
      <c r="FE84" s="7">
        <f>J84*115</f>
        <v>115</v>
      </c>
      <c r="FF84" s="8">
        <f t="shared" si="611"/>
        <v>71</v>
      </c>
      <c r="FG84" s="14">
        <f>FE84*AC84</f>
        <v>1299500</v>
      </c>
      <c r="FH84" s="133">
        <f t="shared" si="612"/>
        <v>115</v>
      </c>
      <c r="FI84" s="133">
        <v>62</v>
      </c>
      <c r="FJ84" s="133"/>
      <c r="FK84" s="133">
        <v>62</v>
      </c>
      <c r="FL84" s="133">
        <v>9</v>
      </c>
      <c r="FM84" s="133">
        <v>62</v>
      </c>
      <c r="FN84" s="133">
        <v>62</v>
      </c>
      <c r="FO84" s="133">
        <f t="shared" si="613"/>
        <v>71</v>
      </c>
      <c r="FP84" s="133">
        <f t="shared" si="614"/>
        <v>186</v>
      </c>
      <c r="FQ84" s="7">
        <f>V84*J84</f>
        <v>32</v>
      </c>
      <c r="FR84" s="7">
        <f>J84*20</f>
        <v>20</v>
      </c>
      <c r="FS84" s="8">
        <f t="shared" si="615"/>
        <v>12</v>
      </c>
      <c r="FT84" s="14">
        <f>FR84*AC84</f>
        <v>226000</v>
      </c>
      <c r="FU84" s="134">
        <f t="shared" si="631"/>
        <v>20</v>
      </c>
      <c r="FV84" s="134">
        <v>0</v>
      </c>
      <c r="FW84" s="134"/>
      <c r="FX84" s="134">
        <v>16</v>
      </c>
      <c r="FY84" s="134"/>
      <c r="FZ84" s="134">
        <v>16</v>
      </c>
      <c r="GA84" s="134">
        <v>12</v>
      </c>
      <c r="GB84" s="134">
        <f t="shared" si="616"/>
        <v>12</v>
      </c>
      <c r="GC84" s="134">
        <f t="shared" si="617"/>
        <v>32</v>
      </c>
      <c r="GD84" s="7">
        <f>W84*J84</f>
        <v>12</v>
      </c>
      <c r="GE84" s="7">
        <f>J84*7</f>
        <v>7</v>
      </c>
      <c r="GF84" s="8">
        <f t="shared" si="618"/>
        <v>5</v>
      </c>
      <c r="GG84" s="14">
        <f>GE84*AC84</f>
        <v>79100</v>
      </c>
      <c r="GH84" s="134">
        <f t="shared" si="619"/>
        <v>7</v>
      </c>
      <c r="GI84" s="134">
        <v>4</v>
      </c>
      <c r="GJ84" s="134"/>
      <c r="GK84" s="134">
        <v>4</v>
      </c>
      <c r="GL84" s="134">
        <v>1</v>
      </c>
      <c r="GM84" s="134">
        <v>4</v>
      </c>
      <c r="GN84" s="134">
        <v>4</v>
      </c>
      <c r="GO84" s="134">
        <f t="shared" si="620"/>
        <v>5</v>
      </c>
      <c r="GP84" s="134">
        <f t="shared" si="621"/>
        <v>12</v>
      </c>
      <c r="GQ84" s="7">
        <f>X84*J84</f>
        <v>186</v>
      </c>
      <c r="GR84" s="7">
        <f>J84*116</f>
        <v>116</v>
      </c>
      <c r="GS84" s="8">
        <f t="shared" si="622"/>
        <v>70</v>
      </c>
      <c r="GT84" s="14">
        <f>GR84*AC84</f>
        <v>1310800</v>
      </c>
      <c r="GU84" s="133">
        <f t="shared" si="623"/>
        <v>116</v>
      </c>
      <c r="GV84" s="133">
        <v>62</v>
      </c>
      <c r="GW84" s="133"/>
      <c r="GX84" s="133">
        <v>62</v>
      </c>
      <c r="GY84" s="133">
        <v>8</v>
      </c>
      <c r="GZ84" s="133">
        <v>62</v>
      </c>
      <c r="HA84" s="133">
        <v>62</v>
      </c>
      <c r="HB84" s="133">
        <f t="shared" si="624"/>
        <v>70</v>
      </c>
      <c r="HC84" s="133">
        <f t="shared" si="625"/>
        <v>186</v>
      </c>
      <c r="HD84" s="7">
        <f>Y84*J84</f>
        <v>186</v>
      </c>
      <c r="HE84" s="7">
        <f>J84*116</f>
        <v>116</v>
      </c>
      <c r="HF84" s="8">
        <f t="shared" si="626"/>
        <v>70</v>
      </c>
      <c r="HG84" s="155">
        <f>HE84*AC84</f>
        <v>1310800</v>
      </c>
      <c r="HH84" s="7">
        <f t="shared" si="627"/>
        <v>116</v>
      </c>
      <c r="HI84" s="7">
        <v>62</v>
      </c>
      <c r="HJ84" s="7"/>
      <c r="HK84" s="7">
        <v>62</v>
      </c>
      <c r="HL84" s="7">
        <v>8</v>
      </c>
      <c r="HM84" s="7">
        <v>62</v>
      </c>
      <c r="HN84" s="7">
        <v>62</v>
      </c>
      <c r="HO84" s="133">
        <f t="shared" si="628"/>
        <v>70</v>
      </c>
      <c r="HP84" s="133">
        <f t="shared" si="629"/>
        <v>186</v>
      </c>
    </row>
    <row r="85" spans="2:224" hidden="1" x14ac:dyDescent="0.25">
      <c r="B85" s="226" t="s">
        <v>18</v>
      </c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8">
        <f>SUM(AG81:AG84)</f>
        <v>1341000</v>
      </c>
      <c r="AE85" s="228"/>
      <c r="AF85" s="228"/>
      <c r="AG85" s="228"/>
      <c r="AH85" s="113"/>
      <c r="AI85" s="113"/>
      <c r="AJ85" s="113"/>
      <c r="AK85" s="113"/>
      <c r="AL85" s="113"/>
      <c r="AM85" s="113"/>
      <c r="AN85" s="113"/>
      <c r="AO85" s="113"/>
      <c r="AP85" s="113"/>
      <c r="AQ85" s="228">
        <f t="shared" ref="AQ85" si="633">SUM(AT81:AT84)</f>
        <v>4225500</v>
      </c>
      <c r="AR85" s="228"/>
      <c r="AS85" s="228"/>
      <c r="AT85" s="228"/>
      <c r="AU85" s="113"/>
      <c r="AV85" s="113"/>
      <c r="AW85" s="113"/>
      <c r="AX85" s="113"/>
      <c r="AY85" s="113"/>
      <c r="AZ85" s="113"/>
      <c r="BA85" s="113"/>
      <c r="BB85" s="113"/>
      <c r="BC85" s="113"/>
      <c r="BD85" s="228">
        <f t="shared" ref="BD85" si="634">SUM(BG81:BG84)</f>
        <v>5434900</v>
      </c>
      <c r="BE85" s="228"/>
      <c r="BF85" s="228"/>
      <c r="BG85" s="228"/>
      <c r="BH85" s="142"/>
      <c r="BI85" s="113"/>
      <c r="BJ85" s="113"/>
      <c r="BK85" s="113"/>
      <c r="BL85" s="133">
        <f t="shared" ref="BL85:BL87" si="635">BJ85-BK85</f>
        <v>0</v>
      </c>
      <c r="BM85" s="113"/>
      <c r="BN85" s="113"/>
      <c r="BO85" s="113"/>
      <c r="BP85" s="113"/>
      <c r="BQ85" s="228">
        <f t="shared" ref="BQ85" si="636">SUM(BT81:BT84)</f>
        <v>4225500</v>
      </c>
      <c r="BR85" s="228"/>
      <c r="BS85" s="228"/>
      <c r="BT85" s="228"/>
      <c r="BU85" s="142"/>
      <c r="BV85" s="142"/>
      <c r="BW85" s="142"/>
      <c r="BX85" s="142"/>
      <c r="BY85" s="142"/>
      <c r="BZ85" s="142"/>
      <c r="CA85" s="142"/>
      <c r="CB85" s="142"/>
      <c r="CC85" s="142"/>
      <c r="CD85" s="228">
        <f t="shared" ref="CD85" si="637">SUM(CG81:CG84)</f>
        <v>4830700</v>
      </c>
      <c r="CE85" s="228"/>
      <c r="CF85" s="228"/>
      <c r="CG85" s="228"/>
      <c r="CH85" s="153"/>
      <c r="CI85" s="113"/>
      <c r="CJ85" s="113"/>
      <c r="CK85" s="113"/>
      <c r="CL85" s="113"/>
      <c r="CM85" s="113"/>
      <c r="CN85" s="113"/>
      <c r="CO85" s="113"/>
      <c r="CP85" s="113"/>
      <c r="CQ85" s="228">
        <f t="shared" ref="CQ85" si="638">SUM(CT81:CT84)</f>
        <v>4830700</v>
      </c>
      <c r="CR85" s="228"/>
      <c r="CS85" s="228"/>
      <c r="CT85" s="228"/>
      <c r="CU85" s="153"/>
      <c r="CV85" s="153"/>
      <c r="CW85" s="153"/>
      <c r="CX85" s="153"/>
      <c r="CY85" s="153"/>
      <c r="CZ85" s="153"/>
      <c r="DA85" s="153"/>
      <c r="DB85" s="153"/>
      <c r="DC85" s="153"/>
      <c r="DD85" s="228">
        <f t="shared" ref="DD85" si="639">SUM(DG81:DG84)</f>
        <v>5434900</v>
      </c>
      <c r="DE85" s="228"/>
      <c r="DF85" s="228"/>
      <c r="DG85" s="228"/>
      <c r="DH85" s="153"/>
      <c r="DI85" s="153"/>
      <c r="DJ85" s="153"/>
      <c r="DK85" s="153"/>
      <c r="DL85" s="153"/>
      <c r="DM85" s="153"/>
      <c r="DN85" s="153"/>
      <c r="DO85" s="153"/>
      <c r="DP85" s="153"/>
      <c r="DQ85" s="228">
        <f t="shared" ref="DQ85" si="640">SUM(DT81:DT84)</f>
        <v>2436000</v>
      </c>
      <c r="DR85" s="228"/>
      <c r="DS85" s="228"/>
      <c r="DT85" s="228"/>
      <c r="DU85" s="153"/>
      <c r="DV85" s="153"/>
      <c r="DW85" s="153"/>
      <c r="DX85" s="153"/>
      <c r="DY85" s="153"/>
      <c r="DZ85" s="153"/>
      <c r="EA85" s="153"/>
      <c r="EB85" s="153"/>
      <c r="EC85" s="153"/>
      <c r="ED85" s="228">
        <f t="shared" ref="ED85" si="641">SUM(EG81:EG84)</f>
        <v>1205300</v>
      </c>
      <c r="EE85" s="228"/>
      <c r="EF85" s="228"/>
      <c r="EG85" s="228"/>
      <c r="EH85" s="142"/>
      <c r="EI85" s="142"/>
      <c r="EJ85" s="142"/>
      <c r="EK85" s="142"/>
      <c r="EL85" s="142"/>
      <c r="EM85" s="142"/>
      <c r="EN85" s="142"/>
      <c r="EO85" s="142"/>
      <c r="EP85" s="142"/>
      <c r="EQ85" s="228">
        <f t="shared" ref="EQ85" si="642">SUM(ET81:ET84)</f>
        <v>5434900</v>
      </c>
      <c r="ER85" s="228"/>
      <c r="ES85" s="228"/>
      <c r="ET85" s="228"/>
      <c r="EU85" s="153"/>
      <c r="EV85" s="153"/>
      <c r="EW85" s="153"/>
      <c r="EX85" s="153"/>
      <c r="EY85" s="153"/>
      <c r="EZ85" s="153"/>
      <c r="FA85" s="153"/>
      <c r="FB85" s="153"/>
      <c r="FC85" s="153"/>
      <c r="FD85" s="228">
        <f t="shared" ref="FD85" si="643">SUM(FG81:FG84)</f>
        <v>3623600</v>
      </c>
      <c r="FE85" s="228"/>
      <c r="FF85" s="228"/>
      <c r="FG85" s="228"/>
      <c r="FH85" s="142"/>
      <c r="FI85" s="142"/>
      <c r="FJ85" s="142"/>
      <c r="FK85" s="142"/>
      <c r="FL85" s="142"/>
      <c r="FM85" s="142"/>
      <c r="FN85" s="142"/>
      <c r="FO85" s="142"/>
      <c r="FP85" s="142"/>
      <c r="FQ85" s="228">
        <f t="shared" ref="FQ85" si="644">SUM(FT81:FT84)</f>
        <v>621900</v>
      </c>
      <c r="FR85" s="228"/>
      <c r="FS85" s="228"/>
      <c r="FT85" s="228"/>
      <c r="FU85" s="153"/>
      <c r="FV85" s="153"/>
      <c r="FW85" s="153"/>
      <c r="FX85" s="153"/>
      <c r="FY85" s="153"/>
      <c r="FZ85" s="153"/>
      <c r="GA85" s="153"/>
      <c r="GB85" s="153"/>
      <c r="GC85" s="153"/>
      <c r="GD85" s="228">
        <f t="shared" ref="GD85" si="645">SUM(GG81:GG84)</f>
        <v>232700</v>
      </c>
      <c r="GE85" s="228"/>
      <c r="GF85" s="228"/>
      <c r="GG85" s="228"/>
      <c r="GH85" s="153"/>
      <c r="GI85" s="153"/>
      <c r="GJ85" s="134">
        <f t="shared" ref="GJ85:GJ87" si="646">GH85-GI85</f>
        <v>0</v>
      </c>
      <c r="GK85" s="153"/>
      <c r="GL85" s="153"/>
      <c r="GM85" s="153"/>
      <c r="GN85" s="153"/>
      <c r="GO85" s="153"/>
      <c r="GP85" s="153"/>
      <c r="GQ85" s="228">
        <f t="shared" ref="GQ85" si="647">SUM(GT81:GT84)</f>
        <v>3621600</v>
      </c>
      <c r="GR85" s="228"/>
      <c r="GS85" s="228"/>
      <c r="GT85" s="228"/>
      <c r="GU85" s="142"/>
      <c r="GV85" s="142"/>
      <c r="GW85" s="142"/>
      <c r="GX85" s="142"/>
      <c r="GY85" s="142"/>
      <c r="GZ85" s="142"/>
      <c r="HA85" s="142"/>
      <c r="HB85" s="142"/>
      <c r="HC85" s="142"/>
      <c r="HD85" s="228">
        <f t="shared" ref="HD85" si="648">SUM(HG81:HG84)</f>
        <v>3614900</v>
      </c>
      <c r="HE85" s="228"/>
      <c r="HF85" s="228"/>
      <c r="HG85" s="228"/>
    </row>
    <row r="86" spans="2:224" hidden="1" x14ac:dyDescent="0.25">
      <c r="B86" s="226" t="s">
        <v>19</v>
      </c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8">
        <f>SUMIFS(PRESUPUESTO!$G$159:$G$173,PRESUPUESTO!$E$159:$E$173,'MÍNIMAS (2)'!AD79)</f>
        <v>1344689.4537142857</v>
      </c>
      <c r="AE86" s="228"/>
      <c r="AF86" s="228"/>
      <c r="AG86" s="228"/>
      <c r="AH86" s="113"/>
      <c r="AI86" s="113"/>
      <c r="AJ86" s="113"/>
      <c r="AK86" s="113"/>
      <c r="AL86" s="113"/>
      <c r="AM86" s="113"/>
      <c r="AN86" s="113"/>
      <c r="AO86" s="113"/>
      <c r="AP86" s="113"/>
      <c r="AQ86" s="228">
        <f>SUMIFS(PRESUPUESTO!$G$159:$G$173,PRESUPUESTO!$E$159:$E$173,'MÍNIMAS (2)'!AQ79)</f>
        <v>4228950.8906666674</v>
      </c>
      <c r="AR86" s="228"/>
      <c r="AS86" s="228"/>
      <c r="AT86" s="228"/>
      <c r="AU86" s="113"/>
      <c r="AV86" s="113"/>
      <c r="AW86" s="113"/>
      <c r="AX86" s="113"/>
      <c r="AY86" s="113"/>
      <c r="AZ86" s="113"/>
      <c r="BA86" s="113"/>
      <c r="BB86" s="113"/>
      <c r="BC86" s="113"/>
      <c r="BD86" s="228">
        <f>SUMIFS(PRESUPUESTO!$G$159:$G$173,PRESUPUESTO!$E$159:$E$173,'MÍNIMAS (2)'!BD79)</f>
        <v>5437222.5737142861</v>
      </c>
      <c r="BE86" s="228"/>
      <c r="BF86" s="228"/>
      <c r="BG86" s="228"/>
      <c r="BH86" s="142"/>
      <c r="BI86" s="113"/>
      <c r="BJ86" s="113"/>
      <c r="BK86" s="113"/>
      <c r="BL86" s="133">
        <f t="shared" si="635"/>
        <v>0</v>
      </c>
      <c r="BM86" s="113"/>
      <c r="BN86" s="113"/>
      <c r="BO86" s="113"/>
      <c r="BP86" s="113"/>
      <c r="BQ86" s="228">
        <f>SUMIFS(PRESUPUESTO!$G$159:$G$173,PRESUPUESTO!$E$159:$E$173,'MÍNIMAS (2)'!BQ79)</f>
        <v>4228950.8906666674</v>
      </c>
      <c r="BR86" s="228"/>
      <c r="BS86" s="228"/>
      <c r="BT86" s="228"/>
      <c r="BU86" s="142"/>
      <c r="BV86" s="142"/>
      <c r="BW86" s="142"/>
      <c r="BX86" s="142"/>
      <c r="BY86" s="142"/>
      <c r="BZ86" s="142"/>
      <c r="CA86" s="142"/>
      <c r="CB86" s="142"/>
      <c r="CC86" s="142"/>
      <c r="CD86" s="228">
        <f>SUMIFS(PRESUPUESTO!$G$159:$G$173,PRESUPUESTO!$E$159:$E$173,'MÍNIMAS (2)'!CD79)</f>
        <v>4833086.7321904767</v>
      </c>
      <c r="CE86" s="228"/>
      <c r="CF86" s="228"/>
      <c r="CG86" s="228"/>
      <c r="CH86" s="153"/>
      <c r="CI86" s="113"/>
      <c r="CJ86" s="113"/>
      <c r="CK86" s="113"/>
      <c r="CL86" s="113"/>
      <c r="CM86" s="113"/>
      <c r="CN86" s="113"/>
      <c r="CO86" s="113"/>
      <c r="CP86" s="113"/>
      <c r="CQ86" s="228">
        <f>SUMIFS(PRESUPUESTO!$G$159:$G$173,PRESUPUESTO!$E$159:$E$173,'MÍNIMAS (2)'!CQ79)</f>
        <v>4833086.7321904767</v>
      </c>
      <c r="CR86" s="228"/>
      <c r="CS86" s="228"/>
      <c r="CT86" s="228"/>
      <c r="CU86" s="153"/>
      <c r="CV86" s="153"/>
      <c r="CW86" s="153"/>
      <c r="CX86" s="153"/>
      <c r="CY86" s="153"/>
      <c r="CZ86" s="153"/>
      <c r="DA86" s="153"/>
      <c r="DB86" s="153"/>
      <c r="DC86" s="153"/>
      <c r="DD86" s="228">
        <f>SUMIFS(PRESUPUESTO!$G$159:$G$173,PRESUPUESTO!$E$159:$E$173,'MÍNIMAS (2)'!DD79)</f>
        <v>5437222.5737142861</v>
      </c>
      <c r="DE86" s="228"/>
      <c r="DF86" s="228"/>
      <c r="DG86" s="228"/>
      <c r="DH86" s="153"/>
      <c r="DI86" s="153"/>
      <c r="DJ86" s="153"/>
      <c r="DK86" s="153"/>
      <c r="DL86" s="153"/>
      <c r="DM86" s="153"/>
      <c r="DN86" s="153"/>
      <c r="DO86" s="153"/>
      <c r="DP86" s="153"/>
      <c r="DQ86" s="228">
        <f>SUMIFS(PRESUPUESTO!$G$159:$G$173,PRESUPUESTO!$E$159:$E$173,'MÍNIMAS (2)'!DQ79)</f>
        <v>2436031.6190476194</v>
      </c>
      <c r="DR86" s="228"/>
      <c r="DS86" s="228"/>
      <c r="DT86" s="228"/>
      <c r="DU86" s="153"/>
      <c r="DV86" s="153"/>
      <c r="DW86" s="153"/>
      <c r="DX86" s="153"/>
      <c r="DY86" s="153"/>
      <c r="DZ86" s="153"/>
      <c r="EA86" s="153"/>
      <c r="EB86" s="153"/>
      <c r="EC86" s="153"/>
      <c r="ED86" s="228">
        <f>SUMIFS(PRESUPUESTO!$G$159:$G$173,PRESUPUESTO!$E$159:$E$173,'MÍNIMAS (2)'!ED79)</f>
        <v>1208271.6830476192</v>
      </c>
      <c r="EE86" s="228"/>
      <c r="EF86" s="228"/>
      <c r="EG86" s="228"/>
      <c r="EH86" s="142"/>
      <c r="EI86" s="142"/>
      <c r="EJ86" s="142"/>
      <c r="EK86" s="142"/>
      <c r="EL86" s="142"/>
      <c r="EM86" s="142"/>
      <c r="EN86" s="142"/>
      <c r="EO86" s="142"/>
      <c r="EP86" s="142"/>
      <c r="EQ86" s="228">
        <f>SUMIFS(PRESUPUESTO!$G$159:$G$173,PRESUPUESTO!$E$159:$E$173,'MÍNIMAS (2)'!EQ79)</f>
        <v>5437222.5737142861</v>
      </c>
      <c r="ER86" s="228"/>
      <c r="ES86" s="228"/>
      <c r="ET86" s="228"/>
      <c r="EU86" s="153"/>
      <c r="EV86" s="153"/>
      <c r="EW86" s="153"/>
      <c r="EX86" s="153"/>
      <c r="EY86" s="153"/>
      <c r="EZ86" s="153"/>
      <c r="FA86" s="153"/>
      <c r="FB86" s="153"/>
      <c r="FC86" s="153"/>
      <c r="FD86" s="228">
        <f>SUMIFS(PRESUPUESTO!$G$159:$G$173,PRESUPUESTO!$E$159:$E$173,'MÍNIMAS (2)'!FD79)</f>
        <v>3624815.0491428575</v>
      </c>
      <c r="FE86" s="228"/>
      <c r="FF86" s="228"/>
      <c r="FG86" s="228"/>
      <c r="FH86" s="142"/>
      <c r="FI86" s="142"/>
      <c r="FJ86" s="142"/>
      <c r="FK86" s="142"/>
      <c r="FL86" s="142"/>
      <c r="FM86" s="142"/>
      <c r="FN86" s="142"/>
      <c r="FO86" s="142"/>
      <c r="FP86" s="142"/>
      <c r="FQ86" s="228">
        <f>SUMIFS(PRESUPUESTO!$G$159:$G$173,PRESUPUESTO!$E$159:$E$173,'MÍNIMAS (2)'!FQ79)</f>
        <v>623624.09447619051</v>
      </c>
      <c r="FR86" s="228"/>
      <c r="FS86" s="228"/>
      <c r="FT86" s="228"/>
      <c r="FU86" s="153"/>
      <c r="FV86" s="153"/>
      <c r="FW86" s="153"/>
      <c r="FX86" s="153"/>
      <c r="FY86" s="153"/>
      <c r="FZ86" s="153"/>
      <c r="GA86" s="153"/>
      <c r="GB86" s="153"/>
      <c r="GC86" s="153"/>
      <c r="GD86" s="228">
        <f>SUMIFS(PRESUPUESTO!$G$159:$G$173,PRESUPUESTO!$E$159:$E$173,'MÍNIMAS (2)'!GD79)</f>
        <v>233859.03542857146</v>
      </c>
      <c r="GE86" s="228"/>
      <c r="GF86" s="228"/>
      <c r="GG86" s="228"/>
      <c r="GH86" s="153"/>
      <c r="GI86" s="153"/>
      <c r="GJ86" s="134">
        <f t="shared" si="646"/>
        <v>0</v>
      </c>
      <c r="GK86" s="153"/>
      <c r="GL86" s="153"/>
      <c r="GM86" s="153"/>
      <c r="GN86" s="153"/>
      <c r="GO86" s="153"/>
      <c r="GP86" s="153"/>
      <c r="GQ86" s="228">
        <f>SUMIFS(PRESUPUESTO!$G$159:$G$173,PRESUPUESTO!$E$159:$E$173,'MÍNIMAS (2)'!GQ79)</f>
        <v>3624815.0491428575</v>
      </c>
      <c r="GR86" s="228"/>
      <c r="GS86" s="228"/>
      <c r="GT86" s="228"/>
      <c r="GU86" s="142"/>
      <c r="GV86" s="142"/>
      <c r="GW86" s="142"/>
      <c r="GX86" s="142"/>
      <c r="GY86" s="142"/>
      <c r="GZ86" s="142"/>
      <c r="HA86" s="142"/>
      <c r="HB86" s="142"/>
      <c r="HC86" s="142"/>
      <c r="HD86" s="228">
        <f>SUMIFS(PRESUPUESTO!$G$159:$G$173,PRESUPUESTO!$E$159:$E$173,'MÍNIMAS (2)'!HD79)</f>
        <v>3624815.0491428575</v>
      </c>
      <c r="HE86" s="228"/>
      <c r="HF86" s="228"/>
      <c r="HG86" s="228"/>
      <c r="HH86" s="167">
        <f>SUM(AD86:HG86)</f>
        <v>51156664.000000015</v>
      </c>
    </row>
    <row r="87" spans="2:224" hidden="1" x14ac:dyDescent="0.25">
      <c r="B87" s="226" t="s">
        <v>10</v>
      </c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4">
        <f>AD86-AD85</f>
        <v>3689.4537142857444</v>
      </c>
      <c r="AE87" s="224"/>
      <c r="AF87" s="224"/>
      <c r="AG87" s="224"/>
      <c r="AH87" s="118"/>
      <c r="AI87" s="118"/>
      <c r="AJ87" s="118"/>
      <c r="AK87" s="118"/>
      <c r="AL87" s="118"/>
      <c r="AM87" s="118"/>
      <c r="AN87" s="118"/>
      <c r="AO87" s="118"/>
      <c r="AP87" s="118"/>
      <c r="AQ87" s="224">
        <f>AQ86-AQ85</f>
        <v>3450.890666667372</v>
      </c>
      <c r="AR87" s="224"/>
      <c r="AS87" s="224"/>
      <c r="AT87" s="224"/>
      <c r="AU87" s="118"/>
      <c r="AV87" s="118"/>
      <c r="AW87" s="118"/>
      <c r="AX87" s="118"/>
      <c r="AY87" s="118"/>
      <c r="AZ87" s="118"/>
      <c r="BA87" s="118"/>
      <c r="BB87" s="118"/>
      <c r="BC87" s="118"/>
      <c r="BD87" s="224">
        <f>BD86-BD85</f>
        <v>2322.5737142860889</v>
      </c>
      <c r="BE87" s="224"/>
      <c r="BF87" s="224"/>
      <c r="BG87" s="224"/>
      <c r="BH87" s="140"/>
      <c r="BI87" s="118"/>
      <c r="BJ87" s="118"/>
      <c r="BK87" s="118"/>
      <c r="BL87" s="133">
        <f t="shared" si="635"/>
        <v>0</v>
      </c>
      <c r="BM87" s="118"/>
      <c r="BN87" s="118"/>
      <c r="BO87" s="118"/>
      <c r="BP87" s="118"/>
      <c r="BQ87" s="224">
        <f t="shared" ref="BQ87" si="649">BQ86-BQ85</f>
        <v>3450.890666667372</v>
      </c>
      <c r="BR87" s="224"/>
      <c r="BS87" s="224"/>
      <c r="BT87" s="224"/>
      <c r="BU87" s="140"/>
      <c r="BV87" s="140"/>
      <c r="BW87" s="140"/>
      <c r="BX87" s="140"/>
      <c r="BY87" s="140"/>
      <c r="BZ87" s="140"/>
      <c r="CA87" s="140"/>
      <c r="CB87" s="140"/>
      <c r="CC87" s="140"/>
      <c r="CD87" s="224">
        <f>CD86-CD85</f>
        <v>2386.7321904767305</v>
      </c>
      <c r="CE87" s="224"/>
      <c r="CF87" s="224"/>
      <c r="CG87" s="224"/>
      <c r="CH87" s="151"/>
      <c r="CI87" s="118"/>
      <c r="CJ87" s="118"/>
      <c r="CK87" s="118"/>
      <c r="CL87" s="118"/>
      <c r="CM87" s="118"/>
      <c r="CN87" s="118"/>
      <c r="CO87" s="118"/>
      <c r="CP87" s="118"/>
      <c r="CQ87" s="224">
        <f>CQ86-CQ85</f>
        <v>2386.7321904767305</v>
      </c>
      <c r="CR87" s="224"/>
      <c r="CS87" s="224"/>
      <c r="CT87" s="224"/>
      <c r="CU87" s="151"/>
      <c r="CV87" s="151"/>
      <c r="CW87" s="151"/>
      <c r="CX87" s="151"/>
      <c r="CY87" s="151"/>
      <c r="CZ87" s="151"/>
      <c r="DA87" s="151"/>
      <c r="DB87" s="151"/>
      <c r="DC87" s="151"/>
      <c r="DD87" s="224">
        <f>DD86-DD85</f>
        <v>2322.5737142860889</v>
      </c>
      <c r="DE87" s="224"/>
      <c r="DF87" s="224"/>
      <c r="DG87" s="224"/>
      <c r="DH87" s="151"/>
      <c r="DI87" s="151"/>
      <c r="DJ87" s="151"/>
      <c r="DK87" s="151"/>
      <c r="DL87" s="151"/>
      <c r="DM87" s="151"/>
      <c r="DN87" s="151"/>
      <c r="DO87" s="151"/>
      <c r="DP87" s="151"/>
      <c r="DQ87" s="224">
        <f t="shared" ref="DQ87" si="650">DQ86-DQ85</f>
        <v>31.619047619402409</v>
      </c>
      <c r="DR87" s="224"/>
      <c r="DS87" s="224"/>
      <c r="DT87" s="224"/>
      <c r="DU87" s="151"/>
      <c r="DV87" s="151"/>
      <c r="DW87" s="151"/>
      <c r="DX87" s="151"/>
      <c r="DY87" s="151"/>
      <c r="DZ87" s="151"/>
      <c r="EA87" s="151"/>
      <c r="EB87" s="151"/>
      <c r="EC87" s="151"/>
      <c r="ED87" s="224">
        <f>ED86-ED85</f>
        <v>2971.6830476191826</v>
      </c>
      <c r="EE87" s="224"/>
      <c r="EF87" s="224"/>
      <c r="EG87" s="224"/>
      <c r="EH87" s="140"/>
      <c r="EI87" s="140"/>
      <c r="EJ87" s="140"/>
      <c r="EK87" s="140"/>
      <c r="EL87" s="140"/>
      <c r="EM87" s="140"/>
      <c r="EN87" s="140"/>
      <c r="EO87" s="140"/>
      <c r="EP87" s="140"/>
      <c r="EQ87" s="224">
        <f>EQ86-EQ85</f>
        <v>2322.5737142860889</v>
      </c>
      <c r="ER87" s="224"/>
      <c r="ES87" s="224"/>
      <c r="ET87" s="224"/>
      <c r="EU87" s="151"/>
      <c r="EV87" s="151"/>
      <c r="EW87" s="151"/>
      <c r="EX87" s="151"/>
      <c r="EY87" s="151"/>
      <c r="EZ87" s="151"/>
      <c r="FA87" s="151"/>
      <c r="FB87" s="151"/>
      <c r="FC87" s="151"/>
      <c r="FD87" s="224">
        <f>FD86-FD85</f>
        <v>1215.0491428575478</v>
      </c>
      <c r="FE87" s="224"/>
      <c r="FF87" s="224"/>
      <c r="FG87" s="224"/>
      <c r="FH87" s="140"/>
      <c r="FI87" s="140"/>
      <c r="FJ87" s="140"/>
      <c r="FK87" s="140"/>
      <c r="FL87" s="140"/>
      <c r="FM87" s="140"/>
      <c r="FN87" s="140"/>
      <c r="FO87" s="140"/>
      <c r="FP87" s="140"/>
      <c r="FQ87" s="224">
        <f t="shared" ref="FQ87" si="651">FQ86-FQ85</f>
        <v>1724.0944761905121</v>
      </c>
      <c r="FR87" s="224"/>
      <c r="FS87" s="224"/>
      <c r="FT87" s="224"/>
      <c r="FU87" s="151"/>
      <c r="FV87" s="151"/>
      <c r="FW87" s="151"/>
      <c r="FX87" s="151"/>
      <c r="FY87" s="151"/>
      <c r="FZ87" s="151"/>
      <c r="GA87" s="151"/>
      <c r="GB87" s="151"/>
      <c r="GC87" s="151"/>
      <c r="GD87" s="224">
        <f>GD86-GD85</f>
        <v>1159.0354285714566</v>
      </c>
      <c r="GE87" s="224"/>
      <c r="GF87" s="224"/>
      <c r="GG87" s="224"/>
      <c r="GH87" s="151"/>
      <c r="GI87" s="151"/>
      <c r="GJ87" s="134">
        <f t="shared" si="646"/>
        <v>0</v>
      </c>
      <c r="GK87" s="151"/>
      <c r="GL87" s="151"/>
      <c r="GM87" s="151"/>
      <c r="GN87" s="151"/>
      <c r="GO87" s="151"/>
      <c r="GP87" s="151"/>
      <c r="GQ87" s="224">
        <f>GQ86-GQ85</f>
        <v>3215.0491428575478</v>
      </c>
      <c r="GR87" s="224"/>
      <c r="GS87" s="224"/>
      <c r="GT87" s="224"/>
      <c r="GU87" s="140"/>
      <c r="GV87" s="140"/>
      <c r="GW87" s="140"/>
      <c r="GX87" s="140"/>
      <c r="GY87" s="140"/>
      <c r="GZ87" s="140"/>
      <c r="HA87" s="140"/>
      <c r="HB87" s="140"/>
      <c r="HC87" s="140"/>
      <c r="HD87" s="224">
        <f>HD86-HD85</f>
        <v>9915.0491428575478</v>
      </c>
      <c r="HE87" s="224"/>
      <c r="HF87" s="224"/>
      <c r="HG87" s="224"/>
    </row>
    <row r="89" spans="2:224" x14ac:dyDescent="0.3">
      <c r="AD89" s="232">
        <f>SUM(AD85,AD74,AD63,AD53,AD39,AD29,AD17)</f>
        <v>11456500</v>
      </c>
      <c r="AE89" s="232"/>
      <c r="AF89" s="232"/>
      <c r="AG89" s="232"/>
      <c r="AH89" s="121"/>
      <c r="AI89" s="121"/>
      <c r="AJ89" s="121"/>
      <c r="AK89" s="121"/>
      <c r="AL89" s="121"/>
      <c r="AM89" s="121"/>
      <c r="AN89" s="121"/>
      <c r="AO89" s="121"/>
      <c r="AP89" s="121"/>
      <c r="AQ89" s="232">
        <f>SUM(AQ85,AQ74,AQ63,AQ53,AQ39,AQ29,AQ17)</f>
        <v>36070200</v>
      </c>
      <c r="AR89" s="232"/>
      <c r="AS89" s="232"/>
      <c r="AT89" s="232"/>
      <c r="AU89" s="121"/>
      <c r="AV89" s="121"/>
      <c r="AW89" s="121"/>
      <c r="AX89" s="121"/>
      <c r="AY89" s="121"/>
      <c r="AZ89" s="121"/>
      <c r="BA89" s="121"/>
      <c r="BB89" s="121"/>
      <c r="BC89" s="121"/>
      <c r="BD89" s="232">
        <f>SUM(BD85,BD74,BD63,BD53,BD39,BD29,BD17)</f>
        <v>46383600</v>
      </c>
      <c r="BE89" s="232"/>
      <c r="BF89" s="232"/>
      <c r="BG89" s="232"/>
      <c r="BI89" s="121"/>
      <c r="BJ89" s="121"/>
      <c r="BK89" s="121"/>
      <c r="BL89" s="121"/>
      <c r="BM89" s="121"/>
      <c r="BN89" s="121"/>
      <c r="BO89" s="121"/>
      <c r="BP89" s="121"/>
      <c r="BQ89" s="232">
        <f>SUM(BQ85,BQ74,BQ63,BQ53,BQ39,BQ29,BQ17)</f>
        <v>36068000</v>
      </c>
      <c r="BR89" s="232"/>
      <c r="BS89" s="232"/>
      <c r="BT89" s="232"/>
      <c r="CD89" s="232">
        <f>SUM(CD85,CD74,CD63,CD53,CD39,CD29,CD17)</f>
        <v>41226700</v>
      </c>
      <c r="CE89" s="232"/>
      <c r="CF89" s="232"/>
      <c r="CG89" s="232"/>
      <c r="CI89" s="121"/>
      <c r="CJ89" s="121"/>
      <c r="CK89" s="121"/>
      <c r="CL89" s="121"/>
      <c r="CM89" s="121"/>
      <c r="CN89" s="121"/>
      <c r="CO89" s="121"/>
      <c r="CP89" s="121"/>
      <c r="CQ89" s="232">
        <f>SUM(CQ85,CQ74,CQ63,CQ53,CQ39,CQ29,CQ17)</f>
        <v>41228100</v>
      </c>
      <c r="CR89" s="232"/>
      <c r="CS89" s="232"/>
      <c r="CT89" s="232"/>
      <c r="DD89" s="232">
        <f>SUM(DD85,DD74,DD63,DD53,DD39,DD29,DD17)</f>
        <v>46383800</v>
      </c>
      <c r="DE89" s="232"/>
      <c r="DF89" s="232"/>
      <c r="DG89" s="232"/>
      <c r="DQ89" s="232">
        <f>SUM(DQ85,DQ74,DQ63,DQ53,DQ39,DQ29,DQ17)</f>
        <v>20776800</v>
      </c>
      <c r="DR89" s="232"/>
      <c r="DS89" s="232"/>
      <c r="DT89" s="232"/>
      <c r="ED89" s="232">
        <f>SUM(ED85,ED74,ED63,ED53,ED39,ED29,ED17)</f>
        <v>10297000</v>
      </c>
      <c r="EE89" s="232"/>
      <c r="EF89" s="232"/>
      <c r="EG89" s="232"/>
      <c r="EQ89" s="232">
        <f>SUM(EQ85,EQ74,EQ63,EQ53,EQ39,EQ29,EQ17)</f>
        <v>46381700</v>
      </c>
      <c r="ER89" s="232"/>
      <c r="ES89" s="232"/>
      <c r="ET89" s="232"/>
      <c r="FD89" s="232">
        <f>SUM(FD85,FD74,FD63,FD53,FD39,FD29,FD17)</f>
        <v>30921400</v>
      </c>
      <c r="FE89" s="232"/>
      <c r="FF89" s="232"/>
      <c r="FG89" s="232"/>
      <c r="FQ89" s="232">
        <f>SUM(FQ85,FQ74,FQ63,FQ53,FQ39,FQ29,FQ17)</f>
        <v>5309300</v>
      </c>
      <c r="FR89" s="232"/>
      <c r="FS89" s="232"/>
      <c r="FT89" s="232"/>
      <c r="GD89" s="232">
        <f>SUM(GD85,GD74,GD63,GD53,GD39,GD29,GD17)</f>
        <v>1988800</v>
      </c>
      <c r="GE89" s="232"/>
      <c r="GF89" s="232"/>
      <c r="GG89" s="232"/>
      <c r="GQ89" s="232">
        <f>SUM(GQ85,GQ74,GQ63,GQ53,GQ39,GQ29,GQ17)</f>
        <v>30919400</v>
      </c>
      <c r="GR89" s="232"/>
      <c r="GS89" s="232"/>
      <c r="GT89" s="232"/>
      <c r="HD89" s="232">
        <f>SUM(HD85,HD74,HD63,HD53,HD39,HD29,HD17)</f>
        <v>30911900</v>
      </c>
      <c r="HE89" s="232"/>
      <c r="HF89" s="232"/>
      <c r="HG89" s="232"/>
      <c r="HH89" s="167">
        <f>SUM(AD89:HG89)</f>
        <v>436323200</v>
      </c>
    </row>
    <row r="90" spans="2:224" x14ac:dyDescent="0.3">
      <c r="AC90" s="18"/>
      <c r="AD90" s="232">
        <f>SUM(AD86,AD75,AD64,AD54,AD40,AD30,AD18)</f>
        <v>11472958.413714286</v>
      </c>
      <c r="AE90" s="232"/>
      <c r="AF90" s="232"/>
      <c r="AG90" s="232"/>
      <c r="AH90" s="121"/>
      <c r="AI90" s="121"/>
      <c r="AJ90" s="121"/>
      <c r="AK90" s="121"/>
      <c r="AL90" s="121"/>
      <c r="AM90" s="121"/>
      <c r="AN90" s="121"/>
      <c r="AO90" s="121"/>
      <c r="AP90" s="121"/>
      <c r="AQ90" s="232">
        <f>SUM(AQ86,AQ75,AQ64,AQ54,AQ40,AQ30,AQ18)</f>
        <v>36081622.837333336</v>
      </c>
      <c r="AR90" s="232"/>
      <c r="AS90" s="232"/>
      <c r="AT90" s="232"/>
      <c r="AU90" s="121"/>
      <c r="AV90" s="121"/>
      <c r="AW90" s="121"/>
      <c r="AX90" s="121"/>
      <c r="AY90" s="121"/>
      <c r="AZ90" s="121"/>
      <c r="BA90" s="121"/>
      <c r="BB90" s="121"/>
      <c r="BC90" s="121"/>
      <c r="BD90" s="232">
        <f>SUM(BD86,BD75,BD64,BD54,BD40,BD30,BD18)</f>
        <v>46390657.933714285</v>
      </c>
      <c r="BE90" s="232"/>
      <c r="BF90" s="232"/>
      <c r="BG90" s="232"/>
      <c r="BI90" s="121"/>
      <c r="BJ90" s="121"/>
      <c r="BK90" s="121"/>
      <c r="BL90" s="121"/>
      <c r="BM90" s="121"/>
      <c r="BN90" s="121"/>
      <c r="BO90" s="121"/>
      <c r="BP90" s="121"/>
      <c r="BQ90" s="232">
        <f>SUM(BQ86,BQ75,BQ64,BQ54,BQ40,BQ30,BQ18)</f>
        <v>36081622.837333336</v>
      </c>
      <c r="BR90" s="232"/>
      <c r="BS90" s="232"/>
      <c r="BT90" s="232"/>
      <c r="CD90" s="232">
        <f>SUM(CD86,CD75,CD64,CD54,CD40,CD30,CD18)</f>
        <v>41236140.385523811</v>
      </c>
      <c r="CE90" s="232"/>
      <c r="CF90" s="232"/>
      <c r="CG90" s="232"/>
      <c r="CI90" s="121"/>
      <c r="CJ90" s="121"/>
      <c r="CK90" s="121"/>
      <c r="CL90" s="121"/>
      <c r="CM90" s="121"/>
      <c r="CN90" s="121"/>
      <c r="CO90" s="121"/>
      <c r="CP90" s="121"/>
      <c r="CQ90" s="232">
        <f>SUM(CQ86,CQ75,CQ64,CQ54,CQ40,CQ30,CQ18)</f>
        <v>41236140.385523811</v>
      </c>
      <c r="CR90" s="232"/>
      <c r="CS90" s="232"/>
      <c r="CT90" s="232"/>
      <c r="DD90" s="232">
        <f>SUM(DD86,DD75,DD64,DD54,DD40,DD30,DD18)</f>
        <v>46390657.933714285</v>
      </c>
      <c r="DE90" s="232"/>
      <c r="DF90" s="232"/>
      <c r="DG90" s="232"/>
      <c r="DQ90" s="232">
        <f>SUM(DQ86,DQ75,DQ64,DQ54,DQ40,DQ30,DQ18)</f>
        <v>20784344.952380955</v>
      </c>
      <c r="DR90" s="232"/>
      <c r="DS90" s="232"/>
      <c r="DT90" s="232"/>
      <c r="ED90" s="232">
        <f>SUM(ED86,ED75,ED64,ED54,ED40,ED30,ED18)</f>
        <v>10309035.096380953</v>
      </c>
      <c r="EE90" s="232"/>
      <c r="EF90" s="232"/>
      <c r="EG90" s="232"/>
      <c r="EQ90" s="232">
        <f>SUM(EQ86,EQ75,EQ64,EQ54,EQ40,EQ30,EQ18)</f>
        <v>46390657.933714285</v>
      </c>
      <c r="ER90" s="232"/>
      <c r="ES90" s="232"/>
      <c r="ET90" s="232"/>
      <c r="FD90" s="232">
        <f>SUM(FD86,FD75,FD64,FD54,FD40,FD30,FD18)</f>
        <v>30927105.289142858</v>
      </c>
      <c r="FE90" s="232"/>
      <c r="FF90" s="232"/>
      <c r="FG90" s="232"/>
      <c r="FQ90" s="232">
        <f>SUM(FQ86,FQ75,FQ64,FQ54,FQ40,FQ30,FQ18)</f>
        <v>5320792.3078095242</v>
      </c>
      <c r="FR90" s="232"/>
      <c r="FS90" s="232"/>
      <c r="FT90" s="232"/>
      <c r="GD90" s="232">
        <f>SUM(GD86,GD75,GD64,GD54,GD40,GD30,GD18)</f>
        <v>1995297.1154285714</v>
      </c>
      <c r="GE90" s="232"/>
      <c r="GF90" s="232"/>
      <c r="GG90" s="232"/>
      <c r="GQ90" s="232">
        <f>SUM(GQ86,GQ75,GQ64,GQ54,GQ40,GQ30,GQ18)</f>
        <v>30927105.289142858</v>
      </c>
      <c r="GR90" s="232"/>
      <c r="GS90" s="232"/>
      <c r="GT90" s="232"/>
      <c r="HD90" s="232">
        <f>SUM(HD86,HD75,HD64,HD54,HD40,HD30,HD18)</f>
        <v>30927105.289142858</v>
      </c>
      <c r="HE90" s="232"/>
      <c r="HF90" s="232"/>
      <c r="HG90" s="232"/>
      <c r="HH90" s="167">
        <f>SUM(AD90:HG90)</f>
        <v>436471243.99999994</v>
      </c>
    </row>
    <row r="91" spans="2:224" x14ac:dyDescent="0.3">
      <c r="AD91" s="232">
        <f>SUM(AD87,AD76,AD65,AD55,AD41,AD31,AD19)</f>
        <v>16458.413714286056</v>
      </c>
      <c r="AE91" s="232"/>
      <c r="AF91" s="232"/>
      <c r="AG91" s="232"/>
      <c r="AH91" s="121"/>
      <c r="AI91" s="121"/>
      <c r="AJ91" s="121"/>
      <c r="AK91" s="121"/>
      <c r="AL91" s="121"/>
      <c r="AM91" s="121"/>
      <c r="AN91" s="121"/>
      <c r="AO91" s="121"/>
      <c r="AP91" s="121"/>
      <c r="AQ91" s="232">
        <f>SUM(AQ87,AQ76,AQ65,AQ55,AQ41,AQ31,AQ19)</f>
        <v>11422.837333333329</v>
      </c>
      <c r="AR91" s="232"/>
      <c r="AS91" s="232"/>
      <c r="AT91" s="232"/>
      <c r="AU91" s="121"/>
      <c r="AV91" s="121"/>
      <c r="AW91" s="121"/>
      <c r="AX91" s="121"/>
      <c r="AY91" s="121"/>
      <c r="AZ91" s="121"/>
      <c r="BA91" s="121"/>
      <c r="BB91" s="121"/>
      <c r="BC91" s="121"/>
      <c r="BD91" s="232">
        <f>SUM(BD87,BD76,BD65,BD55,BD41,BD31,BD19)</f>
        <v>7057.9337142845616</v>
      </c>
      <c r="BE91" s="232"/>
      <c r="BF91" s="232"/>
      <c r="BG91" s="232"/>
      <c r="BI91" s="121"/>
      <c r="BJ91" s="121"/>
      <c r="BK91" s="121"/>
      <c r="BL91" s="121"/>
      <c r="BM91" s="121"/>
      <c r="BN91" s="121"/>
      <c r="BO91" s="121"/>
      <c r="BP91" s="121"/>
      <c r="BQ91" s="232">
        <f>SUM(BQ87,BQ76,BQ65,BQ55,BQ41,BQ31,BQ19)</f>
        <v>13622.837333333329</v>
      </c>
      <c r="BR91" s="232"/>
      <c r="BS91" s="232"/>
      <c r="BT91" s="232"/>
      <c r="CD91" s="232">
        <f>SUM(CD87,CD76,CD65,CD55,CD41,CD31,CD19)</f>
        <v>9440.385523810517</v>
      </c>
      <c r="CE91" s="232"/>
      <c r="CF91" s="232"/>
      <c r="CG91" s="232"/>
      <c r="CI91" s="121"/>
      <c r="CJ91" s="121"/>
      <c r="CK91" s="121"/>
      <c r="CL91" s="121"/>
      <c r="CM91" s="121"/>
      <c r="CN91" s="121"/>
      <c r="CO91" s="121"/>
      <c r="CP91" s="121"/>
      <c r="CQ91" s="232">
        <f>SUM(CQ87,CQ76,CQ65,CQ55,CQ41,CQ31,CQ19)</f>
        <v>8040.385523810517</v>
      </c>
      <c r="CR91" s="232"/>
      <c r="CS91" s="232"/>
      <c r="CT91" s="232"/>
      <c r="DD91" s="232">
        <f>SUM(DD87,DD76,DD65,DD55,DD41,DD31,DD19)</f>
        <v>6857.9337142845616</v>
      </c>
      <c r="DE91" s="232"/>
      <c r="DF91" s="232"/>
      <c r="DG91" s="232"/>
      <c r="DQ91" s="232">
        <f>SUM(DQ87,DQ76,DQ65,DQ55,DQ41,DQ31,DQ19)</f>
        <v>7544.9523809533566</v>
      </c>
      <c r="DR91" s="232"/>
      <c r="DS91" s="232"/>
      <c r="DT91" s="232"/>
      <c r="ED91" s="232">
        <f>SUM(ED87,ED76,ED65,ED55,ED41,ED31,ED19)</f>
        <v>12035.096380952629</v>
      </c>
      <c r="EE91" s="232"/>
      <c r="EF91" s="232"/>
      <c r="EG91" s="232"/>
      <c r="EQ91" s="232">
        <f>SUM(EQ87,EQ76,EQ65,EQ55,EQ41,EQ31,EQ19)</f>
        <v>8957.9337142845616</v>
      </c>
      <c r="ER91" s="232"/>
      <c r="ES91" s="232"/>
      <c r="ET91" s="232"/>
      <c r="FD91" s="232">
        <f>SUM(FD87,FD76,FD65,FD55,FD41,FD31,FD19)</f>
        <v>5705.2891428573057</v>
      </c>
      <c r="FE91" s="232"/>
      <c r="FF91" s="232"/>
      <c r="FG91" s="232"/>
      <c r="FQ91" s="232">
        <f>SUM(FQ87,FQ76,FQ65,FQ55,FQ41,FQ31,FQ19)</f>
        <v>11492.307809523816</v>
      </c>
      <c r="FR91" s="232"/>
      <c r="FS91" s="232"/>
      <c r="FT91" s="232"/>
      <c r="GD91" s="232">
        <f>SUM(GD87,GD76,GD65,GD55,GD41,GD31,GD19)</f>
        <v>6497.1154285714219</v>
      </c>
      <c r="GE91" s="232"/>
      <c r="GF91" s="232"/>
      <c r="GG91" s="232"/>
      <c r="GQ91" s="232">
        <f>SUM(GQ87,GQ76,GQ65,GQ55,GQ41,GQ31,GQ19)</f>
        <v>7705.2891428573057</v>
      </c>
      <c r="GR91" s="232"/>
      <c r="GS91" s="232"/>
      <c r="GT91" s="232"/>
      <c r="HD91" s="232">
        <f>SUM(HD87,HD76,HD65,HD55,HD41,HD31,HD19)</f>
        <v>15205.289142857306</v>
      </c>
      <c r="HE91" s="232"/>
      <c r="HF91" s="232"/>
      <c r="HG91" s="232"/>
      <c r="HH91" s="167">
        <f>SUM(AD91:HG91)</f>
        <v>148044.00000000058</v>
      </c>
    </row>
  </sheetData>
  <mergeCells count="719">
    <mergeCell ref="GQ91:GT91"/>
    <mergeCell ref="HD91:HG91"/>
    <mergeCell ref="DQ91:DT91"/>
    <mergeCell ref="ED91:EG91"/>
    <mergeCell ref="EQ91:ET91"/>
    <mergeCell ref="FD91:FG91"/>
    <mergeCell ref="FQ91:FT91"/>
    <mergeCell ref="GD91:GG91"/>
    <mergeCell ref="GD90:GG90"/>
    <mergeCell ref="GQ90:GT90"/>
    <mergeCell ref="HD90:HG90"/>
    <mergeCell ref="ED90:EG90"/>
    <mergeCell ref="EQ90:ET90"/>
    <mergeCell ref="FD90:FG90"/>
    <mergeCell ref="FQ90:FT90"/>
    <mergeCell ref="AD91:AG91"/>
    <mergeCell ref="AQ91:AT91"/>
    <mergeCell ref="BD91:BG91"/>
    <mergeCell ref="BQ91:BT91"/>
    <mergeCell ref="CD91:CG91"/>
    <mergeCell ref="CQ91:CT91"/>
    <mergeCell ref="DD91:DG91"/>
    <mergeCell ref="DD90:DG90"/>
    <mergeCell ref="DQ90:DT90"/>
    <mergeCell ref="AD90:AG90"/>
    <mergeCell ref="AQ90:AT90"/>
    <mergeCell ref="BD90:BG90"/>
    <mergeCell ref="BQ90:BT90"/>
    <mergeCell ref="CD90:CG90"/>
    <mergeCell ref="CQ90:CT90"/>
    <mergeCell ref="EQ89:ET89"/>
    <mergeCell ref="FD89:FG89"/>
    <mergeCell ref="FQ89:FT89"/>
    <mergeCell ref="GD89:GG89"/>
    <mergeCell ref="GQ89:GT89"/>
    <mergeCell ref="HD89:HG89"/>
    <mergeCell ref="HD87:HG87"/>
    <mergeCell ref="AD89:AG89"/>
    <mergeCell ref="AQ89:AT89"/>
    <mergeCell ref="BD89:BG89"/>
    <mergeCell ref="BQ89:BT89"/>
    <mergeCell ref="CD89:CG89"/>
    <mergeCell ref="CQ89:CT89"/>
    <mergeCell ref="DD89:DG89"/>
    <mergeCell ref="DQ89:DT89"/>
    <mergeCell ref="ED89:EG89"/>
    <mergeCell ref="ED87:EG87"/>
    <mergeCell ref="EQ87:ET87"/>
    <mergeCell ref="FD87:FG87"/>
    <mergeCell ref="FQ87:FT87"/>
    <mergeCell ref="GD87:GG87"/>
    <mergeCell ref="GQ87:GT87"/>
    <mergeCell ref="B87:AC87"/>
    <mergeCell ref="AD87:AG87"/>
    <mergeCell ref="AQ87:AT87"/>
    <mergeCell ref="BD87:BG87"/>
    <mergeCell ref="BQ87:BT87"/>
    <mergeCell ref="CD87:CG87"/>
    <mergeCell ref="CQ87:CT87"/>
    <mergeCell ref="DD87:DG87"/>
    <mergeCell ref="DQ87:DT87"/>
    <mergeCell ref="HD85:HG85"/>
    <mergeCell ref="B86:AC86"/>
    <mergeCell ref="AD86:AG86"/>
    <mergeCell ref="AQ86:AT86"/>
    <mergeCell ref="BD86:BG86"/>
    <mergeCell ref="BQ86:BT86"/>
    <mergeCell ref="CD86:CG86"/>
    <mergeCell ref="CQ86:CT86"/>
    <mergeCell ref="DD86:DG86"/>
    <mergeCell ref="DQ86:DT86"/>
    <mergeCell ref="ED85:EG85"/>
    <mergeCell ref="EQ85:ET85"/>
    <mergeCell ref="FD85:FG85"/>
    <mergeCell ref="FQ85:FT85"/>
    <mergeCell ref="GD85:GG85"/>
    <mergeCell ref="GQ85:GT85"/>
    <mergeCell ref="HD86:HG86"/>
    <mergeCell ref="ED86:EG86"/>
    <mergeCell ref="EQ86:ET86"/>
    <mergeCell ref="FD86:FG86"/>
    <mergeCell ref="FQ86:FT86"/>
    <mergeCell ref="GD86:GG86"/>
    <mergeCell ref="GQ86:GT86"/>
    <mergeCell ref="HD79:HG79"/>
    <mergeCell ref="B85:AC85"/>
    <mergeCell ref="AD85:AG85"/>
    <mergeCell ref="AQ85:AT85"/>
    <mergeCell ref="BD85:BG85"/>
    <mergeCell ref="BQ85:BT85"/>
    <mergeCell ref="CD85:CG85"/>
    <mergeCell ref="CQ85:CT85"/>
    <mergeCell ref="DD85:DG85"/>
    <mergeCell ref="DQ85:DT85"/>
    <mergeCell ref="ED79:EG79"/>
    <mergeCell ref="EQ79:ET79"/>
    <mergeCell ref="FD79:FG79"/>
    <mergeCell ref="FQ79:FT79"/>
    <mergeCell ref="GD79:GG79"/>
    <mergeCell ref="GQ79:GT79"/>
    <mergeCell ref="BD79:BG79"/>
    <mergeCell ref="BQ79:BT79"/>
    <mergeCell ref="CD79:CG79"/>
    <mergeCell ref="CQ79:CT79"/>
    <mergeCell ref="DD79:DG79"/>
    <mergeCell ref="DQ79:DT79"/>
    <mergeCell ref="Z79:Z80"/>
    <mergeCell ref="AA79:AA80"/>
    <mergeCell ref="L79:L80"/>
    <mergeCell ref="M79:M80"/>
    <mergeCell ref="AB79:AB80"/>
    <mergeCell ref="AC79:AC80"/>
    <mergeCell ref="AD79:AG79"/>
    <mergeCell ref="AQ79:AT79"/>
    <mergeCell ref="T79:T80"/>
    <mergeCell ref="U79:U80"/>
    <mergeCell ref="V79:V80"/>
    <mergeCell ref="W79:W80"/>
    <mergeCell ref="X79:X80"/>
    <mergeCell ref="Y79:Y80"/>
    <mergeCell ref="B79:B80"/>
    <mergeCell ref="C79:C80"/>
    <mergeCell ref="D79:D80"/>
    <mergeCell ref="E79:E80"/>
    <mergeCell ref="F79:F80"/>
    <mergeCell ref="G79:G80"/>
    <mergeCell ref="HD76:HG76"/>
    <mergeCell ref="B78:AC78"/>
    <mergeCell ref="ED76:EG76"/>
    <mergeCell ref="EQ76:ET76"/>
    <mergeCell ref="FD76:FG76"/>
    <mergeCell ref="FQ76:FT76"/>
    <mergeCell ref="GD76:GG76"/>
    <mergeCell ref="GQ76:GT76"/>
    <mergeCell ref="N79:N80"/>
    <mergeCell ref="O79:O80"/>
    <mergeCell ref="P79:P80"/>
    <mergeCell ref="Q79:Q80"/>
    <mergeCell ref="R79:R80"/>
    <mergeCell ref="S79:S80"/>
    <mergeCell ref="H79:H80"/>
    <mergeCell ref="I79:I80"/>
    <mergeCell ref="J79:J80"/>
    <mergeCell ref="K79:K80"/>
    <mergeCell ref="B76:AC76"/>
    <mergeCell ref="AD76:AG76"/>
    <mergeCell ref="AQ76:AT76"/>
    <mergeCell ref="BD76:BG76"/>
    <mergeCell ref="BQ76:BT76"/>
    <mergeCell ref="CD76:CG76"/>
    <mergeCell ref="CQ76:CT76"/>
    <mergeCell ref="DD76:DG76"/>
    <mergeCell ref="DQ76:DT76"/>
    <mergeCell ref="HD74:HG74"/>
    <mergeCell ref="B75:AC75"/>
    <mergeCell ref="AD75:AG75"/>
    <mergeCell ref="AQ75:AT75"/>
    <mergeCell ref="BD75:BG75"/>
    <mergeCell ref="BQ75:BT75"/>
    <mergeCell ref="CD75:CG75"/>
    <mergeCell ref="CQ75:CT75"/>
    <mergeCell ref="DD75:DG75"/>
    <mergeCell ref="DQ75:DT75"/>
    <mergeCell ref="ED74:EG74"/>
    <mergeCell ref="EQ74:ET74"/>
    <mergeCell ref="FD74:FG74"/>
    <mergeCell ref="FQ74:FT74"/>
    <mergeCell ref="GD74:GG74"/>
    <mergeCell ref="GQ74:GT74"/>
    <mergeCell ref="HD75:HG75"/>
    <mergeCell ref="ED75:EG75"/>
    <mergeCell ref="EQ75:ET75"/>
    <mergeCell ref="FD75:FG75"/>
    <mergeCell ref="FQ75:FT75"/>
    <mergeCell ref="GD75:GG75"/>
    <mergeCell ref="GQ75:GT75"/>
    <mergeCell ref="HD68:HG68"/>
    <mergeCell ref="B74:AC74"/>
    <mergeCell ref="AD74:AG74"/>
    <mergeCell ref="AQ74:AT74"/>
    <mergeCell ref="BD74:BG74"/>
    <mergeCell ref="BQ74:BT74"/>
    <mergeCell ref="CD74:CG74"/>
    <mergeCell ref="CQ74:CT74"/>
    <mergeCell ref="DD74:DG74"/>
    <mergeCell ref="DQ74:DT74"/>
    <mergeCell ref="ED68:EG68"/>
    <mergeCell ref="EQ68:ET68"/>
    <mergeCell ref="FD68:FG68"/>
    <mergeCell ref="FQ68:FT68"/>
    <mergeCell ref="GD68:GG68"/>
    <mergeCell ref="GQ68:GT68"/>
    <mergeCell ref="BD68:BG68"/>
    <mergeCell ref="BQ68:BT68"/>
    <mergeCell ref="CD68:CG68"/>
    <mergeCell ref="CQ68:CT68"/>
    <mergeCell ref="DD68:DG68"/>
    <mergeCell ref="DQ68:DT68"/>
    <mergeCell ref="Z68:Z69"/>
    <mergeCell ref="AA68:AA69"/>
    <mergeCell ref="AB68:AB69"/>
    <mergeCell ref="AC68:AC69"/>
    <mergeCell ref="AD68:AG68"/>
    <mergeCell ref="AQ68:AT68"/>
    <mergeCell ref="T68:T69"/>
    <mergeCell ref="U68:U69"/>
    <mergeCell ref="V68:V69"/>
    <mergeCell ref="W68:W69"/>
    <mergeCell ref="X68:X69"/>
    <mergeCell ref="Y68:Y69"/>
    <mergeCell ref="HD65:HG65"/>
    <mergeCell ref="B67:AC67"/>
    <mergeCell ref="AD67:BQ67"/>
    <mergeCell ref="BR67:DE67"/>
    <mergeCell ref="DF67:ES67"/>
    <mergeCell ref="ET67:GG67"/>
    <mergeCell ref="GQ67:HG67"/>
    <mergeCell ref="ED65:EG65"/>
    <mergeCell ref="EQ65:ET65"/>
    <mergeCell ref="FD65:FG65"/>
    <mergeCell ref="FQ65:FT65"/>
    <mergeCell ref="GD65:GG65"/>
    <mergeCell ref="GQ65:GT65"/>
    <mergeCell ref="ED64:EG64"/>
    <mergeCell ref="EQ64:ET64"/>
    <mergeCell ref="FD64:FG64"/>
    <mergeCell ref="FQ64:FT64"/>
    <mergeCell ref="GD64:GG64"/>
    <mergeCell ref="GQ64:GT64"/>
    <mergeCell ref="B68:B69"/>
    <mergeCell ref="C68:C69"/>
    <mergeCell ref="D68:D69"/>
    <mergeCell ref="E68:E69"/>
    <mergeCell ref="F68:F69"/>
    <mergeCell ref="G68:G69"/>
    <mergeCell ref="N68:N69"/>
    <mergeCell ref="O68:O69"/>
    <mergeCell ref="P68:P69"/>
    <mergeCell ref="Q68:Q69"/>
    <mergeCell ref="R68:R69"/>
    <mergeCell ref="S68:S69"/>
    <mergeCell ref="H68:H69"/>
    <mergeCell ref="I68:I69"/>
    <mergeCell ref="J68:J69"/>
    <mergeCell ref="K68:K69"/>
    <mergeCell ref="L68:L69"/>
    <mergeCell ref="M68:M69"/>
    <mergeCell ref="B65:AC65"/>
    <mergeCell ref="AD65:AG65"/>
    <mergeCell ref="AQ65:AT65"/>
    <mergeCell ref="BD65:BG65"/>
    <mergeCell ref="BQ65:BT65"/>
    <mergeCell ref="CD65:CG65"/>
    <mergeCell ref="CQ65:CT65"/>
    <mergeCell ref="DD65:DG65"/>
    <mergeCell ref="DQ65:DT65"/>
    <mergeCell ref="BQ58:BT58"/>
    <mergeCell ref="CD58:CG58"/>
    <mergeCell ref="CQ58:CT58"/>
    <mergeCell ref="DD58:DG58"/>
    <mergeCell ref="DQ58:DT58"/>
    <mergeCell ref="Z58:Z59"/>
    <mergeCell ref="AA58:AA59"/>
    <mergeCell ref="HD63:HG63"/>
    <mergeCell ref="B64:AC64"/>
    <mergeCell ref="AD64:AG64"/>
    <mergeCell ref="AQ64:AT64"/>
    <mergeCell ref="BD64:BG64"/>
    <mergeCell ref="BQ64:BT64"/>
    <mergeCell ref="CD64:CG64"/>
    <mergeCell ref="CQ64:CT64"/>
    <mergeCell ref="DD64:DG64"/>
    <mergeCell ref="DQ64:DT64"/>
    <mergeCell ref="ED63:EG63"/>
    <mergeCell ref="EQ63:ET63"/>
    <mergeCell ref="FD63:FG63"/>
    <mergeCell ref="FQ63:FT63"/>
    <mergeCell ref="GD63:GG63"/>
    <mergeCell ref="GQ63:GT63"/>
    <mergeCell ref="HD64:HG64"/>
    <mergeCell ref="AQ58:AT58"/>
    <mergeCell ref="T58:T59"/>
    <mergeCell ref="U58:U59"/>
    <mergeCell ref="V58:V59"/>
    <mergeCell ref="W58:W59"/>
    <mergeCell ref="X58:X59"/>
    <mergeCell ref="Y58:Y59"/>
    <mergeCell ref="HD58:HG58"/>
    <mergeCell ref="B63:AC63"/>
    <mergeCell ref="AD63:AG63"/>
    <mergeCell ref="AQ63:AT63"/>
    <mergeCell ref="BD63:BG63"/>
    <mergeCell ref="BQ63:BT63"/>
    <mergeCell ref="CD63:CG63"/>
    <mergeCell ref="CQ63:CT63"/>
    <mergeCell ref="DD63:DG63"/>
    <mergeCell ref="DQ63:DT63"/>
    <mergeCell ref="ED58:EG58"/>
    <mergeCell ref="EQ58:ET58"/>
    <mergeCell ref="FD58:FG58"/>
    <mergeCell ref="FQ58:FT58"/>
    <mergeCell ref="GD58:GG58"/>
    <mergeCell ref="GQ58:GT58"/>
    <mergeCell ref="BD58:BG58"/>
    <mergeCell ref="B58:B59"/>
    <mergeCell ref="C58:C59"/>
    <mergeCell ref="D58:D59"/>
    <mergeCell ref="E58:E59"/>
    <mergeCell ref="F58:F59"/>
    <mergeCell ref="G58:G59"/>
    <mergeCell ref="FQ55:FT55"/>
    <mergeCell ref="GD55:GG55"/>
    <mergeCell ref="GQ55:GT55"/>
    <mergeCell ref="N58:N59"/>
    <mergeCell ref="O58:O59"/>
    <mergeCell ref="P58:P59"/>
    <mergeCell ref="Q58:Q59"/>
    <mergeCell ref="R58:R59"/>
    <mergeCell ref="S58:S59"/>
    <mergeCell ref="H58:H59"/>
    <mergeCell ref="I58:I59"/>
    <mergeCell ref="J58:J59"/>
    <mergeCell ref="K58:K59"/>
    <mergeCell ref="L58:L59"/>
    <mergeCell ref="M58:M59"/>
    <mergeCell ref="AB58:AB59"/>
    <mergeCell ref="AC58:AC59"/>
    <mergeCell ref="AD58:AG58"/>
    <mergeCell ref="B57:AC57"/>
    <mergeCell ref="AD57:BQ57"/>
    <mergeCell ref="BR57:DE57"/>
    <mergeCell ref="DF57:ES57"/>
    <mergeCell ref="ET57:GG57"/>
    <mergeCell ref="GQ57:HG57"/>
    <mergeCell ref="CQ55:CT55"/>
    <mergeCell ref="DD55:DG55"/>
    <mergeCell ref="DQ55:DT55"/>
    <mergeCell ref="ED55:EG55"/>
    <mergeCell ref="EQ55:ET55"/>
    <mergeCell ref="FD55:FG55"/>
    <mergeCell ref="GQ54:GT54"/>
    <mergeCell ref="HD54:HG54"/>
    <mergeCell ref="B55:AC55"/>
    <mergeCell ref="AD55:AG55"/>
    <mergeCell ref="AQ55:AT55"/>
    <mergeCell ref="BD55:BG55"/>
    <mergeCell ref="BQ55:BT55"/>
    <mergeCell ref="CD55:CG55"/>
    <mergeCell ref="CQ54:CT54"/>
    <mergeCell ref="DD54:DG54"/>
    <mergeCell ref="DQ54:DT54"/>
    <mergeCell ref="ED54:EG54"/>
    <mergeCell ref="EQ54:ET54"/>
    <mergeCell ref="FD54:FG54"/>
    <mergeCell ref="HD55:HG55"/>
    <mergeCell ref="FQ53:FT53"/>
    <mergeCell ref="GD53:GG53"/>
    <mergeCell ref="GQ53:GT53"/>
    <mergeCell ref="HD53:HG53"/>
    <mergeCell ref="B54:AC54"/>
    <mergeCell ref="AD54:AG54"/>
    <mergeCell ref="AQ54:AT54"/>
    <mergeCell ref="BD54:BG54"/>
    <mergeCell ref="BQ54:BT54"/>
    <mergeCell ref="CD54:CG54"/>
    <mergeCell ref="CQ53:CT53"/>
    <mergeCell ref="DD53:DG53"/>
    <mergeCell ref="DQ53:DT53"/>
    <mergeCell ref="ED53:EG53"/>
    <mergeCell ref="EQ53:ET53"/>
    <mergeCell ref="FD53:FG53"/>
    <mergeCell ref="B53:AC53"/>
    <mergeCell ref="AD53:AG53"/>
    <mergeCell ref="AQ53:AT53"/>
    <mergeCell ref="BD53:BG53"/>
    <mergeCell ref="BQ53:BT53"/>
    <mergeCell ref="CD53:CG53"/>
    <mergeCell ref="FQ54:FT54"/>
    <mergeCell ref="GD54:GG54"/>
    <mergeCell ref="EQ44:ET44"/>
    <mergeCell ref="FD44:FG44"/>
    <mergeCell ref="FQ44:FT44"/>
    <mergeCell ref="GD44:GG44"/>
    <mergeCell ref="GQ44:GT44"/>
    <mergeCell ref="HD44:HG44"/>
    <mergeCell ref="BQ44:BT44"/>
    <mergeCell ref="CD44:CG44"/>
    <mergeCell ref="CQ44:CT44"/>
    <mergeCell ref="DD44:DG44"/>
    <mergeCell ref="DQ44:DT44"/>
    <mergeCell ref="ED44:EG44"/>
    <mergeCell ref="AC44:AC45"/>
    <mergeCell ref="AD44:AG44"/>
    <mergeCell ref="AQ44:AT44"/>
    <mergeCell ref="BD44:BG44"/>
    <mergeCell ref="U44:U45"/>
    <mergeCell ref="V44:V45"/>
    <mergeCell ref="W44:W45"/>
    <mergeCell ref="X44:X45"/>
    <mergeCell ref="Y44:Y45"/>
    <mergeCell ref="Z44:Z45"/>
    <mergeCell ref="T44:T45"/>
    <mergeCell ref="H44:H45"/>
    <mergeCell ref="J44:J45"/>
    <mergeCell ref="K44:K45"/>
    <mergeCell ref="L44:L45"/>
    <mergeCell ref="M44:M45"/>
    <mergeCell ref="N44:N45"/>
    <mergeCell ref="AA44:AA45"/>
    <mergeCell ref="AB44:AB45"/>
    <mergeCell ref="B44:B45"/>
    <mergeCell ref="C44:C45"/>
    <mergeCell ref="D44:D45"/>
    <mergeCell ref="E44:E45"/>
    <mergeCell ref="F44:F45"/>
    <mergeCell ref="G44:G45"/>
    <mergeCell ref="HD41:HG41"/>
    <mergeCell ref="B43:AC43"/>
    <mergeCell ref="AD43:BQ43"/>
    <mergeCell ref="BR43:DE43"/>
    <mergeCell ref="DF43:ES43"/>
    <mergeCell ref="ET43:GG43"/>
    <mergeCell ref="GQ43:HG43"/>
    <mergeCell ref="ED41:EG41"/>
    <mergeCell ref="EQ41:ET41"/>
    <mergeCell ref="FD41:FG41"/>
    <mergeCell ref="FQ41:FT41"/>
    <mergeCell ref="GD41:GG41"/>
    <mergeCell ref="GQ41:GT41"/>
    <mergeCell ref="O44:O45"/>
    <mergeCell ref="P44:P45"/>
    <mergeCell ref="Q44:Q45"/>
    <mergeCell ref="R44:R45"/>
    <mergeCell ref="S44:S45"/>
    <mergeCell ref="B41:AC41"/>
    <mergeCell ref="AD41:AG41"/>
    <mergeCell ref="AQ41:AT41"/>
    <mergeCell ref="BD41:BG41"/>
    <mergeCell ref="BQ41:BT41"/>
    <mergeCell ref="CD41:CG41"/>
    <mergeCell ref="CQ41:CT41"/>
    <mergeCell ref="DD41:DG41"/>
    <mergeCell ref="DQ41:DT41"/>
    <mergeCell ref="HD39:HG39"/>
    <mergeCell ref="B40:AC40"/>
    <mergeCell ref="AD40:AG40"/>
    <mergeCell ref="AQ40:AT40"/>
    <mergeCell ref="BD40:BG40"/>
    <mergeCell ref="BQ40:BT40"/>
    <mergeCell ref="CD40:CG40"/>
    <mergeCell ref="CQ40:CT40"/>
    <mergeCell ref="DD40:DG40"/>
    <mergeCell ref="DQ40:DT40"/>
    <mergeCell ref="ED39:EG39"/>
    <mergeCell ref="EQ39:ET39"/>
    <mergeCell ref="FD39:FG39"/>
    <mergeCell ref="FQ39:FT39"/>
    <mergeCell ref="GD39:GG39"/>
    <mergeCell ref="GQ39:GT39"/>
    <mergeCell ref="HD40:HG40"/>
    <mergeCell ref="ED40:EG40"/>
    <mergeCell ref="EQ40:ET40"/>
    <mergeCell ref="FD40:FG40"/>
    <mergeCell ref="FQ40:FT40"/>
    <mergeCell ref="GD40:GG40"/>
    <mergeCell ref="GQ40:GT40"/>
    <mergeCell ref="HD34:HG34"/>
    <mergeCell ref="B39:AC39"/>
    <mergeCell ref="AD39:AG39"/>
    <mergeCell ref="AQ39:AT39"/>
    <mergeCell ref="BD39:BG39"/>
    <mergeCell ref="BQ39:BT39"/>
    <mergeCell ref="CD39:CG39"/>
    <mergeCell ref="CQ39:CT39"/>
    <mergeCell ref="DD39:DG39"/>
    <mergeCell ref="DQ39:DT39"/>
    <mergeCell ref="ED34:EG34"/>
    <mergeCell ref="EQ34:ET34"/>
    <mergeCell ref="FD34:FG34"/>
    <mergeCell ref="FQ34:FT34"/>
    <mergeCell ref="GD34:GG34"/>
    <mergeCell ref="GQ34:GT34"/>
    <mergeCell ref="BD34:BG34"/>
    <mergeCell ref="BQ34:BT34"/>
    <mergeCell ref="CD34:CG34"/>
    <mergeCell ref="CQ34:CT34"/>
    <mergeCell ref="DD34:DG34"/>
    <mergeCell ref="DQ34:DT34"/>
    <mergeCell ref="Z34:Z35"/>
    <mergeCell ref="AA34:AA35"/>
    <mergeCell ref="AB34:AB35"/>
    <mergeCell ref="AC34:AC35"/>
    <mergeCell ref="AD34:AG34"/>
    <mergeCell ref="AQ34:AT34"/>
    <mergeCell ref="T34:T35"/>
    <mergeCell ref="U34:U35"/>
    <mergeCell ref="V34:V35"/>
    <mergeCell ref="W34:W35"/>
    <mergeCell ref="X34:X35"/>
    <mergeCell ref="Y34:Y35"/>
    <mergeCell ref="HD31:HG31"/>
    <mergeCell ref="B33:AC33"/>
    <mergeCell ref="AD33:BQ33"/>
    <mergeCell ref="BR33:DE33"/>
    <mergeCell ref="DF33:ES33"/>
    <mergeCell ref="ET33:GG33"/>
    <mergeCell ref="GQ33:HG33"/>
    <mergeCell ref="ED31:EG31"/>
    <mergeCell ref="EQ31:ET31"/>
    <mergeCell ref="FD31:FG31"/>
    <mergeCell ref="FQ31:FT31"/>
    <mergeCell ref="GD31:GG31"/>
    <mergeCell ref="GQ31:GT31"/>
    <mergeCell ref="ED30:EG30"/>
    <mergeCell ref="EQ30:ET30"/>
    <mergeCell ref="FD30:FG30"/>
    <mergeCell ref="FQ30:FT30"/>
    <mergeCell ref="GD30:GG30"/>
    <mergeCell ref="GQ30:GT30"/>
    <mergeCell ref="B34:B35"/>
    <mergeCell ref="C34:C35"/>
    <mergeCell ref="D34:D35"/>
    <mergeCell ref="E34:E35"/>
    <mergeCell ref="F34:F35"/>
    <mergeCell ref="G34:G35"/>
    <mergeCell ref="N34:N35"/>
    <mergeCell ref="O34:O35"/>
    <mergeCell ref="P34:P35"/>
    <mergeCell ref="Q34:Q35"/>
    <mergeCell ref="R34:R35"/>
    <mergeCell ref="S34:S35"/>
    <mergeCell ref="H34:H35"/>
    <mergeCell ref="I34:I35"/>
    <mergeCell ref="J34:J35"/>
    <mergeCell ref="K34:K35"/>
    <mergeCell ref="L34:L35"/>
    <mergeCell ref="M34:M35"/>
    <mergeCell ref="B31:AC31"/>
    <mergeCell ref="AD31:AG31"/>
    <mergeCell ref="AQ31:AT31"/>
    <mergeCell ref="BD31:BG31"/>
    <mergeCell ref="BQ31:BT31"/>
    <mergeCell ref="CD31:CG31"/>
    <mergeCell ref="CQ31:CT31"/>
    <mergeCell ref="DD31:DG31"/>
    <mergeCell ref="DQ31:DT31"/>
    <mergeCell ref="BQ22:BT22"/>
    <mergeCell ref="CD22:CG22"/>
    <mergeCell ref="CQ22:CT22"/>
    <mergeCell ref="DD22:DG22"/>
    <mergeCell ref="DQ22:DT22"/>
    <mergeCell ref="Z22:Z23"/>
    <mergeCell ref="AA22:AA23"/>
    <mergeCell ref="HD29:HG29"/>
    <mergeCell ref="B30:AC30"/>
    <mergeCell ref="AD30:AG30"/>
    <mergeCell ref="AQ30:AT30"/>
    <mergeCell ref="BD30:BG30"/>
    <mergeCell ref="BQ30:BT30"/>
    <mergeCell ref="CD30:CG30"/>
    <mergeCell ref="CQ30:CT30"/>
    <mergeCell ref="DD30:DG30"/>
    <mergeCell ref="DQ30:DT30"/>
    <mergeCell ref="ED29:EG29"/>
    <mergeCell ref="EQ29:ET29"/>
    <mergeCell ref="FD29:FG29"/>
    <mergeCell ref="FQ29:FT29"/>
    <mergeCell ref="GD29:GG29"/>
    <mergeCell ref="GQ29:GT29"/>
    <mergeCell ref="HD30:HG30"/>
    <mergeCell ref="AQ22:AT22"/>
    <mergeCell ref="T22:T23"/>
    <mergeCell ref="U22:U23"/>
    <mergeCell ref="V22:V23"/>
    <mergeCell ref="W22:W23"/>
    <mergeCell ref="X22:X23"/>
    <mergeCell ref="Y22:Y23"/>
    <mergeCell ref="HD22:HG22"/>
    <mergeCell ref="B29:AC29"/>
    <mergeCell ref="AD29:AG29"/>
    <mergeCell ref="AQ29:AT29"/>
    <mergeCell ref="BD29:BG29"/>
    <mergeCell ref="BQ29:BT29"/>
    <mergeCell ref="CD29:CG29"/>
    <mergeCell ref="CQ29:CT29"/>
    <mergeCell ref="DD29:DG29"/>
    <mergeCell ref="DQ29:DT29"/>
    <mergeCell ref="ED22:EG22"/>
    <mergeCell ref="EQ22:ET22"/>
    <mergeCell ref="FD22:FG22"/>
    <mergeCell ref="FQ22:FT22"/>
    <mergeCell ref="GD22:GG22"/>
    <mergeCell ref="GQ22:GT22"/>
    <mergeCell ref="BD22:BG22"/>
    <mergeCell ref="B22:B23"/>
    <mergeCell ref="C22:C23"/>
    <mergeCell ref="D22:D23"/>
    <mergeCell ref="E22:E23"/>
    <mergeCell ref="F22:F23"/>
    <mergeCell ref="G22:G23"/>
    <mergeCell ref="FQ19:FT19"/>
    <mergeCell ref="GD19:GG19"/>
    <mergeCell ref="GQ19:GT19"/>
    <mergeCell ref="N22:N23"/>
    <mergeCell ref="O22:O23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M22:M23"/>
    <mergeCell ref="AB22:AB23"/>
    <mergeCell ref="AC22:AC23"/>
    <mergeCell ref="AD22:AG22"/>
    <mergeCell ref="HD19:HG19"/>
    <mergeCell ref="B21:AC21"/>
    <mergeCell ref="AD21:BQ21"/>
    <mergeCell ref="BR21:DE21"/>
    <mergeCell ref="DF21:ES21"/>
    <mergeCell ref="ET21:GG21"/>
    <mergeCell ref="GQ21:HG21"/>
    <mergeCell ref="CQ19:CT19"/>
    <mergeCell ref="DD19:DG19"/>
    <mergeCell ref="DQ19:DT19"/>
    <mergeCell ref="ED19:EG19"/>
    <mergeCell ref="EQ19:ET19"/>
    <mergeCell ref="FD19:FG19"/>
    <mergeCell ref="B19:AC19"/>
    <mergeCell ref="AD19:AG19"/>
    <mergeCell ref="AQ19:AT19"/>
    <mergeCell ref="BD19:BG19"/>
    <mergeCell ref="BQ19:BT19"/>
    <mergeCell ref="CD19:CG19"/>
    <mergeCell ref="CQ18:CT18"/>
    <mergeCell ref="DD18:DG18"/>
    <mergeCell ref="DQ18:DT18"/>
    <mergeCell ref="GD17:GG17"/>
    <mergeCell ref="GQ17:GT17"/>
    <mergeCell ref="HD17:HG17"/>
    <mergeCell ref="B18:AC18"/>
    <mergeCell ref="AD18:AG18"/>
    <mergeCell ref="AQ18:AT18"/>
    <mergeCell ref="BD18:BG18"/>
    <mergeCell ref="BQ18:BT18"/>
    <mergeCell ref="CD18:CG18"/>
    <mergeCell ref="CQ17:CT17"/>
    <mergeCell ref="DD17:DG17"/>
    <mergeCell ref="DQ17:DT17"/>
    <mergeCell ref="ED17:EG17"/>
    <mergeCell ref="EQ17:ET17"/>
    <mergeCell ref="FD17:FG17"/>
    <mergeCell ref="FQ18:FT18"/>
    <mergeCell ref="GD18:GG18"/>
    <mergeCell ref="GQ18:GT18"/>
    <mergeCell ref="HD18:HG18"/>
    <mergeCell ref="ED18:EG18"/>
    <mergeCell ref="EQ18:ET18"/>
    <mergeCell ref="FD18:FG18"/>
    <mergeCell ref="GD3:GG3"/>
    <mergeCell ref="GQ3:GT3"/>
    <mergeCell ref="HD3:HG3"/>
    <mergeCell ref="B17:AC17"/>
    <mergeCell ref="AD17:AG17"/>
    <mergeCell ref="AQ17:AT17"/>
    <mergeCell ref="BD17:BG17"/>
    <mergeCell ref="BQ17:BT17"/>
    <mergeCell ref="CD17:CG17"/>
    <mergeCell ref="CQ3:CT3"/>
    <mergeCell ref="DD3:DG3"/>
    <mergeCell ref="DQ3:DT3"/>
    <mergeCell ref="ED3:EG3"/>
    <mergeCell ref="EQ3:ET3"/>
    <mergeCell ref="FD3:FG3"/>
    <mergeCell ref="AC3:AC4"/>
    <mergeCell ref="AD3:AG3"/>
    <mergeCell ref="AQ3:AT3"/>
    <mergeCell ref="BD3:BG3"/>
    <mergeCell ref="BQ3:BT3"/>
    <mergeCell ref="CD3:CG3"/>
    <mergeCell ref="W3:W4"/>
    <mergeCell ref="X3:X4"/>
    <mergeCell ref="FQ17:FT17"/>
    <mergeCell ref="AA3:AA4"/>
    <mergeCell ref="AB3:AB4"/>
    <mergeCell ref="Q3:Q4"/>
    <mergeCell ref="R3:R4"/>
    <mergeCell ref="S3:S4"/>
    <mergeCell ref="T3:T4"/>
    <mergeCell ref="U3:U4"/>
    <mergeCell ref="V3:V4"/>
    <mergeCell ref="FQ3:FT3"/>
    <mergeCell ref="HH79:HP79"/>
    <mergeCell ref="AD78:HP78"/>
    <mergeCell ref="HH3:HP3"/>
    <mergeCell ref="HH22:HP22"/>
    <mergeCell ref="HH34:HP34"/>
    <mergeCell ref="AD2:BT2"/>
    <mergeCell ref="K3:K4"/>
    <mergeCell ref="L3:L4"/>
    <mergeCell ref="M3:M4"/>
    <mergeCell ref="N3:N4"/>
    <mergeCell ref="O3:O4"/>
    <mergeCell ref="P3:P4"/>
    <mergeCell ref="B2:AC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Y3:Y4"/>
    <mergeCell ref="Z3:Z4"/>
  </mergeCells>
  <conditionalFormatting sqref="AC24:AC28">
    <cfRule type="cellIs" dxfId="13" priority="7" operator="lessThan">
      <formula>0</formula>
    </cfRule>
  </conditionalFormatting>
  <conditionalFormatting sqref="AC36:AC38">
    <cfRule type="cellIs" dxfId="12" priority="6" operator="lessThan">
      <formula>0</formula>
    </cfRule>
  </conditionalFormatting>
  <conditionalFormatting sqref="AC46:AC52">
    <cfRule type="cellIs" dxfId="11" priority="5" operator="lessThan">
      <formula>0</formula>
    </cfRule>
  </conditionalFormatting>
  <conditionalFormatting sqref="AC60:AC62">
    <cfRule type="cellIs" dxfId="10" priority="4" operator="lessThan">
      <formula>0</formula>
    </cfRule>
  </conditionalFormatting>
  <conditionalFormatting sqref="AC70:AC73">
    <cfRule type="cellIs" dxfId="9" priority="3" operator="lessThan">
      <formula>0</formula>
    </cfRule>
  </conditionalFormatting>
  <conditionalFormatting sqref="AC81:AC84">
    <cfRule type="cellIs" dxfId="8" priority="2" operator="lessThan">
      <formula>0</formula>
    </cfRule>
  </conditionalFormatting>
  <conditionalFormatting sqref="AD19:DT19 DV19:HG19 AD31:DX31 DZ31:HG31 AD41:DX41 DZ41:HG41 AD55:HG55 AD65:AV65 AX65:BI65 BK65:CV65 CX65:GX65 GZ65:HG65 AD76:GI76 GK76:GX76 GZ76:HG76 AD87:BK87 BM87:GI87 GK87:HG87">
    <cfRule type="cellIs" dxfId="7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CL91"/>
  <sheetViews>
    <sheetView showGridLines="0" tabSelected="1" topLeftCell="A70" zoomScale="85" zoomScaleNormal="85" workbookViewId="0">
      <selection activeCell="B75" sqref="B75:AC75"/>
    </sheetView>
  </sheetViews>
  <sheetFormatPr baseColWidth="10" defaultRowHeight="16.5" x14ac:dyDescent="0.3"/>
  <cols>
    <col min="1" max="1" width="4.140625" customWidth="1"/>
    <col min="2" max="2" width="7" style="2" customWidth="1"/>
    <col min="3" max="3" width="12.42578125" style="2" hidden="1" customWidth="1"/>
    <col min="4" max="4" width="35" style="11" customWidth="1"/>
    <col min="5" max="5" width="13.42578125" style="2" customWidth="1"/>
    <col min="6" max="6" width="20.7109375" style="2" hidden="1" customWidth="1"/>
    <col min="7" max="7" width="12.42578125" style="2" customWidth="1"/>
    <col min="8" max="8" width="12.42578125" style="2" hidden="1" customWidth="1"/>
    <col min="9" max="9" width="19.140625" style="2" hidden="1" customWidth="1"/>
    <col min="10" max="10" width="12" style="2" customWidth="1"/>
    <col min="11" max="25" width="4.28515625" style="2" customWidth="1"/>
    <col min="26" max="26" width="13.42578125" style="2" customWidth="1"/>
    <col min="27" max="27" width="9" style="2" customWidth="1"/>
    <col min="28" max="28" width="14.140625" style="2" customWidth="1"/>
    <col min="29" max="29" width="16.28515625" style="2" customWidth="1"/>
    <col min="30" max="32" width="8.28515625" style="9" customWidth="1"/>
    <col min="33" max="33" width="16.140625" style="9" customWidth="1"/>
    <col min="34" max="36" width="6.85546875" style="9" customWidth="1"/>
    <col min="37" max="37" width="14.85546875" style="9" customWidth="1"/>
    <col min="38" max="40" width="5" style="9" customWidth="1"/>
    <col min="41" max="41" width="13.85546875" style="9" customWidth="1"/>
    <col min="42" max="44" width="5.5703125" style="9" customWidth="1"/>
    <col min="45" max="45" width="13.85546875" style="9" customWidth="1"/>
    <col min="46" max="48" width="6" style="9" customWidth="1"/>
    <col min="49" max="49" width="13.85546875" style="9" customWidth="1"/>
    <col min="50" max="52" width="7" style="9" customWidth="1"/>
    <col min="53" max="53" width="13.85546875" style="9" customWidth="1"/>
    <col min="54" max="56" width="6.28515625" style="9" customWidth="1"/>
    <col min="57" max="57" width="13.85546875" style="9" customWidth="1"/>
    <col min="58" max="60" width="6.7109375" style="9" customWidth="1"/>
    <col min="61" max="61" width="13.85546875" style="9" customWidth="1"/>
    <col min="62" max="64" width="6.85546875" style="9" customWidth="1"/>
    <col min="65" max="65" width="13.85546875" style="9" customWidth="1"/>
    <col min="66" max="68" width="7.28515625" style="9" customWidth="1"/>
    <col min="69" max="69" width="13.85546875" style="9" customWidth="1"/>
    <col min="70" max="72" width="6.85546875" style="9" customWidth="1"/>
    <col min="73" max="73" width="13.85546875" style="9" customWidth="1"/>
    <col min="74" max="74" width="7.42578125" style="9" customWidth="1"/>
    <col min="75" max="75" width="3.85546875" style="9" customWidth="1"/>
    <col min="76" max="76" width="8.85546875" style="9" customWidth="1"/>
    <col min="77" max="77" width="13.85546875" style="9" customWidth="1"/>
    <col min="78" max="80" width="6.7109375" style="9" customWidth="1"/>
    <col min="81" max="81" width="12.85546875" style="9" customWidth="1"/>
    <col min="82" max="84" width="6.7109375" style="9" customWidth="1"/>
    <col min="85" max="85" width="16.140625" style="9" customWidth="1"/>
    <col min="86" max="88" width="6.85546875" style="9" customWidth="1"/>
    <col min="89" max="89" width="18.140625" style="9" customWidth="1"/>
    <col min="90" max="90" width="17.85546875" bestFit="1" customWidth="1"/>
  </cols>
  <sheetData>
    <row r="1" spans="2:89" s="2" customFormat="1" x14ac:dyDescent="0.3">
      <c r="D1" s="11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</row>
    <row r="2" spans="2:89" s="2" customFormat="1" ht="16.5" customHeight="1" x14ac:dyDescent="0.3">
      <c r="B2" s="199" t="s">
        <v>146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</row>
    <row r="3" spans="2:89" s="11" customFormat="1" ht="28.5" customHeight="1" x14ac:dyDescent="0.25">
      <c r="B3" s="205" t="str">
        <f>'PLAN DE NECESIDADES'!B4</f>
        <v>ÍTEM</v>
      </c>
      <c r="C3" s="205" t="str">
        <f>'PLAN DE NECESIDADES'!C4</f>
        <v>CÓDIGO DANE</v>
      </c>
      <c r="D3" s="207" t="str">
        <f>'PLAN DE NECESIDADES'!D4</f>
        <v xml:space="preserve">DESCRIPCIÓN DEL BIEN Y/O SERVICIO </v>
      </c>
      <c r="E3" s="205" t="str">
        <f>'PLAN DE NECESIDADES'!E4</f>
        <v>UNIDAD MEDIDA</v>
      </c>
      <c r="F3" s="205" t="str">
        <f>'PLAN DE NECESIDADES'!F4</f>
        <v>EXISTENCIAS (STOCK - INVENTARIOS)</v>
      </c>
      <c r="G3" s="205" t="str">
        <f>'PLAN DE NECESIDADES'!H4</f>
        <v>UNSPSC (CCE)</v>
      </c>
      <c r="H3" s="205" t="str">
        <f>'PLAN DE NECESIDADES'!I4</f>
        <v xml:space="preserve">CÓDIGO MATERIAL SAP </v>
      </c>
      <c r="I3" s="205" t="str">
        <f>'PLAN DE NECESIDADES'!J4</f>
        <v xml:space="preserve">CÓDIGO OTAN - NOC </v>
      </c>
      <c r="J3" s="205" t="s">
        <v>155</v>
      </c>
      <c r="K3" s="203" t="str">
        <f>AD3</f>
        <v>BAABS3</v>
      </c>
      <c r="L3" s="203" t="str">
        <f>AH3</f>
        <v>BAACA10</v>
      </c>
      <c r="M3" s="203" t="str">
        <f>AL3</f>
        <v>BAACA2</v>
      </c>
      <c r="N3" s="203" t="str">
        <f>AP3</f>
        <v>BAADA1</v>
      </c>
      <c r="O3" s="203" t="str">
        <f>AT3</f>
        <v>BAEEV2</v>
      </c>
      <c r="P3" s="203" t="str">
        <f>AX3</f>
        <v>BAEEV3</v>
      </c>
      <c r="Q3" s="203" t="str">
        <f>BB3</f>
        <v>BAMMA7</v>
      </c>
      <c r="R3" s="203" t="str">
        <f>BF3</f>
        <v>BASPC10</v>
      </c>
      <c r="S3" s="203" t="str">
        <f>BJ3</f>
        <v>BASAC</v>
      </c>
      <c r="T3" s="203" t="str">
        <f>BN3</f>
        <v>BICAR</v>
      </c>
      <c r="U3" s="203" t="str">
        <f>BR3</f>
        <v>BIMOC70</v>
      </c>
      <c r="V3" s="203" t="str">
        <f>BV3</f>
        <v>BITER10</v>
      </c>
      <c r="W3" s="203" t="str">
        <f>BZ3</f>
        <v>DIM15</v>
      </c>
      <c r="X3" s="203" t="str">
        <f>CD3</f>
        <v>GMMAT</v>
      </c>
      <c r="Y3" s="203" t="str">
        <f>CH3</f>
        <v>GMRON</v>
      </c>
      <c r="Z3" s="209" t="s">
        <v>13</v>
      </c>
      <c r="AA3" s="209" t="s">
        <v>14</v>
      </c>
      <c r="AB3" s="209" t="s">
        <v>12</v>
      </c>
      <c r="AC3" s="209" t="s">
        <v>4</v>
      </c>
      <c r="AD3" s="214" t="str">
        <f>PRESUPUESTO!E33</f>
        <v>BAABS3</v>
      </c>
      <c r="AE3" s="215"/>
      <c r="AF3" s="215"/>
      <c r="AG3" s="216"/>
      <c r="AH3" s="217" t="s">
        <v>30</v>
      </c>
      <c r="AI3" s="218"/>
      <c r="AJ3" s="218"/>
      <c r="AK3" s="219"/>
      <c r="AL3" s="196" t="s">
        <v>31</v>
      </c>
      <c r="AM3" s="197"/>
      <c r="AN3" s="197"/>
      <c r="AO3" s="198"/>
      <c r="AP3" s="211" t="s">
        <v>32</v>
      </c>
      <c r="AQ3" s="212"/>
      <c r="AR3" s="212"/>
      <c r="AS3" s="213"/>
      <c r="AT3" s="214" t="s">
        <v>27</v>
      </c>
      <c r="AU3" s="215"/>
      <c r="AV3" s="215"/>
      <c r="AW3" s="216"/>
      <c r="AX3" s="217" t="s">
        <v>33</v>
      </c>
      <c r="AY3" s="218"/>
      <c r="AZ3" s="218"/>
      <c r="BA3" s="219"/>
      <c r="BB3" s="196" t="s">
        <v>66</v>
      </c>
      <c r="BC3" s="197"/>
      <c r="BD3" s="197"/>
      <c r="BE3" s="198"/>
      <c r="BF3" s="211" t="s">
        <v>67</v>
      </c>
      <c r="BG3" s="212"/>
      <c r="BH3" s="212"/>
      <c r="BI3" s="213"/>
      <c r="BJ3" s="214" t="s">
        <v>34</v>
      </c>
      <c r="BK3" s="215"/>
      <c r="BL3" s="215"/>
      <c r="BM3" s="216"/>
      <c r="BN3" s="217" t="s">
        <v>35</v>
      </c>
      <c r="BO3" s="218"/>
      <c r="BP3" s="218"/>
      <c r="BQ3" s="219"/>
      <c r="BR3" s="196" t="s">
        <v>68</v>
      </c>
      <c r="BS3" s="197"/>
      <c r="BT3" s="197"/>
      <c r="BU3" s="198"/>
      <c r="BV3" s="211" t="s">
        <v>36</v>
      </c>
      <c r="BW3" s="212"/>
      <c r="BX3" s="212"/>
      <c r="BY3" s="213"/>
      <c r="BZ3" s="214" t="s">
        <v>37</v>
      </c>
      <c r="CA3" s="215"/>
      <c r="CB3" s="215"/>
      <c r="CC3" s="216"/>
      <c r="CD3" s="217" t="s">
        <v>69</v>
      </c>
      <c r="CE3" s="218"/>
      <c r="CF3" s="218"/>
      <c r="CG3" s="219"/>
      <c r="CH3" s="196" t="s">
        <v>38</v>
      </c>
      <c r="CI3" s="197"/>
      <c r="CJ3" s="197"/>
      <c r="CK3" s="198"/>
    </row>
    <row r="4" spans="2:89" s="6" customFormat="1" ht="28.5" customHeight="1" x14ac:dyDescent="0.25">
      <c r="B4" s="206"/>
      <c r="C4" s="206"/>
      <c r="D4" s="208"/>
      <c r="E4" s="206"/>
      <c r="F4" s="206"/>
      <c r="G4" s="206"/>
      <c r="H4" s="206"/>
      <c r="I4" s="206"/>
      <c r="J4" s="206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10"/>
      <c r="AA4" s="210"/>
      <c r="AB4" s="210"/>
      <c r="AC4" s="210"/>
      <c r="AD4" s="20" t="s">
        <v>15</v>
      </c>
      <c r="AE4" s="21" t="s">
        <v>16</v>
      </c>
      <c r="AF4" s="22" t="s">
        <v>17</v>
      </c>
      <c r="AG4" s="20" t="s">
        <v>20</v>
      </c>
      <c r="AH4" s="3" t="s">
        <v>15</v>
      </c>
      <c r="AI4" s="4" t="s">
        <v>16</v>
      </c>
      <c r="AJ4" s="5" t="s">
        <v>17</v>
      </c>
      <c r="AK4" s="3" t="s">
        <v>20</v>
      </c>
      <c r="AL4" s="51" t="s">
        <v>15</v>
      </c>
      <c r="AM4" s="23" t="s">
        <v>16</v>
      </c>
      <c r="AN4" s="24" t="s">
        <v>17</v>
      </c>
      <c r="AO4" s="51" t="s">
        <v>20</v>
      </c>
      <c r="AP4" s="25" t="s">
        <v>15</v>
      </c>
      <c r="AQ4" s="26" t="s">
        <v>16</v>
      </c>
      <c r="AR4" s="27" t="s">
        <v>17</v>
      </c>
      <c r="AS4" s="25" t="s">
        <v>20</v>
      </c>
      <c r="AT4" s="20" t="s">
        <v>15</v>
      </c>
      <c r="AU4" s="21" t="s">
        <v>16</v>
      </c>
      <c r="AV4" s="22" t="s">
        <v>17</v>
      </c>
      <c r="AW4" s="20" t="s">
        <v>20</v>
      </c>
      <c r="AX4" s="3" t="s">
        <v>15</v>
      </c>
      <c r="AY4" s="4" t="s">
        <v>16</v>
      </c>
      <c r="AZ4" s="5" t="s">
        <v>17</v>
      </c>
      <c r="BA4" s="3" t="s">
        <v>20</v>
      </c>
      <c r="BB4" s="51" t="s">
        <v>15</v>
      </c>
      <c r="BC4" s="23" t="s">
        <v>16</v>
      </c>
      <c r="BD4" s="24" t="s">
        <v>17</v>
      </c>
      <c r="BE4" s="51" t="s">
        <v>20</v>
      </c>
      <c r="BF4" s="25" t="s">
        <v>15</v>
      </c>
      <c r="BG4" s="26" t="s">
        <v>16</v>
      </c>
      <c r="BH4" s="27" t="s">
        <v>17</v>
      </c>
      <c r="BI4" s="25" t="s">
        <v>20</v>
      </c>
      <c r="BJ4" s="20" t="s">
        <v>15</v>
      </c>
      <c r="BK4" s="21" t="s">
        <v>16</v>
      </c>
      <c r="BL4" s="22" t="s">
        <v>17</v>
      </c>
      <c r="BM4" s="20" t="s">
        <v>20</v>
      </c>
      <c r="BN4" s="3" t="s">
        <v>15</v>
      </c>
      <c r="BO4" s="4" t="s">
        <v>16</v>
      </c>
      <c r="BP4" s="5" t="s">
        <v>17</v>
      </c>
      <c r="BQ4" s="3" t="s">
        <v>20</v>
      </c>
      <c r="BR4" s="51" t="s">
        <v>15</v>
      </c>
      <c r="BS4" s="23" t="s">
        <v>16</v>
      </c>
      <c r="BT4" s="24" t="s">
        <v>17</v>
      </c>
      <c r="BU4" s="51" t="s">
        <v>20</v>
      </c>
      <c r="BV4" s="25" t="s">
        <v>15</v>
      </c>
      <c r="BW4" s="26" t="s">
        <v>16</v>
      </c>
      <c r="BX4" s="27" t="s">
        <v>17</v>
      </c>
      <c r="BY4" s="25" t="s">
        <v>20</v>
      </c>
      <c r="BZ4" s="20" t="s">
        <v>15</v>
      </c>
      <c r="CA4" s="21" t="s">
        <v>16</v>
      </c>
      <c r="CB4" s="22" t="s">
        <v>17</v>
      </c>
      <c r="CC4" s="20" t="s">
        <v>20</v>
      </c>
      <c r="CD4" s="3" t="s">
        <v>15</v>
      </c>
      <c r="CE4" s="4" t="s">
        <v>16</v>
      </c>
      <c r="CF4" s="5" t="s">
        <v>17</v>
      </c>
      <c r="CG4" s="3" t="s">
        <v>20</v>
      </c>
      <c r="CH4" s="51" t="s">
        <v>15</v>
      </c>
      <c r="CI4" s="23" t="s">
        <v>16</v>
      </c>
      <c r="CJ4" s="24" t="s">
        <v>17</v>
      </c>
      <c r="CK4" s="51" t="s">
        <v>20</v>
      </c>
    </row>
    <row r="5" spans="2:89" s="2" customFormat="1" x14ac:dyDescent="0.3">
      <c r="B5" s="7">
        <f>'PLAN DE NECESIDADES'!B5</f>
        <v>1</v>
      </c>
      <c r="C5" s="7">
        <f>'PLAN DE NECESIDADES'!C5</f>
        <v>2791301</v>
      </c>
      <c r="D5" s="60" t="str">
        <f>'PLAN DE NECESIDADES'!D5</f>
        <v>PARCHE DE IDENTIFICACIÓN PERSONAL: 
ESPECIFICACIONES  TÉCNICAS DE ACUERDO NORMA TÉCNICA KIT DE DOTACIÓN NO. NTMD-0356 - A2</v>
      </c>
      <c r="E5" s="7" t="str">
        <f>'PLAN DE NECESIDADES'!E5</f>
        <v>UNIDAD</v>
      </c>
      <c r="F5" s="7">
        <f>'PLAN DE NECESIDADES'!F5</f>
        <v>0</v>
      </c>
      <c r="G5" s="7">
        <f>'PLAN DE NECESIDADES'!H5</f>
        <v>11161701</v>
      </c>
      <c r="H5" s="7">
        <f>'PLAN DE NECESIDADES'!I5</f>
        <v>1047066</v>
      </c>
      <c r="I5" s="7" t="str">
        <f>'PLAN DE NECESIDADES'!J5</f>
        <v>SIN CREAR</v>
      </c>
      <c r="J5" s="7">
        <v>4</v>
      </c>
      <c r="K5" s="87">
        <v>69</v>
      </c>
      <c r="L5" s="87">
        <v>217</v>
      </c>
      <c r="M5" s="87">
        <v>279</v>
      </c>
      <c r="N5" s="87">
        <v>217</v>
      </c>
      <c r="O5" s="87">
        <v>248</v>
      </c>
      <c r="P5" s="87">
        <v>248</v>
      </c>
      <c r="Q5" s="87">
        <v>279</v>
      </c>
      <c r="R5" s="87">
        <v>125</v>
      </c>
      <c r="S5" s="87">
        <v>62</v>
      </c>
      <c r="T5" s="87">
        <v>279</v>
      </c>
      <c r="U5" s="87">
        <v>186</v>
      </c>
      <c r="V5" s="87">
        <v>32</v>
      </c>
      <c r="W5" s="87">
        <v>12</v>
      </c>
      <c r="X5" s="85">
        <v>186</v>
      </c>
      <c r="Y5" s="85">
        <v>186</v>
      </c>
      <c r="Z5" s="85">
        <f t="shared" ref="Z5:Z16" si="0">SUM(AD5,AH5,AL5,AP5,AT5,AX5,BB5,BF5,BJ5,BN5,BR5,BV5,BZ5,CD5,CH5)</f>
        <v>10624</v>
      </c>
      <c r="AA5" s="7">
        <f t="shared" ref="AA5:AA16" si="1">SUM(AE5,AI5,AM5,AQ5,AU5,AY5,BC5,BG5,BK5,BO5,BS5,BW5,CA5,CE5,CI5)</f>
        <v>5080</v>
      </c>
      <c r="AB5" s="7">
        <f t="shared" ref="AB5:AB16" si="2">SUM(AF5,AJ5,AN5,AR5,AV5,AZ5,BD5,BH5,BL5,BP5,BT5,BX5,CB5,CF5,CJ5)</f>
        <v>5544</v>
      </c>
      <c r="AC5" s="13">
        <v>3100</v>
      </c>
      <c r="AD5" s="7">
        <f t="shared" ref="AD5:AD15" si="3">K5*J5</f>
        <v>276</v>
      </c>
      <c r="AE5" s="7">
        <f>J5*34</f>
        <v>136</v>
      </c>
      <c r="AF5" s="8">
        <f t="shared" ref="AF5" si="4">AD5-AE5</f>
        <v>140</v>
      </c>
      <c r="AG5" s="14">
        <f t="shared" ref="AG5:AG15" si="5">AC5*AE5</f>
        <v>421600</v>
      </c>
      <c r="AH5" s="7">
        <f t="shared" ref="AH5:AH15" si="6">L5*J5</f>
        <v>868</v>
      </c>
      <c r="AI5" s="7">
        <f>J5*105</f>
        <v>420</v>
      </c>
      <c r="AJ5" s="8">
        <f>AH5-AI5</f>
        <v>448</v>
      </c>
      <c r="AK5" s="14">
        <f t="shared" ref="AK5:AK15" si="7">AC5*AI5</f>
        <v>1302000</v>
      </c>
      <c r="AL5" s="7">
        <f t="shared" ref="AL5:AL15" si="8">M5*J5</f>
        <v>1116</v>
      </c>
      <c r="AM5" s="7">
        <f t="shared" ref="AM5:AM10" si="9">J5*135</f>
        <v>540</v>
      </c>
      <c r="AN5" s="8">
        <f>AL5-AM5</f>
        <v>576</v>
      </c>
      <c r="AO5" s="14">
        <f t="shared" ref="AO5:AO15" si="10">AC5*AM5</f>
        <v>1674000</v>
      </c>
      <c r="AP5" s="7">
        <f t="shared" ref="AP5:AP15" si="11">N5*J5</f>
        <v>868</v>
      </c>
      <c r="AQ5" s="7">
        <f t="shared" ref="AQ5:AQ12" si="12">J5*105</f>
        <v>420</v>
      </c>
      <c r="AR5" s="8">
        <f t="shared" ref="AR5" si="13">AP5-AQ5</f>
        <v>448</v>
      </c>
      <c r="AS5" s="14">
        <f t="shared" ref="AS5:AS15" si="14">AC5*AQ5</f>
        <v>1302000</v>
      </c>
      <c r="AT5" s="7">
        <f t="shared" ref="AT5:AT15" si="15">M5*J5</f>
        <v>1116</v>
      </c>
      <c r="AU5" s="7">
        <f t="shared" ref="AU5:AU12" si="16">J5*120</f>
        <v>480</v>
      </c>
      <c r="AV5" s="8">
        <f>AT5-AU5</f>
        <v>636</v>
      </c>
      <c r="AW5" s="14">
        <f t="shared" ref="AW5:AW15" si="17">AU5*AC5</f>
        <v>1488000</v>
      </c>
      <c r="AX5" s="7">
        <f t="shared" ref="AX5:AX15" si="18">P5*J5</f>
        <v>992</v>
      </c>
      <c r="AY5" s="7">
        <f t="shared" ref="AY5:AY10" si="19">J5*120</f>
        <v>480</v>
      </c>
      <c r="AZ5" s="8">
        <f>AX5-AY5</f>
        <v>512</v>
      </c>
      <c r="BA5" s="14">
        <f t="shared" ref="BA5:BA15" si="20">AC5*AY5</f>
        <v>1488000</v>
      </c>
      <c r="BB5" s="7">
        <f t="shared" ref="BB5:BB15" si="21">Q5*J5</f>
        <v>1116</v>
      </c>
      <c r="BC5" s="7">
        <f t="shared" ref="BC5:BC10" si="22">J5*135</f>
        <v>540</v>
      </c>
      <c r="BD5" s="8">
        <f>BB5-BC5</f>
        <v>576</v>
      </c>
      <c r="BE5" s="14">
        <f t="shared" ref="BE5:BE15" si="23">BC5*AC5</f>
        <v>1674000</v>
      </c>
      <c r="BF5" s="7">
        <f t="shared" ref="BF5:BF16" si="24">R5*J5</f>
        <v>500</v>
      </c>
      <c r="BG5" s="7">
        <f>J5*59</f>
        <v>236</v>
      </c>
      <c r="BH5" s="8">
        <f>BF5-BG5</f>
        <v>264</v>
      </c>
      <c r="BI5" s="14">
        <f t="shared" ref="BI5:BI16" si="25">BG5*AC5</f>
        <v>731600</v>
      </c>
      <c r="BJ5" s="7">
        <f t="shared" ref="BJ5:BJ15" si="26">S5*J5</f>
        <v>248</v>
      </c>
      <c r="BK5" s="7">
        <f t="shared" ref="BK5:BK12" si="27">J5*30</f>
        <v>120</v>
      </c>
      <c r="BL5" s="8">
        <f>BJ5-BK5</f>
        <v>128</v>
      </c>
      <c r="BM5" s="14">
        <f t="shared" ref="BM5:BM15" si="28">BK5*AC5</f>
        <v>372000</v>
      </c>
      <c r="BN5" s="7">
        <f t="shared" ref="BN5:BN15" si="29">T5*J5</f>
        <v>1116</v>
      </c>
      <c r="BO5" s="7">
        <f t="shared" ref="BO5:BO12" si="30">J5*135</f>
        <v>540</v>
      </c>
      <c r="BP5" s="8">
        <f>BN5-BO5</f>
        <v>576</v>
      </c>
      <c r="BQ5" s="14">
        <f t="shared" ref="BQ5:BQ15" si="31">BO5*AC5</f>
        <v>1674000</v>
      </c>
      <c r="BR5" s="7">
        <f t="shared" ref="BR5:BR15" si="32">U5*J5</f>
        <v>744</v>
      </c>
      <c r="BS5" s="7">
        <f t="shared" ref="BS5:BS10" si="33">J5*90</f>
        <v>360</v>
      </c>
      <c r="BT5" s="8">
        <f>BR5-BS5</f>
        <v>384</v>
      </c>
      <c r="BU5" s="14">
        <f t="shared" ref="BU5:BU15" si="34">BS5*AC5</f>
        <v>1116000</v>
      </c>
      <c r="BV5" s="7">
        <f t="shared" ref="BV5:BV15" si="35">V5*J5</f>
        <v>128</v>
      </c>
      <c r="BW5" s="7">
        <f>J5*16</f>
        <v>64</v>
      </c>
      <c r="BX5" s="8">
        <f>BV5-BW5</f>
        <v>64</v>
      </c>
      <c r="BY5" s="14">
        <f t="shared" ref="BY5:BY15" si="36">BW5*AC5</f>
        <v>198400</v>
      </c>
      <c r="BZ5" s="7">
        <f t="shared" ref="BZ5:BZ15" si="37">W5*J5</f>
        <v>48</v>
      </c>
      <c r="CA5" s="7">
        <f t="shared" ref="CA5:CA10" si="38">J5*6</f>
        <v>24</v>
      </c>
      <c r="CB5" s="8">
        <f>BZ5-CA5</f>
        <v>24</v>
      </c>
      <c r="CC5" s="14">
        <f t="shared" ref="CC5:CC15" si="39">CA5*AC5</f>
        <v>74400</v>
      </c>
      <c r="CD5" s="7">
        <f t="shared" ref="CD5:CD15" si="40">X5*J5</f>
        <v>744</v>
      </c>
      <c r="CE5" s="7">
        <f t="shared" ref="CE5:CE10" si="41">J5*90</f>
        <v>360</v>
      </c>
      <c r="CF5" s="8">
        <f>CD5-CE5</f>
        <v>384</v>
      </c>
      <c r="CG5" s="14">
        <f t="shared" ref="CG5:CG15" si="42">CE5*AC5</f>
        <v>1116000</v>
      </c>
      <c r="CH5" s="7">
        <f t="shared" ref="CH5:CH15" si="43">Y5*J5</f>
        <v>744</v>
      </c>
      <c r="CI5" s="7">
        <f t="shared" ref="CI5:CI10" si="44">J5*90</f>
        <v>360</v>
      </c>
      <c r="CJ5" s="8">
        <f>CH5-CI5</f>
        <v>384</v>
      </c>
      <c r="CK5" s="14">
        <f t="shared" ref="CK5:CK15" si="45">CI5*AC5</f>
        <v>1116000</v>
      </c>
    </row>
    <row r="6" spans="2:89" s="2" customFormat="1" x14ac:dyDescent="0.3">
      <c r="B6" s="7">
        <f>'PLAN DE NECESIDADES'!B6</f>
        <v>2</v>
      </c>
      <c r="C6" s="7">
        <f>'PLAN DE NECESIDADES'!C6</f>
        <v>2791301</v>
      </c>
      <c r="D6" s="60" t="str">
        <f>'PLAN DE NECESIDADES'!D6</f>
        <v>PARCHE DE EJÉRCITO: 
ESPECIFICACIONES  TÉCNICAS   DE  ACUERDO A LA NORMA TÉCNICA KIT DE DOTACIÓN. NO. NTMD-0356 - A2.</v>
      </c>
      <c r="E6" s="7" t="str">
        <f>'PLAN DE NECESIDADES'!E6</f>
        <v>UNIDAD</v>
      </c>
      <c r="F6" s="7">
        <f>'PLAN DE NECESIDADES'!F6</f>
        <v>0</v>
      </c>
      <c r="G6" s="7">
        <f>'PLAN DE NECESIDADES'!H6</f>
        <v>11161701</v>
      </c>
      <c r="H6" s="7">
        <f>'PLAN DE NECESIDADES'!I6</f>
        <v>1898472</v>
      </c>
      <c r="I6" s="7" t="str">
        <f>'PLAN DE NECESIDADES'!J6</f>
        <v>SIN CREAR</v>
      </c>
      <c r="J6" s="7">
        <v>2</v>
      </c>
      <c r="K6" s="87">
        <v>69</v>
      </c>
      <c r="L6" s="87">
        <v>217</v>
      </c>
      <c r="M6" s="87">
        <v>279</v>
      </c>
      <c r="N6" s="87">
        <v>217</v>
      </c>
      <c r="O6" s="87">
        <v>248</v>
      </c>
      <c r="P6" s="87">
        <v>248</v>
      </c>
      <c r="Q6" s="87">
        <v>279</v>
      </c>
      <c r="R6" s="87">
        <v>125</v>
      </c>
      <c r="S6" s="87">
        <v>62</v>
      </c>
      <c r="T6" s="87">
        <v>279</v>
      </c>
      <c r="U6" s="87">
        <v>186</v>
      </c>
      <c r="V6" s="87">
        <v>32</v>
      </c>
      <c r="W6" s="87">
        <v>12</v>
      </c>
      <c r="X6" s="85">
        <v>186</v>
      </c>
      <c r="Y6" s="85">
        <v>186</v>
      </c>
      <c r="Z6" s="85">
        <f t="shared" si="0"/>
        <v>5312</v>
      </c>
      <c r="AA6" s="7">
        <f t="shared" si="1"/>
        <v>2538</v>
      </c>
      <c r="AB6" s="7">
        <f t="shared" si="2"/>
        <v>2774</v>
      </c>
      <c r="AC6" s="13">
        <v>3900</v>
      </c>
      <c r="AD6" s="7">
        <f t="shared" si="3"/>
        <v>138</v>
      </c>
      <c r="AE6" s="7">
        <f>J6*34</f>
        <v>68</v>
      </c>
      <c r="AF6" s="8">
        <f t="shared" ref="AF6:AF15" si="46">AD6-AE6</f>
        <v>70</v>
      </c>
      <c r="AG6" s="14">
        <f t="shared" si="5"/>
        <v>265200</v>
      </c>
      <c r="AH6" s="7">
        <f t="shared" si="6"/>
        <v>434</v>
      </c>
      <c r="AI6" s="7">
        <f>J6*105</f>
        <v>210</v>
      </c>
      <c r="AJ6" s="8">
        <f t="shared" ref="AJ6:AJ15" si="47">AH6-AI6</f>
        <v>224</v>
      </c>
      <c r="AK6" s="14">
        <f t="shared" si="7"/>
        <v>819000</v>
      </c>
      <c r="AL6" s="7">
        <f t="shared" si="8"/>
        <v>558</v>
      </c>
      <c r="AM6" s="7">
        <f t="shared" si="9"/>
        <v>270</v>
      </c>
      <c r="AN6" s="8">
        <f>AL6-AM6</f>
        <v>288</v>
      </c>
      <c r="AO6" s="14">
        <f t="shared" si="10"/>
        <v>1053000</v>
      </c>
      <c r="AP6" s="7">
        <f t="shared" si="11"/>
        <v>434</v>
      </c>
      <c r="AQ6" s="7">
        <f t="shared" si="12"/>
        <v>210</v>
      </c>
      <c r="AR6" s="8">
        <f t="shared" ref="AR6:AR15" si="48">AP6-AQ6</f>
        <v>224</v>
      </c>
      <c r="AS6" s="14">
        <f t="shared" si="14"/>
        <v>819000</v>
      </c>
      <c r="AT6" s="7">
        <f t="shared" si="15"/>
        <v>558</v>
      </c>
      <c r="AU6" s="7">
        <f t="shared" si="16"/>
        <v>240</v>
      </c>
      <c r="AV6" s="8">
        <f t="shared" ref="AV6:AV15" si="49">AT6-AU6</f>
        <v>318</v>
      </c>
      <c r="AW6" s="14">
        <f t="shared" si="17"/>
        <v>936000</v>
      </c>
      <c r="AX6" s="7">
        <f t="shared" si="18"/>
        <v>496</v>
      </c>
      <c r="AY6" s="7">
        <f t="shared" si="19"/>
        <v>240</v>
      </c>
      <c r="AZ6" s="8">
        <f t="shared" ref="AZ6:AZ15" si="50">AX6-AY6</f>
        <v>256</v>
      </c>
      <c r="BA6" s="14">
        <f t="shared" si="20"/>
        <v>936000</v>
      </c>
      <c r="BB6" s="7">
        <f t="shared" si="21"/>
        <v>558</v>
      </c>
      <c r="BC6" s="7">
        <f t="shared" si="22"/>
        <v>270</v>
      </c>
      <c r="BD6" s="8">
        <f t="shared" ref="BD6:BD15" si="51">BB6-BC6</f>
        <v>288</v>
      </c>
      <c r="BE6" s="14">
        <f t="shared" si="23"/>
        <v>1053000</v>
      </c>
      <c r="BF6" s="7">
        <f t="shared" si="24"/>
        <v>250</v>
      </c>
      <c r="BG6" s="7">
        <f t="shared" ref="BG6:BG16" si="52">J6*58</f>
        <v>116</v>
      </c>
      <c r="BH6" s="8">
        <f t="shared" ref="BH6:BH15" si="53">BF6-BG6</f>
        <v>134</v>
      </c>
      <c r="BI6" s="14">
        <f t="shared" si="25"/>
        <v>452400</v>
      </c>
      <c r="BJ6" s="7">
        <f t="shared" si="26"/>
        <v>124</v>
      </c>
      <c r="BK6" s="7">
        <f t="shared" si="27"/>
        <v>60</v>
      </c>
      <c r="BL6" s="8">
        <f t="shared" ref="BL6:BL15" si="54">BJ6-BK6</f>
        <v>64</v>
      </c>
      <c r="BM6" s="14">
        <f t="shared" si="28"/>
        <v>234000</v>
      </c>
      <c r="BN6" s="7">
        <f t="shared" si="29"/>
        <v>558</v>
      </c>
      <c r="BO6" s="7">
        <f t="shared" si="30"/>
        <v>270</v>
      </c>
      <c r="BP6" s="8">
        <f t="shared" ref="BP6:BP15" si="55">BN6-BO6</f>
        <v>288</v>
      </c>
      <c r="BQ6" s="14">
        <f t="shared" si="31"/>
        <v>1053000</v>
      </c>
      <c r="BR6" s="7">
        <f t="shared" si="32"/>
        <v>372</v>
      </c>
      <c r="BS6" s="7">
        <f t="shared" si="33"/>
        <v>180</v>
      </c>
      <c r="BT6" s="8">
        <f t="shared" ref="BT6:BT15" si="56">BR6-BS6</f>
        <v>192</v>
      </c>
      <c r="BU6" s="14">
        <f t="shared" si="34"/>
        <v>702000</v>
      </c>
      <c r="BV6" s="7">
        <f t="shared" si="35"/>
        <v>64</v>
      </c>
      <c r="BW6" s="7">
        <f>J6*16</f>
        <v>32</v>
      </c>
      <c r="BX6" s="8">
        <f t="shared" ref="BX6:BX15" si="57">BV6-BW6</f>
        <v>32</v>
      </c>
      <c r="BY6" s="14">
        <f t="shared" si="36"/>
        <v>124800</v>
      </c>
      <c r="BZ6" s="7">
        <f t="shared" si="37"/>
        <v>24</v>
      </c>
      <c r="CA6" s="7">
        <f t="shared" si="38"/>
        <v>12</v>
      </c>
      <c r="CB6" s="8">
        <f t="shared" ref="CB6:CB15" si="58">BZ6-CA6</f>
        <v>12</v>
      </c>
      <c r="CC6" s="14">
        <f t="shared" si="39"/>
        <v>46800</v>
      </c>
      <c r="CD6" s="7">
        <f t="shared" si="40"/>
        <v>372</v>
      </c>
      <c r="CE6" s="7">
        <f t="shared" si="41"/>
        <v>180</v>
      </c>
      <c r="CF6" s="8">
        <f t="shared" ref="CF6:CF15" si="59">CD6-CE6</f>
        <v>192</v>
      </c>
      <c r="CG6" s="14">
        <f t="shared" si="42"/>
        <v>702000</v>
      </c>
      <c r="CH6" s="7">
        <f t="shared" si="43"/>
        <v>372</v>
      </c>
      <c r="CI6" s="7">
        <f t="shared" si="44"/>
        <v>180</v>
      </c>
      <c r="CJ6" s="8">
        <f t="shared" ref="CJ6:CJ15" si="60">CH6-CI6</f>
        <v>192</v>
      </c>
      <c r="CK6" s="14">
        <f t="shared" si="45"/>
        <v>702000</v>
      </c>
    </row>
    <row r="7" spans="2:89" s="2" customFormat="1" x14ac:dyDescent="0.3">
      <c r="B7" s="7">
        <f>'PLAN DE NECESIDADES'!B7</f>
        <v>3</v>
      </c>
      <c r="C7" s="7">
        <f>'PLAN DE NECESIDADES'!C7</f>
        <v>2791301</v>
      </c>
      <c r="D7" s="60" t="str">
        <f>'PLAN DE NECESIDADES'!D7</f>
        <v>PARCHES DE LA UNIDAD SUPERIOR Y SUBALTERNA:
ESPECIFICACIONES  TÉCNICAS   DE  ACUERDO A LA NORMA TÉCNICA KIT DE DOTACIÓN N°. NTMD-0356 - A2.</v>
      </c>
      <c r="E7" s="7" t="str">
        <f>'PLAN DE NECESIDADES'!E7</f>
        <v>UNIDAD</v>
      </c>
      <c r="F7" s="7">
        <f>'PLAN DE NECESIDADES'!F7</f>
        <v>0</v>
      </c>
      <c r="G7" s="7">
        <f>'PLAN DE NECESIDADES'!H7</f>
        <v>11161701</v>
      </c>
      <c r="H7" s="7">
        <f>'PLAN DE NECESIDADES'!I7</f>
        <v>1343999</v>
      </c>
      <c r="I7" s="7" t="str">
        <f>'PLAN DE NECESIDADES'!J7</f>
        <v>SIN CREAR</v>
      </c>
      <c r="J7" s="7">
        <v>4</v>
      </c>
      <c r="K7" s="87">
        <v>69</v>
      </c>
      <c r="L7" s="87">
        <v>217</v>
      </c>
      <c r="M7" s="87">
        <v>279</v>
      </c>
      <c r="N7" s="87">
        <v>217</v>
      </c>
      <c r="O7" s="87">
        <v>248</v>
      </c>
      <c r="P7" s="87">
        <v>248</v>
      </c>
      <c r="Q7" s="87">
        <v>279</v>
      </c>
      <c r="R7" s="87">
        <v>125</v>
      </c>
      <c r="S7" s="87">
        <v>62</v>
      </c>
      <c r="T7" s="87">
        <v>279</v>
      </c>
      <c r="U7" s="87">
        <v>186</v>
      </c>
      <c r="V7" s="87">
        <v>32</v>
      </c>
      <c r="W7" s="87">
        <v>12</v>
      </c>
      <c r="X7" s="85">
        <v>186</v>
      </c>
      <c r="Y7" s="85">
        <v>186</v>
      </c>
      <c r="Z7" s="85">
        <f t="shared" si="0"/>
        <v>10624</v>
      </c>
      <c r="AA7" s="7">
        <f t="shared" si="1"/>
        <v>5076</v>
      </c>
      <c r="AB7" s="7">
        <f t="shared" si="2"/>
        <v>5548</v>
      </c>
      <c r="AC7" s="13">
        <v>4100</v>
      </c>
      <c r="AD7" s="7">
        <f t="shared" si="3"/>
        <v>276</v>
      </c>
      <c r="AE7" s="7">
        <f>J7*34</f>
        <v>136</v>
      </c>
      <c r="AF7" s="8">
        <f t="shared" si="46"/>
        <v>140</v>
      </c>
      <c r="AG7" s="14">
        <f t="shared" si="5"/>
        <v>557600</v>
      </c>
      <c r="AH7" s="7">
        <f t="shared" si="6"/>
        <v>868</v>
      </c>
      <c r="AI7" s="7">
        <f>J7*105</f>
        <v>420</v>
      </c>
      <c r="AJ7" s="8">
        <f t="shared" si="47"/>
        <v>448</v>
      </c>
      <c r="AK7" s="14">
        <f t="shared" si="7"/>
        <v>1722000</v>
      </c>
      <c r="AL7" s="7">
        <f t="shared" si="8"/>
        <v>1116</v>
      </c>
      <c r="AM7" s="7">
        <f t="shared" si="9"/>
        <v>540</v>
      </c>
      <c r="AN7" s="8">
        <f t="shared" ref="AN7:AN15" si="61">AL7-AM7</f>
        <v>576</v>
      </c>
      <c r="AO7" s="14">
        <f t="shared" si="10"/>
        <v>2214000</v>
      </c>
      <c r="AP7" s="7">
        <f t="shared" si="11"/>
        <v>868</v>
      </c>
      <c r="AQ7" s="7">
        <f t="shared" si="12"/>
        <v>420</v>
      </c>
      <c r="AR7" s="8">
        <f t="shared" si="48"/>
        <v>448</v>
      </c>
      <c r="AS7" s="14">
        <f t="shared" si="14"/>
        <v>1722000</v>
      </c>
      <c r="AT7" s="7">
        <f t="shared" si="15"/>
        <v>1116</v>
      </c>
      <c r="AU7" s="7">
        <f t="shared" si="16"/>
        <v>480</v>
      </c>
      <c r="AV7" s="8">
        <f t="shared" si="49"/>
        <v>636</v>
      </c>
      <c r="AW7" s="14">
        <f t="shared" si="17"/>
        <v>1968000</v>
      </c>
      <c r="AX7" s="7">
        <f t="shared" si="18"/>
        <v>992</v>
      </c>
      <c r="AY7" s="7">
        <f t="shared" si="19"/>
        <v>480</v>
      </c>
      <c r="AZ7" s="8">
        <f t="shared" si="50"/>
        <v>512</v>
      </c>
      <c r="BA7" s="14">
        <f t="shared" si="20"/>
        <v>1968000</v>
      </c>
      <c r="BB7" s="7">
        <f t="shared" si="21"/>
        <v>1116</v>
      </c>
      <c r="BC7" s="7">
        <f t="shared" si="22"/>
        <v>540</v>
      </c>
      <c r="BD7" s="8">
        <f t="shared" si="51"/>
        <v>576</v>
      </c>
      <c r="BE7" s="14">
        <f t="shared" si="23"/>
        <v>2214000</v>
      </c>
      <c r="BF7" s="7">
        <f t="shared" si="24"/>
        <v>500</v>
      </c>
      <c r="BG7" s="7">
        <f t="shared" si="52"/>
        <v>232</v>
      </c>
      <c r="BH7" s="8">
        <f t="shared" si="53"/>
        <v>268</v>
      </c>
      <c r="BI7" s="14">
        <f t="shared" si="25"/>
        <v>951200</v>
      </c>
      <c r="BJ7" s="7">
        <f t="shared" si="26"/>
        <v>248</v>
      </c>
      <c r="BK7" s="7">
        <f t="shared" si="27"/>
        <v>120</v>
      </c>
      <c r="BL7" s="8">
        <f t="shared" si="54"/>
        <v>128</v>
      </c>
      <c r="BM7" s="14">
        <f t="shared" si="28"/>
        <v>492000</v>
      </c>
      <c r="BN7" s="7">
        <f t="shared" si="29"/>
        <v>1116</v>
      </c>
      <c r="BO7" s="7">
        <f t="shared" si="30"/>
        <v>540</v>
      </c>
      <c r="BP7" s="8">
        <f t="shared" si="55"/>
        <v>576</v>
      </c>
      <c r="BQ7" s="14">
        <f t="shared" si="31"/>
        <v>2214000</v>
      </c>
      <c r="BR7" s="7">
        <f t="shared" si="32"/>
        <v>744</v>
      </c>
      <c r="BS7" s="7">
        <f t="shared" si="33"/>
        <v>360</v>
      </c>
      <c r="BT7" s="8">
        <f t="shared" si="56"/>
        <v>384</v>
      </c>
      <c r="BU7" s="14">
        <f t="shared" si="34"/>
        <v>1476000</v>
      </c>
      <c r="BV7" s="7">
        <f t="shared" si="35"/>
        <v>128</v>
      </c>
      <c r="BW7" s="7">
        <f>J7*16</f>
        <v>64</v>
      </c>
      <c r="BX7" s="8">
        <f t="shared" si="57"/>
        <v>64</v>
      </c>
      <c r="BY7" s="14">
        <f t="shared" si="36"/>
        <v>262400</v>
      </c>
      <c r="BZ7" s="7">
        <f t="shared" si="37"/>
        <v>48</v>
      </c>
      <c r="CA7" s="7">
        <f t="shared" si="38"/>
        <v>24</v>
      </c>
      <c r="CB7" s="8">
        <f t="shared" si="58"/>
        <v>24</v>
      </c>
      <c r="CC7" s="14">
        <f t="shared" si="39"/>
        <v>98400</v>
      </c>
      <c r="CD7" s="7">
        <f t="shared" si="40"/>
        <v>744</v>
      </c>
      <c r="CE7" s="7">
        <f t="shared" si="41"/>
        <v>360</v>
      </c>
      <c r="CF7" s="8">
        <f t="shared" si="59"/>
        <v>384</v>
      </c>
      <c r="CG7" s="14">
        <f t="shared" si="42"/>
        <v>1476000</v>
      </c>
      <c r="CH7" s="7">
        <f t="shared" si="43"/>
        <v>744</v>
      </c>
      <c r="CI7" s="7">
        <f t="shared" si="44"/>
        <v>360</v>
      </c>
      <c r="CJ7" s="8">
        <f t="shared" si="60"/>
        <v>384</v>
      </c>
      <c r="CK7" s="14">
        <f t="shared" si="45"/>
        <v>1476000</v>
      </c>
    </row>
    <row r="8" spans="2:89" s="2" customFormat="1" x14ac:dyDescent="0.3">
      <c r="B8" s="7">
        <f>'PLAN DE NECESIDADES'!B8</f>
        <v>4</v>
      </c>
      <c r="C8" s="7">
        <f>'PLAN DE NECESIDADES'!C8</f>
        <v>2791301</v>
      </c>
      <c r="D8" s="60" t="str">
        <f>'PLAN DE NECESIDADES'!D8</f>
        <v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v>
      </c>
      <c r="E8" s="7" t="str">
        <f>'PLAN DE NECESIDADES'!E8</f>
        <v>UNIDAD</v>
      </c>
      <c r="F8" s="7">
        <f>'PLAN DE NECESIDADES'!F8</f>
        <v>0</v>
      </c>
      <c r="G8" s="7">
        <f>'PLAN DE NECESIDADES'!H8</f>
        <v>11161701</v>
      </c>
      <c r="H8" s="7">
        <f>'PLAN DE NECESIDADES'!I8</f>
        <v>1347326</v>
      </c>
      <c r="I8" s="7" t="str">
        <f>'PLAN DE NECESIDADES'!J8</f>
        <v>SIN CREAR</v>
      </c>
      <c r="J8" s="7">
        <v>2</v>
      </c>
      <c r="K8" s="87">
        <v>69</v>
      </c>
      <c r="L8" s="87">
        <v>217</v>
      </c>
      <c r="M8" s="87">
        <v>279</v>
      </c>
      <c r="N8" s="87">
        <v>217</v>
      </c>
      <c r="O8" s="87">
        <v>248</v>
      </c>
      <c r="P8" s="87">
        <v>248</v>
      </c>
      <c r="Q8" s="87">
        <v>279</v>
      </c>
      <c r="R8" s="87">
        <v>125</v>
      </c>
      <c r="S8" s="87">
        <v>62</v>
      </c>
      <c r="T8" s="87">
        <v>279</v>
      </c>
      <c r="U8" s="87">
        <v>186</v>
      </c>
      <c r="V8" s="87">
        <v>32</v>
      </c>
      <c r="W8" s="87">
        <v>12</v>
      </c>
      <c r="X8" s="85">
        <v>186</v>
      </c>
      <c r="Y8" s="85">
        <v>186</v>
      </c>
      <c r="Z8" s="85">
        <f t="shared" si="0"/>
        <v>5312</v>
      </c>
      <c r="AA8" s="7">
        <f t="shared" si="1"/>
        <v>2536</v>
      </c>
      <c r="AB8" s="7">
        <f t="shared" si="2"/>
        <v>2776</v>
      </c>
      <c r="AC8" s="13">
        <v>5300</v>
      </c>
      <c r="AD8" s="7">
        <f t="shared" si="3"/>
        <v>138</v>
      </c>
      <c r="AE8" s="7">
        <f>J8*33</f>
        <v>66</v>
      </c>
      <c r="AF8" s="8">
        <f t="shared" si="46"/>
        <v>72</v>
      </c>
      <c r="AG8" s="14">
        <f t="shared" si="5"/>
        <v>349800</v>
      </c>
      <c r="AH8" s="7">
        <f t="shared" si="6"/>
        <v>434</v>
      </c>
      <c r="AI8" s="7">
        <f>J8*105</f>
        <v>210</v>
      </c>
      <c r="AJ8" s="8">
        <f t="shared" si="47"/>
        <v>224</v>
      </c>
      <c r="AK8" s="14">
        <f t="shared" si="7"/>
        <v>1113000</v>
      </c>
      <c r="AL8" s="7">
        <f t="shared" si="8"/>
        <v>558</v>
      </c>
      <c r="AM8" s="7">
        <f t="shared" si="9"/>
        <v>270</v>
      </c>
      <c r="AN8" s="8">
        <f t="shared" si="61"/>
        <v>288</v>
      </c>
      <c r="AO8" s="14">
        <f t="shared" si="10"/>
        <v>1431000</v>
      </c>
      <c r="AP8" s="7">
        <f t="shared" si="11"/>
        <v>434</v>
      </c>
      <c r="AQ8" s="7">
        <f t="shared" si="12"/>
        <v>210</v>
      </c>
      <c r="AR8" s="8">
        <f t="shared" si="48"/>
        <v>224</v>
      </c>
      <c r="AS8" s="14">
        <f t="shared" si="14"/>
        <v>1113000</v>
      </c>
      <c r="AT8" s="7">
        <f t="shared" si="15"/>
        <v>558</v>
      </c>
      <c r="AU8" s="7">
        <f t="shared" si="16"/>
        <v>240</v>
      </c>
      <c r="AV8" s="8">
        <f t="shared" si="49"/>
        <v>318</v>
      </c>
      <c r="AW8" s="14">
        <f t="shared" si="17"/>
        <v>1272000</v>
      </c>
      <c r="AX8" s="7">
        <f t="shared" si="18"/>
        <v>496</v>
      </c>
      <c r="AY8" s="7">
        <f t="shared" si="19"/>
        <v>240</v>
      </c>
      <c r="AZ8" s="8">
        <f t="shared" si="50"/>
        <v>256</v>
      </c>
      <c r="BA8" s="14">
        <f t="shared" si="20"/>
        <v>1272000</v>
      </c>
      <c r="BB8" s="7">
        <f t="shared" si="21"/>
        <v>558</v>
      </c>
      <c r="BC8" s="7">
        <f t="shared" si="22"/>
        <v>270</v>
      </c>
      <c r="BD8" s="8">
        <f t="shared" si="51"/>
        <v>288</v>
      </c>
      <c r="BE8" s="14">
        <f t="shared" si="23"/>
        <v>1431000</v>
      </c>
      <c r="BF8" s="7">
        <f t="shared" si="24"/>
        <v>250</v>
      </c>
      <c r="BG8" s="7">
        <f t="shared" si="52"/>
        <v>116</v>
      </c>
      <c r="BH8" s="8">
        <f t="shared" si="53"/>
        <v>134</v>
      </c>
      <c r="BI8" s="14">
        <f t="shared" si="25"/>
        <v>614800</v>
      </c>
      <c r="BJ8" s="7">
        <f t="shared" si="26"/>
        <v>124</v>
      </c>
      <c r="BK8" s="7">
        <f t="shared" si="27"/>
        <v>60</v>
      </c>
      <c r="BL8" s="8">
        <f t="shared" si="54"/>
        <v>64</v>
      </c>
      <c r="BM8" s="14">
        <f t="shared" si="28"/>
        <v>318000</v>
      </c>
      <c r="BN8" s="7">
        <f t="shared" si="29"/>
        <v>558</v>
      </c>
      <c r="BO8" s="7">
        <f t="shared" si="30"/>
        <v>270</v>
      </c>
      <c r="BP8" s="8">
        <f t="shared" si="55"/>
        <v>288</v>
      </c>
      <c r="BQ8" s="14">
        <f t="shared" si="31"/>
        <v>1431000</v>
      </c>
      <c r="BR8" s="7">
        <f t="shared" si="32"/>
        <v>372</v>
      </c>
      <c r="BS8" s="7">
        <f t="shared" si="33"/>
        <v>180</v>
      </c>
      <c r="BT8" s="8">
        <f t="shared" si="56"/>
        <v>192</v>
      </c>
      <c r="BU8" s="14">
        <f t="shared" si="34"/>
        <v>954000</v>
      </c>
      <c r="BV8" s="7">
        <f t="shared" si="35"/>
        <v>64</v>
      </c>
      <c r="BW8" s="7">
        <f>J8*16</f>
        <v>32</v>
      </c>
      <c r="BX8" s="8">
        <f t="shared" si="57"/>
        <v>32</v>
      </c>
      <c r="BY8" s="14">
        <f t="shared" si="36"/>
        <v>169600</v>
      </c>
      <c r="BZ8" s="7">
        <f t="shared" si="37"/>
        <v>24</v>
      </c>
      <c r="CA8" s="7">
        <f t="shared" si="38"/>
        <v>12</v>
      </c>
      <c r="CB8" s="8">
        <f t="shared" si="58"/>
        <v>12</v>
      </c>
      <c r="CC8" s="14">
        <f t="shared" si="39"/>
        <v>63600</v>
      </c>
      <c r="CD8" s="7">
        <f t="shared" si="40"/>
        <v>372</v>
      </c>
      <c r="CE8" s="7">
        <f t="shared" si="41"/>
        <v>180</v>
      </c>
      <c r="CF8" s="8">
        <f t="shared" si="59"/>
        <v>192</v>
      </c>
      <c r="CG8" s="14">
        <f t="shared" si="42"/>
        <v>954000</v>
      </c>
      <c r="CH8" s="7">
        <f t="shared" si="43"/>
        <v>372</v>
      </c>
      <c r="CI8" s="7">
        <f t="shared" si="44"/>
        <v>180</v>
      </c>
      <c r="CJ8" s="8">
        <f t="shared" si="60"/>
        <v>192</v>
      </c>
      <c r="CK8" s="14">
        <f t="shared" si="45"/>
        <v>954000</v>
      </c>
    </row>
    <row r="9" spans="2:89" s="2" customFormat="1" x14ac:dyDescent="0.3">
      <c r="B9" s="7">
        <f>'PLAN DE NECESIDADES'!B9</f>
        <v>5</v>
      </c>
      <c r="C9" s="7">
        <f>'PLAN DE NECESIDADES'!C9</f>
        <v>2791301</v>
      </c>
      <c r="D9" s="60" t="str">
        <f>'PLAN DE NECESIDADES'!D9</f>
        <v>PARCHE PARA IDENTIFICACIÓN GRUPO SANGUÍNEO:
ESPECIFICACIONES  TÉCNICAS   DE  ACUERDO A LA NORMA TÉCNICA KIT DE DOTACIÓN N°. NTMD-0356 - A2.</v>
      </c>
      <c r="E9" s="7" t="str">
        <f>'PLAN DE NECESIDADES'!E9</f>
        <v>UNIDAD</v>
      </c>
      <c r="F9" s="7">
        <f>'PLAN DE NECESIDADES'!F9</f>
        <v>0</v>
      </c>
      <c r="G9" s="7">
        <f>'PLAN DE NECESIDADES'!H9</f>
        <v>11161701</v>
      </c>
      <c r="H9" s="7">
        <f>'PLAN DE NECESIDADES'!I9</f>
        <v>1143174</v>
      </c>
      <c r="I9" s="7" t="str">
        <f>'PLAN DE NECESIDADES'!J9</f>
        <v>SIN CREAR</v>
      </c>
      <c r="J9" s="7">
        <v>2</v>
      </c>
      <c r="K9" s="87">
        <v>69</v>
      </c>
      <c r="L9" s="87">
        <v>217</v>
      </c>
      <c r="M9" s="87">
        <v>279</v>
      </c>
      <c r="N9" s="87">
        <v>217</v>
      </c>
      <c r="O9" s="87">
        <v>248</v>
      </c>
      <c r="P9" s="87">
        <v>248</v>
      </c>
      <c r="Q9" s="87">
        <v>279</v>
      </c>
      <c r="R9" s="87">
        <v>125</v>
      </c>
      <c r="S9" s="87">
        <v>62</v>
      </c>
      <c r="T9" s="87">
        <v>279</v>
      </c>
      <c r="U9" s="87">
        <v>186</v>
      </c>
      <c r="V9" s="87">
        <v>32</v>
      </c>
      <c r="W9" s="87">
        <v>12</v>
      </c>
      <c r="X9" s="85">
        <v>186</v>
      </c>
      <c r="Y9" s="85">
        <v>186</v>
      </c>
      <c r="Z9" s="85">
        <f t="shared" si="0"/>
        <v>5312</v>
      </c>
      <c r="AA9" s="7">
        <f t="shared" si="1"/>
        <v>2534</v>
      </c>
      <c r="AB9" s="7">
        <f t="shared" si="2"/>
        <v>2778</v>
      </c>
      <c r="AC9" s="13">
        <v>3700</v>
      </c>
      <c r="AD9" s="7">
        <f t="shared" si="3"/>
        <v>138</v>
      </c>
      <c r="AE9" s="7">
        <f>J9*33</f>
        <v>66</v>
      </c>
      <c r="AF9" s="8">
        <f t="shared" si="46"/>
        <v>72</v>
      </c>
      <c r="AG9" s="14">
        <f t="shared" si="5"/>
        <v>244200</v>
      </c>
      <c r="AH9" s="7">
        <f t="shared" si="6"/>
        <v>434</v>
      </c>
      <c r="AI9" s="7">
        <f>J9*104</f>
        <v>208</v>
      </c>
      <c r="AJ9" s="8">
        <f t="shared" si="47"/>
        <v>226</v>
      </c>
      <c r="AK9" s="14">
        <f t="shared" si="7"/>
        <v>769600</v>
      </c>
      <c r="AL9" s="7">
        <f t="shared" si="8"/>
        <v>558</v>
      </c>
      <c r="AM9" s="7">
        <f t="shared" si="9"/>
        <v>270</v>
      </c>
      <c r="AN9" s="8">
        <f t="shared" si="61"/>
        <v>288</v>
      </c>
      <c r="AO9" s="14">
        <f t="shared" si="10"/>
        <v>999000</v>
      </c>
      <c r="AP9" s="7">
        <f t="shared" si="11"/>
        <v>434</v>
      </c>
      <c r="AQ9" s="7">
        <f t="shared" si="12"/>
        <v>210</v>
      </c>
      <c r="AR9" s="8">
        <f t="shared" si="48"/>
        <v>224</v>
      </c>
      <c r="AS9" s="14">
        <f t="shared" si="14"/>
        <v>777000</v>
      </c>
      <c r="AT9" s="7">
        <f t="shared" si="15"/>
        <v>558</v>
      </c>
      <c r="AU9" s="7">
        <f t="shared" si="16"/>
        <v>240</v>
      </c>
      <c r="AV9" s="8">
        <f t="shared" si="49"/>
        <v>318</v>
      </c>
      <c r="AW9" s="14">
        <f t="shared" si="17"/>
        <v>888000</v>
      </c>
      <c r="AX9" s="7">
        <f t="shared" si="18"/>
        <v>496</v>
      </c>
      <c r="AY9" s="7">
        <f t="shared" si="19"/>
        <v>240</v>
      </c>
      <c r="AZ9" s="8">
        <f t="shared" si="50"/>
        <v>256</v>
      </c>
      <c r="BA9" s="14">
        <f t="shared" si="20"/>
        <v>888000</v>
      </c>
      <c r="BB9" s="7">
        <f t="shared" si="21"/>
        <v>558</v>
      </c>
      <c r="BC9" s="7">
        <f t="shared" si="22"/>
        <v>270</v>
      </c>
      <c r="BD9" s="8">
        <f t="shared" si="51"/>
        <v>288</v>
      </c>
      <c r="BE9" s="14">
        <f t="shared" si="23"/>
        <v>999000</v>
      </c>
      <c r="BF9" s="7">
        <f t="shared" si="24"/>
        <v>250</v>
      </c>
      <c r="BG9" s="7">
        <f t="shared" si="52"/>
        <v>116</v>
      </c>
      <c r="BH9" s="8">
        <f t="shared" si="53"/>
        <v>134</v>
      </c>
      <c r="BI9" s="14">
        <f t="shared" si="25"/>
        <v>429200</v>
      </c>
      <c r="BJ9" s="7">
        <f t="shared" si="26"/>
        <v>124</v>
      </c>
      <c r="BK9" s="7">
        <f t="shared" si="27"/>
        <v>60</v>
      </c>
      <c r="BL9" s="8">
        <f t="shared" si="54"/>
        <v>64</v>
      </c>
      <c r="BM9" s="14">
        <f t="shared" si="28"/>
        <v>222000</v>
      </c>
      <c r="BN9" s="7">
        <f t="shared" si="29"/>
        <v>558</v>
      </c>
      <c r="BO9" s="7">
        <f t="shared" si="30"/>
        <v>270</v>
      </c>
      <c r="BP9" s="8">
        <f t="shared" si="55"/>
        <v>288</v>
      </c>
      <c r="BQ9" s="14">
        <f t="shared" si="31"/>
        <v>999000</v>
      </c>
      <c r="BR9" s="7">
        <f t="shared" si="32"/>
        <v>372</v>
      </c>
      <c r="BS9" s="7">
        <f t="shared" si="33"/>
        <v>180</v>
      </c>
      <c r="BT9" s="8">
        <f t="shared" si="56"/>
        <v>192</v>
      </c>
      <c r="BU9" s="14">
        <f t="shared" si="34"/>
        <v>666000</v>
      </c>
      <c r="BV9" s="7">
        <f t="shared" si="35"/>
        <v>64</v>
      </c>
      <c r="BW9" s="7">
        <f>J9*16</f>
        <v>32</v>
      </c>
      <c r="BX9" s="8">
        <f t="shared" si="57"/>
        <v>32</v>
      </c>
      <c r="BY9" s="14">
        <f t="shared" si="36"/>
        <v>118400</v>
      </c>
      <c r="BZ9" s="7">
        <f t="shared" si="37"/>
        <v>24</v>
      </c>
      <c r="CA9" s="7">
        <f t="shared" si="38"/>
        <v>12</v>
      </c>
      <c r="CB9" s="8">
        <f t="shared" si="58"/>
        <v>12</v>
      </c>
      <c r="CC9" s="14">
        <f t="shared" si="39"/>
        <v>44400</v>
      </c>
      <c r="CD9" s="7">
        <f t="shared" si="40"/>
        <v>372</v>
      </c>
      <c r="CE9" s="7">
        <f t="shared" si="41"/>
        <v>180</v>
      </c>
      <c r="CF9" s="8">
        <f t="shared" si="59"/>
        <v>192</v>
      </c>
      <c r="CG9" s="14">
        <f t="shared" si="42"/>
        <v>666000</v>
      </c>
      <c r="CH9" s="7">
        <f t="shared" si="43"/>
        <v>372</v>
      </c>
      <c r="CI9" s="7">
        <f t="shared" si="44"/>
        <v>180</v>
      </c>
      <c r="CJ9" s="8">
        <f t="shared" si="60"/>
        <v>192</v>
      </c>
      <c r="CK9" s="14">
        <f t="shared" si="45"/>
        <v>666000</v>
      </c>
    </row>
    <row r="10" spans="2:89" s="2" customFormat="1" x14ac:dyDescent="0.3">
      <c r="B10" s="7">
        <f>'PLAN DE NECESIDADES'!B10</f>
        <v>6</v>
      </c>
      <c r="C10" s="7">
        <f>'PLAN DE NECESIDADES'!C10</f>
        <v>2791301</v>
      </c>
      <c r="D10" s="60" t="str">
        <f>'PLAN DE NECESIDADES'!D10</f>
        <v>INSIGNIA DEL GRADO SOLDADO:
ESPECIFICACIONES  TÉCNICAS   DE  ACUERDO A LA NORMA TÉCNICA KIT DE DOTACIÓN N°. NTMD-0356 - A2.</v>
      </c>
      <c r="E10" s="7" t="str">
        <f>'PLAN DE NECESIDADES'!E10</f>
        <v>JUEGO</v>
      </c>
      <c r="F10" s="7">
        <f>'PLAN DE NECESIDADES'!F10</f>
        <v>0</v>
      </c>
      <c r="G10" s="7">
        <f>'PLAN DE NECESIDADES'!H10</f>
        <v>11161701</v>
      </c>
      <c r="H10" s="7">
        <f>'PLAN DE NECESIDADES'!I10</f>
        <v>1047424</v>
      </c>
      <c r="I10" s="7" t="str">
        <f>'PLAN DE NECESIDADES'!J10</f>
        <v>SIN CREAR</v>
      </c>
      <c r="J10" s="7">
        <v>2</v>
      </c>
      <c r="K10" s="87">
        <v>69</v>
      </c>
      <c r="L10" s="87">
        <v>217</v>
      </c>
      <c r="M10" s="87">
        <v>279</v>
      </c>
      <c r="N10" s="87">
        <v>217</v>
      </c>
      <c r="O10" s="87">
        <v>248</v>
      </c>
      <c r="P10" s="87">
        <v>248</v>
      </c>
      <c r="Q10" s="87">
        <v>279</v>
      </c>
      <c r="R10" s="87">
        <v>125</v>
      </c>
      <c r="S10" s="87">
        <v>62</v>
      </c>
      <c r="T10" s="87">
        <v>279</v>
      </c>
      <c r="U10" s="87">
        <v>186</v>
      </c>
      <c r="V10" s="87">
        <v>32</v>
      </c>
      <c r="W10" s="87">
        <v>12</v>
      </c>
      <c r="X10" s="85">
        <v>186</v>
      </c>
      <c r="Y10" s="85">
        <v>186</v>
      </c>
      <c r="Z10" s="85">
        <f t="shared" si="0"/>
        <v>5312</v>
      </c>
      <c r="AA10" s="7">
        <f t="shared" si="1"/>
        <v>2534</v>
      </c>
      <c r="AB10" s="7">
        <f t="shared" si="2"/>
        <v>2778</v>
      </c>
      <c r="AC10" s="13">
        <v>14900</v>
      </c>
      <c r="AD10" s="7">
        <f t="shared" si="3"/>
        <v>138</v>
      </c>
      <c r="AE10" s="7">
        <f>J10*33</f>
        <v>66</v>
      </c>
      <c r="AF10" s="8">
        <f t="shared" si="46"/>
        <v>72</v>
      </c>
      <c r="AG10" s="14">
        <f t="shared" si="5"/>
        <v>983400</v>
      </c>
      <c r="AH10" s="7">
        <f t="shared" si="6"/>
        <v>434</v>
      </c>
      <c r="AI10" s="7">
        <f>J10*105</f>
        <v>210</v>
      </c>
      <c r="AJ10" s="8">
        <f t="shared" si="47"/>
        <v>224</v>
      </c>
      <c r="AK10" s="14">
        <f t="shared" si="7"/>
        <v>3129000</v>
      </c>
      <c r="AL10" s="7">
        <f t="shared" si="8"/>
        <v>558</v>
      </c>
      <c r="AM10" s="7">
        <f t="shared" si="9"/>
        <v>270</v>
      </c>
      <c r="AN10" s="8">
        <f t="shared" si="61"/>
        <v>288</v>
      </c>
      <c r="AO10" s="14">
        <f t="shared" si="10"/>
        <v>4023000</v>
      </c>
      <c r="AP10" s="7">
        <f t="shared" si="11"/>
        <v>434</v>
      </c>
      <c r="AQ10" s="7">
        <f t="shared" si="12"/>
        <v>210</v>
      </c>
      <c r="AR10" s="8">
        <f t="shared" si="48"/>
        <v>224</v>
      </c>
      <c r="AS10" s="14">
        <f t="shared" si="14"/>
        <v>3129000</v>
      </c>
      <c r="AT10" s="7">
        <f t="shared" si="15"/>
        <v>558</v>
      </c>
      <c r="AU10" s="7">
        <f t="shared" si="16"/>
        <v>240</v>
      </c>
      <c r="AV10" s="8">
        <f t="shared" si="49"/>
        <v>318</v>
      </c>
      <c r="AW10" s="14">
        <f t="shared" si="17"/>
        <v>3576000</v>
      </c>
      <c r="AX10" s="7">
        <f t="shared" si="18"/>
        <v>496</v>
      </c>
      <c r="AY10" s="7">
        <f t="shared" si="19"/>
        <v>240</v>
      </c>
      <c r="AZ10" s="8">
        <f t="shared" si="50"/>
        <v>256</v>
      </c>
      <c r="BA10" s="14">
        <f t="shared" si="20"/>
        <v>3576000</v>
      </c>
      <c r="BB10" s="7">
        <f t="shared" si="21"/>
        <v>558</v>
      </c>
      <c r="BC10" s="7">
        <f t="shared" si="22"/>
        <v>270</v>
      </c>
      <c r="BD10" s="8">
        <f t="shared" si="51"/>
        <v>288</v>
      </c>
      <c r="BE10" s="14">
        <f t="shared" si="23"/>
        <v>4023000</v>
      </c>
      <c r="BF10" s="7">
        <f t="shared" si="24"/>
        <v>250</v>
      </c>
      <c r="BG10" s="7">
        <f t="shared" si="52"/>
        <v>116</v>
      </c>
      <c r="BH10" s="8">
        <f t="shared" si="53"/>
        <v>134</v>
      </c>
      <c r="BI10" s="14">
        <f t="shared" si="25"/>
        <v>1728400</v>
      </c>
      <c r="BJ10" s="7">
        <f t="shared" si="26"/>
        <v>124</v>
      </c>
      <c r="BK10" s="7">
        <f t="shared" si="27"/>
        <v>60</v>
      </c>
      <c r="BL10" s="8">
        <f t="shared" si="54"/>
        <v>64</v>
      </c>
      <c r="BM10" s="14">
        <f t="shared" si="28"/>
        <v>894000</v>
      </c>
      <c r="BN10" s="7">
        <f t="shared" si="29"/>
        <v>558</v>
      </c>
      <c r="BO10" s="7">
        <f t="shared" si="30"/>
        <v>270</v>
      </c>
      <c r="BP10" s="8">
        <f t="shared" si="55"/>
        <v>288</v>
      </c>
      <c r="BQ10" s="14">
        <f t="shared" si="31"/>
        <v>4023000</v>
      </c>
      <c r="BR10" s="7">
        <f t="shared" si="32"/>
        <v>372</v>
      </c>
      <c r="BS10" s="7">
        <f t="shared" si="33"/>
        <v>180</v>
      </c>
      <c r="BT10" s="8">
        <f t="shared" si="56"/>
        <v>192</v>
      </c>
      <c r="BU10" s="14">
        <f t="shared" si="34"/>
        <v>2682000</v>
      </c>
      <c r="BV10" s="7">
        <f t="shared" si="35"/>
        <v>64</v>
      </c>
      <c r="BW10" s="7">
        <f t="shared" ref="BW10:BW15" si="62">J10*15</f>
        <v>30</v>
      </c>
      <c r="BX10" s="8">
        <f t="shared" si="57"/>
        <v>34</v>
      </c>
      <c r="BY10" s="14">
        <f t="shared" si="36"/>
        <v>447000</v>
      </c>
      <c r="BZ10" s="7">
        <f t="shared" si="37"/>
        <v>24</v>
      </c>
      <c r="CA10" s="7">
        <f t="shared" si="38"/>
        <v>12</v>
      </c>
      <c r="CB10" s="8">
        <f t="shared" si="58"/>
        <v>12</v>
      </c>
      <c r="CC10" s="14">
        <f t="shared" si="39"/>
        <v>178800</v>
      </c>
      <c r="CD10" s="7">
        <f t="shared" si="40"/>
        <v>372</v>
      </c>
      <c r="CE10" s="7">
        <f t="shared" si="41"/>
        <v>180</v>
      </c>
      <c r="CF10" s="8">
        <f t="shared" si="59"/>
        <v>192</v>
      </c>
      <c r="CG10" s="14">
        <f t="shared" si="42"/>
        <v>2682000</v>
      </c>
      <c r="CH10" s="7">
        <f t="shared" si="43"/>
        <v>372</v>
      </c>
      <c r="CI10" s="7">
        <f t="shared" si="44"/>
        <v>180</v>
      </c>
      <c r="CJ10" s="8">
        <f t="shared" si="60"/>
        <v>192</v>
      </c>
      <c r="CK10" s="14">
        <f t="shared" si="45"/>
        <v>2682000</v>
      </c>
    </row>
    <row r="11" spans="2:89" s="2" customFormat="1" x14ac:dyDescent="0.3">
      <c r="B11" s="7">
        <f>'PLAN DE NECESIDADES'!B11</f>
        <v>7</v>
      </c>
      <c r="C11" s="7">
        <f>'PLAN DE NECESIDADES'!C11</f>
        <v>2791301</v>
      </c>
      <c r="D11" s="60" t="str">
        <f>'PLAN DE NECESIDADES'!D11</f>
        <v>BRAZALETES TÁCTICOS X JUEGO DE 4:
ESPECIFICACIONES  TÉCNICAS   DE  ACUERDO A LA NORMA TÉCNICA KIT DE DOTACIÓN N°. NTMD-0356 - A2.</v>
      </c>
      <c r="E11" s="7" t="str">
        <f>'PLAN DE NECESIDADES'!E11</f>
        <v>JUEGO</v>
      </c>
      <c r="F11" s="7">
        <f>'PLAN DE NECESIDADES'!F11</f>
        <v>0</v>
      </c>
      <c r="G11" s="7">
        <f>'PLAN DE NECESIDADES'!H11</f>
        <v>11161701</v>
      </c>
      <c r="H11" s="7">
        <f>'PLAN DE NECESIDADES'!I11</f>
        <v>1248964</v>
      </c>
      <c r="I11" s="7" t="str">
        <f>'PLAN DE NECESIDADES'!J11</f>
        <v>8455-80-0011302</v>
      </c>
      <c r="J11" s="7">
        <v>1</v>
      </c>
      <c r="K11" s="87">
        <v>69</v>
      </c>
      <c r="L11" s="87">
        <v>217</v>
      </c>
      <c r="M11" s="87">
        <v>279</v>
      </c>
      <c r="N11" s="87">
        <v>217</v>
      </c>
      <c r="O11" s="87">
        <v>248</v>
      </c>
      <c r="P11" s="87">
        <v>248</v>
      </c>
      <c r="Q11" s="87">
        <v>279</v>
      </c>
      <c r="R11" s="87">
        <v>125</v>
      </c>
      <c r="S11" s="87">
        <v>62</v>
      </c>
      <c r="T11" s="87">
        <v>279</v>
      </c>
      <c r="U11" s="87">
        <v>186</v>
      </c>
      <c r="V11" s="87">
        <v>32</v>
      </c>
      <c r="W11" s="87">
        <v>12</v>
      </c>
      <c r="X11" s="85">
        <v>186</v>
      </c>
      <c r="Y11" s="85">
        <v>186</v>
      </c>
      <c r="Z11" s="85">
        <f t="shared" si="0"/>
        <v>2656</v>
      </c>
      <c r="AA11" s="7">
        <f t="shared" si="1"/>
        <v>1260</v>
      </c>
      <c r="AB11" s="7">
        <f t="shared" si="2"/>
        <v>1396</v>
      </c>
      <c r="AC11" s="13">
        <v>8200</v>
      </c>
      <c r="AD11" s="7">
        <f t="shared" si="3"/>
        <v>69</v>
      </c>
      <c r="AE11" s="7">
        <f>J11*33</f>
        <v>33</v>
      </c>
      <c r="AF11" s="8">
        <f t="shared" si="46"/>
        <v>36</v>
      </c>
      <c r="AG11" s="14">
        <f t="shared" si="5"/>
        <v>270600</v>
      </c>
      <c r="AH11" s="7">
        <f t="shared" si="6"/>
        <v>217</v>
      </c>
      <c r="AI11" s="7">
        <f>J11*105</f>
        <v>105</v>
      </c>
      <c r="AJ11" s="8">
        <f t="shared" si="47"/>
        <v>112</v>
      </c>
      <c r="AK11" s="14">
        <f t="shared" si="7"/>
        <v>861000</v>
      </c>
      <c r="AL11" s="7">
        <f t="shared" si="8"/>
        <v>279</v>
      </c>
      <c r="AM11" s="7">
        <f>J11*134</f>
        <v>134</v>
      </c>
      <c r="AN11" s="8">
        <f t="shared" si="61"/>
        <v>145</v>
      </c>
      <c r="AO11" s="14">
        <f t="shared" si="10"/>
        <v>1098800</v>
      </c>
      <c r="AP11" s="7">
        <f t="shared" si="11"/>
        <v>217</v>
      </c>
      <c r="AQ11" s="7">
        <f t="shared" si="12"/>
        <v>105</v>
      </c>
      <c r="AR11" s="8">
        <f t="shared" si="48"/>
        <v>112</v>
      </c>
      <c r="AS11" s="14">
        <f t="shared" si="14"/>
        <v>861000</v>
      </c>
      <c r="AT11" s="7">
        <f t="shared" si="15"/>
        <v>279</v>
      </c>
      <c r="AU11" s="7">
        <f t="shared" si="16"/>
        <v>120</v>
      </c>
      <c r="AV11" s="8">
        <f t="shared" si="49"/>
        <v>159</v>
      </c>
      <c r="AW11" s="14">
        <f t="shared" si="17"/>
        <v>984000</v>
      </c>
      <c r="AX11" s="7">
        <f t="shared" si="18"/>
        <v>248</v>
      </c>
      <c r="AY11" s="7">
        <f>J11*119</f>
        <v>119</v>
      </c>
      <c r="AZ11" s="8">
        <f t="shared" si="50"/>
        <v>129</v>
      </c>
      <c r="BA11" s="14">
        <f t="shared" si="20"/>
        <v>975800</v>
      </c>
      <c r="BB11" s="7">
        <f t="shared" si="21"/>
        <v>279</v>
      </c>
      <c r="BC11" s="7">
        <f>J11*134</f>
        <v>134</v>
      </c>
      <c r="BD11" s="8">
        <f t="shared" si="51"/>
        <v>145</v>
      </c>
      <c r="BE11" s="14">
        <f t="shared" si="23"/>
        <v>1098800</v>
      </c>
      <c r="BF11" s="7">
        <f t="shared" si="24"/>
        <v>125</v>
      </c>
      <c r="BG11" s="7">
        <f t="shared" si="52"/>
        <v>58</v>
      </c>
      <c r="BH11" s="8">
        <f t="shared" si="53"/>
        <v>67</v>
      </c>
      <c r="BI11" s="14">
        <f t="shared" si="25"/>
        <v>475600</v>
      </c>
      <c r="BJ11" s="7">
        <f t="shared" si="26"/>
        <v>62</v>
      </c>
      <c r="BK11" s="7">
        <f t="shared" si="27"/>
        <v>30</v>
      </c>
      <c r="BL11" s="8">
        <f t="shared" si="54"/>
        <v>32</v>
      </c>
      <c r="BM11" s="14">
        <f t="shared" si="28"/>
        <v>246000</v>
      </c>
      <c r="BN11" s="7">
        <f t="shared" si="29"/>
        <v>279</v>
      </c>
      <c r="BO11" s="7">
        <f t="shared" si="30"/>
        <v>135</v>
      </c>
      <c r="BP11" s="8">
        <f t="shared" si="55"/>
        <v>144</v>
      </c>
      <c r="BQ11" s="14">
        <f t="shared" si="31"/>
        <v>1107000</v>
      </c>
      <c r="BR11" s="7">
        <f t="shared" si="32"/>
        <v>186</v>
      </c>
      <c r="BS11" s="7">
        <f>J11*89</f>
        <v>89</v>
      </c>
      <c r="BT11" s="8">
        <f t="shared" si="56"/>
        <v>97</v>
      </c>
      <c r="BU11" s="14">
        <f t="shared" si="34"/>
        <v>729800</v>
      </c>
      <c r="BV11" s="7">
        <f t="shared" si="35"/>
        <v>32</v>
      </c>
      <c r="BW11" s="7">
        <f t="shared" si="62"/>
        <v>15</v>
      </c>
      <c r="BX11" s="8">
        <f t="shared" si="57"/>
        <v>17</v>
      </c>
      <c r="BY11" s="14">
        <f t="shared" si="36"/>
        <v>123000</v>
      </c>
      <c r="BZ11" s="7">
        <f t="shared" si="37"/>
        <v>12</v>
      </c>
      <c r="CA11" s="7">
        <f>J11*5</f>
        <v>5</v>
      </c>
      <c r="CB11" s="8">
        <f t="shared" si="58"/>
        <v>7</v>
      </c>
      <c r="CC11" s="14">
        <f t="shared" si="39"/>
        <v>41000</v>
      </c>
      <c r="CD11" s="7">
        <f t="shared" si="40"/>
        <v>186</v>
      </c>
      <c r="CE11" s="7">
        <f>J11*89</f>
        <v>89</v>
      </c>
      <c r="CF11" s="8">
        <f t="shared" si="59"/>
        <v>97</v>
      </c>
      <c r="CG11" s="14">
        <f t="shared" si="42"/>
        <v>729800</v>
      </c>
      <c r="CH11" s="7">
        <f t="shared" si="43"/>
        <v>186</v>
      </c>
      <c r="CI11" s="7">
        <f>J11*89</f>
        <v>89</v>
      </c>
      <c r="CJ11" s="8">
        <f t="shared" si="60"/>
        <v>97</v>
      </c>
      <c r="CK11" s="14">
        <f t="shared" si="45"/>
        <v>729800</v>
      </c>
    </row>
    <row r="12" spans="2:89" s="2" customFormat="1" x14ac:dyDescent="0.3">
      <c r="B12" s="7">
        <f>'PLAN DE NECESIDADES'!B12</f>
        <v>8</v>
      </c>
      <c r="C12" s="7">
        <f>'PLAN DE NECESIDADES'!C12</f>
        <v>2791301</v>
      </c>
      <c r="D12" s="60" t="str">
        <f>'PLAN DE NECESIDADES'!D12</f>
        <v>OJOS DE GATO:
ESPECIFICACIONES  TÉCNICAS   DE  ACUERDO A LA NORMA TÉCNICA KIT DE DOTACIÓN N°. NTMD-0356 - A2.</v>
      </c>
      <c r="E12" s="7" t="str">
        <f>'PLAN DE NECESIDADES'!E12</f>
        <v>UNIDAD</v>
      </c>
      <c r="F12" s="7">
        <f>'PLAN DE NECESIDADES'!F12</f>
        <v>0</v>
      </c>
      <c r="G12" s="7">
        <f>'PLAN DE NECESIDADES'!H12</f>
        <v>11161701</v>
      </c>
      <c r="H12" s="7">
        <f>'PLAN DE NECESIDADES'!I12</f>
        <v>1082391</v>
      </c>
      <c r="I12" s="7" t="str">
        <f>'PLAN DE NECESIDADES'!J12</f>
        <v>SIN CREAR</v>
      </c>
      <c r="J12" s="7">
        <v>2</v>
      </c>
      <c r="K12" s="87">
        <v>69</v>
      </c>
      <c r="L12" s="87">
        <v>217</v>
      </c>
      <c r="M12" s="87">
        <v>279</v>
      </c>
      <c r="N12" s="87">
        <v>217</v>
      </c>
      <c r="O12" s="87">
        <v>248</v>
      </c>
      <c r="P12" s="87">
        <v>248</v>
      </c>
      <c r="Q12" s="87">
        <v>279</v>
      </c>
      <c r="R12" s="87">
        <v>125</v>
      </c>
      <c r="S12" s="87">
        <v>62</v>
      </c>
      <c r="T12" s="87">
        <v>279</v>
      </c>
      <c r="U12" s="87">
        <v>186</v>
      </c>
      <c r="V12" s="87">
        <v>32</v>
      </c>
      <c r="W12" s="87">
        <v>12</v>
      </c>
      <c r="X12" s="85">
        <v>186</v>
      </c>
      <c r="Y12" s="85">
        <v>186</v>
      </c>
      <c r="Z12" s="85">
        <f t="shared" si="0"/>
        <v>5312</v>
      </c>
      <c r="AA12" s="7">
        <f t="shared" si="1"/>
        <v>2534</v>
      </c>
      <c r="AB12" s="7">
        <f t="shared" si="2"/>
        <v>2778</v>
      </c>
      <c r="AC12" s="13">
        <v>4100</v>
      </c>
      <c r="AD12" s="7">
        <f t="shared" si="3"/>
        <v>138</v>
      </c>
      <c r="AE12" s="7">
        <f>J12*33</f>
        <v>66</v>
      </c>
      <c r="AF12" s="8">
        <f t="shared" si="46"/>
        <v>72</v>
      </c>
      <c r="AG12" s="14">
        <f t="shared" si="5"/>
        <v>270600</v>
      </c>
      <c r="AH12" s="7">
        <f t="shared" si="6"/>
        <v>434</v>
      </c>
      <c r="AI12" s="7">
        <f>J12*105</f>
        <v>210</v>
      </c>
      <c r="AJ12" s="8">
        <f t="shared" si="47"/>
        <v>224</v>
      </c>
      <c r="AK12" s="14">
        <f t="shared" si="7"/>
        <v>861000</v>
      </c>
      <c r="AL12" s="7">
        <f t="shared" si="8"/>
        <v>558</v>
      </c>
      <c r="AM12" s="7">
        <f>J12*135</f>
        <v>270</v>
      </c>
      <c r="AN12" s="8">
        <f t="shared" si="61"/>
        <v>288</v>
      </c>
      <c r="AO12" s="14">
        <f t="shared" si="10"/>
        <v>1107000</v>
      </c>
      <c r="AP12" s="7">
        <f t="shared" si="11"/>
        <v>434</v>
      </c>
      <c r="AQ12" s="7">
        <f t="shared" si="12"/>
        <v>210</v>
      </c>
      <c r="AR12" s="8">
        <f t="shared" si="48"/>
        <v>224</v>
      </c>
      <c r="AS12" s="14">
        <f t="shared" si="14"/>
        <v>861000</v>
      </c>
      <c r="AT12" s="7">
        <f t="shared" si="15"/>
        <v>558</v>
      </c>
      <c r="AU12" s="7">
        <f t="shared" si="16"/>
        <v>240</v>
      </c>
      <c r="AV12" s="8">
        <f t="shared" si="49"/>
        <v>318</v>
      </c>
      <c r="AW12" s="14">
        <f t="shared" si="17"/>
        <v>984000</v>
      </c>
      <c r="AX12" s="7">
        <f t="shared" si="18"/>
        <v>496</v>
      </c>
      <c r="AY12" s="7">
        <f>J12*120</f>
        <v>240</v>
      </c>
      <c r="AZ12" s="8">
        <f t="shared" si="50"/>
        <v>256</v>
      </c>
      <c r="BA12" s="14">
        <f t="shared" si="20"/>
        <v>984000</v>
      </c>
      <c r="BB12" s="7">
        <f t="shared" si="21"/>
        <v>558</v>
      </c>
      <c r="BC12" s="7">
        <f>J12*135</f>
        <v>270</v>
      </c>
      <c r="BD12" s="8">
        <f t="shared" si="51"/>
        <v>288</v>
      </c>
      <c r="BE12" s="14">
        <f t="shared" si="23"/>
        <v>1107000</v>
      </c>
      <c r="BF12" s="7">
        <f t="shared" si="24"/>
        <v>250</v>
      </c>
      <c r="BG12" s="7">
        <f t="shared" si="52"/>
        <v>116</v>
      </c>
      <c r="BH12" s="8">
        <f t="shared" si="53"/>
        <v>134</v>
      </c>
      <c r="BI12" s="14">
        <f t="shared" si="25"/>
        <v>475600</v>
      </c>
      <c r="BJ12" s="7">
        <f t="shared" si="26"/>
        <v>124</v>
      </c>
      <c r="BK12" s="7">
        <f t="shared" si="27"/>
        <v>60</v>
      </c>
      <c r="BL12" s="8">
        <f t="shared" si="54"/>
        <v>64</v>
      </c>
      <c r="BM12" s="14">
        <f t="shared" si="28"/>
        <v>246000</v>
      </c>
      <c r="BN12" s="7">
        <f t="shared" si="29"/>
        <v>558</v>
      </c>
      <c r="BO12" s="7">
        <f t="shared" si="30"/>
        <v>270</v>
      </c>
      <c r="BP12" s="8">
        <f t="shared" si="55"/>
        <v>288</v>
      </c>
      <c r="BQ12" s="14">
        <f t="shared" si="31"/>
        <v>1107000</v>
      </c>
      <c r="BR12" s="7">
        <f t="shared" si="32"/>
        <v>372</v>
      </c>
      <c r="BS12" s="7">
        <f>J12*90</f>
        <v>180</v>
      </c>
      <c r="BT12" s="8">
        <f t="shared" si="56"/>
        <v>192</v>
      </c>
      <c r="BU12" s="14">
        <f t="shared" si="34"/>
        <v>738000</v>
      </c>
      <c r="BV12" s="7">
        <f t="shared" si="35"/>
        <v>64</v>
      </c>
      <c r="BW12" s="7">
        <f t="shared" si="62"/>
        <v>30</v>
      </c>
      <c r="BX12" s="8">
        <f t="shared" si="57"/>
        <v>34</v>
      </c>
      <c r="BY12" s="14">
        <f t="shared" si="36"/>
        <v>123000</v>
      </c>
      <c r="BZ12" s="7">
        <f t="shared" si="37"/>
        <v>24</v>
      </c>
      <c r="CA12" s="7">
        <f>J12*6</f>
        <v>12</v>
      </c>
      <c r="CB12" s="8">
        <f t="shared" si="58"/>
        <v>12</v>
      </c>
      <c r="CC12" s="14">
        <f t="shared" si="39"/>
        <v>49200</v>
      </c>
      <c r="CD12" s="7">
        <f t="shared" si="40"/>
        <v>372</v>
      </c>
      <c r="CE12" s="7">
        <f>J12*90</f>
        <v>180</v>
      </c>
      <c r="CF12" s="8">
        <f t="shared" si="59"/>
        <v>192</v>
      </c>
      <c r="CG12" s="14">
        <f t="shared" si="42"/>
        <v>738000</v>
      </c>
      <c r="CH12" s="7">
        <f t="shared" si="43"/>
        <v>372</v>
      </c>
      <c r="CI12" s="7">
        <f>J12*90</f>
        <v>180</v>
      </c>
      <c r="CJ12" s="8">
        <f t="shared" si="60"/>
        <v>192</v>
      </c>
      <c r="CK12" s="14">
        <f t="shared" si="45"/>
        <v>738000</v>
      </c>
    </row>
    <row r="13" spans="2:89" s="2" customFormat="1" x14ac:dyDescent="0.3">
      <c r="B13" s="7">
        <f>'PLAN DE NECESIDADES'!B13</f>
        <v>9</v>
      </c>
      <c r="C13" s="7">
        <f>'PLAN DE NECESIDADES'!C13</f>
        <v>2792201</v>
      </c>
      <c r="D13" s="60" t="str">
        <f>'PLAN DE NECESIDADES'!D13</f>
        <v>LIGAS PARA BOTA MANGA PANTALÓN CAMUFLADO:
ESPECIFICACIONES  TÉCNICAS   DE  ACUERDO A LA NORMA TÉCNICA KIT DE DOTACIÓN N°. NTMD-0356 - A2.</v>
      </c>
      <c r="E13" s="7" t="str">
        <f>'PLAN DE NECESIDADES'!E13</f>
        <v>PAR</v>
      </c>
      <c r="F13" s="7">
        <f>'PLAN DE NECESIDADES'!F13</f>
        <v>0</v>
      </c>
      <c r="G13" s="7">
        <f>'PLAN DE NECESIDADES'!H13</f>
        <v>53102509</v>
      </c>
      <c r="H13" s="7">
        <f>'PLAN DE NECESIDADES'!I13</f>
        <v>1127360</v>
      </c>
      <c r="I13" s="7" t="str">
        <f>'PLAN DE NECESIDADES'!J13</f>
        <v>8440-80-0011394</v>
      </c>
      <c r="J13" s="7">
        <v>1</v>
      </c>
      <c r="K13" s="87">
        <v>69</v>
      </c>
      <c r="L13" s="87">
        <v>217</v>
      </c>
      <c r="M13" s="87">
        <v>279</v>
      </c>
      <c r="N13" s="87">
        <v>217</v>
      </c>
      <c r="O13" s="87">
        <v>248</v>
      </c>
      <c r="P13" s="87">
        <v>248</v>
      </c>
      <c r="Q13" s="87">
        <v>279</v>
      </c>
      <c r="R13" s="87">
        <v>125</v>
      </c>
      <c r="S13" s="87">
        <v>62</v>
      </c>
      <c r="T13" s="87">
        <v>279</v>
      </c>
      <c r="U13" s="87">
        <v>186</v>
      </c>
      <c r="V13" s="87">
        <v>32</v>
      </c>
      <c r="W13" s="87">
        <v>12</v>
      </c>
      <c r="X13" s="85">
        <v>186</v>
      </c>
      <c r="Y13" s="85">
        <v>186</v>
      </c>
      <c r="Z13" s="85">
        <f t="shared" si="0"/>
        <v>2656</v>
      </c>
      <c r="AA13" s="7">
        <f t="shared" si="1"/>
        <v>1258</v>
      </c>
      <c r="AB13" s="7">
        <f t="shared" si="2"/>
        <v>1398</v>
      </c>
      <c r="AC13" s="13">
        <v>3400</v>
      </c>
      <c r="AD13" s="7">
        <f t="shared" si="3"/>
        <v>69</v>
      </c>
      <c r="AE13" s="7">
        <f>J13*34</f>
        <v>34</v>
      </c>
      <c r="AF13" s="8">
        <f t="shared" si="46"/>
        <v>35</v>
      </c>
      <c r="AG13" s="14">
        <f t="shared" si="5"/>
        <v>115600</v>
      </c>
      <c r="AH13" s="7">
        <f t="shared" si="6"/>
        <v>217</v>
      </c>
      <c r="AI13" s="7">
        <f>J13*104</f>
        <v>104</v>
      </c>
      <c r="AJ13" s="8">
        <f t="shared" si="47"/>
        <v>113</v>
      </c>
      <c r="AK13" s="14">
        <f t="shared" si="7"/>
        <v>353600</v>
      </c>
      <c r="AL13" s="7">
        <f t="shared" si="8"/>
        <v>279</v>
      </c>
      <c r="AM13" s="7">
        <f>J13*134</f>
        <v>134</v>
      </c>
      <c r="AN13" s="8">
        <f t="shared" si="61"/>
        <v>145</v>
      </c>
      <c r="AO13" s="14">
        <f t="shared" si="10"/>
        <v>455600</v>
      </c>
      <c r="AP13" s="7">
        <f t="shared" si="11"/>
        <v>217</v>
      </c>
      <c r="AQ13" s="7">
        <f>J13*106</f>
        <v>106</v>
      </c>
      <c r="AR13" s="8">
        <f t="shared" si="48"/>
        <v>111</v>
      </c>
      <c r="AS13" s="14">
        <f t="shared" si="14"/>
        <v>360400</v>
      </c>
      <c r="AT13" s="7">
        <f t="shared" si="15"/>
        <v>279</v>
      </c>
      <c r="AU13" s="7">
        <f>J13*118</f>
        <v>118</v>
      </c>
      <c r="AV13" s="8">
        <f t="shared" si="49"/>
        <v>161</v>
      </c>
      <c r="AW13" s="14">
        <f t="shared" si="17"/>
        <v>401200</v>
      </c>
      <c r="AX13" s="7">
        <f t="shared" si="18"/>
        <v>248</v>
      </c>
      <c r="AY13" s="7">
        <f>J13*119</f>
        <v>119</v>
      </c>
      <c r="AZ13" s="8">
        <f t="shared" si="50"/>
        <v>129</v>
      </c>
      <c r="BA13" s="14">
        <f t="shared" si="20"/>
        <v>404600</v>
      </c>
      <c r="BB13" s="7">
        <f t="shared" si="21"/>
        <v>279</v>
      </c>
      <c r="BC13" s="7">
        <f>J13*134</f>
        <v>134</v>
      </c>
      <c r="BD13" s="8">
        <f t="shared" si="51"/>
        <v>145</v>
      </c>
      <c r="BE13" s="14">
        <f t="shared" si="23"/>
        <v>455600</v>
      </c>
      <c r="BF13" s="7">
        <f t="shared" si="24"/>
        <v>125</v>
      </c>
      <c r="BG13" s="7">
        <f t="shared" si="52"/>
        <v>58</v>
      </c>
      <c r="BH13" s="8">
        <f t="shared" si="53"/>
        <v>67</v>
      </c>
      <c r="BI13" s="14">
        <f t="shared" si="25"/>
        <v>197200</v>
      </c>
      <c r="BJ13" s="7">
        <f t="shared" si="26"/>
        <v>62</v>
      </c>
      <c r="BK13" s="7">
        <f>J13*29</f>
        <v>29</v>
      </c>
      <c r="BL13" s="8">
        <f t="shared" si="54"/>
        <v>33</v>
      </c>
      <c r="BM13" s="14">
        <f t="shared" si="28"/>
        <v>98600</v>
      </c>
      <c r="BN13" s="7">
        <f t="shared" si="29"/>
        <v>279</v>
      </c>
      <c r="BO13" s="7">
        <f>J13*133</f>
        <v>133</v>
      </c>
      <c r="BP13" s="8">
        <f t="shared" si="55"/>
        <v>146</v>
      </c>
      <c r="BQ13" s="14">
        <f t="shared" si="31"/>
        <v>452200</v>
      </c>
      <c r="BR13" s="7">
        <f t="shared" si="32"/>
        <v>186</v>
      </c>
      <c r="BS13" s="7">
        <f>J13*90</f>
        <v>90</v>
      </c>
      <c r="BT13" s="8">
        <f t="shared" si="56"/>
        <v>96</v>
      </c>
      <c r="BU13" s="14">
        <f t="shared" si="34"/>
        <v>306000</v>
      </c>
      <c r="BV13" s="7">
        <f t="shared" si="35"/>
        <v>32</v>
      </c>
      <c r="BW13" s="7">
        <f t="shared" si="62"/>
        <v>15</v>
      </c>
      <c r="BX13" s="8">
        <f t="shared" si="57"/>
        <v>17</v>
      </c>
      <c r="BY13" s="14">
        <f t="shared" si="36"/>
        <v>51000</v>
      </c>
      <c r="BZ13" s="7">
        <f t="shared" si="37"/>
        <v>12</v>
      </c>
      <c r="CA13" s="7">
        <f>J13*4</f>
        <v>4</v>
      </c>
      <c r="CB13" s="8">
        <f t="shared" si="58"/>
        <v>8</v>
      </c>
      <c r="CC13" s="14">
        <f t="shared" si="39"/>
        <v>13600</v>
      </c>
      <c r="CD13" s="7">
        <f t="shared" si="40"/>
        <v>186</v>
      </c>
      <c r="CE13" s="7">
        <f>J13*90</f>
        <v>90</v>
      </c>
      <c r="CF13" s="8">
        <f t="shared" si="59"/>
        <v>96</v>
      </c>
      <c r="CG13" s="14">
        <f t="shared" si="42"/>
        <v>306000</v>
      </c>
      <c r="CH13" s="7">
        <f t="shared" si="43"/>
        <v>186</v>
      </c>
      <c r="CI13" s="7">
        <f>J13*90</f>
        <v>90</v>
      </c>
      <c r="CJ13" s="8">
        <f t="shared" si="60"/>
        <v>96</v>
      </c>
      <c r="CK13" s="14">
        <f t="shared" si="45"/>
        <v>306000</v>
      </c>
    </row>
    <row r="14" spans="2:89" s="2" customFormat="1" x14ac:dyDescent="0.3">
      <c r="B14" s="7">
        <f>'PLAN DE NECESIDADES'!B14</f>
        <v>10</v>
      </c>
      <c r="C14" s="7">
        <f>'PLAN DE NECESIDADES'!C14</f>
        <v>2712007</v>
      </c>
      <c r="D14" s="60" t="str">
        <f>'PLAN DE NECESIDADES'!D14</f>
        <v>PAÑUELO:
ESPECIFICACIONES  TÉCNICAS   DE  ACUERDO A LA NORMA TÉCNICA KIT DE DOTACIÓN N°. NTMD-0356 - A2.</v>
      </c>
      <c r="E14" s="7" t="str">
        <f>'PLAN DE NECESIDADES'!E14</f>
        <v>UNIDAD</v>
      </c>
      <c r="F14" s="7">
        <f>'PLAN DE NECESIDADES'!F14</f>
        <v>0</v>
      </c>
      <c r="G14" s="7">
        <f>'PLAN DE NECESIDADES'!H14</f>
        <v>53102512</v>
      </c>
      <c r="H14" s="7">
        <f>'PLAN DE NECESIDADES'!I14</f>
        <v>1316012</v>
      </c>
      <c r="I14" s="7" t="str">
        <f>'PLAN DE NECESIDADES'!J14</f>
        <v>8440-80-0011303</v>
      </c>
      <c r="J14" s="7">
        <v>2</v>
      </c>
      <c r="K14" s="87">
        <v>69</v>
      </c>
      <c r="L14" s="87">
        <v>217</v>
      </c>
      <c r="M14" s="87">
        <v>279</v>
      </c>
      <c r="N14" s="87">
        <v>217</v>
      </c>
      <c r="O14" s="87">
        <v>248</v>
      </c>
      <c r="P14" s="87">
        <v>248</v>
      </c>
      <c r="Q14" s="87">
        <v>279</v>
      </c>
      <c r="R14" s="87">
        <v>125</v>
      </c>
      <c r="S14" s="87">
        <v>62</v>
      </c>
      <c r="T14" s="87">
        <v>279</v>
      </c>
      <c r="U14" s="87">
        <v>186</v>
      </c>
      <c r="V14" s="87">
        <v>32</v>
      </c>
      <c r="W14" s="87">
        <v>12</v>
      </c>
      <c r="X14" s="85">
        <v>186</v>
      </c>
      <c r="Y14" s="85">
        <v>186</v>
      </c>
      <c r="Z14" s="85">
        <f t="shared" si="0"/>
        <v>5312</v>
      </c>
      <c r="AA14" s="7">
        <f t="shared" si="1"/>
        <v>2532</v>
      </c>
      <c r="AB14" s="7">
        <f t="shared" si="2"/>
        <v>2780</v>
      </c>
      <c r="AC14" s="13">
        <v>4000</v>
      </c>
      <c r="AD14" s="7">
        <f t="shared" si="3"/>
        <v>138</v>
      </c>
      <c r="AE14" s="7">
        <f>J14*33</f>
        <v>66</v>
      </c>
      <c r="AF14" s="8">
        <f t="shared" si="46"/>
        <v>72</v>
      </c>
      <c r="AG14" s="14">
        <f t="shared" si="5"/>
        <v>264000</v>
      </c>
      <c r="AH14" s="7">
        <f t="shared" si="6"/>
        <v>434</v>
      </c>
      <c r="AI14" s="7">
        <f>J14*105</f>
        <v>210</v>
      </c>
      <c r="AJ14" s="8">
        <f t="shared" si="47"/>
        <v>224</v>
      </c>
      <c r="AK14" s="14">
        <f t="shared" si="7"/>
        <v>840000</v>
      </c>
      <c r="AL14" s="7">
        <f t="shared" si="8"/>
        <v>558</v>
      </c>
      <c r="AM14" s="7">
        <f>J14*135</f>
        <v>270</v>
      </c>
      <c r="AN14" s="8">
        <f t="shared" si="61"/>
        <v>288</v>
      </c>
      <c r="AO14" s="14">
        <f t="shared" si="10"/>
        <v>1080000</v>
      </c>
      <c r="AP14" s="7">
        <f t="shared" si="11"/>
        <v>434</v>
      </c>
      <c r="AQ14" s="7">
        <f>J14*104</f>
        <v>208</v>
      </c>
      <c r="AR14" s="8">
        <f t="shared" si="48"/>
        <v>226</v>
      </c>
      <c r="AS14" s="14">
        <f t="shared" si="14"/>
        <v>832000</v>
      </c>
      <c r="AT14" s="7">
        <f t="shared" si="15"/>
        <v>558</v>
      </c>
      <c r="AU14" s="7">
        <f>J14*120</f>
        <v>240</v>
      </c>
      <c r="AV14" s="8">
        <f t="shared" si="49"/>
        <v>318</v>
      </c>
      <c r="AW14" s="14">
        <f t="shared" si="17"/>
        <v>960000</v>
      </c>
      <c r="AX14" s="7">
        <f t="shared" si="18"/>
        <v>496</v>
      </c>
      <c r="AY14" s="7">
        <f>J14*120</f>
        <v>240</v>
      </c>
      <c r="AZ14" s="8">
        <f t="shared" si="50"/>
        <v>256</v>
      </c>
      <c r="BA14" s="14">
        <f t="shared" si="20"/>
        <v>960000</v>
      </c>
      <c r="BB14" s="7">
        <f t="shared" si="21"/>
        <v>558</v>
      </c>
      <c r="BC14" s="7">
        <f>J14*135</f>
        <v>270</v>
      </c>
      <c r="BD14" s="8">
        <f t="shared" si="51"/>
        <v>288</v>
      </c>
      <c r="BE14" s="14">
        <f t="shared" si="23"/>
        <v>1080000</v>
      </c>
      <c r="BF14" s="7">
        <f t="shared" si="24"/>
        <v>250</v>
      </c>
      <c r="BG14" s="7">
        <f t="shared" si="52"/>
        <v>116</v>
      </c>
      <c r="BH14" s="8">
        <f t="shared" si="53"/>
        <v>134</v>
      </c>
      <c r="BI14" s="14">
        <f t="shared" si="25"/>
        <v>464000</v>
      </c>
      <c r="BJ14" s="7">
        <f t="shared" si="26"/>
        <v>124</v>
      </c>
      <c r="BK14" s="7">
        <f>J14*30</f>
        <v>60</v>
      </c>
      <c r="BL14" s="8">
        <f t="shared" si="54"/>
        <v>64</v>
      </c>
      <c r="BM14" s="14">
        <f t="shared" si="28"/>
        <v>240000</v>
      </c>
      <c r="BN14" s="7">
        <f t="shared" si="29"/>
        <v>558</v>
      </c>
      <c r="BO14" s="7">
        <f>J14*135</f>
        <v>270</v>
      </c>
      <c r="BP14" s="8">
        <f t="shared" si="55"/>
        <v>288</v>
      </c>
      <c r="BQ14" s="14">
        <f t="shared" si="31"/>
        <v>1080000</v>
      </c>
      <c r="BR14" s="7">
        <f t="shared" si="32"/>
        <v>372</v>
      </c>
      <c r="BS14" s="7">
        <f>J14*90</f>
        <v>180</v>
      </c>
      <c r="BT14" s="8">
        <f t="shared" si="56"/>
        <v>192</v>
      </c>
      <c r="BU14" s="14">
        <f t="shared" si="34"/>
        <v>720000</v>
      </c>
      <c r="BV14" s="7">
        <f t="shared" si="35"/>
        <v>64</v>
      </c>
      <c r="BW14" s="7">
        <f t="shared" si="62"/>
        <v>30</v>
      </c>
      <c r="BX14" s="8">
        <f t="shared" si="57"/>
        <v>34</v>
      </c>
      <c r="BY14" s="14">
        <f t="shared" si="36"/>
        <v>120000</v>
      </c>
      <c r="BZ14" s="7">
        <f t="shared" si="37"/>
        <v>24</v>
      </c>
      <c r="CA14" s="7">
        <f>J14*6</f>
        <v>12</v>
      </c>
      <c r="CB14" s="8">
        <f t="shared" si="58"/>
        <v>12</v>
      </c>
      <c r="CC14" s="14">
        <f t="shared" si="39"/>
        <v>48000</v>
      </c>
      <c r="CD14" s="7">
        <f t="shared" si="40"/>
        <v>372</v>
      </c>
      <c r="CE14" s="7">
        <f>J14*90</f>
        <v>180</v>
      </c>
      <c r="CF14" s="8">
        <f t="shared" si="59"/>
        <v>192</v>
      </c>
      <c r="CG14" s="14">
        <f t="shared" si="42"/>
        <v>720000</v>
      </c>
      <c r="CH14" s="7">
        <f t="shared" si="43"/>
        <v>372</v>
      </c>
      <c r="CI14" s="7">
        <f>J14*90</f>
        <v>180</v>
      </c>
      <c r="CJ14" s="8">
        <f t="shared" si="60"/>
        <v>192</v>
      </c>
      <c r="CK14" s="14">
        <f t="shared" si="45"/>
        <v>720000</v>
      </c>
    </row>
    <row r="15" spans="2:89" s="2" customFormat="1" x14ac:dyDescent="0.3">
      <c r="B15" s="7">
        <f>'PLAN DE NECESIDADES'!B15</f>
        <v>11</v>
      </c>
      <c r="C15" s="7">
        <f>'PLAN DE NECESIDADES'!C15</f>
        <v>2799701</v>
      </c>
      <c r="D15" s="60" t="str">
        <f>'PLAN DE NECESIDADES'!D15</f>
        <v>BOLSO PARA ÚTILES DE ASEO:
ESPECIFICACIONES  TÉCNICAS   DE  ACUERDO A LA NORMA TÉCNICA KIT DE DOTACIÓN N°. NTMD-0356 - A2.</v>
      </c>
      <c r="E15" s="7" t="str">
        <f>'PLAN DE NECESIDADES'!E15</f>
        <v>UNIDAD</v>
      </c>
      <c r="F15" s="7">
        <f>'PLAN DE NECESIDADES'!F15</f>
        <v>0</v>
      </c>
      <c r="G15" s="7">
        <f>'PLAN DE NECESIDADES'!H15</f>
        <v>53121503</v>
      </c>
      <c r="H15" s="7">
        <f>'PLAN DE NECESIDADES'!I15</f>
        <v>1082376</v>
      </c>
      <c r="I15" s="7" t="str">
        <f>'PLAN DE NECESIDADES'!J15</f>
        <v>SIN CREAR</v>
      </c>
      <c r="J15" s="7">
        <v>1</v>
      </c>
      <c r="K15" s="87">
        <v>69</v>
      </c>
      <c r="L15" s="87">
        <v>217</v>
      </c>
      <c r="M15" s="87">
        <v>279</v>
      </c>
      <c r="N15" s="87">
        <v>217</v>
      </c>
      <c r="O15" s="87">
        <v>248</v>
      </c>
      <c r="P15" s="87">
        <v>248</v>
      </c>
      <c r="Q15" s="87">
        <v>279</v>
      </c>
      <c r="R15" s="87">
        <v>125</v>
      </c>
      <c r="S15" s="87">
        <v>62</v>
      </c>
      <c r="T15" s="87">
        <v>279</v>
      </c>
      <c r="U15" s="87">
        <v>186</v>
      </c>
      <c r="V15" s="87">
        <v>32</v>
      </c>
      <c r="W15" s="87">
        <v>12</v>
      </c>
      <c r="X15" s="85">
        <v>186</v>
      </c>
      <c r="Y15" s="85">
        <v>186</v>
      </c>
      <c r="Z15" s="85">
        <f t="shared" si="0"/>
        <v>2656</v>
      </c>
      <c r="AA15" s="7">
        <f t="shared" si="1"/>
        <v>1262</v>
      </c>
      <c r="AB15" s="7">
        <f t="shared" si="2"/>
        <v>1394</v>
      </c>
      <c r="AC15" s="13">
        <v>5400</v>
      </c>
      <c r="AD15" s="7">
        <f t="shared" si="3"/>
        <v>69</v>
      </c>
      <c r="AE15" s="7">
        <f>J15*33</f>
        <v>33</v>
      </c>
      <c r="AF15" s="8">
        <f t="shared" si="46"/>
        <v>36</v>
      </c>
      <c r="AG15" s="14">
        <f t="shared" si="5"/>
        <v>178200</v>
      </c>
      <c r="AH15" s="7">
        <f t="shared" si="6"/>
        <v>217</v>
      </c>
      <c r="AI15" s="7">
        <f>J15*105</f>
        <v>105</v>
      </c>
      <c r="AJ15" s="8">
        <f t="shared" si="47"/>
        <v>112</v>
      </c>
      <c r="AK15" s="14">
        <f t="shared" si="7"/>
        <v>567000</v>
      </c>
      <c r="AL15" s="7">
        <f t="shared" si="8"/>
        <v>279</v>
      </c>
      <c r="AM15" s="7">
        <f>J15*135</f>
        <v>135</v>
      </c>
      <c r="AN15" s="8">
        <f t="shared" si="61"/>
        <v>144</v>
      </c>
      <c r="AO15" s="14">
        <f t="shared" si="10"/>
        <v>729000</v>
      </c>
      <c r="AP15" s="7">
        <f t="shared" si="11"/>
        <v>217</v>
      </c>
      <c r="AQ15" s="7">
        <f>J15*104</f>
        <v>104</v>
      </c>
      <c r="AR15" s="8">
        <f t="shared" si="48"/>
        <v>113</v>
      </c>
      <c r="AS15" s="14">
        <f t="shared" si="14"/>
        <v>561600</v>
      </c>
      <c r="AT15" s="7">
        <f t="shared" si="15"/>
        <v>279</v>
      </c>
      <c r="AU15" s="7">
        <f>J15*119</f>
        <v>119</v>
      </c>
      <c r="AV15" s="8">
        <f t="shared" si="49"/>
        <v>160</v>
      </c>
      <c r="AW15" s="14">
        <f t="shared" si="17"/>
        <v>642600</v>
      </c>
      <c r="AX15" s="7">
        <f t="shared" si="18"/>
        <v>248</v>
      </c>
      <c r="AY15" s="7">
        <f>J15*120</f>
        <v>120</v>
      </c>
      <c r="AZ15" s="8">
        <f t="shared" si="50"/>
        <v>128</v>
      </c>
      <c r="BA15" s="14">
        <f t="shared" si="20"/>
        <v>648000</v>
      </c>
      <c r="BB15" s="7">
        <f t="shared" si="21"/>
        <v>279</v>
      </c>
      <c r="BC15" s="7">
        <f>J15*135</f>
        <v>135</v>
      </c>
      <c r="BD15" s="8">
        <f t="shared" si="51"/>
        <v>144</v>
      </c>
      <c r="BE15" s="14">
        <f t="shared" si="23"/>
        <v>729000</v>
      </c>
      <c r="BF15" s="7">
        <f t="shared" si="24"/>
        <v>125</v>
      </c>
      <c r="BG15" s="7">
        <f t="shared" si="52"/>
        <v>58</v>
      </c>
      <c r="BH15" s="8">
        <f t="shared" si="53"/>
        <v>67</v>
      </c>
      <c r="BI15" s="14">
        <f t="shared" si="25"/>
        <v>313200</v>
      </c>
      <c r="BJ15" s="7">
        <f t="shared" si="26"/>
        <v>62</v>
      </c>
      <c r="BK15" s="7">
        <f>J15*30</f>
        <v>30</v>
      </c>
      <c r="BL15" s="8">
        <f t="shared" si="54"/>
        <v>32</v>
      </c>
      <c r="BM15" s="14">
        <f t="shared" si="28"/>
        <v>162000</v>
      </c>
      <c r="BN15" s="7">
        <f t="shared" si="29"/>
        <v>279</v>
      </c>
      <c r="BO15" s="7">
        <f>J15*134</f>
        <v>134</v>
      </c>
      <c r="BP15" s="8">
        <f t="shared" si="55"/>
        <v>145</v>
      </c>
      <c r="BQ15" s="14">
        <f t="shared" si="31"/>
        <v>723600</v>
      </c>
      <c r="BR15" s="7">
        <f t="shared" si="32"/>
        <v>186</v>
      </c>
      <c r="BS15" s="7">
        <f>J15*90</f>
        <v>90</v>
      </c>
      <c r="BT15" s="8">
        <f t="shared" si="56"/>
        <v>96</v>
      </c>
      <c r="BU15" s="14">
        <f t="shared" si="34"/>
        <v>486000</v>
      </c>
      <c r="BV15" s="7">
        <f t="shared" si="35"/>
        <v>32</v>
      </c>
      <c r="BW15" s="7">
        <f t="shared" si="62"/>
        <v>15</v>
      </c>
      <c r="BX15" s="8">
        <f t="shared" si="57"/>
        <v>17</v>
      </c>
      <c r="BY15" s="14">
        <f t="shared" si="36"/>
        <v>81000</v>
      </c>
      <c r="BZ15" s="7">
        <f t="shared" si="37"/>
        <v>12</v>
      </c>
      <c r="CA15" s="7">
        <f>J15*4</f>
        <v>4</v>
      </c>
      <c r="CB15" s="8">
        <f t="shared" si="58"/>
        <v>8</v>
      </c>
      <c r="CC15" s="14">
        <f t="shared" si="39"/>
        <v>21600</v>
      </c>
      <c r="CD15" s="7">
        <f t="shared" si="40"/>
        <v>186</v>
      </c>
      <c r="CE15" s="7">
        <f>J15*90</f>
        <v>90</v>
      </c>
      <c r="CF15" s="8">
        <f t="shared" si="59"/>
        <v>96</v>
      </c>
      <c r="CG15" s="14">
        <f t="shared" si="42"/>
        <v>486000</v>
      </c>
      <c r="CH15" s="7">
        <f t="shared" si="43"/>
        <v>186</v>
      </c>
      <c r="CI15" s="7">
        <f>J15*90</f>
        <v>90</v>
      </c>
      <c r="CJ15" s="8">
        <f t="shared" si="60"/>
        <v>96</v>
      </c>
      <c r="CK15" s="14">
        <f t="shared" si="45"/>
        <v>486000</v>
      </c>
    </row>
    <row r="16" spans="2:89" s="2" customFormat="1" x14ac:dyDescent="0.3">
      <c r="B16" s="7">
        <f>'PLAN DE NECESIDADES'!B16</f>
        <v>12</v>
      </c>
      <c r="C16" s="7">
        <f>'PLAN DE NECESIDADES'!C16</f>
        <v>2732099</v>
      </c>
      <c r="D16" s="60" t="str">
        <f>'PLAN DE NECESIDADES'!D16</f>
        <v>MALLA PARA CABELLO COLOR NEGRO
DE ACUERDO A ESPECIFICACIONES TÉCNICAS JEMPP-CEDE4-DIETE-ET-04937/INT-0</v>
      </c>
      <c r="E16" s="7" t="str">
        <f>'PLAN DE NECESIDADES'!E16</f>
        <v>UNIDAD</v>
      </c>
      <c r="F16" s="7">
        <f>'PLAN DE NECESIDADES'!F16</f>
        <v>0</v>
      </c>
      <c r="G16" s="7">
        <f>'PLAN DE NECESIDADES'!H16</f>
        <v>53102513</v>
      </c>
      <c r="H16" s="7">
        <f>'PLAN DE NECESIDADES'!I16</f>
        <v>1893958</v>
      </c>
      <c r="I16" s="7" t="str">
        <f>'PLAN DE NECESIDADES'!J16</f>
        <v>SIN CREAR</v>
      </c>
      <c r="J16" s="7">
        <v>1</v>
      </c>
      <c r="K16" s="88"/>
      <c r="L16" s="88"/>
      <c r="M16" s="88"/>
      <c r="N16" s="88"/>
      <c r="O16" s="87"/>
      <c r="P16" s="88"/>
      <c r="Q16" s="87"/>
      <c r="R16" s="87">
        <v>125</v>
      </c>
      <c r="S16" s="88"/>
      <c r="T16" s="88"/>
      <c r="U16" s="88"/>
      <c r="V16" s="88"/>
      <c r="W16" s="88"/>
      <c r="X16" s="7"/>
      <c r="Y16" s="7"/>
      <c r="Z16" s="85">
        <f t="shared" si="0"/>
        <v>125</v>
      </c>
      <c r="AA16" s="7">
        <f t="shared" si="1"/>
        <v>58</v>
      </c>
      <c r="AB16" s="7">
        <f t="shared" si="2"/>
        <v>67</v>
      </c>
      <c r="AC16" s="13">
        <v>4700</v>
      </c>
      <c r="AD16" s="7"/>
      <c r="AE16" s="7"/>
      <c r="AF16" s="8"/>
      <c r="AG16" s="14"/>
      <c r="AH16" s="7"/>
      <c r="AI16" s="7"/>
      <c r="AJ16" s="8"/>
      <c r="AK16" s="14"/>
      <c r="AL16" s="7"/>
      <c r="AM16" s="7"/>
      <c r="AN16" s="8"/>
      <c r="AO16" s="14"/>
      <c r="AP16" s="7"/>
      <c r="AQ16" s="7"/>
      <c r="AR16" s="8"/>
      <c r="AS16" s="14"/>
      <c r="AT16" s="7"/>
      <c r="AU16" s="7"/>
      <c r="AV16" s="8"/>
      <c r="AW16" s="14"/>
      <c r="AX16" s="7"/>
      <c r="AY16" s="7"/>
      <c r="AZ16" s="8"/>
      <c r="BA16" s="14"/>
      <c r="BB16" s="7"/>
      <c r="BC16" s="7"/>
      <c r="BD16" s="8"/>
      <c r="BE16" s="14"/>
      <c r="BF16" s="7">
        <f t="shared" si="24"/>
        <v>125</v>
      </c>
      <c r="BG16" s="7">
        <f t="shared" si="52"/>
        <v>58</v>
      </c>
      <c r="BH16" s="8">
        <f t="shared" ref="BH16" si="63">BF16-BG16</f>
        <v>67</v>
      </c>
      <c r="BI16" s="14">
        <f t="shared" si="25"/>
        <v>272600</v>
      </c>
      <c r="BJ16" s="7"/>
      <c r="BK16" s="7"/>
      <c r="BL16" s="8"/>
      <c r="BM16" s="14"/>
      <c r="BN16" s="7"/>
      <c r="BO16" s="7"/>
      <c r="BP16" s="8"/>
      <c r="BQ16" s="14"/>
      <c r="BR16" s="7"/>
      <c r="BS16" s="7"/>
      <c r="BT16" s="8"/>
      <c r="BU16" s="14"/>
      <c r="BV16" s="7"/>
      <c r="BW16" s="7"/>
      <c r="BX16" s="8"/>
      <c r="BY16" s="14"/>
      <c r="BZ16" s="7"/>
      <c r="CA16" s="7"/>
      <c r="CB16" s="8"/>
      <c r="CC16" s="14"/>
      <c r="CD16" s="7"/>
      <c r="CE16" s="7"/>
      <c r="CF16" s="8"/>
      <c r="CG16" s="14"/>
      <c r="CH16" s="7"/>
      <c r="CI16" s="7"/>
      <c r="CJ16" s="8"/>
      <c r="CK16" s="14"/>
    </row>
    <row r="17" spans="2:90" s="2" customFormat="1" x14ac:dyDescent="0.3">
      <c r="B17" s="220" t="s">
        <v>18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1">
        <f>SUM(AG5:AG16)</f>
        <v>3920800</v>
      </c>
      <c r="AE17" s="222"/>
      <c r="AF17" s="222"/>
      <c r="AG17" s="223"/>
      <c r="AH17" s="221">
        <f t="shared" ref="AH17" si="64">SUM(AK5:AK16)</f>
        <v>12337200</v>
      </c>
      <c r="AI17" s="222"/>
      <c r="AJ17" s="222"/>
      <c r="AK17" s="223"/>
      <c r="AL17" s="221">
        <f t="shared" ref="AL17" si="65">SUM(AO5:AO16)</f>
        <v>15864400</v>
      </c>
      <c r="AM17" s="222"/>
      <c r="AN17" s="222"/>
      <c r="AO17" s="223"/>
      <c r="AP17" s="221">
        <f t="shared" ref="AP17" si="66">SUM(AS5:AS16)</f>
        <v>12338000</v>
      </c>
      <c r="AQ17" s="222"/>
      <c r="AR17" s="222"/>
      <c r="AS17" s="223"/>
      <c r="AT17" s="221">
        <f t="shared" ref="AT17" si="67">SUM(AW5:AW16)</f>
        <v>14099800</v>
      </c>
      <c r="AU17" s="222"/>
      <c r="AV17" s="222"/>
      <c r="AW17" s="223"/>
      <c r="AX17" s="221">
        <f t="shared" ref="AX17" si="68">SUM(BA5:BA16)</f>
        <v>14100400</v>
      </c>
      <c r="AY17" s="222"/>
      <c r="AZ17" s="222"/>
      <c r="BA17" s="223"/>
      <c r="BB17" s="221">
        <f t="shared" ref="BB17" si="69">SUM(BE5:BE16)</f>
        <v>15864400</v>
      </c>
      <c r="BC17" s="222"/>
      <c r="BD17" s="222"/>
      <c r="BE17" s="223"/>
      <c r="BF17" s="221">
        <f t="shared" ref="BF17" si="70">SUM(BI5:BI16)</f>
        <v>7105800</v>
      </c>
      <c r="BG17" s="222"/>
      <c r="BH17" s="222"/>
      <c r="BI17" s="223"/>
      <c r="BJ17" s="221">
        <f t="shared" ref="BJ17" si="71">SUM(BM5:BM16)</f>
        <v>3524600</v>
      </c>
      <c r="BK17" s="222"/>
      <c r="BL17" s="222"/>
      <c r="BM17" s="223"/>
      <c r="BN17" s="221">
        <f t="shared" ref="BN17" si="72">SUM(BQ5:BQ16)</f>
        <v>15863800</v>
      </c>
      <c r="BO17" s="222"/>
      <c r="BP17" s="222"/>
      <c r="BQ17" s="223"/>
      <c r="BR17" s="221">
        <f t="shared" ref="BR17" si="73">SUM(BU5:BU16)</f>
        <v>10575800</v>
      </c>
      <c r="BS17" s="222"/>
      <c r="BT17" s="222"/>
      <c r="BU17" s="223"/>
      <c r="BV17" s="221">
        <f t="shared" ref="BV17" si="74">SUM(BY5:BY16)</f>
        <v>1818600</v>
      </c>
      <c r="BW17" s="222"/>
      <c r="BX17" s="222"/>
      <c r="BY17" s="223"/>
      <c r="BZ17" s="221">
        <f t="shared" ref="BZ17" si="75">SUM(CC5:CC16)</f>
        <v>679800</v>
      </c>
      <c r="CA17" s="222"/>
      <c r="CB17" s="222"/>
      <c r="CC17" s="223"/>
      <c r="CD17" s="221">
        <f t="shared" ref="CD17" si="76">SUM(CG5:CG16)</f>
        <v>10575800</v>
      </c>
      <c r="CE17" s="222"/>
      <c r="CF17" s="222"/>
      <c r="CG17" s="223"/>
      <c r="CH17" s="221">
        <f t="shared" ref="CH17" si="77">SUM(CK5:CK16)</f>
        <v>10575800</v>
      </c>
      <c r="CI17" s="222"/>
      <c r="CJ17" s="222"/>
      <c r="CK17" s="223"/>
    </row>
    <row r="18" spans="2:90" s="2" customFormat="1" x14ac:dyDescent="0.3">
      <c r="B18" s="220" t="s">
        <v>19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1">
        <f>SUMIFS(PRESUPUESTO!$G$51:$G$65,PRESUPUESTO!$E$51:$E$65,AD3)</f>
        <v>3923522.8960000002</v>
      </c>
      <c r="AE18" s="222"/>
      <c r="AF18" s="222"/>
      <c r="AG18" s="223"/>
      <c r="AH18" s="221">
        <f>SUMIFS(PRESUPUESTO!$G$51:$G$65,PRESUPUESTO!$E$51:$E$65,AH3)</f>
        <v>12339195.194666667</v>
      </c>
      <c r="AI18" s="222"/>
      <c r="AJ18" s="222"/>
      <c r="AK18" s="223"/>
      <c r="AL18" s="221">
        <f>SUMIFS(PRESUPUESTO!$G$51:$G$65,PRESUPUESTO!$E$51:$E$65,AL3)</f>
        <v>15864679.536</v>
      </c>
      <c r="AM18" s="222"/>
      <c r="AN18" s="222"/>
      <c r="AO18" s="223"/>
      <c r="AP18" s="221">
        <f>SUMIFS(PRESUPUESTO!$G$51:$G$65,PRESUPUESTO!$E$51:$E$65,AP3)</f>
        <v>12339195.194666667</v>
      </c>
      <c r="AQ18" s="222"/>
      <c r="AR18" s="222"/>
      <c r="AS18" s="223"/>
      <c r="AT18" s="221">
        <f>SUMIFS(PRESUPUESTO!$G$51:$G$65,PRESUPUESTO!$E$51:$E$65,AT3)</f>
        <v>14101937.365333334</v>
      </c>
      <c r="AU18" s="222"/>
      <c r="AV18" s="222"/>
      <c r="AW18" s="223"/>
      <c r="AX18" s="221">
        <f>SUMIFS(PRESUPUESTO!$G$51:$G$65,PRESUPUESTO!$E$51:$E$65,AX3)</f>
        <v>14101937.365333334</v>
      </c>
      <c r="AY18" s="222"/>
      <c r="AZ18" s="222"/>
      <c r="BA18" s="223"/>
      <c r="BB18" s="221">
        <f>SUMIFS(PRESUPUESTO!$G$51:$G$65,PRESUPUESTO!$E$51:$E$65,BB3)</f>
        <v>15864679.536</v>
      </c>
      <c r="BC18" s="222"/>
      <c r="BD18" s="222"/>
      <c r="BE18" s="223"/>
      <c r="BF18" s="221">
        <f>SUMIFS(PRESUPUESTO!$G$51:$G$65,PRESUPUESTO!$E$51:$E$65,BF3)</f>
        <v>7107831.333333334</v>
      </c>
      <c r="BG18" s="222"/>
      <c r="BH18" s="222"/>
      <c r="BI18" s="223"/>
      <c r="BJ18" s="221">
        <f>SUMIFS(PRESUPUESTO!$G$51:$G$65,PRESUPUESTO!$E$51:$E$65,BJ3)</f>
        <v>3525484.3413333334</v>
      </c>
      <c r="BK18" s="222"/>
      <c r="BL18" s="222"/>
      <c r="BM18" s="223"/>
      <c r="BN18" s="221">
        <f>SUMIFS(PRESUPUESTO!$G$51:$G$65,PRESUPUESTO!$E$51:$E$65,BN3)</f>
        <v>15864679.536</v>
      </c>
      <c r="BO18" s="222"/>
      <c r="BP18" s="222"/>
      <c r="BQ18" s="223"/>
      <c r="BR18" s="221">
        <f>SUMIFS(PRESUPUESTO!$G$51:$G$65,PRESUPUESTO!$E$51:$E$65,BR3)</f>
        <v>10576453.024</v>
      </c>
      <c r="BS18" s="222"/>
      <c r="BT18" s="222"/>
      <c r="BU18" s="223"/>
      <c r="BV18" s="221">
        <f>SUMIFS(PRESUPUESTO!$G$51:$G$65,PRESUPUESTO!$E$51:$E$65,BV3)</f>
        <v>1819604.8213333334</v>
      </c>
      <c r="BW18" s="222"/>
      <c r="BX18" s="222"/>
      <c r="BY18" s="223"/>
      <c r="BZ18" s="221">
        <f>SUMIFS(PRESUPUESTO!$G$51:$G$65,PRESUPUESTO!$E$51:$E$65,BZ3)</f>
        <v>682351.80799999996</v>
      </c>
      <c r="CA18" s="222"/>
      <c r="CB18" s="222"/>
      <c r="CC18" s="223"/>
      <c r="CD18" s="221">
        <f>SUMIFS(PRESUPUESTO!$G$51:$G$65,PRESUPUESTO!$E$51:$E$65,CD3)</f>
        <v>10576453.024</v>
      </c>
      <c r="CE18" s="222"/>
      <c r="CF18" s="222"/>
      <c r="CG18" s="223"/>
      <c r="CH18" s="221">
        <f>SUMIFS(PRESUPUESTO!$G$51:$G$65,PRESUPUESTO!$E$51:$E$65,CH3)</f>
        <v>10576453.024</v>
      </c>
      <c r="CI18" s="222"/>
      <c r="CJ18" s="222"/>
      <c r="CK18" s="223"/>
      <c r="CL18" s="18">
        <f>SUM(AD18:CK18)</f>
        <v>149264457.99999997</v>
      </c>
    </row>
    <row r="19" spans="2:90" s="2" customFormat="1" x14ac:dyDescent="0.3">
      <c r="B19" s="220" t="s">
        <v>10</v>
      </c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4">
        <f>AD18-AD17</f>
        <v>2722.8960000001825</v>
      </c>
      <c r="AE19" s="224"/>
      <c r="AF19" s="224"/>
      <c r="AG19" s="224"/>
      <c r="AH19" s="224">
        <f>AH18-AH17</f>
        <v>1995.1946666669101</v>
      </c>
      <c r="AI19" s="224"/>
      <c r="AJ19" s="224"/>
      <c r="AK19" s="224"/>
      <c r="AL19" s="224">
        <f>AL18-AL17</f>
        <v>279.53600000031292</v>
      </c>
      <c r="AM19" s="224"/>
      <c r="AN19" s="224"/>
      <c r="AO19" s="224"/>
      <c r="AP19" s="224">
        <f t="shared" ref="AP19" si="78">AP18-AP17</f>
        <v>1195.1946666669101</v>
      </c>
      <c r="AQ19" s="224"/>
      <c r="AR19" s="224"/>
      <c r="AS19" s="224"/>
      <c r="AT19" s="224">
        <f>AT18-AT17</f>
        <v>2137.3653333336115</v>
      </c>
      <c r="AU19" s="224"/>
      <c r="AV19" s="224"/>
      <c r="AW19" s="224"/>
      <c r="AX19" s="224">
        <f>AX18-AX17</f>
        <v>1537.3653333336115</v>
      </c>
      <c r="AY19" s="224"/>
      <c r="AZ19" s="224"/>
      <c r="BA19" s="224"/>
      <c r="BB19" s="224">
        <f>BB18-BB17</f>
        <v>279.53600000031292</v>
      </c>
      <c r="BC19" s="224"/>
      <c r="BD19" s="224"/>
      <c r="BE19" s="224"/>
      <c r="BF19" s="224">
        <f t="shared" ref="BF19" si="79">BF18-BF17</f>
        <v>2031.3333333339542</v>
      </c>
      <c r="BG19" s="224"/>
      <c r="BH19" s="224"/>
      <c r="BI19" s="224"/>
      <c r="BJ19" s="224">
        <f>BJ18-BJ17</f>
        <v>884.34133333340287</v>
      </c>
      <c r="BK19" s="224"/>
      <c r="BL19" s="224"/>
      <c r="BM19" s="224"/>
      <c r="BN19" s="224">
        <f>BN18-BN17</f>
        <v>879.53600000031292</v>
      </c>
      <c r="BO19" s="224"/>
      <c r="BP19" s="224"/>
      <c r="BQ19" s="224"/>
      <c r="BR19" s="224">
        <f>BR18-BR17</f>
        <v>653.02400000020862</v>
      </c>
      <c r="BS19" s="224"/>
      <c r="BT19" s="224"/>
      <c r="BU19" s="224"/>
      <c r="BV19" s="224">
        <f t="shared" ref="BV19" si="80">BV18-BV17</f>
        <v>1004.8213333333842</v>
      </c>
      <c r="BW19" s="224"/>
      <c r="BX19" s="224"/>
      <c r="BY19" s="224"/>
      <c r="BZ19" s="224">
        <f>BZ18-BZ17</f>
        <v>2551.8079999999609</v>
      </c>
      <c r="CA19" s="224"/>
      <c r="CB19" s="224"/>
      <c r="CC19" s="224"/>
      <c r="CD19" s="224">
        <f>CD18-CD17</f>
        <v>653.02400000020862</v>
      </c>
      <c r="CE19" s="224"/>
      <c r="CF19" s="224"/>
      <c r="CG19" s="224"/>
      <c r="CH19" s="224">
        <f>CH18-CH17</f>
        <v>653.02400000020862</v>
      </c>
      <c r="CI19" s="224"/>
      <c r="CJ19" s="224"/>
      <c r="CK19" s="224"/>
    </row>
    <row r="20" spans="2:90" s="31" customFormat="1" x14ac:dyDescent="0.3">
      <c r="B20" s="19"/>
      <c r="C20" s="19"/>
      <c r="D20" s="125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28"/>
      <c r="AD20" s="19"/>
      <c r="AE20" s="19"/>
      <c r="AF20" s="29"/>
      <c r="AG20" s="30"/>
      <c r="AH20" s="19"/>
      <c r="AI20" s="19"/>
      <c r="AJ20" s="29"/>
      <c r="AK20" s="30"/>
      <c r="AL20" s="19"/>
      <c r="AM20" s="19"/>
      <c r="AN20" s="29"/>
      <c r="AO20" s="30"/>
      <c r="AP20" s="19"/>
      <c r="AQ20" s="19"/>
      <c r="AR20" s="29"/>
      <c r="AS20" s="30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90" x14ac:dyDescent="0.25">
      <c r="B21" s="199" t="s">
        <v>147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199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199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199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199"/>
      <c r="BR21" s="200"/>
      <c r="BS21" s="200"/>
      <c r="BT21" s="200"/>
      <c r="BU21" s="200"/>
      <c r="BV21" s="200"/>
      <c r="BW21" s="200"/>
      <c r="BX21" s="200"/>
      <c r="BY21" s="200"/>
      <c r="BZ21" s="200"/>
      <c r="CA21" s="200"/>
      <c r="CB21" s="200"/>
      <c r="CC21" s="200"/>
      <c r="CD21" s="199"/>
      <c r="CE21" s="200"/>
      <c r="CF21" s="200"/>
      <c r="CG21" s="200"/>
      <c r="CH21" s="200"/>
      <c r="CI21" s="200"/>
      <c r="CJ21" s="200"/>
      <c r="CK21" s="200"/>
    </row>
    <row r="22" spans="2:90" ht="28.5" customHeight="1" x14ac:dyDescent="0.25">
      <c r="B22" s="225" t="str">
        <f>'PLAN DE NECESIDADES'!B20</f>
        <v>ÍTEM</v>
      </c>
      <c r="C22" s="225" t="str">
        <f>'PLAN DE NECESIDADES'!C20</f>
        <v>CÓDIGO DANE</v>
      </c>
      <c r="D22" s="226" t="str">
        <f>'PLAN DE NECESIDADES'!D20</f>
        <v xml:space="preserve">DESCRIPCIÓN DEL BIEN Y/O SERVICIO </v>
      </c>
      <c r="E22" s="225" t="str">
        <f>'PLAN DE NECESIDADES'!E20</f>
        <v>UNIDAD MEDIDA</v>
      </c>
      <c r="F22" s="225" t="str">
        <f>'PLAN DE NECESIDADES'!F20</f>
        <v>EXISTENCIAS (STOCK - INVENTARIOS)</v>
      </c>
      <c r="G22" s="225" t="str">
        <f>'PLAN DE NECESIDADES'!H20</f>
        <v>UNSPSC (CCE)</v>
      </c>
      <c r="H22" s="225" t="str">
        <f>'PLAN DE NECESIDADES'!I20</f>
        <v xml:space="preserve">CÓDIGO MATERIAL SAP </v>
      </c>
      <c r="I22" s="225" t="str">
        <f>'PLAN DE NECESIDADES'!J20</f>
        <v xml:space="preserve">CÓDIGO OTAN - NOC </v>
      </c>
      <c r="J22" s="205" t="s">
        <v>155</v>
      </c>
      <c r="K22" s="203" t="str">
        <f>AD22</f>
        <v>BAABS3</v>
      </c>
      <c r="L22" s="203" t="str">
        <f>AH22</f>
        <v>BAACA10</v>
      </c>
      <c r="M22" s="203" t="str">
        <f>AL22</f>
        <v>BAACA2</v>
      </c>
      <c r="N22" s="203" t="str">
        <f>AP22</f>
        <v>BAADA1</v>
      </c>
      <c r="O22" s="203" t="str">
        <f>AT22</f>
        <v>BAEEV2</v>
      </c>
      <c r="P22" s="203" t="str">
        <f>AX22</f>
        <v>BAEEV3</v>
      </c>
      <c r="Q22" s="203" t="str">
        <f>BB22</f>
        <v>BAMMA7</v>
      </c>
      <c r="R22" s="203" t="str">
        <f>BF22</f>
        <v>BASPC10</v>
      </c>
      <c r="S22" s="203" t="str">
        <f>BJ22</f>
        <v>BASAC</v>
      </c>
      <c r="T22" s="203" t="str">
        <f>BN22</f>
        <v>BICAR</v>
      </c>
      <c r="U22" s="203" t="str">
        <f>BR22</f>
        <v>BIMOC70</v>
      </c>
      <c r="V22" s="203" t="str">
        <f>BV22</f>
        <v>BITER10</v>
      </c>
      <c r="W22" s="203" t="str">
        <f>BZ22</f>
        <v>DIM15</v>
      </c>
      <c r="X22" s="203" t="str">
        <f>CD22</f>
        <v>GMMAT</v>
      </c>
      <c r="Y22" s="203" t="str">
        <f>CH22</f>
        <v>GMRON</v>
      </c>
      <c r="Z22" s="209" t="s">
        <v>13</v>
      </c>
      <c r="AA22" s="227" t="s">
        <v>14</v>
      </c>
      <c r="AB22" s="227" t="s">
        <v>12</v>
      </c>
      <c r="AC22" s="227" t="s">
        <v>4</v>
      </c>
      <c r="AD22" s="214" t="s">
        <v>29</v>
      </c>
      <c r="AE22" s="215"/>
      <c r="AF22" s="215"/>
      <c r="AG22" s="216"/>
      <c r="AH22" s="217" t="s">
        <v>30</v>
      </c>
      <c r="AI22" s="218"/>
      <c r="AJ22" s="218"/>
      <c r="AK22" s="219"/>
      <c r="AL22" s="196" t="s">
        <v>31</v>
      </c>
      <c r="AM22" s="197"/>
      <c r="AN22" s="197"/>
      <c r="AO22" s="198"/>
      <c r="AP22" s="211" t="s">
        <v>32</v>
      </c>
      <c r="AQ22" s="212"/>
      <c r="AR22" s="212"/>
      <c r="AS22" s="213"/>
      <c r="AT22" s="214" t="s">
        <v>27</v>
      </c>
      <c r="AU22" s="215"/>
      <c r="AV22" s="215"/>
      <c r="AW22" s="216"/>
      <c r="AX22" s="217" t="s">
        <v>33</v>
      </c>
      <c r="AY22" s="218"/>
      <c r="AZ22" s="218"/>
      <c r="BA22" s="219"/>
      <c r="BB22" s="196" t="s">
        <v>66</v>
      </c>
      <c r="BC22" s="197"/>
      <c r="BD22" s="197"/>
      <c r="BE22" s="198"/>
      <c r="BF22" s="211" t="s">
        <v>67</v>
      </c>
      <c r="BG22" s="212"/>
      <c r="BH22" s="212"/>
      <c r="BI22" s="213"/>
      <c r="BJ22" s="214" t="s">
        <v>34</v>
      </c>
      <c r="BK22" s="215"/>
      <c r="BL22" s="215"/>
      <c r="BM22" s="216"/>
      <c r="BN22" s="217" t="s">
        <v>35</v>
      </c>
      <c r="BO22" s="218"/>
      <c r="BP22" s="218"/>
      <c r="BQ22" s="219"/>
      <c r="BR22" s="196" t="s">
        <v>68</v>
      </c>
      <c r="BS22" s="197"/>
      <c r="BT22" s="197"/>
      <c r="BU22" s="198"/>
      <c r="BV22" s="211" t="s">
        <v>36</v>
      </c>
      <c r="BW22" s="212"/>
      <c r="BX22" s="212"/>
      <c r="BY22" s="213"/>
      <c r="BZ22" s="214" t="s">
        <v>37</v>
      </c>
      <c r="CA22" s="215"/>
      <c r="CB22" s="215"/>
      <c r="CC22" s="216"/>
      <c r="CD22" s="217" t="s">
        <v>69</v>
      </c>
      <c r="CE22" s="218"/>
      <c r="CF22" s="218"/>
      <c r="CG22" s="219"/>
      <c r="CH22" s="196" t="s">
        <v>38</v>
      </c>
      <c r="CI22" s="197"/>
      <c r="CJ22" s="197"/>
      <c r="CK22" s="198"/>
    </row>
    <row r="23" spans="2:90" ht="28.5" customHeight="1" x14ac:dyDescent="0.25">
      <c r="B23" s="225"/>
      <c r="C23" s="225"/>
      <c r="D23" s="226"/>
      <c r="E23" s="225"/>
      <c r="F23" s="225"/>
      <c r="G23" s="225"/>
      <c r="H23" s="225"/>
      <c r="I23" s="225"/>
      <c r="J23" s="206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10"/>
      <c r="AA23" s="227"/>
      <c r="AB23" s="227"/>
      <c r="AC23" s="227"/>
      <c r="AD23" s="20" t="s">
        <v>15</v>
      </c>
      <c r="AE23" s="21" t="s">
        <v>16</v>
      </c>
      <c r="AF23" s="22" t="s">
        <v>17</v>
      </c>
      <c r="AG23" s="20" t="s">
        <v>20</v>
      </c>
      <c r="AH23" s="3" t="s">
        <v>15</v>
      </c>
      <c r="AI23" s="4" t="s">
        <v>16</v>
      </c>
      <c r="AJ23" s="5" t="s">
        <v>17</v>
      </c>
      <c r="AK23" s="3" t="s">
        <v>20</v>
      </c>
      <c r="AL23" s="51" t="s">
        <v>15</v>
      </c>
      <c r="AM23" s="23" t="s">
        <v>16</v>
      </c>
      <c r="AN23" s="24" t="s">
        <v>17</v>
      </c>
      <c r="AO23" s="51" t="s">
        <v>20</v>
      </c>
      <c r="AP23" s="25" t="s">
        <v>15</v>
      </c>
      <c r="AQ23" s="26" t="s">
        <v>16</v>
      </c>
      <c r="AR23" s="27" t="s">
        <v>17</v>
      </c>
      <c r="AS23" s="25" t="s">
        <v>20</v>
      </c>
      <c r="AT23" s="20" t="s">
        <v>15</v>
      </c>
      <c r="AU23" s="21" t="s">
        <v>16</v>
      </c>
      <c r="AV23" s="22" t="s">
        <v>17</v>
      </c>
      <c r="AW23" s="20" t="s">
        <v>20</v>
      </c>
      <c r="AX23" s="3" t="s">
        <v>15</v>
      </c>
      <c r="AY23" s="4" t="s">
        <v>16</v>
      </c>
      <c r="AZ23" s="5" t="s">
        <v>17</v>
      </c>
      <c r="BA23" s="3" t="s">
        <v>20</v>
      </c>
      <c r="BB23" s="51" t="s">
        <v>15</v>
      </c>
      <c r="BC23" s="23" t="s">
        <v>16</v>
      </c>
      <c r="BD23" s="24" t="s">
        <v>17</v>
      </c>
      <c r="BE23" s="51" t="s">
        <v>20</v>
      </c>
      <c r="BF23" s="25" t="s">
        <v>15</v>
      </c>
      <c r="BG23" s="26" t="s">
        <v>16</v>
      </c>
      <c r="BH23" s="27" t="s">
        <v>17</v>
      </c>
      <c r="BI23" s="25" t="s">
        <v>20</v>
      </c>
      <c r="BJ23" s="20" t="s">
        <v>15</v>
      </c>
      <c r="BK23" s="21" t="s">
        <v>16</v>
      </c>
      <c r="BL23" s="22" t="s">
        <v>17</v>
      </c>
      <c r="BM23" s="20" t="s">
        <v>20</v>
      </c>
      <c r="BN23" s="3" t="s">
        <v>15</v>
      </c>
      <c r="BO23" s="4" t="s">
        <v>16</v>
      </c>
      <c r="BP23" s="5" t="s">
        <v>17</v>
      </c>
      <c r="BQ23" s="3" t="s">
        <v>20</v>
      </c>
      <c r="BR23" s="51" t="s">
        <v>15</v>
      </c>
      <c r="BS23" s="23" t="s">
        <v>16</v>
      </c>
      <c r="BT23" s="24" t="s">
        <v>17</v>
      </c>
      <c r="BU23" s="51" t="s">
        <v>20</v>
      </c>
      <c r="BV23" s="25" t="s">
        <v>15</v>
      </c>
      <c r="BW23" s="26" t="s">
        <v>16</v>
      </c>
      <c r="BX23" s="27" t="s">
        <v>17</v>
      </c>
      <c r="BY23" s="25" t="s">
        <v>20</v>
      </c>
      <c r="BZ23" s="20" t="s">
        <v>15</v>
      </c>
      <c r="CA23" s="21" t="s">
        <v>16</v>
      </c>
      <c r="CB23" s="22" t="s">
        <v>17</v>
      </c>
      <c r="CC23" s="20" t="s">
        <v>20</v>
      </c>
      <c r="CD23" s="3" t="s">
        <v>15</v>
      </c>
      <c r="CE23" s="4" t="s">
        <v>16</v>
      </c>
      <c r="CF23" s="5" t="s">
        <v>17</v>
      </c>
      <c r="CG23" s="3" t="s">
        <v>20</v>
      </c>
      <c r="CH23" s="51" t="s">
        <v>15</v>
      </c>
      <c r="CI23" s="23" t="s">
        <v>16</v>
      </c>
      <c r="CJ23" s="24" t="s">
        <v>17</v>
      </c>
      <c r="CK23" s="51" t="s">
        <v>20</v>
      </c>
    </row>
    <row r="24" spans="2:90" x14ac:dyDescent="0.25">
      <c r="B24" s="7">
        <f>'PLAN DE NECESIDADES'!B21</f>
        <v>13</v>
      </c>
      <c r="C24" s="7">
        <f>'PLAN DE NECESIDADES'!C21</f>
        <v>2821001</v>
      </c>
      <c r="D24" s="60" t="str">
        <f>'PLAN DE NECESIDADES'!D21</f>
        <v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v>
      </c>
      <c r="E24" s="7" t="str">
        <f>'PLAN DE NECESIDADES'!E21</f>
        <v>PAR</v>
      </c>
      <c r="F24" s="7">
        <f>'PLAN DE NECESIDADES'!F21</f>
        <v>0</v>
      </c>
      <c r="G24" s="7">
        <f>'PLAN DE NECESIDADES'!H21</f>
        <v>53102402</v>
      </c>
      <c r="H24" s="7">
        <f>'PLAN DE NECESIDADES'!I21</f>
        <v>1495276</v>
      </c>
      <c r="I24" s="7" t="str">
        <f>'PLAN DE NECESIDADES'!J21</f>
        <v>SIN CREAR</v>
      </c>
      <c r="J24" s="7">
        <v>1</v>
      </c>
      <c r="K24" s="85">
        <v>69</v>
      </c>
      <c r="L24" s="85">
        <v>217</v>
      </c>
      <c r="M24" s="85">
        <v>279</v>
      </c>
      <c r="N24" s="85">
        <v>217</v>
      </c>
      <c r="O24" s="85">
        <v>248</v>
      </c>
      <c r="P24" s="85">
        <v>248</v>
      </c>
      <c r="Q24" s="85">
        <v>279</v>
      </c>
      <c r="R24" s="85">
        <v>125</v>
      </c>
      <c r="S24" s="85">
        <v>62</v>
      </c>
      <c r="T24" s="85">
        <v>279</v>
      </c>
      <c r="U24" s="85">
        <v>186</v>
      </c>
      <c r="V24" s="85">
        <v>32</v>
      </c>
      <c r="W24" s="85">
        <v>12</v>
      </c>
      <c r="X24" s="85">
        <v>186</v>
      </c>
      <c r="Y24" s="85">
        <v>186</v>
      </c>
      <c r="Z24" s="85">
        <f t="shared" ref="Z24:AB28" si="81">SUM(AD24,AH24,AL24,AP24,AT24,AX24,BB24,BF24,BJ24,BN24,BR24,BV24,BZ24,CD24,CH24)</f>
        <v>2656</v>
      </c>
      <c r="AA24" s="7">
        <f t="shared" si="81"/>
        <v>1957</v>
      </c>
      <c r="AB24" s="7">
        <f t="shared" si="81"/>
        <v>699</v>
      </c>
      <c r="AC24" s="12">
        <v>4700</v>
      </c>
      <c r="AD24" s="7">
        <f>K24*J24</f>
        <v>69</v>
      </c>
      <c r="AE24" s="7">
        <f>J24*54</f>
        <v>54</v>
      </c>
      <c r="AF24" s="8">
        <f t="shared" ref="AF24" si="82">AD24-AE24</f>
        <v>15</v>
      </c>
      <c r="AG24" s="14">
        <f>AC24*AE24</f>
        <v>253800</v>
      </c>
      <c r="AH24" s="7">
        <f>L24*J24</f>
        <v>217</v>
      </c>
      <c r="AI24" s="7">
        <f>J24*167</f>
        <v>167</v>
      </c>
      <c r="AJ24" s="8">
        <f t="shared" ref="AJ24" si="83">AH24-AI24</f>
        <v>50</v>
      </c>
      <c r="AK24" s="14">
        <f>AC24*AI24</f>
        <v>784900</v>
      </c>
      <c r="AL24" s="7">
        <f>M24*J24</f>
        <v>279</v>
      </c>
      <c r="AM24" s="7">
        <f>J24*216</f>
        <v>216</v>
      </c>
      <c r="AN24" s="8">
        <f t="shared" ref="AN24" si="84">AL24-AM24</f>
        <v>63</v>
      </c>
      <c r="AO24" s="14">
        <f>AC24*AM24</f>
        <v>1015200</v>
      </c>
      <c r="AP24" s="7">
        <f>N24*J24</f>
        <v>217</v>
      </c>
      <c r="AQ24" s="7">
        <f>J24*168</f>
        <v>168</v>
      </c>
      <c r="AR24" s="8">
        <f t="shared" ref="AR24" si="85">AP24-AQ24</f>
        <v>49</v>
      </c>
      <c r="AS24" s="14">
        <f>AC24*AQ24</f>
        <v>789600</v>
      </c>
      <c r="AT24" s="7">
        <f>M24*J24</f>
        <v>279</v>
      </c>
      <c r="AU24" s="7">
        <f>J24*190</f>
        <v>190</v>
      </c>
      <c r="AV24" s="8">
        <f t="shared" ref="AV24" si="86">AT24-AU24</f>
        <v>89</v>
      </c>
      <c r="AW24" s="14">
        <f>AU24*AC24</f>
        <v>893000</v>
      </c>
      <c r="AX24" s="7">
        <f>P24*J24</f>
        <v>248</v>
      </c>
      <c r="AY24" s="7">
        <f>J24*190</f>
        <v>190</v>
      </c>
      <c r="AZ24" s="8">
        <f t="shared" ref="AZ24" si="87">AX24-AY24</f>
        <v>58</v>
      </c>
      <c r="BA24" s="14">
        <f>AC24*AY24</f>
        <v>893000</v>
      </c>
      <c r="BB24" s="7">
        <f>Q24*J24</f>
        <v>279</v>
      </c>
      <c r="BC24" s="7">
        <f>J24*213</f>
        <v>213</v>
      </c>
      <c r="BD24" s="8">
        <f t="shared" ref="BD24" si="88">BB24-BC24</f>
        <v>66</v>
      </c>
      <c r="BE24" s="14">
        <f>BC24*AC24</f>
        <v>1001100</v>
      </c>
      <c r="BF24" s="7">
        <f>R24*J24</f>
        <v>125</v>
      </c>
      <c r="BG24" s="7">
        <f>J24*40</f>
        <v>40</v>
      </c>
      <c r="BH24" s="8">
        <f t="shared" ref="BH24" si="89">BF24-BG24</f>
        <v>85</v>
      </c>
      <c r="BI24" s="14">
        <f>BG24*AC24</f>
        <v>188000</v>
      </c>
      <c r="BJ24" s="7">
        <f>S24*J24</f>
        <v>62</v>
      </c>
      <c r="BK24" s="7">
        <f>J24*49</f>
        <v>49</v>
      </c>
      <c r="BL24" s="8">
        <f t="shared" ref="BL24" si="90">BJ24-BK24</f>
        <v>13</v>
      </c>
      <c r="BM24" s="14">
        <f>BK24*AC24</f>
        <v>230300</v>
      </c>
      <c r="BN24" s="7">
        <f>T24*J24</f>
        <v>279</v>
      </c>
      <c r="BO24" s="7">
        <f>J24*213</f>
        <v>213</v>
      </c>
      <c r="BP24" s="8">
        <f t="shared" ref="BP24" si="91">BN24-BO24</f>
        <v>66</v>
      </c>
      <c r="BQ24" s="14">
        <f>BO24*AC24</f>
        <v>1001100</v>
      </c>
      <c r="BR24" s="7">
        <f>U24*J24</f>
        <v>186</v>
      </c>
      <c r="BS24" s="7">
        <f>J24*141</f>
        <v>141</v>
      </c>
      <c r="BT24" s="8">
        <f t="shared" ref="BT24:BT26" si="92">BR24-BS24</f>
        <v>45</v>
      </c>
      <c r="BU24" s="14">
        <f>BS24*AC24</f>
        <v>662700</v>
      </c>
      <c r="BV24" s="7">
        <f>V24*J24</f>
        <v>32</v>
      </c>
      <c r="BW24" s="7">
        <f>J24*25</f>
        <v>25</v>
      </c>
      <c r="BX24" s="8">
        <f t="shared" ref="BX24" si="93">BV24-BW24</f>
        <v>7</v>
      </c>
      <c r="BY24" s="14">
        <f>BW24*AC24</f>
        <v>117500</v>
      </c>
      <c r="BZ24" s="7">
        <f>W24*J24</f>
        <v>12</v>
      </c>
      <c r="CA24" s="7">
        <f>J24*9</f>
        <v>9</v>
      </c>
      <c r="CB24" s="8">
        <f t="shared" ref="CB24:CB26" si="94">BZ24-CA24</f>
        <v>3</v>
      </c>
      <c r="CC24" s="14">
        <f>CA24*AC24</f>
        <v>42300</v>
      </c>
      <c r="CD24" s="7">
        <f>X24*J24</f>
        <v>186</v>
      </c>
      <c r="CE24" s="7">
        <f>J24*141</f>
        <v>141</v>
      </c>
      <c r="CF24" s="8">
        <f t="shared" ref="CF24:CF26" si="95">CD24-CE24</f>
        <v>45</v>
      </c>
      <c r="CG24" s="14">
        <f>CE24*AC24</f>
        <v>662700</v>
      </c>
      <c r="CH24" s="7">
        <f>Y24*J24</f>
        <v>186</v>
      </c>
      <c r="CI24" s="7">
        <f>J24*141</f>
        <v>141</v>
      </c>
      <c r="CJ24" s="8">
        <f t="shared" ref="CJ24:CJ26" si="96">CH24-CI24</f>
        <v>45</v>
      </c>
      <c r="CK24" s="14">
        <f>CI24*AC24</f>
        <v>662700</v>
      </c>
    </row>
    <row r="25" spans="2:90" x14ac:dyDescent="0.25">
      <c r="B25" s="7">
        <f>'PLAN DE NECESIDADES'!B22</f>
        <v>14</v>
      </c>
      <c r="C25" s="7">
        <f>'PLAN DE NECESIDADES'!C22</f>
        <v>2823601</v>
      </c>
      <c r="D25" s="60" t="str">
        <f>'PLAN DE NECESIDADES'!D22</f>
        <v>UNIFORME DE DEPORTES COMPLETO (CAMISETA Y PANTALONETA): 
DE ACUERDO A NORMA TÉCNICA  NO. NTMD-0356 A2 DE ACUERDO A ÍTEM  3.1.2.7 FIGURA ILUSTRATIVA 37</v>
      </c>
      <c r="E25" s="7" t="str">
        <f>'PLAN DE NECESIDADES'!E22</f>
        <v>UNIDAD</v>
      </c>
      <c r="F25" s="7">
        <f>'PLAN DE NECESIDADES'!F22</f>
        <v>0</v>
      </c>
      <c r="G25" s="7">
        <f>'PLAN DE NECESIDADES'!H22</f>
        <v>53102700</v>
      </c>
      <c r="H25" s="7">
        <f>'PLAN DE NECESIDADES'!I22</f>
        <v>1329412</v>
      </c>
      <c r="I25" s="7" t="str">
        <f>'PLAN DE NECESIDADES'!J22</f>
        <v>SIN CREAR</v>
      </c>
      <c r="J25" s="7">
        <v>1</v>
      </c>
      <c r="K25" s="85">
        <v>69</v>
      </c>
      <c r="L25" s="85">
        <v>217</v>
      </c>
      <c r="M25" s="85">
        <v>279</v>
      </c>
      <c r="N25" s="85">
        <v>217</v>
      </c>
      <c r="O25" s="85">
        <v>248</v>
      </c>
      <c r="P25" s="85">
        <v>248</v>
      </c>
      <c r="Q25" s="85">
        <v>279</v>
      </c>
      <c r="R25" s="85">
        <v>125</v>
      </c>
      <c r="S25" s="85">
        <v>62</v>
      </c>
      <c r="T25" s="85">
        <v>279</v>
      </c>
      <c r="U25" s="85">
        <v>186</v>
      </c>
      <c r="V25" s="85">
        <v>32</v>
      </c>
      <c r="W25" s="85">
        <v>12</v>
      </c>
      <c r="X25" s="85">
        <v>186</v>
      </c>
      <c r="Y25" s="85">
        <v>186</v>
      </c>
      <c r="Z25" s="85">
        <f t="shared" si="81"/>
        <v>2656</v>
      </c>
      <c r="AA25" s="7">
        <f t="shared" si="81"/>
        <v>1944</v>
      </c>
      <c r="AB25" s="7">
        <f t="shared" si="81"/>
        <v>712</v>
      </c>
      <c r="AC25" s="12">
        <v>43000</v>
      </c>
      <c r="AD25" s="7">
        <f>K25*J25</f>
        <v>69</v>
      </c>
      <c r="AE25" s="7">
        <f>J25*52</f>
        <v>52</v>
      </c>
      <c r="AF25" s="8">
        <f t="shared" ref="AF25:AF26" si="97">AD25-AE25</f>
        <v>17</v>
      </c>
      <c r="AG25" s="14">
        <f>AC25*AE25</f>
        <v>2236000</v>
      </c>
      <c r="AH25" s="7">
        <f>L25*J25</f>
        <v>217</v>
      </c>
      <c r="AI25" s="7">
        <f>J25*165</f>
        <v>165</v>
      </c>
      <c r="AJ25" s="8">
        <f t="shared" ref="AJ25:AJ26" si="98">AH25-AI25</f>
        <v>52</v>
      </c>
      <c r="AK25" s="14">
        <f>AC25*AI25</f>
        <v>7095000</v>
      </c>
      <c r="AL25" s="7">
        <f>M25*J25</f>
        <v>279</v>
      </c>
      <c r="AM25" s="7">
        <f>J25*212</f>
        <v>212</v>
      </c>
      <c r="AN25" s="8">
        <f t="shared" ref="AN25:AN26" si="99">AL25-AM25</f>
        <v>67</v>
      </c>
      <c r="AO25" s="14">
        <f>AC25*AM25</f>
        <v>9116000</v>
      </c>
      <c r="AP25" s="7">
        <f>N25*J25</f>
        <v>217</v>
      </c>
      <c r="AQ25" s="7">
        <f>J25*165</f>
        <v>165</v>
      </c>
      <c r="AR25" s="8">
        <f t="shared" ref="AR25:AR26" si="100">AP25-AQ25</f>
        <v>52</v>
      </c>
      <c r="AS25" s="14">
        <f>AC25*AQ25</f>
        <v>7095000</v>
      </c>
      <c r="AT25" s="7">
        <f>M25*J25</f>
        <v>279</v>
      </c>
      <c r="AU25" s="7">
        <f>J25*189</f>
        <v>189</v>
      </c>
      <c r="AV25" s="8">
        <f t="shared" ref="AV25:AV26" si="101">AT25-AU25</f>
        <v>90</v>
      </c>
      <c r="AW25" s="14">
        <f>AU25*AC25</f>
        <v>8127000</v>
      </c>
      <c r="AX25" s="7">
        <f>P25*J25</f>
        <v>248</v>
      </c>
      <c r="AY25" s="7">
        <f>J25*189</f>
        <v>189</v>
      </c>
      <c r="AZ25" s="8">
        <f t="shared" ref="AZ25:AZ26" si="102">AX25-AY25</f>
        <v>59</v>
      </c>
      <c r="BA25" s="14">
        <f>AC25*AY25</f>
        <v>8127000</v>
      </c>
      <c r="BB25" s="7">
        <f>Q25*J25</f>
        <v>279</v>
      </c>
      <c r="BC25" s="7">
        <f>J25*213</f>
        <v>213</v>
      </c>
      <c r="BD25" s="8">
        <f t="shared" ref="BD25:BD26" si="103">BB25-BC25</f>
        <v>66</v>
      </c>
      <c r="BE25" s="14">
        <f>BC25*AC25</f>
        <v>9159000</v>
      </c>
      <c r="BF25" s="7">
        <f>R25*J25</f>
        <v>125</v>
      </c>
      <c r="BG25" s="7">
        <f>J25*40</f>
        <v>40</v>
      </c>
      <c r="BH25" s="8">
        <f t="shared" ref="BH25:BH28" si="104">BF25-BG25</f>
        <v>85</v>
      </c>
      <c r="BI25" s="14">
        <f>BG25*AC25</f>
        <v>1720000</v>
      </c>
      <c r="BJ25" s="7">
        <f>S25*J25</f>
        <v>62</v>
      </c>
      <c r="BK25" s="7">
        <f>J25*47</f>
        <v>47</v>
      </c>
      <c r="BL25" s="8">
        <f t="shared" ref="BL25:BL26" si="105">BJ25-BK25</f>
        <v>15</v>
      </c>
      <c r="BM25" s="14">
        <f>BK25*AC25</f>
        <v>2021000</v>
      </c>
      <c r="BN25" s="7">
        <f>T25*J25</f>
        <v>279</v>
      </c>
      <c r="BO25" s="7">
        <f>J25*213</f>
        <v>213</v>
      </c>
      <c r="BP25" s="8">
        <f t="shared" ref="BP25:BP26" si="106">BN25-BO25</f>
        <v>66</v>
      </c>
      <c r="BQ25" s="14">
        <f>BO25*AC25</f>
        <v>9159000</v>
      </c>
      <c r="BR25" s="7">
        <f>U25*J25</f>
        <v>186</v>
      </c>
      <c r="BS25" s="7">
        <f>J25*142</f>
        <v>142</v>
      </c>
      <c r="BT25" s="8">
        <f t="shared" si="92"/>
        <v>44</v>
      </c>
      <c r="BU25" s="14">
        <f>BS25*AC25</f>
        <v>6106000</v>
      </c>
      <c r="BV25" s="7">
        <f>V25*J25</f>
        <v>32</v>
      </c>
      <c r="BW25" s="7">
        <f>J25*24</f>
        <v>24</v>
      </c>
      <c r="BX25" s="8">
        <f t="shared" ref="BX25:BX26" si="107">BV25-BW25</f>
        <v>8</v>
      </c>
      <c r="BY25" s="14">
        <f>BW25*AC25</f>
        <v>1032000</v>
      </c>
      <c r="BZ25" s="7">
        <f>W25*J25</f>
        <v>12</v>
      </c>
      <c r="CA25" s="7">
        <f>J25*9</f>
        <v>9</v>
      </c>
      <c r="CB25" s="8">
        <f t="shared" si="94"/>
        <v>3</v>
      </c>
      <c r="CC25" s="14">
        <f>CA25*AC25</f>
        <v>387000</v>
      </c>
      <c r="CD25" s="7">
        <f>X25*J25</f>
        <v>186</v>
      </c>
      <c r="CE25" s="7">
        <f>J25*142</f>
        <v>142</v>
      </c>
      <c r="CF25" s="8">
        <f t="shared" si="95"/>
        <v>44</v>
      </c>
      <c r="CG25" s="14">
        <f>CE25*AC25</f>
        <v>6106000</v>
      </c>
      <c r="CH25" s="7">
        <f>Y25*J25</f>
        <v>186</v>
      </c>
      <c r="CI25" s="7">
        <f>J25*142</f>
        <v>142</v>
      </c>
      <c r="CJ25" s="8">
        <f t="shared" si="96"/>
        <v>44</v>
      </c>
      <c r="CK25" s="14">
        <f>CI25*AC25</f>
        <v>6106000</v>
      </c>
    </row>
    <row r="26" spans="2:90" x14ac:dyDescent="0.25">
      <c r="B26" s="7">
        <f>'PLAN DE NECESIDADES'!B23</f>
        <v>15</v>
      </c>
      <c r="C26" s="7">
        <f>'PLAN DE NECESIDADES'!C23</f>
        <v>2819003</v>
      </c>
      <c r="D26" s="60" t="str">
        <f>'PLAN DE NECESIDADES'!D23</f>
        <v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v>
      </c>
      <c r="E26" s="7" t="str">
        <f>'PLAN DE NECESIDADES'!E23</f>
        <v>PAR</v>
      </c>
      <c r="F26" s="7">
        <f>'PLAN DE NECESIDADES'!F23</f>
        <v>0</v>
      </c>
      <c r="G26" s="7">
        <f>'PLAN DE NECESIDADES'!H23</f>
        <v>53111800</v>
      </c>
      <c r="H26" s="7">
        <f>'PLAN DE NECESIDADES'!I23</f>
        <v>1296725</v>
      </c>
      <c r="I26" s="7" t="str">
        <f>'PLAN DE NECESIDADES'!J23</f>
        <v>SIN CREAR</v>
      </c>
      <c r="J26" s="7">
        <v>1</v>
      </c>
      <c r="K26" s="85">
        <v>69</v>
      </c>
      <c r="L26" s="85">
        <v>217</v>
      </c>
      <c r="M26" s="85">
        <v>279</v>
      </c>
      <c r="N26" s="85">
        <v>217</v>
      </c>
      <c r="O26" s="85">
        <v>248</v>
      </c>
      <c r="P26" s="85">
        <v>248</v>
      </c>
      <c r="Q26" s="85">
        <v>279</v>
      </c>
      <c r="R26" s="85">
        <v>125</v>
      </c>
      <c r="S26" s="85">
        <v>62</v>
      </c>
      <c r="T26" s="85">
        <v>279</v>
      </c>
      <c r="U26" s="85">
        <v>186</v>
      </c>
      <c r="V26" s="85">
        <v>32</v>
      </c>
      <c r="W26" s="85">
        <v>12</v>
      </c>
      <c r="X26" s="85">
        <v>186</v>
      </c>
      <c r="Y26" s="85">
        <v>186</v>
      </c>
      <c r="Z26" s="85">
        <f t="shared" si="81"/>
        <v>2656</v>
      </c>
      <c r="AA26" s="7">
        <f t="shared" si="81"/>
        <v>1961</v>
      </c>
      <c r="AB26" s="7">
        <f t="shared" si="81"/>
        <v>695</v>
      </c>
      <c r="AC26" s="12">
        <v>7300</v>
      </c>
      <c r="AD26" s="7">
        <f>K26*J26</f>
        <v>69</v>
      </c>
      <c r="AE26" s="7">
        <f>J26*55</f>
        <v>55</v>
      </c>
      <c r="AF26" s="8">
        <f t="shared" si="97"/>
        <v>14</v>
      </c>
      <c r="AG26" s="14">
        <f>AC26*AE26</f>
        <v>401500</v>
      </c>
      <c r="AH26" s="7">
        <f>L26*J26</f>
        <v>217</v>
      </c>
      <c r="AI26" s="7">
        <f>J26*168</f>
        <v>168</v>
      </c>
      <c r="AJ26" s="8">
        <f t="shared" si="98"/>
        <v>49</v>
      </c>
      <c r="AK26" s="14">
        <f>AC26*AI26</f>
        <v>1226400</v>
      </c>
      <c r="AL26" s="7">
        <f>M26*J26</f>
        <v>279</v>
      </c>
      <c r="AM26" s="7">
        <f>J26*216</f>
        <v>216</v>
      </c>
      <c r="AN26" s="8">
        <f t="shared" si="99"/>
        <v>63</v>
      </c>
      <c r="AO26" s="14">
        <f>AC26*AM26</f>
        <v>1576800</v>
      </c>
      <c r="AP26" s="7">
        <f>N26*J26</f>
        <v>217</v>
      </c>
      <c r="AQ26" s="7">
        <f>J26*167</f>
        <v>167</v>
      </c>
      <c r="AR26" s="8">
        <f t="shared" si="100"/>
        <v>50</v>
      </c>
      <c r="AS26" s="14">
        <f>AC26*AQ26</f>
        <v>1219100</v>
      </c>
      <c r="AT26" s="7">
        <f>M26*J26</f>
        <v>279</v>
      </c>
      <c r="AU26" s="7">
        <f>J26*190</f>
        <v>190</v>
      </c>
      <c r="AV26" s="8">
        <f t="shared" si="101"/>
        <v>89</v>
      </c>
      <c r="AW26" s="14">
        <f>AU26*AC26</f>
        <v>1387000</v>
      </c>
      <c r="AX26" s="7">
        <f>P26*J26</f>
        <v>248</v>
      </c>
      <c r="AY26" s="7">
        <f>J26*190</f>
        <v>190</v>
      </c>
      <c r="AZ26" s="8">
        <f t="shared" si="102"/>
        <v>58</v>
      </c>
      <c r="BA26" s="14">
        <f>AC26*AY26</f>
        <v>1387000</v>
      </c>
      <c r="BB26" s="7">
        <f>Q26*J26</f>
        <v>279</v>
      </c>
      <c r="BC26" s="7">
        <f>J26*212</f>
        <v>212</v>
      </c>
      <c r="BD26" s="8">
        <f t="shared" si="103"/>
        <v>67</v>
      </c>
      <c r="BE26" s="14">
        <f>BC26*AC26</f>
        <v>1547600</v>
      </c>
      <c r="BF26" s="7">
        <f>R26*J26</f>
        <v>125</v>
      </c>
      <c r="BG26" s="7">
        <f>J26*41</f>
        <v>41</v>
      </c>
      <c r="BH26" s="8">
        <f t="shared" si="104"/>
        <v>84</v>
      </c>
      <c r="BI26" s="14">
        <f>BG26*AC26</f>
        <v>299300</v>
      </c>
      <c r="BJ26" s="7">
        <f>S26*J26</f>
        <v>62</v>
      </c>
      <c r="BK26" s="7">
        <f>J26*48</f>
        <v>48</v>
      </c>
      <c r="BL26" s="8">
        <f t="shared" si="105"/>
        <v>14</v>
      </c>
      <c r="BM26" s="14">
        <f>BK26*AC26</f>
        <v>350400</v>
      </c>
      <c r="BN26" s="7">
        <f>T26*J26</f>
        <v>279</v>
      </c>
      <c r="BO26" s="7">
        <f>J26*212</f>
        <v>212</v>
      </c>
      <c r="BP26" s="8">
        <f t="shared" si="106"/>
        <v>67</v>
      </c>
      <c r="BQ26" s="14">
        <f>BO26*AC26</f>
        <v>1547600</v>
      </c>
      <c r="BR26" s="7">
        <f>U26*J26</f>
        <v>186</v>
      </c>
      <c r="BS26" s="7">
        <f>J26*142</f>
        <v>142</v>
      </c>
      <c r="BT26" s="8">
        <f t="shared" si="92"/>
        <v>44</v>
      </c>
      <c r="BU26" s="14">
        <f>BS26*AC26</f>
        <v>1036600</v>
      </c>
      <c r="BV26" s="7">
        <f>V26*J26</f>
        <v>32</v>
      </c>
      <c r="BW26" s="7">
        <f>J26*26</f>
        <v>26</v>
      </c>
      <c r="BX26" s="8">
        <f t="shared" si="107"/>
        <v>6</v>
      </c>
      <c r="BY26" s="14">
        <f>BW26*AC26</f>
        <v>189800</v>
      </c>
      <c r="BZ26" s="7">
        <f>W26*J26</f>
        <v>12</v>
      </c>
      <c r="CA26" s="7">
        <f>J26*10</f>
        <v>10</v>
      </c>
      <c r="CB26" s="8">
        <f t="shared" si="94"/>
        <v>2</v>
      </c>
      <c r="CC26" s="14">
        <f>CA26*AC26</f>
        <v>73000</v>
      </c>
      <c r="CD26" s="7">
        <f>X26*J26</f>
        <v>186</v>
      </c>
      <c r="CE26" s="7">
        <f>J26*142</f>
        <v>142</v>
      </c>
      <c r="CF26" s="8">
        <f t="shared" si="95"/>
        <v>44</v>
      </c>
      <c r="CG26" s="14">
        <f>CE26*AC26</f>
        <v>1036600</v>
      </c>
      <c r="CH26" s="7">
        <f>Y26*J26</f>
        <v>186</v>
      </c>
      <c r="CI26" s="7">
        <f>J26*142</f>
        <v>142</v>
      </c>
      <c r="CJ26" s="8">
        <f t="shared" si="96"/>
        <v>44</v>
      </c>
      <c r="CK26" s="14">
        <f>CI26*AC26</f>
        <v>1036600</v>
      </c>
    </row>
    <row r="27" spans="2:90" x14ac:dyDescent="0.25">
      <c r="B27" s="7">
        <f>'PLAN DE NECESIDADES'!B24</f>
        <v>16</v>
      </c>
      <c r="C27" s="7">
        <f>'PLAN DE NECESIDADES'!C24</f>
        <v>2823603</v>
      </c>
      <c r="D27" s="60" t="str">
        <f>'PLAN DE NECESIDADES'!D24</f>
        <v>BICICLETERO NEGRO CORTO:
DE ACUERDO A ESPECIFICACIONES TÉCNICAS ESPECIFICACIONES TÉCNICAS NO JEMPP-CEDE4-DIETE-ET05595/INT-0</v>
      </c>
      <c r="E27" s="7" t="str">
        <f>'PLAN DE NECESIDADES'!E24</f>
        <v>UNIDAD</v>
      </c>
      <c r="F27" s="7">
        <f>'PLAN DE NECESIDADES'!F24</f>
        <v>0</v>
      </c>
      <c r="G27" s="7">
        <f>'PLAN DE NECESIDADES'!H24</f>
        <v>53101500</v>
      </c>
      <c r="H27" s="7">
        <f>'PLAN DE NECESIDADES'!I24</f>
        <v>1893955</v>
      </c>
      <c r="I27" s="7" t="str">
        <f>'PLAN DE NECESIDADES'!J24</f>
        <v>SIN CREAR</v>
      </c>
      <c r="J27" s="7">
        <v>1</v>
      </c>
      <c r="K27" s="7"/>
      <c r="L27" s="7"/>
      <c r="M27" s="7"/>
      <c r="N27" s="7"/>
      <c r="O27" s="85"/>
      <c r="P27" s="7"/>
      <c r="Q27" s="7"/>
      <c r="R27" s="85">
        <v>125</v>
      </c>
      <c r="S27" s="7"/>
      <c r="T27" s="7"/>
      <c r="U27" s="7"/>
      <c r="V27" s="7"/>
      <c r="W27" s="7"/>
      <c r="X27" s="7"/>
      <c r="Y27" s="7"/>
      <c r="Z27" s="85">
        <f t="shared" si="81"/>
        <v>125</v>
      </c>
      <c r="AA27" s="7">
        <f t="shared" si="81"/>
        <v>41</v>
      </c>
      <c r="AB27" s="7">
        <f t="shared" si="81"/>
        <v>84</v>
      </c>
      <c r="AC27" s="12">
        <v>37400</v>
      </c>
      <c r="AD27" s="7"/>
      <c r="AE27" s="7"/>
      <c r="AF27" s="8"/>
      <c r="AG27" s="14"/>
      <c r="AH27" s="7"/>
      <c r="AI27" s="7"/>
      <c r="AJ27" s="8"/>
      <c r="AK27" s="14"/>
      <c r="AL27" s="7"/>
      <c r="AM27" s="7"/>
      <c r="AN27" s="8"/>
      <c r="AO27" s="14"/>
      <c r="AP27" s="7"/>
      <c r="AQ27" s="7"/>
      <c r="AR27" s="8"/>
      <c r="AS27" s="14"/>
      <c r="AT27" s="7"/>
      <c r="AU27" s="7"/>
      <c r="AV27" s="8"/>
      <c r="AW27" s="14"/>
      <c r="AX27" s="7"/>
      <c r="AY27" s="7"/>
      <c r="AZ27" s="8"/>
      <c r="BA27" s="14"/>
      <c r="BB27" s="7"/>
      <c r="BC27" s="7"/>
      <c r="BD27" s="8"/>
      <c r="BE27" s="14"/>
      <c r="BF27" s="7">
        <f>R27*J27</f>
        <v>125</v>
      </c>
      <c r="BG27" s="7">
        <f>J27*41</f>
        <v>41</v>
      </c>
      <c r="BH27" s="8">
        <f t="shared" si="104"/>
        <v>84</v>
      </c>
      <c r="BI27" s="14">
        <f>BG27*AC27</f>
        <v>1533400</v>
      </c>
      <c r="BJ27" s="7"/>
      <c r="BK27" s="7"/>
      <c r="BL27" s="8"/>
      <c r="BM27" s="14"/>
      <c r="BN27" s="7"/>
      <c r="BO27" s="7"/>
      <c r="BP27" s="8"/>
      <c r="BQ27" s="14"/>
      <c r="BR27" s="7"/>
      <c r="BS27" s="7"/>
      <c r="BT27" s="8"/>
      <c r="BU27" s="14"/>
      <c r="BV27" s="7"/>
      <c r="BW27" s="7"/>
      <c r="BX27" s="8"/>
      <c r="BY27" s="14"/>
      <c r="BZ27" s="7"/>
      <c r="CA27" s="7"/>
      <c r="CB27" s="8"/>
      <c r="CC27" s="14"/>
      <c r="CD27" s="7"/>
      <c r="CE27" s="7"/>
      <c r="CF27" s="8"/>
      <c r="CG27" s="14"/>
      <c r="CH27" s="7"/>
      <c r="CI27" s="7"/>
      <c r="CJ27" s="8"/>
      <c r="CK27" s="14"/>
    </row>
    <row r="28" spans="2:90" x14ac:dyDescent="0.25">
      <c r="B28" s="7">
        <f>'PLAN DE NECESIDADES'!B25</f>
        <v>17</v>
      </c>
      <c r="C28" s="7">
        <f>'PLAN DE NECESIDADES'!C25</f>
        <v>2822401</v>
      </c>
      <c r="D28" s="60" t="str">
        <f>'PLAN DE NECESIDADES'!D25</f>
        <v>JUEGO DE ROPA INTERIOR (TOP-CACHETERO) 
DE ACUERDO A ESPECIFICACIONES TÉCNICAS N° JEMPP-CEDE4-DIETE-ET05573/INT-01</v>
      </c>
      <c r="E28" s="7" t="str">
        <f>'PLAN DE NECESIDADES'!E25</f>
        <v>UNIDAD</v>
      </c>
      <c r="F28" s="7">
        <f>'PLAN DE NECESIDADES'!F25</f>
        <v>0</v>
      </c>
      <c r="G28" s="7">
        <f>'PLAN DE NECESIDADES'!H25</f>
        <v>53102300</v>
      </c>
      <c r="H28" s="7">
        <f>'PLAN DE NECESIDADES'!I25</f>
        <v>1702099</v>
      </c>
      <c r="I28" s="7" t="str">
        <f>'PLAN DE NECESIDADES'!J25</f>
        <v>SIN CREAR</v>
      </c>
      <c r="J28" s="7">
        <v>1</v>
      </c>
      <c r="K28" s="7"/>
      <c r="L28" s="7"/>
      <c r="M28" s="7"/>
      <c r="N28" s="7"/>
      <c r="O28" s="85"/>
      <c r="P28" s="7"/>
      <c r="Q28" s="7"/>
      <c r="R28" s="85">
        <v>125</v>
      </c>
      <c r="S28" s="7"/>
      <c r="T28" s="7"/>
      <c r="U28" s="7"/>
      <c r="V28" s="7"/>
      <c r="W28" s="7"/>
      <c r="X28" s="7"/>
      <c r="Y28" s="7"/>
      <c r="Z28" s="85">
        <f t="shared" si="81"/>
        <v>125</v>
      </c>
      <c r="AA28" s="7">
        <f t="shared" si="81"/>
        <v>41</v>
      </c>
      <c r="AB28" s="7">
        <f t="shared" si="81"/>
        <v>84</v>
      </c>
      <c r="AC28" s="12">
        <v>36700</v>
      </c>
      <c r="AD28" s="7"/>
      <c r="AE28" s="7"/>
      <c r="AF28" s="8"/>
      <c r="AG28" s="14"/>
      <c r="AH28" s="7"/>
      <c r="AI28" s="7"/>
      <c r="AJ28" s="8"/>
      <c r="AK28" s="14"/>
      <c r="AL28" s="7"/>
      <c r="AM28" s="7"/>
      <c r="AN28" s="8"/>
      <c r="AO28" s="14"/>
      <c r="AP28" s="7"/>
      <c r="AQ28" s="7"/>
      <c r="AR28" s="8"/>
      <c r="AS28" s="14"/>
      <c r="AT28" s="7"/>
      <c r="AU28" s="7"/>
      <c r="AV28" s="8"/>
      <c r="AW28" s="14"/>
      <c r="AX28" s="7"/>
      <c r="AY28" s="7"/>
      <c r="AZ28" s="8"/>
      <c r="BA28" s="14"/>
      <c r="BB28" s="7"/>
      <c r="BC28" s="7"/>
      <c r="BD28" s="8"/>
      <c r="BE28" s="14"/>
      <c r="BF28" s="7">
        <f>R28*J28</f>
        <v>125</v>
      </c>
      <c r="BG28" s="7">
        <f>J28*41</f>
        <v>41</v>
      </c>
      <c r="BH28" s="8">
        <f t="shared" si="104"/>
        <v>84</v>
      </c>
      <c r="BI28" s="14">
        <f>BG28*AC28</f>
        <v>1504700</v>
      </c>
      <c r="BJ28" s="7"/>
      <c r="BK28" s="7"/>
      <c r="BL28" s="8"/>
      <c r="BM28" s="14"/>
      <c r="BN28" s="7"/>
      <c r="BO28" s="7"/>
      <c r="BP28" s="8"/>
      <c r="BQ28" s="14"/>
      <c r="BR28" s="7"/>
      <c r="BS28" s="7"/>
      <c r="BT28" s="8"/>
      <c r="BU28" s="14"/>
      <c r="BV28" s="7"/>
      <c r="BW28" s="7"/>
      <c r="BX28" s="8"/>
      <c r="BY28" s="14"/>
      <c r="BZ28" s="7"/>
      <c r="CA28" s="7"/>
      <c r="CB28" s="8"/>
      <c r="CC28" s="14"/>
      <c r="CD28" s="7"/>
      <c r="CE28" s="7"/>
      <c r="CF28" s="8"/>
      <c r="CG28" s="14"/>
      <c r="CH28" s="7"/>
      <c r="CI28" s="7"/>
      <c r="CJ28" s="8"/>
      <c r="CK28" s="14"/>
    </row>
    <row r="29" spans="2:90" x14ac:dyDescent="0.25">
      <c r="B29" s="226" t="s">
        <v>18</v>
      </c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  <c r="AD29" s="228">
        <f>SUM(AG24:AG28)</f>
        <v>2891300</v>
      </c>
      <c r="AE29" s="228"/>
      <c r="AF29" s="228"/>
      <c r="AG29" s="228"/>
      <c r="AH29" s="228">
        <f t="shared" ref="AH29" si="108">SUM(AK24:AK28)</f>
        <v>9106300</v>
      </c>
      <c r="AI29" s="228"/>
      <c r="AJ29" s="228"/>
      <c r="AK29" s="228"/>
      <c r="AL29" s="228">
        <f t="shared" ref="AL29" si="109">SUM(AO24:AO28)</f>
        <v>11708000</v>
      </c>
      <c r="AM29" s="228"/>
      <c r="AN29" s="228"/>
      <c r="AO29" s="228"/>
      <c r="AP29" s="228">
        <f t="shared" ref="AP29" si="110">SUM(AS24:AS28)</f>
        <v>9103700</v>
      </c>
      <c r="AQ29" s="228"/>
      <c r="AR29" s="228"/>
      <c r="AS29" s="228"/>
      <c r="AT29" s="228">
        <f t="shared" ref="AT29" si="111">SUM(AW24:AW28)</f>
        <v>10407000</v>
      </c>
      <c r="AU29" s="228"/>
      <c r="AV29" s="228"/>
      <c r="AW29" s="228"/>
      <c r="AX29" s="228">
        <f t="shared" ref="AX29" si="112">SUM(BA24:BA28)</f>
        <v>10407000</v>
      </c>
      <c r="AY29" s="228"/>
      <c r="AZ29" s="228"/>
      <c r="BA29" s="228"/>
      <c r="BB29" s="228">
        <f t="shared" ref="BB29" si="113">SUM(BE24:BE28)</f>
        <v>11707700</v>
      </c>
      <c r="BC29" s="228"/>
      <c r="BD29" s="228"/>
      <c r="BE29" s="228"/>
      <c r="BF29" s="228">
        <f t="shared" ref="BF29" si="114">SUM(BI24:BI28)</f>
        <v>5245400</v>
      </c>
      <c r="BG29" s="228"/>
      <c r="BH29" s="228"/>
      <c r="BI29" s="228"/>
      <c r="BJ29" s="228">
        <f t="shared" ref="BJ29" si="115">SUM(BM24:BM28)</f>
        <v>2601700</v>
      </c>
      <c r="BK29" s="228"/>
      <c r="BL29" s="228"/>
      <c r="BM29" s="228"/>
      <c r="BN29" s="228">
        <f t="shared" ref="BN29" si="116">SUM(BQ24:BQ28)</f>
        <v>11707700</v>
      </c>
      <c r="BO29" s="228"/>
      <c r="BP29" s="228"/>
      <c r="BQ29" s="228"/>
      <c r="BR29" s="228">
        <f t="shared" ref="BR29" si="117">SUM(BU24:BU28)</f>
        <v>7805300</v>
      </c>
      <c r="BS29" s="228"/>
      <c r="BT29" s="228"/>
      <c r="BU29" s="228"/>
      <c r="BV29" s="228">
        <f t="shared" ref="BV29" si="118">SUM(BY24:BY28)</f>
        <v>1339300</v>
      </c>
      <c r="BW29" s="228"/>
      <c r="BX29" s="228"/>
      <c r="BY29" s="228"/>
      <c r="BZ29" s="228">
        <f t="shared" ref="BZ29" si="119">SUM(CC24:CC28)</f>
        <v>502300</v>
      </c>
      <c r="CA29" s="228"/>
      <c r="CB29" s="228"/>
      <c r="CC29" s="228"/>
      <c r="CD29" s="228">
        <f t="shared" ref="CD29" si="120">SUM(CG24:CG28)</f>
        <v>7805300</v>
      </c>
      <c r="CE29" s="228"/>
      <c r="CF29" s="228"/>
      <c r="CG29" s="228"/>
      <c r="CH29" s="228">
        <f t="shared" ref="CH29" si="121">SUM(CK24:CK28)</f>
        <v>7805300</v>
      </c>
      <c r="CI29" s="228"/>
      <c r="CJ29" s="228"/>
      <c r="CK29" s="228"/>
    </row>
    <row r="30" spans="2:90" x14ac:dyDescent="0.25">
      <c r="B30" s="226" t="s">
        <v>19</v>
      </c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1">
        <f>SUMIFS(PRESUPUESTO!$G$69:$G$83,PRESUPUESTO!$E$69:$E$83,AD22)</f>
        <v>2895960.3862857143</v>
      </c>
      <c r="AE30" s="222"/>
      <c r="AF30" s="222"/>
      <c r="AG30" s="223"/>
      <c r="AH30" s="221">
        <f>SUMIFS(PRESUPUESTO!$G$69:$G$83,PRESUPUESTO!$E$69:$E$83,AH22)</f>
        <v>9107585.5626666658</v>
      </c>
      <c r="AI30" s="222"/>
      <c r="AJ30" s="222"/>
      <c r="AK30" s="223"/>
      <c r="AL30" s="221">
        <f>SUMIFS(PRESUPUESTO!$G$69:$G$83,PRESUPUESTO!$E$69:$E$83,AL22)</f>
        <v>11709752.866285713</v>
      </c>
      <c r="AM30" s="222"/>
      <c r="AN30" s="222"/>
      <c r="AO30" s="223"/>
      <c r="AP30" s="221">
        <f>SUMIFS(PRESUPUESTO!$G$69:$G$83,PRESUPUESTO!$E$69:$E$83,AP22)</f>
        <v>9107585.5626666658</v>
      </c>
      <c r="AQ30" s="222"/>
      <c r="AR30" s="222"/>
      <c r="AS30" s="223"/>
      <c r="AT30" s="221">
        <f>SUMIFS(PRESUPUESTO!$G$69:$G$83,PRESUPUESTO!$E$69:$E$83,AT22)</f>
        <v>10408669.214476191</v>
      </c>
      <c r="AU30" s="222"/>
      <c r="AV30" s="222"/>
      <c r="AW30" s="223"/>
      <c r="AX30" s="221">
        <f>SUMIFS(PRESUPUESTO!$G$69:$G$83,PRESUPUESTO!$E$69:$E$83,AX22)</f>
        <v>10408669.214476191</v>
      </c>
      <c r="AY30" s="222"/>
      <c r="AZ30" s="222"/>
      <c r="BA30" s="223"/>
      <c r="BB30" s="221">
        <f>SUMIFS(PRESUPUESTO!$G$69:$G$83,PRESUPUESTO!$E$69:$E$83,BB22)</f>
        <v>11709752.866285713</v>
      </c>
      <c r="BC30" s="222"/>
      <c r="BD30" s="222"/>
      <c r="BE30" s="223"/>
      <c r="BF30" s="221">
        <f>SUMIFS(PRESUPUESTO!$G$69:$G$83,PRESUPUESTO!$E$69:$E$83,BF22)</f>
        <v>5246305.0476190476</v>
      </c>
      <c r="BG30" s="222"/>
      <c r="BH30" s="222"/>
      <c r="BI30" s="223"/>
      <c r="BJ30" s="221">
        <f>SUMIFS(PRESUPUESTO!$G$69:$G$83,PRESUPUESTO!$E$69:$E$83,BJ22)</f>
        <v>2602167.3036190476</v>
      </c>
      <c r="BK30" s="222"/>
      <c r="BL30" s="222"/>
      <c r="BM30" s="223"/>
      <c r="BN30" s="221">
        <f>SUMIFS(PRESUPUESTO!$G$69:$G$83,PRESUPUESTO!$E$69:$E$83,BN22)</f>
        <v>11709752.866285713</v>
      </c>
      <c r="BO30" s="222"/>
      <c r="BP30" s="222"/>
      <c r="BQ30" s="223"/>
      <c r="BR30" s="221">
        <f>SUMIFS(PRESUPUESTO!$G$69:$G$83,PRESUPUESTO!$E$69:$E$83,BR22)</f>
        <v>7806501.9108571429</v>
      </c>
      <c r="BS30" s="222"/>
      <c r="BT30" s="222"/>
      <c r="BU30" s="223"/>
      <c r="BV30" s="221">
        <f>SUMIFS(PRESUPUESTO!$G$69:$G$83,PRESUPUESTO!$E$69:$E$83,BV22)</f>
        <v>1343054.0921904761</v>
      </c>
      <c r="BW30" s="222"/>
      <c r="BX30" s="222"/>
      <c r="BY30" s="223"/>
      <c r="BZ30" s="221">
        <f>SUMIFS(PRESUPUESTO!$G$69:$G$83,PRESUPUESTO!$E$69:$E$83,BZ22)</f>
        <v>503645.28457142855</v>
      </c>
      <c r="CA30" s="222"/>
      <c r="CB30" s="222"/>
      <c r="CC30" s="223"/>
      <c r="CD30" s="221">
        <f>SUMIFS(PRESUPUESTO!$G$69:$G$83,PRESUPUESTO!$E$69:$E$83,CD22)</f>
        <v>7806501.9108571429</v>
      </c>
      <c r="CE30" s="222"/>
      <c r="CF30" s="222"/>
      <c r="CG30" s="223"/>
      <c r="CH30" s="221">
        <f>SUMIFS(PRESUPUESTO!$G$69:$G$83,PRESUPUESTO!$E$69:$E$83,CH22)</f>
        <v>7806501.9108571429</v>
      </c>
      <c r="CI30" s="222"/>
      <c r="CJ30" s="222"/>
      <c r="CK30" s="223"/>
      <c r="CL30" s="35">
        <f>SUM(AD30:CK30)</f>
        <v>110172405.99999999</v>
      </c>
    </row>
    <row r="31" spans="2:90" x14ac:dyDescent="0.25">
      <c r="B31" s="226" t="s">
        <v>10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4">
        <f>AD30-AD29</f>
        <v>4660.3862857143395</v>
      </c>
      <c r="AE31" s="224"/>
      <c r="AF31" s="224"/>
      <c r="AG31" s="224"/>
      <c r="AH31" s="224">
        <f>AH30-AH29</f>
        <v>1285.5626666657627</v>
      </c>
      <c r="AI31" s="224"/>
      <c r="AJ31" s="224"/>
      <c r="AK31" s="224"/>
      <c r="AL31" s="224">
        <f>AL30-AL29</f>
        <v>1752.8662857133895</v>
      </c>
      <c r="AM31" s="224"/>
      <c r="AN31" s="224"/>
      <c r="AO31" s="224"/>
      <c r="AP31" s="224">
        <f t="shared" ref="AP31" si="122">AP30-AP29</f>
        <v>3885.5626666657627</v>
      </c>
      <c r="AQ31" s="224"/>
      <c r="AR31" s="224"/>
      <c r="AS31" s="224"/>
      <c r="AT31" s="224">
        <f>AT30-AT29</f>
        <v>1669.2144761905074</v>
      </c>
      <c r="AU31" s="224"/>
      <c r="AV31" s="224"/>
      <c r="AW31" s="224"/>
      <c r="AX31" s="224">
        <f>AX30-AX29</f>
        <v>1669.2144761905074</v>
      </c>
      <c r="AY31" s="224"/>
      <c r="AZ31" s="224"/>
      <c r="BA31" s="224"/>
      <c r="BB31" s="224">
        <f>BB30-BB29</f>
        <v>2052.8662857133895</v>
      </c>
      <c r="BC31" s="224"/>
      <c r="BD31" s="224"/>
      <c r="BE31" s="224"/>
      <c r="BF31" s="224">
        <f t="shared" ref="BF31" si="123">BF30-BF29</f>
        <v>905.0476190475747</v>
      </c>
      <c r="BG31" s="224"/>
      <c r="BH31" s="224"/>
      <c r="BI31" s="224"/>
      <c r="BJ31" s="224">
        <f>BJ30-BJ29</f>
        <v>467.30361904762685</v>
      </c>
      <c r="BK31" s="224"/>
      <c r="BL31" s="224"/>
      <c r="BM31" s="224"/>
      <c r="BN31" s="224">
        <f>BN30-BN29</f>
        <v>2052.8662857133895</v>
      </c>
      <c r="BO31" s="224"/>
      <c r="BP31" s="224"/>
      <c r="BQ31" s="224"/>
      <c r="BR31" s="224">
        <f>BR30-BR29</f>
        <v>1201.9108571428806</v>
      </c>
      <c r="BS31" s="224"/>
      <c r="BT31" s="224"/>
      <c r="BU31" s="224"/>
      <c r="BV31" s="224">
        <f t="shared" ref="BV31" si="124">BV30-BV29</f>
        <v>3754.0921904761344</v>
      </c>
      <c r="BW31" s="224"/>
      <c r="BX31" s="224"/>
      <c r="BY31" s="224"/>
      <c r="BZ31" s="224">
        <f>BZ30-BZ29</f>
        <v>1345.2845714285504</v>
      </c>
      <c r="CA31" s="224"/>
      <c r="CB31" s="224"/>
      <c r="CC31" s="224"/>
      <c r="CD31" s="224">
        <f>CD30-CD29</f>
        <v>1201.9108571428806</v>
      </c>
      <c r="CE31" s="224"/>
      <c r="CF31" s="224"/>
      <c r="CG31" s="224"/>
      <c r="CH31" s="224">
        <f>CH30-CH29</f>
        <v>1201.9108571428806</v>
      </c>
      <c r="CI31" s="224"/>
      <c r="CJ31" s="224"/>
      <c r="CK31" s="224"/>
    </row>
    <row r="33" spans="2:90" x14ac:dyDescent="0.25">
      <c r="B33" s="199" t="s">
        <v>148</v>
      </c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199"/>
      <c r="AE33" s="200"/>
      <c r="AF33" s="200"/>
      <c r="AG33" s="200"/>
      <c r="AH33" s="200"/>
      <c r="AI33" s="200"/>
      <c r="AJ33" s="200"/>
      <c r="AK33" s="200"/>
      <c r="AL33" s="200"/>
      <c r="AM33" s="200"/>
      <c r="AN33" s="200"/>
      <c r="AO33" s="200"/>
      <c r="AP33" s="200"/>
      <c r="AQ33" s="199"/>
      <c r="AR33" s="200"/>
      <c r="AS33" s="200"/>
      <c r="AT33" s="200"/>
      <c r="AU33" s="200"/>
      <c r="AV33" s="200"/>
      <c r="AW33" s="200"/>
      <c r="AX33" s="200"/>
      <c r="AY33" s="200"/>
      <c r="AZ33" s="200"/>
      <c r="BA33" s="200"/>
      <c r="BB33" s="200"/>
      <c r="BC33" s="200"/>
      <c r="BD33" s="199"/>
      <c r="BE33" s="200"/>
      <c r="BF33" s="200"/>
      <c r="BG33" s="200"/>
      <c r="BH33" s="200"/>
      <c r="BI33" s="200"/>
      <c r="BJ33" s="200"/>
      <c r="BK33" s="200"/>
      <c r="BL33" s="200"/>
      <c r="BM33" s="200"/>
      <c r="BN33" s="200"/>
      <c r="BO33" s="200"/>
      <c r="BP33" s="200"/>
      <c r="BQ33" s="199"/>
      <c r="BR33" s="200"/>
      <c r="BS33" s="200"/>
      <c r="BT33" s="200"/>
      <c r="BU33" s="200"/>
      <c r="BV33" s="200"/>
      <c r="BW33" s="200"/>
      <c r="BX33" s="200"/>
      <c r="BY33" s="200"/>
      <c r="BZ33" s="200"/>
      <c r="CA33" s="200"/>
      <c r="CB33" s="200"/>
      <c r="CC33" s="200"/>
      <c r="CD33" s="199"/>
      <c r="CE33" s="200"/>
      <c r="CF33" s="200"/>
      <c r="CG33" s="200"/>
      <c r="CH33" s="200"/>
      <c r="CI33" s="200"/>
      <c r="CJ33" s="200"/>
      <c r="CK33" s="200"/>
    </row>
    <row r="34" spans="2:90" ht="28.5" customHeight="1" x14ac:dyDescent="0.25">
      <c r="B34" s="225" t="str">
        <f>'PLAN DE NECESIDADES'!B29</f>
        <v>ÍTEM</v>
      </c>
      <c r="C34" s="225" t="str">
        <f>'PLAN DE NECESIDADES'!C29</f>
        <v>CÓDIGO DANE</v>
      </c>
      <c r="D34" s="226" t="str">
        <f>'PLAN DE NECESIDADES'!D29</f>
        <v xml:space="preserve">DESCRIPCIÓN DEL BIEN Y/O SERVICIO </v>
      </c>
      <c r="E34" s="225" t="str">
        <f>'PLAN DE NECESIDADES'!E29</f>
        <v>UNIDAD MEDIDA</v>
      </c>
      <c r="F34" s="225" t="str">
        <f>'PLAN DE NECESIDADES'!F29</f>
        <v>EXISTENCIAS (STOCK - INVENTARIOS)</v>
      </c>
      <c r="G34" s="225" t="str">
        <f>'PLAN DE NECESIDADES'!H29</f>
        <v>UNSPSC (CCE)</v>
      </c>
      <c r="H34" s="225" t="str">
        <f>'PLAN DE NECESIDADES'!I29</f>
        <v xml:space="preserve">CÓDIGO MATERIAL SAP </v>
      </c>
      <c r="I34" s="225" t="str">
        <f>'PLAN DE NECESIDADES'!J29</f>
        <v xml:space="preserve">CÓDIGO OTAN - NOC </v>
      </c>
      <c r="J34" s="205" t="s">
        <v>155</v>
      </c>
      <c r="K34" s="203" t="str">
        <f>AD34</f>
        <v>BAABS3</v>
      </c>
      <c r="L34" s="203" t="str">
        <f>AH34</f>
        <v>BAACA10</v>
      </c>
      <c r="M34" s="203" t="str">
        <f>AL34</f>
        <v>BAACA2</v>
      </c>
      <c r="N34" s="203" t="str">
        <f>AP34</f>
        <v>BAADA1</v>
      </c>
      <c r="O34" s="203" t="str">
        <f>AT34</f>
        <v>BAEEV2</v>
      </c>
      <c r="P34" s="203" t="str">
        <f>AX34</f>
        <v>BAEEV3</v>
      </c>
      <c r="Q34" s="203" t="str">
        <f>BB34</f>
        <v>BAMMA7</v>
      </c>
      <c r="R34" s="203" t="str">
        <f>BF34</f>
        <v>BASPC10</v>
      </c>
      <c r="S34" s="203" t="str">
        <f>BJ34</f>
        <v>BASAC</v>
      </c>
      <c r="T34" s="203" t="str">
        <f>BN34</f>
        <v>BICAR</v>
      </c>
      <c r="U34" s="203" t="str">
        <f>BR34</f>
        <v>BIMOC70</v>
      </c>
      <c r="V34" s="203" t="str">
        <f>BV34</f>
        <v>BITER10</v>
      </c>
      <c r="W34" s="203" t="str">
        <f>BZ34</f>
        <v>DIM15</v>
      </c>
      <c r="X34" s="203" t="str">
        <f>CD34</f>
        <v>GMMAT</v>
      </c>
      <c r="Y34" s="203" t="str">
        <f>CH34</f>
        <v>GMRON</v>
      </c>
      <c r="Z34" s="209" t="s">
        <v>13</v>
      </c>
      <c r="AA34" s="227" t="s">
        <v>14</v>
      </c>
      <c r="AB34" s="227" t="s">
        <v>12</v>
      </c>
      <c r="AC34" s="227" t="s">
        <v>4</v>
      </c>
      <c r="AD34" s="214" t="s">
        <v>29</v>
      </c>
      <c r="AE34" s="215"/>
      <c r="AF34" s="215"/>
      <c r="AG34" s="216"/>
      <c r="AH34" s="217" t="s">
        <v>30</v>
      </c>
      <c r="AI34" s="218"/>
      <c r="AJ34" s="218"/>
      <c r="AK34" s="219"/>
      <c r="AL34" s="196" t="s">
        <v>31</v>
      </c>
      <c r="AM34" s="197"/>
      <c r="AN34" s="197"/>
      <c r="AO34" s="198"/>
      <c r="AP34" s="211" t="s">
        <v>32</v>
      </c>
      <c r="AQ34" s="212"/>
      <c r="AR34" s="212"/>
      <c r="AS34" s="213"/>
      <c r="AT34" s="214" t="s">
        <v>27</v>
      </c>
      <c r="AU34" s="215"/>
      <c r="AV34" s="215"/>
      <c r="AW34" s="216"/>
      <c r="AX34" s="217" t="s">
        <v>33</v>
      </c>
      <c r="AY34" s="218"/>
      <c r="AZ34" s="218"/>
      <c r="BA34" s="219"/>
      <c r="BB34" s="196" t="s">
        <v>66</v>
      </c>
      <c r="BC34" s="197"/>
      <c r="BD34" s="197"/>
      <c r="BE34" s="198"/>
      <c r="BF34" s="211" t="s">
        <v>67</v>
      </c>
      <c r="BG34" s="212"/>
      <c r="BH34" s="212"/>
      <c r="BI34" s="213"/>
      <c r="BJ34" s="214" t="s">
        <v>34</v>
      </c>
      <c r="BK34" s="215"/>
      <c r="BL34" s="215"/>
      <c r="BM34" s="216"/>
      <c r="BN34" s="217" t="s">
        <v>35</v>
      </c>
      <c r="BO34" s="218"/>
      <c r="BP34" s="218"/>
      <c r="BQ34" s="219"/>
      <c r="BR34" s="196" t="s">
        <v>68</v>
      </c>
      <c r="BS34" s="197"/>
      <c r="BT34" s="197"/>
      <c r="BU34" s="198"/>
      <c r="BV34" s="211" t="s">
        <v>36</v>
      </c>
      <c r="BW34" s="212"/>
      <c r="BX34" s="212"/>
      <c r="BY34" s="213"/>
      <c r="BZ34" s="214" t="s">
        <v>37</v>
      </c>
      <c r="CA34" s="215"/>
      <c r="CB34" s="215"/>
      <c r="CC34" s="216"/>
      <c r="CD34" s="217" t="s">
        <v>69</v>
      </c>
      <c r="CE34" s="218"/>
      <c r="CF34" s="218"/>
      <c r="CG34" s="219"/>
      <c r="CH34" s="196" t="s">
        <v>38</v>
      </c>
      <c r="CI34" s="197"/>
      <c r="CJ34" s="197"/>
      <c r="CK34" s="198"/>
    </row>
    <row r="35" spans="2:90" ht="28.5" customHeight="1" x14ac:dyDescent="0.25">
      <c r="B35" s="225"/>
      <c r="C35" s="225"/>
      <c r="D35" s="226"/>
      <c r="E35" s="225"/>
      <c r="F35" s="225"/>
      <c r="G35" s="225"/>
      <c r="H35" s="225"/>
      <c r="I35" s="225"/>
      <c r="J35" s="206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10"/>
      <c r="AA35" s="227"/>
      <c r="AB35" s="227"/>
      <c r="AC35" s="227"/>
      <c r="AD35" s="20" t="s">
        <v>15</v>
      </c>
      <c r="AE35" s="21" t="s">
        <v>16</v>
      </c>
      <c r="AF35" s="22" t="s">
        <v>17</v>
      </c>
      <c r="AG35" s="20" t="s">
        <v>20</v>
      </c>
      <c r="AH35" s="3" t="s">
        <v>15</v>
      </c>
      <c r="AI35" s="4" t="s">
        <v>16</v>
      </c>
      <c r="AJ35" s="5" t="s">
        <v>17</v>
      </c>
      <c r="AK35" s="3" t="s">
        <v>20</v>
      </c>
      <c r="AL35" s="51" t="s">
        <v>15</v>
      </c>
      <c r="AM35" s="23" t="s">
        <v>16</v>
      </c>
      <c r="AN35" s="24" t="s">
        <v>17</v>
      </c>
      <c r="AO35" s="51" t="s">
        <v>20</v>
      </c>
      <c r="AP35" s="25" t="s">
        <v>15</v>
      </c>
      <c r="AQ35" s="26" t="s">
        <v>16</v>
      </c>
      <c r="AR35" s="27" t="s">
        <v>17</v>
      </c>
      <c r="AS35" s="25" t="s">
        <v>20</v>
      </c>
      <c r="AT35" s="20" t="s">
        <v>15</v>
      </c>
      <c r="AU35" s="21" t="s">
        <v>16</v>
      </c>
      <c r="AV35" s="22" t="s">
        <v>17</v>
      </c>
      <c r="AW35" s="20" t="s">
        <v>20</v>
      </c>
      <c r="AX35" s="3" t="s">
        <v>15</v>
      </c>
      <c r="AY35" s="4" t="s">
        <v>16</v>
      </c>
      <c r="AZ35" s="5" t="s">
        <v>17</v>
      </c>
      <c r="BA35" s="3" t="s">
        <v>20</v>
      </c>
      <c r="BB35" s="51" t="s">
        <v>15</v>
      </c>
      <c r="BC35" s="23" t="s">
        <v>16</v>
      </c>
      <c r="BD35" s="24" t="s">
        <v>17</v>
      </c>
      <c r="BE35" s="51" t="s">
        <v>20</v>
      </c>
      <c r="BF35" s="25" t="s">
        <v>15</v>
      </c>
      <c r="BG35" s="26" t="s">
        <v>16</v>
      </c>
      <c r="BH35" s="27" t="s">
        <v>17</v>
      </c>
      <c r="BI35" s="25" t="s">
        <v>20</v>
      </c>
      <c r="BJ35" s="20" t="s">
        <v>15</v>
      </c>
      <c r="BK35" s="21" t="s">
        <v>16</v>
      </c>
      <c r="BL35" s="22" t="s">
        <v>17</v>
      </c>
      <c r="BM35" s="20" t="s">
        <v>20</v>
      </c>
      <c r="BN35" s="3" t="s">
        <v>15</v>
      </c>
      <c r="BO35" s="4" t="s">
        <v>16</v>
      </c>
      <c r="BP35" s="5" t="s">
        <v>17</v>
      </c>
      <c r="BQ35" s="3" t="s">
        <v>20</v>
      </c>
      <c r="BR35" s="51" t="s">
        <v>15</v>
      </c>
      <c r="BS35" s="23" t="s">
        <v>16</v>
      </c>
      <c r="BT35" s="24" t="s">
        <v>17</v>
      </c>
      <c r="BU35" s="51" t="s">
        <v>20</v>
      </c>
      <c r="BV35" s="25" t="s">
        <v>15</v>
      </c>
      <c r="BW35" s="26" t="s">
        <v>16</v>
      </c>
      <c r="BX35" s="27" t="s">
        <v>17</v>
      </c>
      <c r="BY35" s="25" t="s">
        <v>20</v>
      </c>
      <c r="BZ35" s="20" t="s">
        <v>15</v>
      </c>
      <c r="CA35" s="21" t="s">
        <v>16</v>
      </c>
      <c r="CB35" s="22" t="s">
        <v>17</v>
      </c>
      <c r="CC35" s="20" t="s">
        <v>20</v>
      </c>
      <c r="CD35" s="3" t="s">
        <v>15</v>
      </c>
      <c r="CE35" s="4" t="s">
        <v>16</v>
      </c>
      <c r="CF35" s="5" t="s">
        <v>17</v>
      </c>
      <c r="CG35" s="3" t="s">
        <v>20</v>
      </c>
      <c r="CH35" s="51" t="s">
        <v>15</v>
      </c>
      <c r="CI35" s="23" t="s">
        <v>16</v>
      </c>
      <c r="CJ35" s="24" t="s">
        <v>17</v>
      </c>
      <c r="CK35" s="51" t="s">
        <v>20</v>
      </c>
    </row>
    <row r="36" spans="2:90" x14ac:dyDescent="0.25">
      <c r="B36" s="7">
        <f>'PLAN DE NECESIDADES'!B30</f>
        <v>18</v>
      </c>
      <c r="C36" s="7">
        <f>'PLAN DE NECESIDADES'!C30</f>
        <v>3270109</v>
      </c>
      <c r="D36" s="60" t="str">
        <f>'PLAN DE NECESIDADES'!D30</f>
        <v>CUADERNO PARA ESCRITURA:   
DEBE SER COSIDO, GRAPADO O ARGOLLADO CON PASTA PLASTIFICADA DURA O BLANDA DE MÍNIMO 100 HOJAS DE COLOR BLANCO, ESPECIFICACIONES SEGÚN NORMA TÉCNICA N°. NTMD-0356 A2 ÍTEM  3.1.1.18</v>
      </c>
      <c r="E36" s="7" t="str">
        <f>'PLAN DE NECESIDADES'!E30</f>
        <v>UNIDAD</v>
      </c>
      <c r="F36" s="7">
        <f>'PLAN DE NECESIDADES'!F30</f>
        <v>0</v>
      </c>
      <c r="G36" s="7">
        <f>'PLAN DE NECESIDADES'!H30</f>
        <v>14111514</v>
      </c>
      <c r="H36" s="7">
        <f>'PLAN DE NECESIDADES'!I30</f>
        <v>1277866</v>
      </c>
      <c r="I36" s="7" t="str">
        <f>'PLAN DE NECESIDADES'!J30</f>
        <v>7530-80-0011305</v>
      </c>
      <c r="J36" s="7">
        <v>1</v>
      </c>
      <c r="K36" s="85">
        <v>69</v>
      </c>
      <c r="L36" s="85">
        <v>217</v>
      </c>
      <c r="M36" s="85">
        <v>279</v>
      </c>
      <c r="N36" s="85">
        <v>217</v>
      </c>
      <c r="O36" s="85">
        <v>248</v>
      </c>
      <c r="P36" s="85">
        <v>248</v>
      </c>
      <c r="Q36" s="85">
        <v>279</v>
      </c>
      <c r="R36" s="85">
        <v>125</v>
      </c>
      <c r="S36" s="85">
        <v>62</v>
      </c>
      <c r="T36" s="85">
        <v>279</v>
      </c>
      <c r="U36" s="85">
        <v>186</v>
      </c>
      <c r="V36" s="85">
        <v>32</v>
      </c>
      <c r="W36" s="85">
        <v>12</v>
      </c>
      <c r="X36" s="85">
        <v>186</v>
      </c>
      <c r="Y36" s="85">
        <v>186</v>
      </c>
      <c r="Z36" s="85">
        <f t="shared" ref="Z36:AB38" si="125">SUM(AD36,AH36,AL36,AP36,AT36,AX36,BB36,BF36,BJ36,BN36,BR36,BV36,BZ36,CD36,CH36)</f>
        <v>2656</v>
      </c>
      <c r="AA36" s="7">
        <f t="shared" si="125"/>
        <v>1443</v>
      </c>
      <c r="AB36" s="7">
        <f t="shared" si="125"/>
        <v>1213</v>
      </c>
      <c r="AC36" s="12">
        <v>2700</v>
      </c>
      <c r="AD36" s="7">
        <f>K36*J36</f>
        <v>69</v>
      </c>
      <c r="AE36" s="7">
        <f>J36*40</f>
        <v>40</v>
      </c>
      <c r="AF36" s="8">
        <f t="shared" ref="AF36:AF37" si="126">AD36-AE36</f>
        <v>29</v>
      </c>
      <c r="AG36" s="14">
        <f>AC36*AE36</f>
        <v>108000</v>
      </c>
      <c r="AH36" s="7">
        <f>L36*J36</f>
        <v>217</v>
      </c>
      <c r="AI36" s="7">
        <f>J36*122</f>
        <v>122</v>
      </c>
      <c r="AJ36" s="8">
        <f t="shared" ref="AJ36:AJ37" si="127">AH36-AI36</f>
        <v>95</v>
      </c>
      <c r="AK36" s="14">
        <f>AC36*AI36</f>
        <v>329400</v>
      </c>
      <c r="AL36" s="7">
        <f>M36*J36</f>
        <v>279</v>
      </c>
      <c r="AM36" s="7">
        <f>J36*156</f>
        <v>156</v>
      </c>
      <c r="AN36" s="8">
        <f t="shared" ref="AN36:AN37" si="128">AL36-AM36</f>
        <v>123</v>
      </c>
      <c r="AO36" s="14">
        <f>AC36*AM36</f>
        <v>421200</v>
      </c>
      <c r="AP36" s="7">
        <f>N36*J36</f>
        <v>217</v>
      </c>
      <c r="AQ36" s="7">
        <f>J36*122</f>
        <v>122</v>
      </c>
      <c r="AR36" s="8">
        <f t="shared" ref="AR36:AR37" si="129">AP36-AQ36</f>
        <v>95</v>
      </c>
      <c r="AS36" s="14">
        <f>AC36*AQ36</f>
        <v>329400</v>
      </c>
      <c r="AT36" s="7">
        <f>M36*J36</f>
        <v>279</v>
      </c>
      <c r="AU36" s="7">
        <f>J36*141</f>
        <v>141</v>
      </c>
      <c r="AV36" s="8">
        <f t="shared" ref="AV36:AV37" si="130">AT36-AU36</f>
        <v>138</v>
      </c>
      <c r="AW36" s="14">
        <f>AU36*AC36</f>
        <v>380700</v>
      </c>
      <c r="AX36" s="7">
        <f>P36*J36</f>
        <v>248</v>
      </c>
      <c r="AY36" s="7">
        <f>J36*141</f>
        <v>141</v>
      </c>
      <c r="AZ36" s="8">
        <f t="shared" ref="AZ36" si="131">AX36-AY36</f>
        <v>107</v>
      </c>
      <c r="BA36" s="14">
        <f>AC36*AY36</f>
        <v>380700</v>
      </c>
      <c r="BB36" s="7">
        <f>Q36*J36</f>
        <v>279</v>
      </c>
      <c r="BC36" s="7">
        <f>J36*156</f>
        <v>156</v>
      </c>
      <c r="BD36" s="8">
        <f t="shared" ref="BD36" si="132">BB36-BC36</f>
        <v>123</v>
      </c>
      <c r="BE36" s="14">
        <f>BC36*AC36</f>
        <v>421200</v>
      </c>
      <c r="BF36" s="7">
        <f>R36*J36</f>
        <v>125</v>
      </c>
      <c r="BG36" s="7">
        <f>J36*35</f>
        <v>35</v>
      </c>
      <c r="BH36" s="8">
        <f t="shared" ref="BH36" si="133">BF36-BG36</f>
        <v>90</v>
      </c>
      <c r="BI36" s="14">
        <f>BG36*AC36</f>
        <v>94500</v>
      </c>
      <c r="BJ36" s="7">
        <f>S36*J36</f>
        <v>62</v>
      </c>
      <c r="BK36" s="7">
        <f>J36*36</f>
        <v>36</v>
      </c>
      <c r="BL36" s="8">
        <f t="shared" ref="BL36:BL37" si="134">BJ36-BK36</f>
        <v>26</v>
      </c>
      <c r="BM36" s="14">
        <f>BK36*AC36</f>
        <v>97200</v>
      </c>
      <c r="BN36" s="7">
        <f>T36*J36</f>
        <v>279</v>
      </c>
      <c r="BO36" s="7">
        <f>J36*156</f>
        <v>156</v>
      </c>
      <c r="BP36" s="8">
        <f t="shared" ref="BP36:BP37" si="135">BN36-BO36</f>
        <v>123</v>
      </c>
      <c r="BQ36" s="14">
        <f>BO36*AC36</f>
        <v>421200</v>
      </c>
      <c r="BR36" s="7">
        <f>U36*J36</f>
        <v>186</v>
      </c>
      <c r="BS36" s="7">
        <f>J36*104</f>
        <v>104</v>
      </c>
      <c r="BT36" s="8">
        <f t="shared" ref="BT36" si="136">BR36-BS36</f>
        <v>82</v>
      </c>
      <c r="BU36" s="14">
        <f>BS36*AC36</f>
        <v>280800</v>
      </c>
      <c r="BV36" s="7">
        <f>V36*J36</f>
        <v>32</v>
      </c>
      <c r="BW36" s="7">
        <f>J36*17</f>
        <v>17</v>
      </c>
      <c r="BX36" s="8">
        <f t="shared" ref="BX36:BX37" si="137">BV36-BW36</f>
        <v>15</v>
      </c>
      <c r="BY36" s="14">
        <f>BW36*AC36</f>
        <v>45900</v>
      </c>
      <c r="BZ36" s="7">
        <f>W36*J36</f>
        <v>12</v>
      </c>
      <c r="CA36" s="7">
        <f>J36*9</f>
        <v>9</v>
      </c>
      <c r="CB36" s="8">
        <f t="shared" ref="CB36:CB37" si="138">BZ36-CA36</f>
        <v>3</v>
      </c>
      <c r="CC36" s="14">
        <f>CA36*AC36</f>
        <v>24300</v>
      </c>
      <c r="CD36" s="7">
        <f>X36*J36</f>
        <v>186</v>
      </c>
      <c r="CE36" s="7">
        <f>J36*104</f>
        <v>104</v>
      </c>
      <c r="CF36" s="8">
        <f t="shared" ref="CF36:CF37" si="139">CD36-CE36</f>
        <v>82</v>
      </c>
      <c r="CG36" s="14">
        <f>CE36*AC36</f>
        <v>280800</v>
      </c>
      <c r="CH36" s="7">
        <f>Y36*J36</f>
        <v>186</v>
      </c>
      <c r="CI36" s="7">
        <f>J36*104</f>
        <v>104</v>
      </c>
      <c r="CJ36" s="8">
        <f t="shared" ref="CJ36" si="140">CH36-CI36</f>
        <v>82</v>
      </c>
      <c r="CK36" s="14">
        <f>CI36*AC36</f>
        <v>280800</v>
      </c>
    </row>
    <row r="37" spans="2:90" x14ac:dyDescent="0.25">
      <c r="B37" s="7">
        <f>'PLAN DE NECESIDADES'!B31</f>
        <v>19</v>
      </c>
      <c r="C37" s="7">
        <f>'PLAN DE NECESIDADES'!C31</f>
        <v>3219302</v>
      </c>
      <c r="D37" s="60" t="str">
        <f>'PLAN DE NECESIDADES'!D31</f>
        <v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v>
      </c>
      <c r="E37" s="7" t="str">
        <f>'PLAN DE NECESIDADES'!E31</f>
        <v>UNIDAD</v>
      </c>
      <c r="F37" s="7">
        <f>'PLAN DE NECESIDADES'!F31</f>
        <v>0</v>
      </c>
      <c r="G37" s="7">
        <f>'PLAN DE NECESIDADES'!H31</f>
        <v>14111704</v>
      </c>
      <c r="H37" s="7">
        <f>'PLAN DE NECESIDADES'!I31</f>
        <v>1632379</v>
      </c>
      <c r="I37" s="7" t="str">
        <f>'PLAN DE NECESIDADES'!J31</f>
        <v>8540-80-0011398</v>
      </c>
      <c r="J37" s="7">
        <v>2</v>
      </c>
      <c r="K37" s="85">
        <v>69</v>
      </c>
      <c r="L37" s="85">
        <v>217</v>
      </c>
      <c r="M37" s="85">
        <v>279</v>
      </c>
      <c r="N37" s="85">
        <v>217</v>
      </c>
      <c r="O37" s="85">
        <v>248</v>
      </c>
      <c r="P37" s="85">
        <v>248</v>
      </c>
      <c r="Q37" s="85">
        <v>279</v>
      </c>
      <c r="R37" s="85">
        <v>125</v>
      </c>
      <c r="S37" s="85">
        <v>62</v>
      </c>
      <c r="T37" s="85">
        <v>279</v>
      </c>
      <c r="U37" s="85">
        <v>186</v>
      </c>
      <c r="V37" s="85">
        <v>32</v>
      </c>
      <c r="W37" s="85">
        <v>12</v>
      </c>
      <c r="X37" s="85">
        <v>186</v>
      </c>
      <c r="Y37" s="85">
        <v>186</v>
      </c>
      <c r="Z37" s="85">
        <f t="shared" si="125"/>
        <v>5312</v>
      </c>
      <c r="AA37" s="7">
        <f t="shared" si="125"/>
        <v>2858</v>
      </c>
      <c r="AB37" s="7">
        <f t="shared" si="125"/>
        <v>2454</v>
      </c>
      <c r="AC37" s="12">
        <v>4500</v>
      </c>
      <c r="AD37" s="7">
        <f>K37*J37</f>
        <v>138</v>
      </c>
      <c r="AE37" s="7">
        <f>J37*38</f>
        <v>76</v>
      </c>
      <c r="AF37" s="8">
        <f t="shared" si="126"/>
        <v>62</v>
      </c>
      <c r="AG37" s="14">
        <f>AC37*AE37</f>
        <v>342000</v>
      </c>
      <c r="AH37" s="7">
        <f>L37*J37</f>
        <v>434</v>
      </c>
      <c r="AI37" s="7">
        <f>J37*121</f>
        <v>242</v>
      </c>
      <c r="AJ37" s="8">
        <f t="shared" si="127"/>
        <v>192</v>
      </c>
      <c r="AK37" s="14">
        <f>AC37*AI37</f>
        <v>1089000</v>
      </c>
      <c r="AL37" s="7">
        <f>M37*J37</f>
        <v>558</v>
      </c>
      <c r="AM37" s="7">
        <f>J37*156</f>
        <v>312</v>
      </c>
      <c r="AN37" s="8">
        <f t="shared" si="128"/>
        <v>246</v>
      </c>
      <c r="AO37" s="14">
        <f>AC37*AM37</f>
        <v>1404000</v>
      </c>
      <c r="AP37" s="7">
        <f>N37*J37</f>
        <v>434</v>
      </c>
      <c r="AQ37" s="7">
        <f>J37*121</f>
        <v>242</v>
      </c>
      <c r="AR37" s="8">
        <f t="shared" si="129"/>
        <v>192</v>
      </c>
      <c r="AS37" s="14">
        <f>AC37*AQ37</f>
        <v>1089000</v>
      </c>
      <c r="AT37" s="7">
        <f>M37*J37</f>
        <v>558</v>
      </c>
      <c r="AU37" s="7">
        <f>J37*138</f>
        <v>276</v>
      </c>
      <c r="AV37" s="8">
        <f t="shared" si="130"/>
        <v>282</v>
      </c>
      <c r="AW37" s="14">
        <f>AU37*AC37</f>
        <v>1242000</v>
      </c>
      <c r="AX37" s="7">
        <f>P37*J37</f>
        <v>496</v>
      </c>
      <c r="AY37" s="7">
        <f>J37*138</f>
        <v>276</v>
      </c>
      <c r="AZ37" s="8">
        <f t="shared" ref="AZ37" si="141">AX37-AY37</f>
        <v>220</v>
      </c>
      <c r="BA37" s="14">
        <f>AC37*AY37</f>
        <v>1242000</v>
      </c>
      <c r="BB37" s="7">
        <f>Q37*J37</f>
        <v>558</v>
      </c>
      <c r="BC37" s="7">
        <f>J37*156</f>
        <v>312</v>
      </c>
      <c r="BD37" s="8">
        <f t="shared" ref="BD37" si="142">BB37-BC37</f>
        <v>246</v>
      </c>
      <c r="BE37" s="14">
        <f>BC37*AC37</f>
        <v>1404000</v>
      </c>
      <c r="BF37" s="7">
        <f>R37*J37</f>
        <v>250</v>
      </c>
      <c r="BG37" s="7">
        <f>J37*35</f>
        <v>70</v>
      </c>
      <c r="BH37" s="8">
        <f t="shared" ref="BH37:BH38" si="143">BF37-BG37</f>
        <v>180</v>
      </c>
      <c r="BI37" s="14">
        <f>BG37*AC37</f>
        <v>315000</v>
      </c>
      <c r="BJ37" s="7">
        <f>S37*J37</f>
        <v>124</v>
      </c>
      <c r="BK37" s="7">
        <f>J37*34</f>
        <v>68</v>
      </c>
      <c r="BL37" s="8">
        <f t="shared" si="134"/>
        <v>56</v>
      </c>
      <c r="BM37" s="14">
        <f>BK37*AC37</f>
        <v>306000</v>
      </c>
      <c r="BN37" s="7">
        <f>T37*J37</f>
        <v>558</v>
      </c>
      <c r="BO37" s="7">
        <f>J37*156</f>
        <v>312</v>
      </c>
      <c r="BP37" s="8">
        <f t="shared" si="135"/>
        <v>246</v>
      </c>
      <c r="BQ37" s="14">
        <f>BO37*AC37</f>
        <v>1404000</v>
      </c>
      <c r="BR37" s="7">
        <f>U37*J37</f>
        <v>372</v>
      </c>
      <c r="BS37" s="7">
        <f>J37*104</f>
        <v>208</v>
      </c>
      <c r="BT37" s="8">
        <f t="shared" ref="BT37" si="144">BR37-BS37</f>
        <v>164</v>
      </c>
      <c r="BU37" s="14">
        <f>BS37*AC37</f>
        <v>936000</v>
      </c>
      <c r="BV37" s="7">
        <f>V37*J37</f>
        <v>64</v>
      </c>
      <c r="BW37" s="7">
        <f>J37*18</f>
        <v>36</v>
      </c>
      <c r="BX37" s="8">
        <f t="shared" si="137"/>
        <v>28</v>
      </c>
      <c r="BY37" s="14">
        <f>BW37*AC37</f>
        <v>162000</v>
      </c>
      <c r="BZ37" s="7">
        <f>W37*J37</f>
        <v>24</v>
      </c>
      <c r="CA37" s="7">
        <f>J37*6</f>
        <v>12</v>
      </c>
      <c r="CB37" s="8">
        <f t="shared" si="138"/>
        <v>12</v>
      </c>
      <c r="CC37" s="14">
        <f>CA37*AC37</f>
        <v>54000</v>
      </c>
      <c r="CD37" s="7">
        <f>X37*J37</f>
        <v>372</v>
      </c>
      <c r="CE37" s="7">
        <f>J37*104</f>
        <v>208</v>
      </c>
      <c r="CF37" s="8">
        <f t="shared" si="139"/>
        <v>164</v>
      </c>
      <c r="CG37" s="14">
        <f>CE37*AC37</f>
        <v>936000</v>
      </c>
      <c r="CH37" s="7">
        <f>Y37*J37</f>
        <v>372</v>
      </c>
      <c r="CI37" s="7">
        <f>J37*104</f>
        <v>208</v>
      </c>
      <c r="CJ37" s="8">
        <f t="shared" ref="CJ37" si="145">CH37-CI37</f>
        <v>164</v>
      </c>
      <c r="CK37" s="14">
        <f>CI37*AC37</f>
        <v>936000</v>
      </c>
    </row>
    <row r="38" spans="2:90" x14ac:dyDescent="0.25">
      <c r="B38" s="7">
        <f>'PLAN DE NECESIDADES'!B32</f>
        <v>20</v>
      </c>
      <c r="C38" s="7">
        <f>'PLAN DE NECESIDADES'!C32</f>
        <v>3219308</v>
      </c>
      <c r="D38" s="60" t="str">
        <f>'PLAN DE NECESIDADES'!D32</f>
        <v>TOALLAS HIGIÉNICAS MUJER CON ALAS: ESPECIFICACIONES  DE ACUERDO A NTC-3604</v>
      </c>
      <c r="E38" s="7" t="str">
        <f>'PLAN DE NECESIDADES'!E32</f>
        <v>PAQUETE</v>
      </c>
      <c r="F38" s="7">
        <f>'PLAN DE NECESIDADES'!F32</f>
        <v>0</v>
      </c>
      <c r="G38" s="7">
        <f>'PLAN DE NECESIDADES'!H32</f>
        <v>52121700</v>
      </c>
      <c r="H38" s="7">
        <f>'PLAN DE NECESIDADES'!I32</f>
        <v>1476323</v>
      </c>
      <c r="I38" s="7" t="str">
        <f>'PLAN DE NECESIDADES'!J32</f>
        <v>SIN CREAR</v>
      </c>
      <c r="J38" s="7">
        <v>1</v>
      </c>
      <c r="K38" s="7"/>
      <c r="L38" s="7"/>
      <c r="M38" s="7"/>
      <c r="N38" s="7"/>
      <c r="O38" s="7"/>
      <c r="P38" s="7"/>
      <c r="Q38" s="85"/>
      <c r="R38" s="85">
        <v>125</v>
      </c>
      <c r="S38" s="7"/>
      <c r="T38" s="7"/>
      <c r="U38" s="7"/>
      <c r="V38" s="7"/>
      <c r="W38" s="7"/>
      <c r="X38" s="7"/>
      <c r="Y38" s="7"/>
      <c r="Z38" s="85">
        <f t="shared" si="125"/>
        <v>125</v>
      </c>
      <c r="AA38" s="7">
        <f t="shared" si="125"/>
        <v>34</v>
      </c>
      <c r="AB38" s="7">
        <f t="shared" si="125"/>
        <v>91</v>
      </c>
      <c r="AC38" s="12">
        <v>12000</v>
      </c>
      <c r="AD38" s="7"/>
      <c r="AE38" s="7"/>
      <c r="AF38" s="8"/>
      <c r="AG38" s="14"/>
      <c r="AH38" s="7"/>
      <c r="AI38" s="7"/>
      <c r="AJ38" s="8"/>
      <c r="AK38" s="14"/>
      <c r="AL38" s="7"/>
      <c r="AM38" s="7"/>
      <c r="AN38" s="8"/>
      <c r="AO38" s="14"/>
      <c r="AP38" s="7"/>
      <c r="AQ38" s="7"/>
      <c r="AR38" s="8"/>
      <c r="AS38" s="14"/>
      <c r="AT38" s="7"/>
      <c r="AU38" s="7"/>
      <c r="AV38" s="8"/>
      <c r="AW38" s="14"/>
      <c r="AX38" s="7"/>
      <c r="AY38" s="7"/>
      <c r="AZ38" s="8"/>
      <c r="BA38" s="14"/>
      <c r="BB38" s="7"/>
      <c r="BC38" s="7"/>
      <c r="BD38" s="8"/>
      <c r="BE38" s="14"/>
      <c r="BF38" s="7">
        <f>R38*J38</f>
        <v>125</v>
      </c>
      <c r="BG38" s="7">
        <f>J38*34</f>
        <v>34</v>
      </c>
      <c r="BH38" s="8">
        <f t="shared" si="143"/>
        <v>91</v>
      </c>
      <c r="BI38" s="14">
        <f>BG38*AC38</f>
        <v>408000</v>
      </c>
      <c r="BJ38" s="7"/>
      <c r="BK38" s="7"/>
      <c r="BL38" s="8"/>
      <c r="BM38" s="14"/>
      <c r="BN38" s="7"/>
      <c r="BO38" s="7"/>
      <c r="BP38" s="8"/>
      <c r="BQ38" s="14"/>
      <c r="BR38" s="7"/>
      <c r="BS38" s="7"/>
      <c r="BT38" s="8"/>
      <c r="BU38" s="14"/>
      <c r="BV38" s="7"/>
      <c r="BW38" s="7"/>
      <c r="BX38" s="8"/>
      <c r="BY38" s="14"/>
      <c r="BZ38" s="7"/>
      <c r="CA38" s="7"/>
      <c r="CB38" s="8"/>
      <c r="CC38" s="14"/>
      <c r="CD38" s="7"/>
      <c r="CE38" s="7"/>
      <c r="CF38" s="8"/>
      <c r="CG38" s="14"/>
      <c r="CH38" s="7"/>
      <c r="CI38" s="7"/>
      <c r="CJ38" s="8"/>
      <c r="CK38" s="14"/>
    </row>
    <row r="39" spans="2:90" x14ac:dyDescent="0.25">
      <c r="B39" s="226" t="s">
        <v>18</v>
      </c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1">
        <f>SUM(AG36:AG38)</f>
        <v>450000</v>
      </c>
      <c r="AE39" s="222"/>
      <c r="AF39" s="222"/>
      <c r="AG39" s="223"/>
      <c r="AH39" s="221">
        <f t="shared" ref="AH39" si="146">SUM(AK36:AK38)</f>
        <v>1418400</v>
      </c>
      <c r="AI39" s="222"/>
      <c r="AJ39" s="222"/>
      <c r="AK39" s="223"/>
      <c r="AL39" s="221">
        <f t="shared" ref="AL39" si="147">SUM(AO36:AO38)</f>
        <v>1825200</v>
      </c>
      <c r="AM39" s="222"/>
      <c r="AN39" s="222"/>
      <c r="AO39" s="223"/>
      <c r="AP39" s="221">
        <f t="shared" ref="AP39" si="148">SUM(AS36:AS38)</f>
        <v>1418400</v>
      </c>
      <c r="AQ39" s="222"/>
      <c r="AR39" s="222"/>
      <c r="AS39" s="223"/>
      <c r="AT39" s="221">
        <f t="shared" ref="AT39" si="149">SUM(AW36:AW38)</f>
        <v>1622700</v>
      </c>
      <c r="AU39" s="222"/>
      <c r="AV39" s="222"/>
      <c r="AW39" s="223"/>
      <c r="AX39" s="221">
        <f t="shared" ref="AX39" si="150">SUM(BA36:BA38)</f>
        <v>1622700</v>
      </c>
      <c r="AY39" s="222"/>
      <c r="AZ39" s="222"/>
      <c r="BA39" s="223"/>
      <c r="BB39" s="221">
        <f t="shared" ref="BB39" si="151">SUM(BE36:BE38)</f>
        <v>1825200</v>
      </c>
      <c r="BC39" s="222"/>
      <c r="BD39" s="222"/>
      <c r="BE39" s="223"/>
      <c r="BF39" s="221">
        <f t="shared" ref="BF39" si="152">SUM(BI36:BI38)</f>
        <v>817500</v>
      </c>
      <c r="BG39" s="222"/>
      <c r="BH39" s="222"/>
      <c r="BI39" s="223"/>
      <c r="BJ39" s="221">
        <f t="shared" ref="BJ39" si="153">SUM(BM36:BM38)</f>
        <v>403200</v>
      </c>
      <c r="BK39" s="222"/>
      <c r="BL39" s="222"/>
      <c r="BM39" s="223"/>
      <c r="BN39" s="221">
        <f t="shared" ref="BN39" si="154">SUM(BQ36:BQ38)</f>
        <v>1825200</v>
      </c>
      <c r="BO39" s="222"/>
      <c r="BP39" s="222"/>
      <c r="BQ39" s="223"/>
      <c r="BR39" s="221">
        <f t="shared" ref="BR39" si="155">SUM(BU36:BU38)</f>
        <v>1216800</v>
      </c>
      <c r="BS39" s="222"/>
      <c r="BT39" s="222"/>
      <c r="BU39" s="223"/>
      <c r="BV39" s="221">
        <f t="shared" ref="BV39" si="156">SUM(BY36:BY38)</f>
        <v>207900</v>
      </c>
      <c r="BW39" s="222"/>
      <c r="BX39" s="222"/>
      <c r="BY39" s="223"/>
      <c r="BZ39" s="221">
        <f t="shared" ref="BZ39" si="157">SUM(CC36:CC38)</f>
        <v>78300</v>
      </c>
      <c r="CA39" s="222"/>
      <c r="CB39" s="222"/>
      <c r="CC39" s="223"/>
      <c r="CD39" s="221">
        <f t="shared" ref="CD39" si="158">SUM(CG36:CG38)</f>
        <v>1216800</v>
      </c>
      <c r="CE39" s="222"/>
      <c r="CF39" s="222"/>
      <c r="CG39" s="223"/>
      <c r="CH39" s="221">
        <f t="shared" ref="CH39" si="159">SUM(CK36:CK38)</f>
        <v>1216800</v>
      </c>
      <c r="CI39" s="222"/>
      <c r="CJ39" s="222"/>
      <c r="CK39" s="223"/>
    </row>
    <row r="40" spans="2:90" x14ac:dyDescent="0.25">
      <c r="B40" s="226" t="s">
        <v>19</v>
      </c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8">
        <f>SUMIFS(PRESUPUESTO!$G$87:$G$101,PRESUPUESTO!$E$87:$E$101,'CANTIDADES ADJUDICACIÓN'!AD34)</f>
        <v>451638.72457142861</v>
      </c>
      <c r="AE40" s="228"/>
      <c r="AF40" s="228"/>
      <c r="AG40" s="228"/>
      <c r="AH40" s="228">
        <f>SUMIFS(PRESUPUESTO!$G$87:$G$101,PRESUPUESTO!$E$87:$E$101,'CANTIDADES ADJUDICACIÓN'!AH34)</f>
        <v>1420371.0613333334</v>
      </c>
      <c r="AI40" s="228"/>
      <c r="AJ40" s="228"/>
      <c r="AK40" s="228"/>
      <c r="AL40" s="228">
        <f>SUMIFS(PRESUPUESTO!$G$87:$G$101,PRESUPUESTO!$E$87:$E$101,'CANTIDADES ADJUDICACIÓN'!AL34)</f>
        <v>1826191.3645714286</v>
      </c>
      <c r="AM40" s="228"/>
      <c r="AN40" s="228"/>
      <c r="AO40" s="228"/>
      <c r="AP40" s="228">
        <f>SUMIFS(PRESUPUESTO!$G$87:$G$101,PRESUPUESTO!$E$87:$E$101,'CANTIDADES ADJUDICACIÓN'!AP34)</f>
        <v>1420371.0613333334</v>
      </c>
      <c r="AQ40" s="228"/>
      <c r="AR40" s="228"/>
      <c r="AS40" s="228"/>
      <c r="AT40" s="228">
        <f>SUMIFS(PRESUPUESTO!$G$87:$G$101,PRESUPUESTO!$E$87:$E$101,'CANTIDADES ADJUDICACIÓN'!AT34)</f>
        <v>1623281.212952381</v>
      </c>
      <c r="AU40" s="228"/>
      <c r="AV40" s="228"/>
      <c r="AW40" s="228"/>
      <c r="AX40" s="228">
        <f>SUMIFS(PRESUPUESTO!$G$87:$G$101,PRESUPUESTO!$E$87:$E$101,'CANTIDADES ADJUDICACIÓN'!AX34)</f>
        <v>1623281.212952381</v>
      </c>
      <c r="AY40" s="228"/>
      <c r="AZ40" s="228"/>
      <c r="BA40" s="228"/>
      <c r="BB40" s="228">
        <f>SUMIFS(PRESUPUESTO!$G$87:$G$101,PRESUPUESTO!$E$87:$E$101,'CANTIDADES ADJUDICACIÓN'!BB34)</f>
        <v>1826191.3645714286</v>
      </c>
      <c r="BC40" s="228"/>
      <c r="BD40" s="228"/>
      <c r="BE40" s="228"/>
      <c r="BF40" s="228">
        <f>SUMIFS(PRESUPUESTO!$G$87:$G$101,PRESUPUESTO!$E$87:$E$101,'CANTIDADES ADJUDICACIÓN'!BF34)</f>
        <v>818186.09523809527</v>
      </c>
      <c r="BG40" s="228"/>
      <c r="BH40" s="228"/>
      <c r="BI40" s="228"/>
      <c r="BJ40" s="228">
        <f>SUMIFS(PRESUPUESTO!$G$87:$G$101,PRESUPUESTO!$E$87:$E$101,'CANTIDADES ADJUDICACIÓN'!BJ34)</f>
        <v>405820.30323809525</v>
      </c>
      <c r="BK40" s="228"/>
      <c r="BL40" s="228"/>
      <c r="BM40" s="228"/>
      <c r="BN40" s="228">
        <f>SUMIFS(PRESUPUESTO!$G$87:$G$101,PRESUPUESTO!$E$87:$E$101,'CANTIDADES ADJUDICACIÓN'!BN34)</f>
        <v>1826191.3645714286</v>
      </c>
      <c r="BO40" s="228"/>
      <c r="BP40" s="228"/>
      <c r="BQ40" s="228"/>
      <c r="BR40" s="228">
        <f>SUMIFS(PRESUPUESTO!$G$87:$G$101,PRESUPUESTO!$E$87:$E$101,'CANTIDADES ADJUDICACIÓN'!BR34)</f>
        <v>1217460.9097142857</v>
      </c>
      <c r="BS40" s="228"/>
      <c r="BT40" s="228"/>
      <c r="BU40" s="228"/>
      <c r="BV40" s="228">
        <f>SUMIFS(PRESUPUESTO!$G$87:$G$101,PRESUPUESTO!$E$87:$E$101,'CANTIDADES ADJUDICACIÓN'!BV34)</f>
        <v>209455.64038095239</v>
      </c>
      <c r="BW40" s="228"/>
      <c r="BX40" s="228"/>
      <c r="BY40" s="228"/>
      <c r="BZ40" s="228">
        <f>SUMIFS(PRESUPUESTO!$G$87:$G$101,PRESUPUESTO!$E$87:$E$101,'CANTIDADES ADJUDICACIÓN'!BZ34)</f>
        <v>78545.865142857147</v>
      </c>
      <c r="CA40" s="228"/>
      <c r="CB40" s="228"/>
      <c r="CC40" s="228"/>
      <c r="CD40" s="228">
        <f>SUMIFS(PRESUPUESTO!$G$87:$G$101,PRESUPUESTO!$E$87:$E$101,'CANTIDADES ADJUDICACIÓN'!CD34)</f>
        <v>1217460.9097142857</v>
      </c>
      <c r="CE40" s="228"/>
      <c r="CF40" s="228"/>
      <c r="CG40" s="228"/>
      <c r="CH40" s="228">
        <f>SUMIFS(PRESUPUESTO!$G$87:$G$101,PRESUPUESTO!$E$87:$E$101,'CANTIDADES ADJUDICACIÓN'!CH34)</f>
        <v>1217460.9097142857</v>
      </c>
      <c r="CI40" s="228"/>
      <c r="CJ40" s="228"/>
      <c r="CK40" s="228"/>
      <c r="CL40" s="35">
        <f>SUM(AD40:CK40)</f>
        <v>17181908</v>
      </c>
    </row>
    <row r="41" spans="2:90" x14ac:dyDescent="0.25">
      <c r="B41" s="226" t="s">
        <v>10</v>
      </c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4">
        <f>AD40-AD39</f>
        <v>1638.7245714286109</v>
      </c>
      <c r="AE41" s="224"/>
      <c r="AF41" s="224"/>
      <c r="AG41" s="224"/>
      <c r="AH41" s="224">
        <f>AH40-AH39</f>
        <v>1971.0613333333749</v>
      </c>
      <c r="AI41" s="224"/>
      <c r="AJ41" s="224"/>
      <c r="AK41" s="224"/>
      <c r="AL41" s="224">
        <f>AL40-AL39</f>
        <v>991.36457142862491</v>
      </c>
      <c r="AM41" s="224"/>
      <c r="AN41" s="224"/>
      <c r="AO41" s="224"/>
      <c r="AP41" s="224">
        <f t="shared" ref="AP41" si="160">AP40-AP39</f>
        <v>1971.0613333333749</v>
      </c>
      <c r="AQ41" s="224"/>
      <c r="AR41" s="224"/>
      <c r="AS41" s="224"/>
      <c r="AT41" s="224">
        <f>AT40-AT39</f>
        <v>581.21295238099992</v>
      </c>
      <c r="AU41" s="224"/>
      <c r="AV41" s="224"/>
      <c r="AW41" s="224"/>
      <c r="AX41" s="224">
        <f>AX40-AX39</f>
        <v>581.21295238099992</v>
      </c>
      <c r="AY41" s="224"/>
      <c r="AZ41" s="224"/>
      <c r="BA41" s="224"/>
      <c r="BB41" s="224">
        <f>BB40-BB39</f>
        <v>991.36457142862491</v>
      </c>
      <c r="BC41" s="224"/>
      <c r="BD41" s="224"/>
      <c r="BE41" s="224"/>
      <c r="BF41" s="224">
        <f t="shared" ref="BF41" si="161">BF40-BF39</f>
        <v>686.09523809526581</v>
      </c>
      <c r="BG41" s="224"/>
      <c r="BH41" s="224"/>
      <c r="BI41" s="224"/>
      <c r="BJ41" s="224">
        <f>BJ40-BJ39</f>
        <v>2620.30323809525</v>
      </c>
      <c r="BK41" s="224"/>
      <c r="BL41" s="224"/>
      <c r="BM41" s="224"/>
      <c r="BN41" s="224">
        <f>BN40-BN39</f>
        <v>991.36457142862491</v>
      </c>
      <c r="BO41" s="224"/>
      <c r="BP41" s="224"/>
      <c r="BQ41" s="224"/>
      <c r="BR41" s="224">
        <f>BR40-BR39</f>
        <v>660.90971428574994</v>
      </c>
      <c r="BS41" s="224"/>
      <c r="BT41" s="224"/>
      <c r="BU41" s="224"/>
      <c r="BV41" s="224">
        <f t="shared" ref="BV41" si="162">BV40-BV39</f>
        <v>1555.6403809523908</v>
      </c>
      <c r="BW41" s="224"/>
      <c r="BX41" s="224"/>
      <c r="BY41" s="224"/>
      <c r="BZ41" s="224">
        <f>BZ40-BZ39</f>
        <v>245.86514285714657</v>
      </c>
      <c r="CA41" s="224"/>
      <c r="CB41" s="224"/>
      <c r="CC41" s="224"/>
      <c r="CD41" s="224">
        <f>CD40-CD39</f>
        <v>660.90971428574994</v>
      </c>
      <c r="CE41" s="224"/>
      <c r="CF41" s="224"/>
      <c r="CG41" s="224"/>
      <c r="CH41" s="224">
        <f>CH40-CH39</f>
        <v>660.90971428574994</v>
      </c>
      <c r="CI41" s="224"/>
      <c r="CJ41" s="224"/>
      <c r="CK41" s="224"/>
    </row>
    <row r="43" spans="2:90" x14ac:dyDescent="0.25">
      <c r="B43" s="199" t="s">
        <v>45</v>
      </c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199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199"/>
      <c r="AR43" s="200"/>
      <c r="AS43" s="200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199"/>
      <c r="BE43" s="200"/>
      <c r="BF43" s="200"/>
      <c r="BG43" s="200"/>
      <c r="BH43" s="200"/>
      <c r="BI43" s="200"/>
      <c r="BJ43" s="200"/>
      <c r="BK43" s="200"/>
      <c r="BL43" s="200"/>
      <c r="BM43" s="200"/>
      <c r="BN43" s="200"/>
      <c r="BO43" s="200"/>
      <c r="BP43" s="200"/>
      <c r="BQ43" s="199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199"/>
      <c r="CE43" s="200"/>
      <c r="CF43" s="200"/>
      <c r="CG43" s="200"/>
      <c r="CH43" s="200"/>
      <c r="CI43" s="200"/>
      <c r="CJ43" s="200"/>
      <c r="CK43" s="200"/>
    </row>
    <row r="44" spans="2:90" ht="28.5" customHeight="1" x14ac:dyDescent="0.25">
      <c r="B44" s="225" t="str">
        <f>'PLAN DE NECESIDADES'!B36</f>
        <v>ÍTEM</v>
      </c>
      <c r="C44" s="225" t="str">
        <f>'PLAN DE NECESIDADES'!C36</f>
        <v>CÓDIGO DANE</v>
      </c>
      <c r="D44" s="226" t="str">
        <f>'PLAN DE NECESIDADES'!D36</f>
        <v xml:space="preserve">DESCRIPCIÓN DEL BIEN Y/O SERVICIO </v>
      </c>
      <c r="E44" s="225" t="str">
        <f>'PLAN DE NECESIDADES'!E36</f>
        <v>UNIDAD MEDIDA</v>
      </c>
      <c r="F44" s="225" t="str">
        <f>'PLAN DE NECESIDADES'!F36</f>
        <v>EXISTENCIAS (STOCK - INVENTARIOS)</v>
      </c>
      <c r="G44" s="225" t="str">
        <f>'PLAN DE NECESIDADES'!H36</f>
        <v>UNSPSC (CCE)</v>
      </c>
      <c r="H44" s="225" t="str">
        <f>'PLAN DE NECESIDADES'!I36</f>
        <v xml:space="preserve">CÓDIGO MATERIAL SAP </v>
      </c>
      <c r="I44" s="50" t="s">
        <v>40</v>
      </c>
      <c r="J44" s="205" t="s">
        <v>155</v>
      </c>
      <c r="K44" s="203" t="str">
        <f>AD44</f>
        <v>BAABS3</v>
      </c>
      <c r="L44" s="203" t="str">
        <f>AH44</f>
        <v>BAACA10</v>
      </c>
      <c r="M44" s="203" t="str">
        <f>AL44</f>
        <v>BAACA2</v>
      </c>
      <c r="N44" s="203" t="str">
        <f>AP44</f>
        <v>BAADA1</v>
      </c>
      <c r="O44" s="203" t="str">
        <f>AT44</f>
        <v>BAEEV2</v>
      </c>
      <c r="P44" s="203" t="str">
        <f>AX44</f>
        <v>BAEEV3</v>
      </c>
      <c r="Q44" s="203" t="str">
        <f>BB44</f>
        <v>BAMMA7</v>
      </c>
      <c r="R44" s="203" t="str">
        <f>BF44</f>
        <v>BASPC10</v>
      </c>
      <c r="S44" s="203" t="str">
        <f>BJ44</f>
        <v>BASAC</v>
      </c>
      <c r="T44" s="203" t="str">
        <f>BN44</f>
        <v>BICAR</v>
      </c>
      <c r="U44" s="203" t="str">
        <f>BR44</f>
        <v>BIMOC70</v>
      </c>
      <c r="V44" s="203" t="str">
        <f>BV44</f>
        <v>BITER10</v>
      </c>
      <c r="W44" s="203" t="str">
        <f>BZ44</f>
        <v>DIM15</v>
      </c>
      <c r="X44" s="203" t="str">
        <f>CD44</f>
        <v>GMMAT</v>
      </c>
      <c r="Y44" s="203" t="str">
        <f>CH44</f>
        <v>GMRON</v>
      </c>
      <c r="Z44" s="209" t="s">
        <v>13</v>
      </c>
      <c r="AA44" s="227" t="s">
        <v>14</v>
      </c>
      <c r="AB44" s="227" t="s">
        <v>12</v>
      </c>
      <c r="AC44" s="227" t="s">
        <v>4</v>
      </c>
      <c r="AD44" s="214" t="s">
        <v>29</v>
      </c>
      <c r="AE44" s="215"/>
      <c r="AF44" s="215"/>
      <c r="AG44" s="216"/>
      <c r="AH44" s="217" t="s">
        <v>30</v>
      </c>
      <c r="AI44" s="218"/>
      <c r="AJ44" s="218"/>
      <c r="AK44" s="219"/>
      <c r="AL44" s="196" t="s">
        <v>31</v>
      </c>
      <c r="AM44" s="197"/>
      <c r="AN44" s="197"/>
      <c r="AO44" s="198"/>
      <c r="AP44" s="211" t="s">
        <v>32</v>
      </c>
      <c r="AQ44" s="212"/>
      <c r="AR44" s="212"/>
      <c r="AS44" s="213"/>
      <c r="AT44" s="214" t="s">
        <v>27</v>
      </c>
      <c r="AU44" s="215"/>
      <c r="AV44" s="215"/>
      <c r="AW44" s="216"/>
      <c r="AX44" s="217" t="s">
        <v>33</v>
      </c>
      <c r="AY44" s="218"/>
      <c r="AZ44" s="218"/>
      <c r="BA44" s="219"/>
      <c r="BB44" s="196" t="s">
        <v>66</v>
      </c>
      <c r="BC44" s="197"/>
      <c r="BD44" s="197"/>
      <c r="BE44" s="198"/>
      <c r="BF44" s="211" t="s">
        <v>67</v>
      </c>
      <c r="BG44" s="212"/>
      <c r="BH44" s="212"/>
      <c r="BI44" s="213"/>
      <c r="BJ44" s="214" t="s">
        <v>34</v>
      </c>
      <c r="BK44" s="215"/>
      <c r="BL44" s="215"/>
      <c r="BM44" s="216"/>
      <c r="BN44" s="217" t="s">
        <v>35</v>
      </c>
      <c r="BO44" s="218"/>
      <c r="BP44" s="218"/>
      <c r="BQ44" s="219"/>
      <c r="BR44" s="196" t="s">
        <v>68</v>
      </c>
      <c r="BS44" s="197"/>
      <c r="BT44" s="197"/>
      <c r="BU44" s="198"/>
      <c r="BV44" s="211" t="s">
        <v>36</v>
      </c>
      <c r="BW44" s="212"/>
      <c r="BX44" s="212"/>
      <c r="BY44" s="213"/>
      <c r="BZ44" s="214" t="s">
        <v>37</v>
      </c>
      <c r="CA44" s="215"/>
      <c r="CB44" s="215"/>
      <c r="CC44" s="216"/>
      <c r="CD44" s="217" t="s">
        <v>69</v>
      </c>
      <c r="CE44" s="218"/>
      <c r="CF44" s="218"/>
      <c r="CG44" s="219"/>
      <c r="CH44" s="196" t="s">
        <v>38</v>
      </c>
      <c r="CI44" s="197"/>
      <c r="CJ44" s="197"/>
      <c r="CK44" s="198"/>
    </row>
    <row r="45" spans="2:90" ht="28.5" customHeight="1" x14ac:dyDescent="0.25">
      <c r="B45" s="225"/>
      <c r="C45" s="225"/>
      <c r="D45" s="226"/>
      <c r="E45" s="225"/>
      <c r="F45" s="225"/>
      <c r="G45" s="225"/>
      <c r="H45" s="225"/>
      <c r="I45" s="50"/>
      <c r="J45" s="206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10"/>
      <c r="AA45" s="227"/>
      <c r="AB45" s="227"/>
      <c r="AC45" s="227"/>
      <c r="AD45" s="20" t="s">
        <v>15</v>
      </c>
      <c r="AE45" s="21" t="s">
        <v>16</v>
      </c>
      <c r="AF45" s="22" t="s">
        <v>17</v>
      </c>
      <c r="AG45" s="20" t="s">
        <v>20</v>
      </c>
      <c r="AH45" s="3" t="s">
        <v>15</v>
      </c>
      <c r="AI45" s="4" t="s">
        <v>16</v>
      </c>
      <c r="AJ45" s="5" t="s">
        <v>17</v>
      </c>
      <c r="AK45" s="3" t="s">
        <v>20</v>
      </c>
      <c r="AL45" s="51" t="s">
        <v>15</v>
      </c>
      <c r="AM45" s="23" t="s">
        <v>16</v>
      </c>
      <c r="AN45" s="24" t="s">
        <v>17</v>
      </c>
      <c r="AO45" s="51" t="s">
        <v>20</v>
      </c>
      <c r="AP45" s="25" t="s">
        <v>15</v>
      </c>
      <c r="AQ45" s="26" t="s">
        <v>16</v>
      </c>
      <c r="AR45" s="27" t="s">
        <v>17</v>
      </c>
      <c r="AS45" s="25" t="s">
        <v>20</v>
      </c>
      <c r="AT45" s="20" t="s">
        <v>15</v>
      </c>
      <c r="AU45" s="21" t="s">
        <v>16</v>
      </c>
      <c r="AV45" s="22" t="s">
        <v>17</v>
      </c>
      <c r="AW45" s="20" t="s">
        <v>20</v>
      </c>
      <c r="AX45" s="3" t="s">
        <v>15</v>
      </c>
      <c r="AY45" s="4" t="s">
        <v>16</v>
      </c>
      <c r="AZ45" s="5" t="s">
        <v>17</v>
      </c>
      <c r="BA45" s="3" t="s">
        <v>20</v>
      </c>
      <c r="BB45" s="51" t="s">
        <v>15</v>
      </c>
      <c r="BC45" s="23" t="s">
        <v>16</v>
      </c>
      <c r="BD45" s="24" t="s">
        <v>17</v>
      </c>
      <c r="BE45" s="51" t="s">
        <v>20</v>
      </c>
      <c r="BF45" s="25" t="s">
        <v>15</v>
      </c>
      <c r="BG45" s="26" t="s">
        <v>16</v>
      </c>
      <c r="BH45" s="27" t="s">
        <v>17</v>
      </c>
      <c r="BI45" s="25" t="s">
        <v>20</v>
      </c>
      <c r="BJ45" s="20" t="s">
        <v>15</v>
      </c>
      <c r="BK45" s="21" t="s">
        <v>16</v>
      </c>
      <c r="BL45" s="22" t="s">
        <v>17</v>
      </c>
      <c r="BM45" s="20" t="s">
        <v>20</v>
      </c>
      <c r="BN45" s="3" t="s">
        <v>15</v>
      </c>
      <c r="BO45" s="4" t="s">
        <v>16</v>
      </c>
      <c r="BP45" s="5" t="s">
        <v>17</v>
      </c>
      <c r="BQ45" s="3" t="s">
        <v>20</v>
      </c>
      <c r="BR45" s="51" t="s">
        <v>15</v>
      </c>
      <c r="BS45" s="23" t="s">
        <v>16</v>
      </c>
      <c r="BT45" s="24" t="s">
        <v>17</v>
      </c>
      <c r="BU45" s="51" t="s">
        <v>20</v>
      </c>
      <c r="BV45" s="25" t="s">
        <v>15</v>
      </c>
      <c r="BW45" s="26" t="s">
        <v>16</v>
      </c>
      <c r="BX45" s="27" t="s">
        <v>17</v>
      </c>
      <c r="BY45" s="25" t="s">
        <v>20</v>
      </c>
      <c r="BZ45" s="20" t="s">
        <v>15</v>
      </c>
      <c r="CA45" s="21" t="s">
        <v>16</v>
      </c>
      <c r="CB45" s="22" t="s">
        <v>17</v>
      </c>
      <c r="CC45" s="20" t="s">
        <v>20</v>
      </c>
      <c r="CD45" s="3" t="s">
        <v>15</v>
      </c>
      <c r="CE45" s="4" t="s">
        <v>16</v>
      </c>
      <c r="CF45" s="5" t="s">
        <v>17</v>
      </c>
      <c r="CG45" s="3" t="s">
        <v>20</v>
      </c>
      <c r="CH45" s="51" t="s">
        <v>15</v>
      </c>
      <c r="CI45" s="23" t="s">
        <v>16</v>
      </c>
      <c r="CJ45" s="24" t="s">
        <v>17</v>
      </c>
      <c r="CK45" s="51" t="s">
        <v>20</v>
      </c>
    </row>
    <row r="46" spans="2:90" x14ac:dyDescent="0.25">
      <c r="B46" s="7">
        <f>'PLAN DE NECESIDADES'!B37</f>
        <v>21</v>
      </c>
      <c r="C46" s="7">
        <f>'PLAN DE NECESIDADES'!C37</f>
        <v>3533301</v>
      </c>
      <c r="D46" s="60" t="str">
        <f>'PLAN DE NECESIDADES'!D37</f>
        <v>BETÚN:
NEGRO 125 GRAMOS ESPECIFICACIONES SEGÚN NORMA TÉCNICA NO. NTMD-0356 A2  ÍTEM  3.1.1.14</v>
      </c>
      <c r="E46" s="7" t="str">
        <f>'PLAN DE NECESIDADES'!E37</f>
        <v>UNIDAD</v>
      </c>
      <c r="F46" s="7">
        <f>'PLAN DE NECESIDADES'!F37</f>
        <v>0</v>
      </c>
      <c r="G46" s="7">
        <f>'PLAN DE NECESIDADES'!H37</f>
        <v>47131809</v>
      </c>
      <c r="H46" s="7">
        <f>'PLAN DE NECESIDADES'!I37</f>
        <v>1048274</v>
      </c>
      <c r="I46" s="7" t="str">
        <f>'PLAN DE NECESIDADES'!J37</f>
        <v>SIN CREAR</v>
      </c>
      <c r="J46" s="7">
        <v>1</v>
      </c>
      <c r="K46" s="85">
        <v>69</v>
      </c>
      <c r="L46" s="85">
        <v>217</v>
      </c>
      <c r="M46" s="85">
        <v>279</v>
      </c>
      <c r="N46" s="85">
        <v>279</v>
      </c>
      <c r="O46" s="85">
        <v>248</v>
      </c>
      <c r="P46" s="85">
        <v>248</v>
      </c>
      <c r="Q46" s="85">
        <v>279</v>
      </c>
      <c r="R46" s="85">
        <v>125</v>
      </c>
      <c r="S46" s="85">
        <v>62</v>
      </c>
      <c r="T46" s="85">
        <v>279</v>
      </c>
      <c r="U46" s="85">
        <v>186</v>
      </c>
      <c r="V46" s="85">
        <v>32</v>
      </c>
      <c r="W46" s="85">
        <v>12</v>
      </c>
      <c r="X46" s="7">
        <v>186</v>
      </c>
      <c r="Y46" s="7">
        <v>186</v>
      </c>
      <c r="Z46" s="85">
        <f t="shared" ref="Z46:AB52" si="163">SUM(AD46,AH46,AL46,AP46,AT46,AX46,BB46,BF46,BJ46,BN46,BR46,BV46,BZ46,CD46,CH46)</f>
        <v>2718</v>
      </c>
      <c r="AA46" s="7">
        <f t="shared" si="163"/>
        <v>1440</v>
      </c>
      <c r="AB46" s="7">
        <f t="shared" si="163"/>
        <v>1278</v>
      </c>
      <c r="AC46" s="12">
        <v>10000</v>
      </c>
      <c r="AD46" s="7">
        <f>K46*J46</f>
        <v>69</v>
      </c>
      <c r="AE46" s="7">
        <f>J46*38</f>
        <v>38</v>
      </c>
      <c r="AF46" s="8">
        <f t="shared" ref="AF46:AF52" si="164">AD46-AE46</f>
        <v>31</v>
      </c>
      <c r="AG46" s="14">
        <f>AC46*AE46</f>
        <v>380000</v>
      </c>
      <c r="AH46" s="7">
        <f>L46*J46</f>
        <v>217</v>
      </c>
      <c r="AI46" s="7">
        <f>J46*120</f>
        <v>120</v>
      </c>
      <c r="AJ46" s="8">
        <f t="shared" ref="AJ46:AJ52" si="165">AH46-AI46</f>
        <v>97</v>
      </c>
      <c r="AK46" s="14">
        <f>AC46*AI46</f>
        <v>1200000</v>
      </c>
      <c r="AL46" s="7">
        <f>M46*J46</f>
        <v>279</v>
      </c>
      <c r="AM46" s="7">
        <f>J46*154</f>
        <v>154</v>
      </c>
      <c r="AN46" s="8">
        <f t="shared" ref="AN46:AN52" si="166">AL46-AM46</f>
        <v>125</v>
      </c>
      <c r="AO46" s="14">
        <f>AC46*AM46</f>
        <v>1540000</v>
      </c>
      <c r="AP46" s="7">
        <f>N46*J46</f>
        <v>279</v>
      </c>
      <c r="AQ46" s="7">
        <f>J46*120</f>
        <v>120</v>
      </c>
      <c r="AR46" s="8">
        <f t="shared" ref="AR46:AR52" si="167">AP46-AQ46</f>
        <v>159</v>
      </c>
      <c r="AS46" s="14">
        <f>AC46*AQ46</f>
        <v>1200000</v>
      </c>
      <c r="AT46" s="7">
        <f>M46*J46</f>
        <v>279</v>
      </c>
      <c r="AU46" s="7">
        <f>J46*137</f>
        <v>137</v>
      </c>
      <c r="AV46" s="8">
        <f t="shared" ref="AV46:AV52" si="168">AT46-AU46</f>
        <v>142</v>
      </c>
      <c r="AW46" s="14">
        <f>AU46*AC46</f>
        <v>1370000</v>
      </c>
      <c r="AX46" s="7">
        <f>P46*J46</f>
        <v>248</v>
      </c>
      <c r="AY46" s="7">
        <f>J46*137</f>
        <v>137</v>
      </c>
      <c r="AZ46" s="8">
        <f t="shared" ref="AZ46" si="169">AX46-AY46</f>
        <v>111</v>
      </c>
      <c r="BA46" s="14">
        <f>AC46*AY46</f>
        <v>1370000</v>
      </c>
      <c r="BB46" s="7">
        <f>Q46*J46</f>
        <v>279</v>
      </c>
      <c r="BC46" s="7">
        <f>J46*155</f>
        <v>155</v>
      </c>
      <c r="BD46" s="8">
        <f t="shared" ref="BD46" si="170">BB46-BC46</f>
        <v>124</v>
      </c>
      <c r="BE46" s="14">
        <f>BC46*AC46</f>
        <v>1550000</v>
      </c>
      <c r="BF46" s="7">
        <f t="shared" ref="BF46:BF52" si="171">R46*J46</f>
        <v>125</v>
      </c>
      <c r="BG46" s="7">
        <f>J46*59</f>
        <v>59</v>
      </c>
      <c r="BH46" s="8">
        <f t="shared" ref="BH46:BH52" si="172">BF46-BG46</f>
        <v>66</v>
      </c>
      <c r="BI46" s="14">
        <f t="shared" ref="BI46:BI52" si="173">BG46*AC46</f>
        <v>590000</v>
      </c>
      <c r="BJ46" s="7">
        <f>S46*J46</f>
        <v>62</v>
      </c>
      <c r="BK46" s="7">
        <f>J46*34</f>
        <v>34</v>
      </c>
      <c r="BL46" s="8">
        <f t="shared" ref="BL46:BL52" si="174">BJ46-BK46</f>
        <v>28</v>
      </c>
      <c r="BM46" s="14">
        <f>BK46*AC46</f>
        <v>340000</v>
      </c>
      <c r="BN46" s="7">
        <f>T46*J46</f>
        <v>279</v>
      </c>
      <c r="BO46" s="7">
        <f>J46*154</f>
        <v>154</v>
      </c>
      <c r="BP46" s="8">
        <f t="shared" ref="BP46" si="175">BN46-BO46</f>
        <v>125</v>
      </c>
      <c r="BQ46" s="14">
        <f>BO46*AC46</f>
        <v>1540000</v>
      </c>
      <c r="BR46" s="7">
        <f>U46*J46</f>
        <v>186</v>
      </c>
      <c r="BS46" s="7">
        <f>J46*103</f>
        <v>103</v>
      </c>
      <c r="BT46" s="8">
        <f t="shared" ref="BT46:BT52" si="176">BR46-BS46</f>
        <v>83</v>
      </c>
      <c r="BU46" s="14">
        <f>BS46*AC46</f>
        <v>1030000</v>
      </c>
      <c r="BV46" s="7">
        <f>V46*J46</f>
        <v>32</v>
      </c>
      <c r="BW46" s="7">
        <f>J46*17</f>
        <v>17</v>
      </c>
      <c r="BX46" s="8">
        <f t="shared" ref="BX46:BX52" si="177">BV46-BW46</f>
        <v>15</v>
      </c>
      <c r="BY46" s="14">
        <f>BW46*AC46</f>
        <v>170000</v>
      </c>
      <c r="BZ46" s="7">
        <f>W46*J46</f>
        <v>12</v>
      </c>
      <c r="CA46" s="7">
        <f>J46*6</f>
        <v>6</v>
      </c>
      <c r="CB46" s="8">
        <f t="shared" ref="CB46:CB52" si="178">BZ46-CA46</f>
        <v>6</v>
      </c>
      <c r="CC46" s="14">
        <f>CA46*AC46</f>
        <v>60000</v>
      </c>
      <c r="CD46" s="7">
        <f>X46*J46</f>
        <v>186</v>
      </c>
      <c r="CE46" s="7">
        <f>J46*103</f>
        <v>103</v>
      </c>
      <c r="CF46" s="8">
        <f t="shared" ref="CF46:CF52" si="179">CD46-CE46</f>
        <v>83</v>
      </c>
      <c r="CG46" s="14">
        <f>CE46*AC46</f>
        <v>1030000</v>
      </c>
      <c r="CH46" s="7">
        <f>Y46*J46</f>
        <v>186</v>
      </c>
      <c r="CI46" s="7">
        <f>J46*103</f>
        <v>103</v>
      </c>
      <c r="CJ46" s="8">
        <f t="shared" ref="CJ46:CJ52" si="180">CH46-CI46</f>
        <v>83</v>
      </c>
      <c r="CK46" s="14">
        <f>CI46*AC46</f>
        <v>1030000</v>
      </c>
    </row>
    <row r="47" spans="2:90" x14ac:dyDescent="0.25">
      <c r="B47" s="7">
        <f>'PLAN DE NECESIDADES'!B38</f>
        <v>22</v>
      </c>
      <c r="C47" s="7">
        <f>'PLAN DE NECESIDADES'!C38</f>
        <v>3532315</v>
      </c>
      <c r="D47" s="60" t="str">
        <f>'PLAN DE NECESIDADES'!D38</f>
        <v>TALCOS PARA PIES :  
DE 85 GRAMOS ESPECIFICACIONES SEGÚN NORMA TÉCNICA NO. NTMD-0356 A2 ÍTEM  3.1.1.6</v>
      </c>
      <c r="E47" s="7" t="str">
        <f>'PLAN DE NECESIDADES'!E38</f>
        <v>UNIDAD</v>
      </c>
      <c r="F47" s="7">
        <f>'PLAN DE NECESIDADES'!F38</f>
        <v>0</v>
      </c>
      <c r="G47" s="7">
        <f>'PLAN DE NECESIDADES'!H38</f>
        <v>53131614</v>
      </c>
      <c r="H47" s="7">
        <f>'PLAN DE NECESIDADES'!I38</f>
        <v>1291103</v>
      </c>
      <c r="I47" s="7" t="str">
        <f>'PLAN DE NECESIDADES'!J38</f>
        <v>8510-80-0011397</v>
      </c>
      <c r="J47" s="7">
        <v>1</v>
      </c>
      <c r="K47" s="85">
        <v>69</v>
      </c>
      <c r="L47" s="85">
        <v>217</v>
      </c>
      <c r="M47" s="85">
        <v>279</v>
      </c>
      <c r="N47" s="85">
        <v>279</v>
      </c>
      <c r="O47" s="85">
        <v>248</v>
      </c>
      <c r="P47" s="85">
        <v>248</v>
      </c>
      <c r="Q47" s="85">
        <v>279</v>
      </c>
      <c r="R47" s="85">
        <v>125</v>
      </c>
      <c r="S47" s="85">
        <v>62</v>
      </c>
      <c r="T47" s="85">
        <v>279</v>
      </c>
      <c r="U47" s="85">
        <v>186</v>
      </c>
      <c r="V47" s="85">
        <v>32</v>
      </c>
      <c r="W47" s="85">
        <v>12</v>
      </c>
      <c r="X47" s="85">
        <v>186</v>
      </c>
      <c r="Y47" s="85">
        <v>186</v>
      </c>
      <c r="Z47" s="85">
        <f t="shared" si="163"/>
        <v>2718</v>
      </c>
      <c r="AA47" s="7">
        <f t="shared" si="163"/>
        <v>1439</v>
      </c>
      <c r="AB47" s="7">
        <f t="shared" si="163"/>
        <v>1279</v>
      </c>
      <c r="AC47" s="12">
        <v>9500</v>
      </c>
      <c r="AD47" s="7">
        <f>K47*J47</f>
        <v>69</v>
      </c>
      <c r="AE47" s="7">
        <f>J47*38</f>
        <v>38</v>
      </c>
      <c r="AF47" s="8">
        <f t="shared" si="164"/>
        <v>31</v>
      </c>
      <c r="AG47" s="14">
        <f>AC47*AE47</f>
        <v>361000</v>
      </c>
      <c r="AH47" s="7">
        <f>L47*J47</f>
        <v>217</v>
      </c>
      <c r="AI47" s="7">
        <f>J47*120</f>
        <v>120</v>
      </c>
      <c r="AJ47" s="8">
        <f t="shared" si="165"/>
        <v>97</v>
      </c>
      <c r="AK47" s="14">
        <f>AC47*AI47</f>
        <v>1140000</v>
      </c>
      <c r="AL47" s="7">
        <f>M47*J47</f>
        <v>279</v>
      </c>
      <c r="AM47" s="7">
        <f>J47*155</f>
        <v>155</v>
      </c>
      <c r="AN47" s="8">
        <f t="shared" si="166"/>
        <v>124</v>
      </c>
      <c r="AO47" s="14">
        <f>AC47*AM47</f>
        <v>1472500</v>
      </c>
      <c r="AP47" s="7">
        <f>N47*J47</f>
        <v>279</v>
      </c>
      <c r="AQ47" s="7">
        <f>J47*120</f>
        <v>120</v>
      </c>
      <c r="AR47" s="8">
        <f t="shared" si="167"/>
        <v>159</v>
      </c>
      <c r="AS47" s="14">
        <f>AC47*AQ47</f>
        <v>1140000</v>
      </c>
      <c r="AT47" s="7">
        <f>M47*J47</f>
        <v>279</v>
      </c>
      <c r="AU47" s="7">
        <f>J47*137</f>
        <v>137</v>
      </c>
      <c r="AV47" s="8">
        <f t="shared" si="168"/>
        <v>142</v>
      </c>
      <c r="AW47" s="14">
        <f>AU47*AC47</f>
        <v>1301500</v>
      </c>
      <c r="AX47" s="7">
        <f>P47*J47</f>
        <v>248</v>
      </c>
      <c r="AY47" s="7">
        <f>J47*137</f>
        <v>137</v>
      </c>
      <c r="AZ47" s="8">
        <f t="shared" ref="AZ47:AZ49" si="181">AX47-AY47</f>
        <v>111</v>
      </c>
      <c r="BA47" s="14">
        <f>AC47*AY47</f>
        <v>1301500</v>
      </c>
      <c r="BB47" s="7">
        <f>Q47*J47</f>
        <v>279</v>
      </c>
      <c r="BC47" s="7">
        <f>J47*154</f>
        <v>154</v>
      </c>
      <c r="BD47" s="8">
        <f t="shared" ref="BD47:BD49" si="182">BB47-BC47</f>
        <v>125</v>
      </c>
      <c r="BE47" s="14">
        <f>BC47*AC47</f>
        <v>1463000</v>
      </c>
      <c r="BF47" s="7">
        <f t="shared" si="171"/>
        <v>125</v>
      </c>
      <c r="BG47" s="7">
        <f t="shared" ref="BG47:BG52" si="183">J47*58</f>
        <v>58</v>
      </c>
      <c r="BH47" s="8">
        <f t="shared" si="172"/>
        <v>67</v>
      </c>
      <c r="BI47" s="14">
        <f t="shared" si="173"/>
        <v>551000</v>
      </c>
      <c r="BJ47" s="7">
        <f>S47*J47</f>
        <v>62</v>
      </c>
      <c r="BK47" s="7">
        <f>J47*34</f>
        <v>34</v>
      </c>
      <c r="BL47" s="8">
        <f t="shared" si="174"/>
        <v>28</v>
      </c>
      <c r="BM47" s="14">
        <f>BK47*AC47</f>
        <v>323000</v>
      </c>
      <c r="BN47" s="7">
        <f>T47*J47</f>
        <v>279</v>
      </c>
      <c r="BO47" s="7">
        <f>J47*154</f>
        <v>154</v>
      </c>
      <c r="BP47" s="8">
        <f t="shared" ref="BP47:BP52" si="184">BN47-BO47</f>
        <v>125</v>
      </c>
      <c r="BQ47" s="14">
        <f>BO47*AC47</f>
        <v>1463000</v>
      </c>
      <c r="BR47" s="7">
        <f>U47*J47</f>
        <v>186</v>
      </c>
      <c r="BS47" s="7">
        <f>J47*103</f>
        <v>103</v>
      </c>
      <c r="BT47" s="8">
        <f t="shared" si="176"/>
        <v>83</v>
      </c>
      <c r="BU47" s="14">
        <f>BS47*AC47</f>
        <v>978500</v>
      </c>
      <c r="BV47" s="7">
        <f>V47*J47</f>
        <v>32</v>
      </c>
      <c r="BW47" s="7">
        <f>J47*18</f>
        <v>18</v>
      </c>
      <c r="BX47" s="8">
        <f t="shared" si="177"/>
        <v>14</v>
      </c>
      <c r="BY47" s="14">
        <f>BW47*AC47</f>
        <v>171000</v>
      </c>
      <c r="BZ47" s="7">
        <f>W47*J47</f>
        <v>12</v>
      </c>
      <c r="CA47" s="7">
        <f>J47*6</f>
        <v>6</v>
      </c>
      <c r="CB47" s="8">
        <f t="shared" si="178"/>
        <v>6</v>
      </c>
      <c r="CC47" s="14">
        <f>CA47*AC47</f>
        <v>57000</v>
      </c>
      <c r="CD47" s="7">
        <f>X47*J47</f>
        <v>186</v>
      </c>
      <c r="CE47" s="7">
        <f>J47*103</f>
        <v>103</v>
      </c>
      <c r="CF47" s="8">
        <f t="shared" si="179"/>
        <v>83</v>
      </c>
      <c r="CG47" s="14">
        <f>CE47*AC47</f>
        <v>978500</v>
      </c>
      <c r="CH47" s="7">
        <f>Y47*J47</f>
        <v>186</v>
      </c>
      <c r="CI47" s="7">
        <f>J47*102</f>
        <v>102</v>
      </c>
      <c r="CJ47" s="8">
        <f t="shared" si="180"/>
        <v>84</v>
      </c>
      <c r="CK47" s="14">
        <f>CI47*AC47</f>
        <v>969000</v>
      </c>
    </row>
    <row r="48" spans="2:90" x14ac:dyDescent="0.25">
      <c r="B48" s="7">
        <f>'PLAN DE NECESIDADES'!B39</f>
        <v>23</v>
      </c>
      <c r="C48" s="7">
        <f>'PLAN DE NECESIDADES'!C39</f>
        <v>3532308</v>
      </c>
      <c r="D48" s="60" t="str">
        <f>'PLAN DE NECESIDADES'!D39</f>
        <v>CREMA DENTAL:
DE 100 ML ESPECIFICACIONES SEGÚN NORMA TÉCNICA NO. NTMD-0356 A2 ÍTEM  3.1.1.3</v>
      </c>
      <c r="E48" s="7" t="str">
        <f>'PLAN DE NECESIDADES'!E39</f>
        <v>UNIDAD</v>
      </c>
      <c r="F48" s="7">
        <f>'PLAN DE NECESIDADES'!F39</f>
        <v>0</v>
      </c>
      <c r="G48" s="7">
        <f>'PLAN DE NECESIDADES'!H39</f>
        <v>53131502</v>
      </c>
      <c r="H48" s="7">
        <f>'PLAN DE NECESIDADES'!I39</f>
        <v>1013968</v>
      </c>
      <c r="I48" s="7" t="str">
        <f>'PLAN DE NECESIDADES'!J39</f>
        <v>8520-80-0011399</v>
      </c>
      <c r="J48" s="7">
        <v>1</v>
      </c>
      <c r="K48" s="85">
        <v>69</v>
      </c>
      <c r="L48" s="85">
        <v>217</v>
      </c>
      <c r="M48" s="85">
        <v>279</v>
      </c>
      <c r="N48" s="85">
        <v>279</v>
      </c>
      <c r="O48" s="85">
        <v>248</v>
      </c>
      <c r="P48" s="85">
        <v>248</v>
      </c>
      <c r="Q48" s="85">
        <v>279</v>
      </c>
      <c r="R48" s="85">
        <v>125</v>
      </c>
      <c r="S48" s="85">
        <v>62</v>
      </c>
      <c r="T48" s="85">
        <v>279</v>
      </c>
      <c r="U48" s="85">
        <v>186</v>
      </c>
      <c r="V48" s="85">
        <v>32</v>
      </c>
      <c r="W48" s="85">
        <v>12</v>
      </c>
      <c r="X48" s="85">
        <v>186</v>
      </c>
      <c r="Y48" s="85">
        <v>186</v>
      </c>
      <c r="Z48" s="85">
        <f t="shared" si="163"/>
        <v>2718</v>
      </c>
      <c r="AA48" s="7">
        <f t="shared" si="163"/>
        <v>1438</v>
      </c>
      <c r="AB48" s="7">
        <f t="shared" si="163"/>
        <v>1280</v>
      </c>
      <c r="AC48" s="12">
        <v>8700</v>
      </c>
      <c r="AD48" s="7">
        <f>K48*J48</f>
        <v>69</v>
      </c>
      <c r="AE48" s="7">
        <f>J48*38</f>
        <v>38</v>
      </c>
      <c r="AF48" s="8">
        <f t="shared" si="164"/>
        <v>31</v>
      </c>
      <c r="AG48" s="14">
        <f>AC48*AE48</f>
        <v>330600</v>
      </c>
      <c r="AH48" s="7">
        <f>L48*J48</f>
        <v>217</v>
      </c>
      <c r="AI48" s="7">
        <f>J48*120</f>
        <v>120</v>
      </c>
      <c r="AJ48" s="8">
        <f t="shared" si="165"/>
        <v>97</v>
      </c>
      <c r="AK48" s="14">
        <f>AC48*AI48</f>
        <v>1044000</v>
      </c>
      <c r="AL48" s="7">
        <f>M48*J48</f>
        <v>279</v>
      </c>
      <c r="AM48" s="7">
        <f>J48*154</f>
        <v>154</v>
      </c>
      <c r="AN48" s="8">
        <f t="shared" si="166"/>
        <v>125</v>
      </c>
      <c r="AO48" s="14">
        <f>AC48*AM48</f>
        <v>1339800</v>
      </c>
      <c r="AP48" s="7">
        <f>N48*J48</f>
        <v>279</v>
      </c>
      <c r="AQ48" s="7">
        <f>J48*120</f>
        <v>120</v>
      </c>
      <c r="AR48" s="8">
        <f t="shared" si="167"/>
        <v>159</v>
      </c>
      <c r="AS48" s="14">
        <f>AC48*AQ48</f>
        <v>1044000</v>
      </c>
      <c r="AT48" s="7">
        <f>M48*J48</f>
        <v>279</v>
      </c>
      <c r="AU48" s="7">
        <f>J48*137</f>
        <v>137</v>
      </c>
      <c r="AV48" s="8">
        <f t="shared" si="168"/>
        <v>142</v>
      </c>
      <c r="AW48" s="14">
        <f>AU48*AC48</f>
        <v>1191900</v>
      </c>
      <c r="AX48" s="7">
        <f>P48*J48</f>
        <v>248</v>
      </c>
      <c r="AY48" s="7">
        <f>J48*137</f>
        <v>137</v>
      </c>
      <c r="AZ48" s="8">
        <f t="shared" si="181"/>
        <v>111</v>
      </c>
      <c r="BA48" s="14">
        <f>AC48*AY48</f>
        <v>1191900</v>
      </c>
      <c r="BB48" s="7">
        <f>Q48*J48</f>
        <v>279</v>
      </c>
      <c r="BC48" s="7">
        <f>J48*154</f>
        <v>154</v>
      </c>
      <c r="BD48" s="8">
        <f t="shared" si="182"/>
        <v>125</v>
      </c>
      <c r="BE48" s="14">
        <f>BC48*AC48</f>
        <v>1339800</v>
      </c>
      <c r="BF48" s="7">
        <f t="shared" si="171"/>
        <v>125</v>
      </c>
      <c r="BG48" s="7">
        <f t="shared" si="183"/>
        <v>58</v>
      </c>
      <c r="BH48" s="8">
        <f t="shared" si="172"/>
        <v>67</v>
      </c>
      <c r="BI48" s="14">
        <f t="shared" si="173"/>
        <v>504600</v>
      </c>
      <c r="BJ48" s="7">
        <f>S48*J48</f>
        <v>62</v>
      </c>
      <c r="BK48" s="7">
        <f>J48*35</f>
        <v>35</v>
      </c>
      <c r="BL48" s="8">
        <f t="shared" si="174"/>
        <v>27</v>
      </c>
      <c r="BM48" s="14">
        <f>BK48*AC48</f>
        <v>304500</v>
      </c>
      <c r="BN48" s="7">
        <f>T48*J48</f>
        <v>279</v>
      </c>
      <c r="BO48" s="7">
        <f>J48*154</f>
        <v>154</v>
      </c>
      <c r="BP48" s="8">
        <f t="shared" si="184"/>
        <v>125</v>
      </c>
      <c r="BQ48" s="14">
        <f>BO48*AC48</f>
        <v>1339800</v>
      </c>
      <c r="BR48" s="7">
        <f>U48*J48</f>
        <v>186</v>
      </c>
      <c r="BS48" s="7">
        <f>J48*102</f>
        <v>102</v>
      </c>
      <c r="BT48" s="8">
        <f t="shared" si="176"/>
        <v>84</v>
      </c>
      <c r="BU48" s="14">
        <f>BS48*AC48</f>
        <v>887400</v>
      </c>
      <c r="BV48" s="7">
        <f>V48*J48</f>
        <v>32</v>
      </c>
      <c r="BW48" s="7">
        <f>J48*17</f>
        <v>17</v>
      </c>
      <c r="BX48" s="8">
        <f t="shared" si="177"/>
        <v>15</v>
      </c>
      <c r="BY48" s="14">
        <f>BW48*AC48</f>
        <v>147900</v>
      </c>
      <c r="BZ48" s="7">
        <f>W48*J48</f>
        <v>12</v>
      </c>
      <c r="CA48" s="7">
        <f>J48*7</f>
        <v>7</v>
      </c>
      <c r="CB48" s="8">
        <f t="shared" si="178"/>
        <v>5</v>
      </c>
      <c r="CC48" s="14">
        <f>CA48*AC48</f>
        <v>60900</v>
      </c>
      <c r="CD48" s="7">
        <f>X48*J48</f>
        <v>186</v>
      </c>
      <c r="CE48" s="7">
        <f>J48*102</f>
        <v>102</v>
      </c>
      <c r="CF48" s="8">
        <f t="shared" si="179"/>
        <v>84</v>
      </c>
      <c r="CG48" s="14">
        <f>CE48*AC48</f>
        <v>887400</v>
      </c>
      <c r="CH48" s="7">
        <f>Y48*J48</f>
        <v>186</v>
      </c>
      <c r="CI48" s="7">
        <f>J48*103</f>
        <v>103</v>
      </c>
      <c r="CJ48" s="8">
        <f t="shared" si="180"/>
        <v>83</v>
      </c>
      <c r="CK48" s="14">
        <f>CI48*AC48</f>
        <v>896100</v>
      </c>
    </row>
    <row r="49" spans="2:90" x14ac:dyDescent="0.25">
      <c r="B49" s="7">
        <f>'PLAN DE NECESIDADES'!B40</f>
        <v>24</v>
      </c>
      <c r="C49" s="7">
        <f>'PLAN DE NECESIDADES'!C40</f>
        <v>3532324</v>
      </c>
      <c r="D49" s="60" t="str">
        <f>'PLAN DE NECESIDADES'!D40</f>
        <v>DESODORANTE ANTITRASPIRANTE: ESPECIFICACIONES  TÉCNICAS   DE  ACUERDO A LA NORMA TÉCNICA KIT DE DOTACIÓN NO. NTMD-0356 A2 ÍTEM  3.1.1.7</v>
      </c>
      <c r="E49" s="7" t="str">
        <f>'PLAN DE NECESIDADES'!E40</f>
        <v>UNIDAD</v>
      </c>
      <c r="F49" s="7">
        <f>'PLAN DE NECESIDADES'!F40</f>
        <v>0</v>
      </c>
      <c r="G49" s="7">
        <f>'PLAN DE NECESIDADES'!H40</f>
        <v>53131606</v>
      </c>
      <c r="H49" s="7">
        <f>'PLAN DE NECESIDADES'!I40</f>
        <v>1013944</v>
      </c>
      <c r="I49" s="7" t="str">
        <f>'PLAN DE NECESIDADES'!J40</f>
        <v>8510-80-0011400</v>
      </c>
      <c r="J49" s="7">
        <v>1</v>
      </c>
      <c r="K49" s="85">
        <v>69</v>
      </c>
      <c r="L49" s="85">
        <v>217</v>
      </c>
      <c r="M49" s="85">
        <v>279</v>
      </c>
      <c r="N49" s="85">
        <v>279</v>
      </c>
      <c r="O49" s="85">
        <v>248</v>
      </c>
      <c r="P49" s="85">
        <v>248</v>
      </c>
      <c r="Q49" s="85">
        <v>279</v>
      </c>
      <c r="R49" s="85">
        <v>125</v>
      </c>
      <c r="S49" s="85">
        <v>62</v>
      </c>
      <c r="T49" s="85">
        <v>279</v>
      </c>
      <c r="U49" s="85">
        <v>186</v>
      </c>
      <c r="V49" s="85">
        <v>32</v>
      </c>
      <c r="W49" s="85">
        <v>12</v>
      </c>
      <c r="X49" s="85">
        <v>186</v>
      </c>
      <c r="Y49" s="85">
        <v>186</v>
      </c>
      <c r="Z49" s="85">
        <f t="shared" si="163"/>
        <v>2718</v>
      </c>
      <c r="AA49" s="7">
        <f t="shared" si="163"/>
        <v>1440</v>
      </c>
      <c r="AB49" s="7">
        <f t="shared" si="163"/>
        <v>1278</v>
      </c>
      <c r="AC49" s="12">
        <v>9900</v>
      </c>
      <c r="AD49" s="7">
        <f>K49*J49</f>
        <v>69</v>
      </c>
      <c r="AE49" s="7">
        <f>J49*38</f>
        <v>38</v>
      </c>
      <c r="AF49" s="8">
        <f t="shared" si="164"/>
        <v>31</v>
      </c>
      <c r="AG49" s="14">
        <f>AC49*AE49</f>
        <v>376200</v>
      </c>
      <c r="AH49" s="7">
        <f>L49*J49</f>
        <v>217</v>
      </c>
      <c r="AI49" s="7">
        <f>J49*120</f>
        <v>120</v>
      </c>
      <c r="AJ49" s="8">
        <f t="shared" si="165"/>
        <v>97</v>
      </c>
      <c r="AK49" s="14">
        <f>AC49*AI49</f>
        <v>1188000</v>
      </c>
      <c r="AL49" s="7">
        <f>M49*J49</f>
        <v>279</v>
      </c>
      <c r="AM49" s="7">
        <f>J49*154</f>
        <v>154</v>
      </c>
      <c r="AN49" s="8">
        <f t="shared" si="166"/>
        <v>125</v>
      </c>
      <c r="AO49" s="14">
        <f>AC49*AM49</f>
        <v>1524600</v>
      </c>
      <c r="AP49" s="7">
        <f>N49*J49</f>
        <v>279</v>
      </c>
      <c r="AQ49" s="7">
        <f>J49*120</f>
        <v>120</v>
      </c>
      <c r="AR49" s="8">
        <f t="shared" si="167"/>
        <v>159</v>
      </c>
      <c r="AS49" s="14">
        <f>AC49*AQ49</f>
        <v>1188000</v>
      </c>
      <c r="AT49" s="7">
        <f>M49*J49</f>
        <v>279</v>
      </c>
      <c r="AU49" s="7">
        <f>J49*137</f>
        <v>137</v>
      </c>
      <c r="AV49" s="8">
        <f t="shared" si="168"/>
        <v>142</v>
      </c>
      <c r="AW49" s="14">
        <f>AU49*AC49</f>
        <v>1356300</v>
      </c>
      <c r="AX49" s="7">
        <f>P49*J49</f>
        <v>248</v>
      </c>
      <c r="AY49" s="7">
        <f>J49*137</f>
        <v>137</v>
      </c>
      <c r="AZ49" s="8">
        <f t="shared" si="181"/>
        <v>111</v>
      </c>
      <c r="BA49" s="14">
        <f>AC49*AY49</f>
        <v>1356300</v>
      </c>
      <c r="BB49" s="7">
        <f>Q49*J49</f>
        <v>279</v>
      </c>
      <c r="BC49" s="7">
        <f>J49*154</f>
        <v>154</v>
      </c>
      <c r="BD49" s="8">
        <f t="shared" si="182"/>
        <v>125</v>
      </c>
      <c r="BE49" s="14">
        <f>BC49*AC49</f>
        <v>1524600</v>
      </c>
      <c r="BF49" s="7">
        <f t="shared" si="171"/>
        <v>125</v>
      </c>
      <c r="BG49" s="7">
        <f t="shared" si="183"/>
        <v>58</v>
      </c>
      <c r="BH49" s="8">
        <f t="shared" si="172"/>
        <v>67</v>
      </c>
      <c r="BI49" s="14">
        <f t="shared" si="173"/>
        <v>574200</v>
      </c>
      <c r="BJ49" s="7">
        <f>S49*J49</f>
        <v>62</v>
      </c>
      <c r="BK49" s="7">
        <f>J49*34</f>
        <v>34</v>
      </c>
      <c r="BL49" s="8">
        <f t="shared" si="174"/>
        <v>28</v>
      </c>
      <c r="BM49" s="14">
        <f>BK49*AC49</f>
        <v>336600</v>
      </c>
      <c r="BN49" s="7">
        <f>T49*J49</f>
        <v>279</v>
      </c>
      <c r="BO49" s="7">
        <f>J49*154</f>
        <v>154</v>
      </c>
      <c r="BP49" s="8">
        <f t="shared" si="184"/>
        <v>125</v>
      </c>
      <c r="BQ49" s="14">
        <f>BO49*AC49</f>
        <v>1524600</v>
      </c>
      <c r="BR49" s="7">
        <f>U49*J49</f>
        <v>186</v>
      </c>
      <c r="BS49" s="7">
        <f>J49*103</f>
        <v>103</v>
      </c>
      <c r="BT49" s="8">
        <f t="shared" si="176"/>
        <v>83</v>
      </c>
      <c r="BU49" s="14">
        <f>BS49*AC49</f>
        <v>1019700</v>
      </c>
      <c r="BV49" s="7">
        <f>V49*J49</f>
        <v>32</v>
      </c>
      <c r="BW49" s="7">
        <f>J49*18</f>
        <v>18</v>
      </c>
      <c r="BX49" s="8">
        <f t="shared" si="177"/>
        <v>14</v>
      </c>
      <c r="BY49" s="14">
        <f>BW49*AC49</f>
        <v>178200</v>
      </c>
      <c r="BZ49" s="7">
        <f>W49*J49</f>
        <v>12</v>
      </c>
      <c r="CA49" s="7">
        <f>J49*7</f>
        <v>7</v>
      </c>
      <c r="CB49" s="8">
        <f t="shared" si="178"/>
        <v>5</v>
      </c>
      <c r="CC49" s="14">
        <f>CA49*AC49</f>
        <v>69300</v>
      </c>
      <c r="CD49" s="7">
        <f>X49*J49</f>
        <v>186</v>
      </c>
      <c r="CE49" s="7">
        <f>J49*103</f>
        <v>103</v>
      </c>
      <c r="CF49" s="8">
        <f t="shared" si="179"/>
        <v>83</v>
      </c>
      <c r="CG49" s="14">
        <f>CE49*AC49</f>
        <v>1019700</v>
      </c>
      <c r="CH49" s="7">
        <f>Y49*J49</f>
        <v>186</v>
      </c>
      <c r="CI49" s="7">
        <f>J49*103</f>
        <v>103</v>
      </c>
      <c r="CJ49" s="8">
        <f t="shared" si="180"/>
        <v>83</v>
      </c>
      <c r="CK49" s="14">
        <f>CI49*AC49</f>
        <v>1019700</v>
      </c>
    </row>
    <row r="50" spans="2:90" x14ac:dyDescent="0.25">
      <c r="B50" s="7">
        <f>'PLAN DE NECESIDADES'!B41</f>
        <v>25</v>
      </c>
      <c r="C50" s="7">
        <f>'PLAN DE NECESIDADES'!C41</f>
        <v>3532324</v>
      </c>
      <c r="D50" s="60" t="str">
        <f>'PLAN DE NECESIDADES'!D41</f>
        <v>DESODORANTE ANTITRANSPIRANTE PARA MUJER:
DE 80 GRAMOS, ESPECIFICACIONES SEGÚN NORMA TÉCNICA NO. NTMD-0356 A2 ÍTEM  3.1.1.7</v>
      </c>
      <c r="E50" s="7" t="str">
        <f>'PLAN DE NECESIDADES'!E41</f>
        <v>UNIDAD</v>
      </c>
      <c r="F50" s="7">
        <f>'PLAN DE NECESIDADES'!F41</f>
        <v>0</v>
      </c>
      <c r="G50" s="7">
        <f>'PLAN DE NECESIDADES'!H41</f>
        <v>53131606</v>
      </c>
      <c r="H50" s="7">
        <f>'PLAN DE NECESIDADES'!I41</f>
        <v>1476318</v>
      </c>
      <c r="I50" s="7" t="str">
        <f>'PLAN DE NECESIDADES'!J41</f>
        <v>8510-80-0011400</v>
      </c>
      <c r="J50" s="7">
        <v>1</v>
      </c>
      <c r="K50" s="7"/>
      <c r="L50" s="85"/>
      <c r="M50" s="7"/>
      <c r="N50" s="7"/>
      <c r="O50" s="7"/>
      <c r="P50" s="7"/>
      <c r="Q50" s="85"/>
      <c r="R50" s="85">
        <v>125</v>
      </c>
      <c r="S50" s="7"/>
      <c r="T50" s="7"/>
      <c r="U50" s="7"/>
      <c r="V50" s="7"/>
      <c r="W50" s="85"/>
      <c r="X50" s="7"/>
      <c r="Y50" s="7"/>
      <c r="Z50" s="85">
        <f t="shared" si="163"/>
        <v>125</v>
      </c>
      <c r="AA50" s="7">
        <f t="shared" si="163"/>
        <v>58</v>
      </c>
      <c r="AB50" s="7">
        <f t="shared" si="163"/>
        <v>67</v>
      </c>
      <c r="AC50" s="12">
        <v>9900</v>
      </c>
      <c r="AD50" s="7"/>
      <c r="AE50" s="7"/>
      <c r="AF50" s="8"/>
      <c r="AG50" s="14"/>
      <c r="AH50" s="7"/>
      <c r="AI50" s="7"/>
      <c r="AJ50" s="8"/>
      <c r="AK50" s="14"/>
      <c r="AL50" s="7"/>
      <c r="AM50" s="7"/>
      <c r="AN50" s="8"/>
      <c r="AO50" s="14"/>
      <c r="AP50" s="7"/>
      <c r="AQ50" s="7"/>
      <c r="AR50" s="8"/>
      <c r="AS50" s="14"/>
      <c r="AT50" s="7"/>
      <c r="AU50" s="7"/>
      <c r="AV50" s="8"/>
      <c r="AW50" s="14"/>
      <c r="AX50" s="7"/>
      <c r="AY50" s="7"/>
      <c r="AZ50" s="8"/>
      <c r="BA50" s="14"/>
      <c r="BB50" s="7"/>
      <c r="BC50" s="7"/>
      <c r="BD50" s="8"/>
      <c r="BE50" s="14"/>
      <c r="BF50" s="7">
        <f t="shared" si="171"/>
        <v>125</v>
      </c>
      <c r="BG50" s="7">
        <f t="shared" si="183"/>
        <v>58</v>
      </c>
      <c r="BH50" s="8">
        <f t="shared" si="172"/>
        <v>67</v>
      </c>
      <c r="BI50" s="14">
        <f t="shared" si="173"/>
        <v>574200</v>
      </c>
      <c r="BJ50" s="7"/>
      <c r="BK50" s="7"/>
      <c r="BL50" s="8"/>
      <c r="BM50" s="14"/>
      <c r="BN50" s="7"/>
      <c r="BO50" s="7"/>
      <c r="BP50" s="8"/>
      <c r="BQ50" s="14"/>
      <c r="BR50" s="7"/>
      <c r="BS50" s="7"/>
      <c r="BT50" s="8"/>
      <c r="BU50" s="14"/>
      <c r="BV50" s="7"/>
      <c r="BW50" s="7"/>
      <c r="BX50" s="8"/>
      <c r="BY50" s="14"/>
      <c r="BZ50" s="7"/>
      <c r="CA50" s="7"/>
      <c r="CB50" s="8"/>
      <c r="CC50" s="14"/>
      <c r="CD50" s="7"/>
      <c r="CE50" s="7"/>
      <c r="CF50" s="8"/>
      <c r="CG50" s="14"/>
      <c r="CH50" s="7"/>
      <c r="CI50" s="7"/>
      <c r="CJ50" s="8"/>
      <c r="CK50" s="14"/>
    </row>
    <row r="51" spans="2:90" x14ac:dyDescent="0.25">
      <c r="B51" s="7">
        <f>'PLAN DE NECESIDADES'!B42</f>
        <v>26</v>
      </c>
      <c r="C51" s="7">
        <f>'PLAN DE NECESIDADES'!C42</f>
        <v>3532105</v>
      </c>
      <c r="D51" s="60" t="str">
        <f>'PLAN DE NECESIDADES'!D42</f>
        <v>JABÓN DE BAÑO ANTIBACTERIAL
130 GRAMOS: ESPECIFICACIONES SEGÚN NORMA TÉCNICA NO. NTMD-0356 A2 ÍTEM  3.1.1.8</v>
      </c>
      <c r="E51" s="7" t="str">
        <f>'PLAN DE NECESIDADES'!E42</f>
        <v>UNIDAD</v>
      </c>
      <c r="F51" s="7">
        <f>'PLAN DE NECESIDADES'!F42</f>
        <v>0</v>
      </c>
      <c r="G51" s="7">
        <f>'PLAN DE NECESIDADES'!H42</f>
        <v>53131608</v>
      </c>
      <c r="H51" s="7">
        <f>'PLAN DE NECESIDADES'!I42</f>
        <v>1013955</v>
      </c>
      <c r="I51" s="7" t="str">
        <f>'PLAN DE NECESIDADES'!J42</f>
        <v>8520-80-0011401</v>
      </c>
      <c r="J51" s="7">
        <v>2</v>
      </c>
      <c r="K51" s="85">
        <v>69</v>
      </c>
      <c r="L51" s="85">
        <v>217</v>
      </c>
      <c r="M51" s="85">
        <v>279</v>
      </c>
      <c r="N51" s="85">
        <v>217</v>
      </c>
      <c r="O51" s="85">
        <v>248</v>
      </c>
      <c r="P51" s="85">
        <v>248</v>
      </c>
      <c r="Q51" s="85">
        <v>279</v>
      </c>
      <c r="R51" s="85">
        <v>125</v>
      </c>
      <c r="S51" s="85">
        <v>62</v>
      </c>
      <c r="T51" s="85">
        <v>279</v>
      </c>
      <c r="U51" s="85">
        <v>186</v>
      </c>
      <c r="V51" s="85">
        <v>32</v>
      </c>
      <c r="W51" s="85">
        <v>12</v>
      </c>
      <c r="X51" s="85">
        <v>186</v>
      </c>
      <c r="Y51" s="85">
        <v>186</v>
      </c>
      <c r="Z51" s="85">
        <f t="shared" si="163"/>
        <v>5312</v>
      </c>
      <c r="AA51" s="7">
        <f t="shared" si="163"/>
        <v>2882</v>
      </c>
      <c r="AB51" s="7">
        <f t="shared" si="163"/>
        <v>2430</v>
      </c>
      <c r="AC51" s="12">
        <v>5800</v>
      </c>
      <c r="AD51" s="7">
        <f>K51*J51</f>
        <v>138</v>
      </c>
      <c r="AE51" s="7">
        <f>J51*38</f>
        <v>76</v>
      </c>
      <c r="AF51" s="8">
        <f t="shared" si="164"/>
        <v>62</v>
      </c>
      <c r="AG51" s="14">
        <f>AC51*AE51</f>
        <v>440800</v>
      </c>
      <c r="AH51" s="7">
        <f>L51*J51</f>
        <v>434</v>
      </c>
      <c r="AI51" s="7">
        <f>J51*120</f>
        <v>240</v>
      </c>
      <c r="AJ51" s="8">
        <f t="shared" si="165"/>
        <v>194</v>
      </c>
      <c r="AK51" s="14">
        <f>AC51*AI51</f>
        <v>1392000</v>
      </c>
      <c r="AL51" s="7">
        <f>M51*J51</f>
        <v>558</v>
      </c>
      <c r="AM51" s="7">
        <f>J51*154</f>
        <v>308</v>
      </c>
      <c r="AN51" s="8">
        <f t="shared" si="166"/>
        <v>250</v>
      </c>
      <c r="AO51" s="14">
        <f>AC51*AM51</f>
        <v>1786400</v>
      </c>
      <c r="AP51" s="7">
        <f>N51*J51</f>
        <v>434</v>
      </c>
      <c r="AQ51" s="7">
        <f>J51*120</f>
        <v>240</v>
      </c>
      <c r="AR51" s="8">
        <f t="shared" si="167"/>
        <v>194</v>
      </c>
      <c r="AS51" s="14">
        <f>AC51*AQ51</f>
        <v>1392000</v>
      </c>
      <c r="AT51" s="7">
        <f>M51*J51</f>
        <v>558</v>
      </c>
      <c r="AU51" s="7">
        <f>J51*137</f>
        <v>274</v>
      </c>
      <c r="AV51" s="8">
        <f t="shared" si="168"/>
        <v>284</v>
      </c>
      <c r="AW51" s="14">
        <f>AU51*AC51</f>
        <v>1589200</v>
      </c>
      <c r="AX51" s="7">
        <f>P51*J51</f>
        <v>496</v>
      </c>
      <c r="AY51" s="7">
        <f>J51*137</f>
        <v>274</v>
      </c>
      <c r="AZ51" s="8">
        <f t="shared" ref="AZ51:AZ52" si="185">AX51-AY51</f>
        <v>222</v>
      </c>
      <c r="BA51" s="14">
        <f>AC51*AY51</f>
        <v>1589200</v>
      </c>
      <c r="BB51" s="7">
        <f>Q51*J51</f>
        <v>558</v>
      </c>
      <c r="BC51" s="7">
        <f>J51*154</f>
        <v>308</v>
      </c>
      <c r="BD51" s="8">
        <f t="shared" ref="BD51:BD52" si="186">BB51-BC51</f>
        <v>250</v>
      </c>
      <c r="BE51" s="14">
        <f>BC51*AC51</f>
        <v>1786400</v>
      </c>
      <c r="BF51" s="7">
        <f t="shared" si="171"/>
        <v>250</v>
      </c>
      <c r="BG51" s="7">
        <f t="shared" si="183"/>
        <v>116</v>
      </c>
      <c r="BH51" s="8">
        <f t="shared" si="172"/>
        <v>134</v>
      </c>
      <c r="BI51" s="14">
        <f t="shared" si="173"/>
        <v>672800</v>
      </c>
      <c r="BJ51" s="7">
        <f>S51*J51</f>
        <v>124</v>
      </c>
      <c r="BK51" s="7">
        <f>J51*34</f>
        <v>68</v>
      </c>
      <c r="BL51" s="8">
        <f t="shared" si="174"/>
        <v>56</v>
      </c>
      <c r="BM51" s="14">
        <f>BK51*AC51</f>
        <v>394400</v>
      </c>
      <c r="BN51" s="7">
        <f>T51*J51</f>
        <v>558</v>
      </c>
      <c r="BO51" s="7">
        <f>J51*155</f>
        <v>310</v>
      </c>
      <c r="BP51" s="8">
        <f t="shared" si="184"/>
        <v>248</v>
      </c>
      <c r="BQ51" s="14">
        <f>BO51*AC51</f>
        <v>1798000</v>
      </c>
      <c r="BR51" s="7">
        <f>U51*J51</f>
        <v>372</v>
      </c>
      <c r="BS51" s="7">
        <f>J51*103</f>
        <v>206</v>
      </c>
      <c r="BT51" s="8">
        <f t="shared" si="176"/>
        <v>166</v>
      </c>
      <c r="BU51" s="14">
        <f>BS51*AC51</f>
        <v>1194800</v>
      </c>
      <c r="BV51" s="7">
        <f>V51*J51</f>
        <v>64</v>
      </c>
      <c r="BW51" s="7">
        <f>J51*18</f>
        <v>36</v>
      </c>
      <c r="BX51" s="8">
        <f t="shared" si="177"/>
        <v>28</v>
      </c>
      <c r="BY51" s="14">
        <f>BW51*AC51</f>
        <v>208800</v>
      </c>
      <c r="BZ51" s="7">
        <f>W51*J51</f>
        <v>24</v>
      </c>
      <c r="CA51" s="7">
        <f>J51*7</f>
        <v>14</v>
      </c>
      <c r="CB51" s="8">
        <f t="shared" si="178"/>
        <v>10</v>
      </c>
      <c r="CC51" s="14">
        <f>CA51*AC51</f>
        <v>81200</v>
      </c>
      <c r="CD51" s="7">
        <f>X51*J51</f>
        <v>372</v>
      </c>
      <c r="CE51" s="7">
        <f>J51*103</f>
        <v>206</v>
      </c>
      <c r="CF51" s="8">
        <f t="shared" si="179"/>
        <v>166</v>
      </c>
      <c r="CG51" s="14">
        <f>CE51*AC51</f>
        <v>1194800</v>
      </c>
      <c r="CH51" s="7">
        <f>Y51*J51</f>
        <v>372</v>
      </c>
      <c r="CI51" s="7">
        <f>J51*103</f>
        <v>206</v>
      </c>
      <c r="CJ51" s="8">
        <f t="shared" si="180"/>
        <v>166</v>
      </c>
      <c r="CK51" s="14">
        <f>CI51*AC51</f>
        <v>1194800</v>
      </c>
    </row>
    <row r="52" spans="2:90" x14ac:dyDescent="0.25">
      <c r="B52" s="7">
        <f>'PLAN DE NECESIDADES'!B43</f>
        <v>27</v>
      </c>
      <c r="C52" s="7">
        <f>'PLAN DE NECESIDADES'!C43</f>
        <v>3532101</v>
      </c>
      <c r="D52" s="60" t="str">
        <f>'PLAN DE NECESIDADES'!D43</f>
        <v>JABÓN PARA LAVAR ROPA:
DE 300 GRAMOS, ESPECIFICACIONES SEGÚN NORMA TÉCNICA NO. NTMD-0356 A2  ÍTEM  3.1.1.13</v>
      </c>
      <c r="E52" s="7" t="str">
        <f>'PLAN DE NECESIDADES'!E43</f>
        <v>UNIDAD</v>
      </c>
      <c r="F52" s="7">
        <f>'PLAN DE NECESIDADES'!F43</f>
        <v>0</v>
      </c>
      <c r="G52" s="7">
        <f>'PLAN DE NECESIDADES'!H43</f>
        <v>47131811</v>
      </c>
      <c r="H52" s="7">
        <f>'PLAN DE NECESIDADES'!I43</f>
        <v>1298675</v>
      </c>
      <c r="I52" s="7" t="str">
        <f>'PLAN DE NECESIDADES'!J43</f>
        <v>7930-80-0011405</v>
      </c>
      <c r="J52" s="7">
        <v>1</v>
      </c>
      <c r="K52" s="85">
        <v>69</v>
      </c>
      <c r="L52" s="85">
        <v>217</v>
      </c>
      <c r="M52" s="85">
        <v>279</v>
      </c>
      <c r="N52" s="85">
        <v>217</v>
      </c>
      <c r="O52" s="85">
        <v>248</v>
      </c>
      <c r="P52" s="85">
        <v>248</v>
      </c>
      <c r="Q52" s="85">
        <v>279</v>
      </c>
      <c r="R52" s="85">
        <v>125</v>
      </c>
      <c r="S52" s="85">
        <v>62</v>
      </c>
      <c r="T52" s="85">
        <v>279</v>
      </c>
      <c r="U52" s="85">
        <v>186</v>
      </c>
      <c r="V52" s="85">
        <v>32</v>
      </c>
      <c r="W52" s="85">
        <v>12</v>
      </c>
      <c r="X52" s="85">
        <v>186</v>
      </c>
      <c r="Y52" s="85">
        <v>186</v>
      </c>
      <c r="Z52" s="85">
        <f t="shared" si="163"/>
        <v>2656</v>
      </c>
      <c r="AA52" s="7">
        <f t="shared" si="163"/>
        <v>1447</v>
      </c>
      <c r="AB52" s="7">
        <f t="shared" si="163"/>
        <v>1209</v>
      </c>
      <c r="AC52" s="12">
        <v>3100</v>
      </c>
      <c r="AD52" s="7">
        <f>K52*J52</f>
        <v>69</v>
      </c>
      <c r="AE52" s="7">
        <f>J52*40</f>
        <v>40</v>
      </c>
      <c r="AF52" s="8">
        <f t="shared" si="164"/>
        <v>29</v>
      </c>
      <c r="AG52" s="14">
        <f>AC52*AE52</f>
        <v>124000</v>
      </c>
      <c r="AH52" s="7">
        <f>L52*J52</f>
        <v>217</v>
      </c>
      <c r="AI52" s="7">
        <f>J52*119</f>
        <v>119</v>
      </c>
      <c r="AJ52" s="8">
        <f t="shared" si="165"/>
        <v>98</v>
      </c>
      <c r="AK52" s="14">
        <f>AC52*AI52</f>
        <v>368900</v>
      </c>
      <c r="AL52" s="7">
        <f>M52*J52</f>
        <v>279</v>
      </c>
      <c r="AM52" s="7">
        <f>J52*155</f>
        <v>155</v>
      </c>
      <c r="AN52" s="8">
        <f t="shared" si="166"/>
        <v>124</v>
      </c>
      <c r="AO52" s="14">
        <f>AC52*AM52</f>
        <v>480500</v>
      </c>
      <c r="AP52" s="7">
        <f>N52*J52</f>
        <v>217</v>
      </c>
      <c r="AQ52" s="7">
        <f>J52*119</f>
        <v>119</v>
      </c>
      <c r="AR52" s="8">
        <f t="shared" si="167"/>
        <v>98</v>
      </c>
      <c r="AS52" s="14">
        <f>AC52*AQ52</f>
        <v>368900</v>
      </c>
      <c r="AT52" s="7">
        <f>M52*J52</f>
        <v>279</v>
      </c>
      <c r="AU52" s="7">
        <f>J52*139</f>
        <v>139</v>
      </c>
      <c r="AV52" s="8">
        <f t="shared" si="168"/>
        <v>140</v>
      </c>
      <c r="AW52" s="14">
        <f>AU52*AC52</f>
        <v>430900</v>
      </c>
      <c r="AX52" s="7">
        <f>P52*J52</f>
        <v>248</v>
      </c>
      <c r="AY52" s="7">
        <f>J52*139</f>
        <v>139</v>
      </c>
      <c r="AZ52" s="8">
        <f t="shared" si="185"/>
        <v>109</v>
      </c>
      <c r="BA52" s="14">
        <f>AC52*AY52</f>
        <v>430900</v>
      </c>
      <c r="BB52" s="7">
        <f>Q52*J52</f>
        <v>279</v>
      </c>
      <c r="BC52" s="7">
        <f>J52*155</f>
        <v>155</v>
      </c>
      <c r="BD52" s="8">
        <f t="shared" si="186"/>
        <v>124</v>
      </c>
      <c r="BE52" s="14">
        <f>BC52*AC52</f>
        <v>480500</v>
      </c>
      <c r="BF52" s="7">
        <f t="shared" si="171"/>
        <v>125</v>
      </c>
      <c r="BG52" s="7">
        <f t="shared" si="183"/>
        <v>58</v>
      </c>
      <c r="BH52" s="8">
        <f t="shared" si="172"/>
        <v>67</v>
      </c>
      <c r="BI52" s="14">
        <f t="shared" si="173"/>
        <v>179800</v>
      </c>
      <c r="BJ52" s="7">
        <f>S52*J52</f>
        <v>62</v>
      </c>
      <c r="BK52" s="7">
        <f>J52*35</f>
        <v>35</v>
      </c>
      <c r="BL52" s="8">
        <f t="shared" si="174"/>
        <v>27</v>
      </c>
      <c r="BM52" s="14">
        <f>BK52*AC52</f>
        <v>108500</v>
      </c>
      <c r="BN52" s="7">
        <f>T52*J52</f>
        <v>279</v>
      </c>
      <c r="BO52" s="7">
        <f>J52*154</f>
        <v>154</v>
      </c>
      <c r="BP52" s="8">
        <f t="shared" si="184"/>
        <v>125</v>
      </c>
      <c r="BQ52" s="14">
        <f>BO52*AC52</f>
        <v>477400</v>
      </c>
      <c r="BR52" s="7">
        <f>U52*J52</f>
        <v>186</v>
      </c>
      <c r="BS52" s="7">
        <f>J52*103</f>
        <v>103</v>
      </c>
      <c r="BT52" s="8">
        <f t="shared" si="176"/>
        <v>83</v>
      </c>
      <c r="BU52" s="14">
        <f>BS52*AC52</f>
        <v>319300</v>
      </c>
      <c r="BV52" s="7">
        <f>V52*J52</f>
        <v>32</v>
      </c>
      <c r="BW52" s="7">
        <f>J52*18</f>
        <v>18</v>
      </c>
      <c r="BX52" s="8">
        <f t="shared" si="177"/>
        <v>14</v>
      </c>
      <c r="BY52" s="14">
        <f>BW52*AC52</f>
        <v>55800</v>
      </c>
      <c r="BZ52" s="7">
        <f>W52*J52</f>
        <v>12</v>
      </c>
      <c r="CA52" s="7">
        <f>J52*7</f>
        <v>7</v>
      </c>
      <c r="CB52" s="8">
        <f t="shared" si="178"/>
        <v>5</v>
      </c>
      <c r="CC52" s="14">
        <f>CA52*AC52</f>
        <v>21700</v>
      </c>
      <c r="CD52" s="7">
        <f>X52*J52</f>
        <v>186</v>
      </c>
      <c r="CE52" s="7">
        <f>J52*103</f>
        <v>103</v>
      </c>
      <c r="CF52" s="8">
        <f t="shared" si="179"/>
        <v>83</v>
      </c>
      <c r="CG52" s="14">
        <f>CE52*AC52</f>
        <v>319300</v>
      </c>
      <c r="CH52" s="7">
        <f>Y52*J52</f>
        <v>186</v>
      </c>
      <c r="CI52" s="7">
        <f>J52*103</f>
        <v>103</v>
      </c>
      <c r="CJ52" s="8">
        <f t="shared" si="180"/>
        <v>83</v>
      </c>
      <c r="CK52" s="14">
        <f>CI52*AC52</f>
        <v>319300</v>
      </c>
    </row>
    <row r="53" spans="2:90" x14ac:dyDescent="0.25">
      <c r="B53" s="226" t="s">
        <v>18</v>
      </c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8">
        <f>SUM(AG46:AG52)</f>
        <v>2012600</v>
      </c>
      <c r="AE53" s="228"/>
      <c r="AF53" s="228"/>
      <c r="AG53" s="228"/>
      <c r="AH53" s="228">
        <f t="shared" ref="AH53" si="187">SUM(AK46:AK52)</f>
        <v>6332900</v>
      </c>
      <c r="AI53" s="228"/>
      <c r="AJ53" s="228"/>
      <c r="AK53" s="228"/>
      <c r="AL53" s="228">
        <f t="shared" ref="AL53" si="188">SUM(AO46:AO52)</f>
        <v>8143800</v>
      </c>
      <c r="AM53" s="228"/>
      <c r="AN53" s="228"/>
      <c r="AO53" s="228"/>
      <c r="AP53" s="228">
        <f t="shared" ref="AP53" si="189">SUM(AS46:AS52)</f>
        <v>6332900</v>
      </c>
      <c r="AQ53" s="228"/>
      <c r="AR53" s="228"/>
      <c r="AS53" s="228"/>
      <c r="AT53" s="228">
        <f t="shared" ref="AT53" si="190">SUM(AW46:AW52)</f>
        <v>7239800</v>
      </c>
      <c r="AU53" s="228"/>
      <c r="AV53" s="228"/>
      <c r="AW53" s="228"/>
      <c r="AX53" s="228">
        <f t="shared" ref="AX53" si="191">SUM(BA46:BA52)</f>
        <v>7239800</v>
      </c>
      <c r="AY53" s="228"/>
      <c r="AZ53" s="228"/>
      <c r="BA53" s="228"/>
      <c r="BB53" s="228">
        <f t="shared" ref="BB53" si="192">SUM(BE46:BE52)</f>
        <v>8144300</v>
      </c>
      <c r="BC53" s="228"/>
      <c r="BD53" s="228"/>
      <c r="BE53" s="228"/>
      <c r="BF53" s="228">
        <f t="shared" ref="BF53" si="193">SUM(BI46:BI52)</f>
        <v>3646600</v>
      </c>
      <c r="BG53" s="228"/>
      <c r="BH53" s="228"/>
      <c r="BI53" s="228"/>
      <c r="BJ53" s="228">
        <f t="shared" ref="BJ53" si="194">SUM(BM46:BM52)</f>
        <v>1807000</v>
      </c>
      <c r="BK53" s="228"/>
      <c r="BL53" s="228"/>
      <c r="BM53" s="228"/>
      <c r="BN53" s="228">
        <f t="shared" ref="BN53" si="195">SUM(BQ46:BQ52)</f>
        <v>8142800</v>
      </c>
      <c r="BO53" s="228"/>
      <c r="BP53" s="228"/>
      <c r="BQ53" s="228"/>
      <c r="BR53" s="228">
        <f t="shared" ref="BR53" si="196">SUM(BU46:BU52)</f>
        <v>5429700</v>
      </c>
      <c r="BS53" s="228"/>
      <c r="BT53" s="228"/>
      <c r="BU53" s="228"/>
      <c r="BV53" s="228">
        <f t="shared" ref="BV53" si="197">SUM(BY46:BY52)</f>
        <v>931700</v>
      </c>
      <c r="BW53" s="228"/>
      <c r="BX53" s="228"/>
      <c r="BY53" s="228"/>
      <c r="BZ53" s="228">
        <f t="shared" ref="BZ53" si="198">SUM(CC46:CC52)</f>
        <v>350100</v>
      </c>
      <c r="CA53" s="228"/>
      <c r="CB53" s="228"/>
      <c r="CC53" s="228"/>
      <c r="CD53" s="228">
        <f t="shared" ref="CD53" si="199">SUM(CG46:CG52)</f>
        <v>5429700</v>
      </c>
      <c r="CE53" s="228"/>
      <c r="CF53" s="228"/>
      <c r="CG53" s="228"/>
      <c r="CH53" s="228">
        <f t="shared" ref="CH53" si="200">SUM(CK46:CK52)</f>
        <v>5428900</v>
      </c>
      <c r="CI53" s="228"/>
      <c r="CJ53" s="228"/>
      <c r="CK53" s="228"/>
    </row>
    <row r="54" spans="2:90" x14ac:dyDescent="0.25">
      <c r="B54" s="226" t="s">
        <v>19</v>
      </c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8">
        <f>SUMIFS(PRESUPUESTO!$G$105:$G$119,PRESUPUESTO!$E$105:$E$119,AD44)</f>
        <v>2014359.2411428571</v>
      </c>
      <c r="AE54" s="228"/>
      <c r="AF54" s="228"/>
      <c r="AG54" s="228"/>
      <c r="AH54" s="228">
        <f>SUMIFS(PRESUPUESTO!$G$105:$G$119,PRESUPUESTO!$E$105:$E$119,AH44)</f>
        <v>6335013.8453333331</v>
      </c>
      <c r="AI54" s="228"/>
      <c r="AJ54" s="228"/>
      <c r="AK54" s="228"/>
      <c r="AL54" s="228">
        <f>SUMIFS(PRESUPUESTO!$G$105:$G$119,PRESUPUESTO!$E$105:$E$119,AL44)</f>
        <v>8145017.8011428565</v>
      </c>
      <c r="AM54" s="228"/>
      <c r="AN54" s="228"/>
      <c r="AO54" s="228"/>
      <c r="AP54" s="228">
        <f>SUMIFS(PRESUPUESTO!$G$105:$G$119,PRESUPUESTO!$E$105:$E$119,AP44)</f>
        <v>6335013.8453333331</v>
      </c>
      <c r="AQ54" s="228"/>
      <c r="AR54" s="228"/>
      <c r="AS54" s="228"/>
      <c r="AT54" s="228">
        <f>SUMIFS(PRESUPUESTO!$G$105:$G$119,PRESUPUESTO!$E$105:$E$119,AT44)</f>
        <v>7240015.8232380953</v>
      </c>
      <c r="AU54" s="228"/>
      <c r="AV54" s="228"/>
      <c r="AW54" s="228"/>
      <c r="AX54" s="228">
        <f>SUMIFS(PRESUPUESTO!$G$105:$G$119,PRESUPUESTO!$E$105:$E$119,AX44)</f>
        <v>7240015.8232380953</v>
      </c>
      <c r="AY54" s="228"/>
      <c r="AZ54" s="228"/>
      <c r="BA54" s="228"/>
      <c r="BB54" s="228">
        <f>SUMIFS(PRESUPUESTO!$G$105:$G$119,PRESUPUESTO!$E$105:$E$119,BB44)</f>
        <v>8145017.8011428565</v>
      </c>
      <c r="BC54" s="228"/>
      <c r="BD54" s="228"/>
      <c r="BE54" s="228"/>
      <c r="BF54" s="228">
        <f>SUMIFS(PRESUPUESTO!$G$105:$G$119,PRESUPUESTO!$E$105:$E$119,BF44)</f>
        <v>3649201.5238095238</v>
      </c>
      <c r="BG54" s="228"/>
      <c r="BH54" s="228"/>
      <c r="BI54" s="228"/>
      <c r="BJ54" s="228">
        <f>SUMIFS(PRESUPUESTO!$G$105:$G$119,PRESUPUESTO!$E$105:$E$119,BJ44)</f>
        <v>1810003.9558095238</v>
      </c>
      <c r="BK54" s="228"/>
      <c r="BL54" s="228"/>
      <c r="BM54" s="228"/>
      <c r="BN54" s="228">
        <f>SUMIFS(PRESUPUESTO!$G$105:$G$119,PRESUPUESTO!$E$105:$E$119,BN44)</f>
        <v>8145017.8011428565</v>
      </c>
      <c r="BO54" s="228"/>
      <c r="BP54" s="228"/>
      <c r="BQ54" s="228"/>
      <c r="BR54" s="228">
        <f>SUMIFS(PRESUPUESTO!$G$105:$G$119,PRESUPUESTO!$E$105:$E$119,BR44)</f>
        <v>5430011.867428571</v>
      </c>
      <c r="BS54" s="228"/>
      <c r="BT54" s="228"/>
      <c r="BU54" s="228"/>
      <c r="BV54" s="228">
        <f>SUMIFS(PRESUPUESTO!$G$105:$G$119,PRESUPUESTO!$E$105:$E$119,BV44)</f>
        <v>934195.59009523806</v>
      </c>
      <c r="BW54" s="228"/>
      <c r="BX54" s="228"/>
      <c r="BY54" s="228"/>
      <c r="BZ54" s="228">
        <f>SUMIFS(PRESUPUESTO!$G$105:$G$119,PRESUPUESTO!$E$105:$E$119,BZ44)</f>
        <v>350323.3462857143</v>
      </c>
      <c r="CA54" s="228"/>
      <c r="CB54" s="228"/>
      <c r="CC54" s="228"/>
      <c r="CD54" s="228">
        <f>SUMIFS(PRESUPUESTO!$G$105:$G$119,PRESUPUESTO!$E$105:$E$119,CD44)</f>
        <v>5430011.867428571</v>
      </c>
      <c r="CE54" s="228"/>
      <c r="CF54" s="228"/>
      <c r="CG54" s="228"/>
      <c r="CH54" s="228">
        <f>SUMIFS(PRESUPUESTO!$G$105:$G$119,PRESUPUESTO!$E$105:$E$119,CH44)</f>
        <v>5430011.867428571</v>
      </c>
      <c r="CI54" s="228"/>
      <c r="CJ54" s="228"/>
      <c r="CK54" s="228"/>
      <c r="CL54" s="35">
        <f>SUM(AD54:CK54)</f>
        <v>76633232</v>
      </c>
    </row>
    <row r="55" spans="2:90" x14ac:dyDescent="0.25">
      <c r="B55" s="226" t="s">
        <v>10</v>
      </c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9">
        <f>AD54-AD53</f>
        <v>1759.2411428571213</v>
      </c>
      <c r="AE55" s="230"/>
      <c r="AF55" s="230"/>
      <c r="AG55" s="231"/>
      <c r="AH55" s="224">
        <f>AH54-AH53</f>
        <v>2113.8453333331272</v>
      </c>
      <c r="AI55" s="224"/>
      <c r="AJ55" s="224"/>
      <c r="AK55" s="224"/>
      <c r="AL55" s="224">
        <f>AL54-AL53</f>
        <v>1217.8011428564787</v>
      </c>
      <c r="AM55" s="224"/>
      <c r="AN55" s="224"/>
      <c r="AO55" s="224"/>
      <c r="AP55" s="224">
        <f t="shared" ref="AP55" si="201">AP54-AP53</f>
        <v>2113.8453333331272</v>
      </c>
      <c r="AQ55" s="224"/>
      <c r="AR55" s="224"/>
      <c r="AS55" s="224"/>
      <c r="AT55" s="224">
        <f>AT54-AT53</f>
        <v>215.82323809526861</v>
      </c>
      <c r="AU55" s="224"/>
      <c r="AV55" s="224"/>
      <c r="AW55" s="224"/>
      <c r="AX55" s="224">
        <f>AX54-AX53</f>
        <v>215.82323809526861</v>
      </c>
      <c r="AY55" s="224"/>
      <c r="AZ55" s="224"/>
      <c r="BA55" s="224"/>
      <c r="BB55" s="224">
        <f>BB54-BB53</f>
        <v>717.80114285647869</v>
      </c>
      <c r="BC55" s="224"/>
      <c r="BD55" s="224"/>
      <c r="BE55" s="224"/>
      <c r="BF55" s="224">
        <f t="shared" ref="BF55" si="202">BF54-BF53</f>
        <v>2601.5238095237873</v>
      </c>
      <c r="BG55" s="224"/>
      <c r="BH55" s="224"/>
      <c r="BI55" s="224"/>
      <c r="BJ55" s="224">
        <f>BJ54-BJ53</f>
        <v>3003.9558095238172</v>
      </c>
      <c r="BK55" s="224"/>
      <c r="BL55" s="224"/>
      <c r="BM55" s="224"/>
      <c r="BN55" s="224">
        <f>BN54-BN53</f>
        <v>2217.8011428564787</v>
      </c>
      <c r="BO55" s="224"/>
      <c r="BP55" s="224"/>
      <c r="BQ55" s="224"/>
      <c r="BR55" s="224">
        <f>BR54-BR53</f>
        <v>311.86742857098579</v>
      </c>
      <c r="BS55" s="224"/>
      <c r="BT55" s="224"/>
      <c r="BU55" s="224"/>
      <c r="BV55" s="224">
        <f t="shared" ref="BV55" si="203">BV54-BV53</f>
        <v>2495.5900952380616</v>
      </c>
      <c r="BW55" s="224"/>
      <c r="BX55" s="224"/>
      <c r="BY55" s="224"/>
      <c r="BZ55" s="224">
        <f>BZ54-BZ53</f>
        <v>223.34628571430221</v>
      </c>
      <c r="CA55" s="224"/>
      <c r="CB55" s="224"/>
      <c r="CC55" s="224"/>
      <c r="CD55" s="224">
        <f>CD54-CD53</f>
        <v>311.86742857098579</v>
      </c>
      <c r="CE55" s="224"/>
      <c r="CF55" s="224"/>
      <c r="CG55" s="224"/>
      <c r="CH55" s="224">
        <f>CH54-CH53</f>
        <v>1111.8674285709858</v>
      </c>
      <c r="CI55" s="224"/>
      <c r="CJ55" s="224"/>
      <c r="CK55" s="224"/>
    </row>
    <row r="57" spans="2:90" x14ac:dyDescent="0.25">
      <c r="B57" s="199" t="s">
        <v>47</v>
      </c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199"/>
      <c r="AE57" s="200"/>
      <c r="AF57" s="200"/>
      <c r="AG57" s="200"/>
      <c r="AH57" s="200"/>
      <c r="AI57" s="200"/>
      <c r="AJ57" s="200"/>
      <c r="AK57" s="200"/>
      <c r="AL57" s="200"/>
      <c r="AM57" s="200"/>
      <c r="AN57" s="200"/>
      <c r="AO57" s="200"/>
      <c r="AP57" s="200"/>
      <c r="AQ57" s="199"/>
      <c r="AR57" s="200"/>
      <c r="AS57" s="200"/>
      <c r="AT57" s="200"/>
      <c r="AU57" s="200"/>
      <c r="AV57" s="200"/>
      <c r="AW57" s="200"/>
      <c r="AX57" s="200"/>
      <c r="AY57" s="200"/>
      <c r="AZ57" s="200"/>
      <c r="BA57" s="200"/>
      <c r="BB57" s="200"/>
      <c r="BC57" s="200"/>
      <c r="BD57" s="199"/>
      <c r="BE57" s="200"/>
      <c r="BF57" s="200"/>
      <c r="BG57" s="200"/>
      <c r="BH57" s="200"/>
      <c r="BI57" s="200"/>
      <c r="BJ57" s="200"/>
      <c r="BK57" s="200"/>
      <c r="BL57" s="200"/>
      <c r="BM57" s="200"/>
      <c r="BN57" s="200"/>
      <c r="BO57" s="200"/>
      <c r="BP57" s="200"/>
      <c r="BQ57" s="199"/>
      <c r="BR57" s="200"/>
      <c r="BS57" s="200"/>
      <c r="BT57" s="200"/>
      <c r="BU57" s="200"/>
      <c r="BV57" s="200"/>
      <c r="BW57" s="200"/>
      <c r="BX57" s="200"/>
      <c r="BY57" s="200"/>
      <c r="BZ57" s="200"/>
      <c r="CA57" s="200"/>
      <c r="CB57" s="200"/>
      <c r="CC57" s="200"/>
      <c r="CD57" s="199"/>
      <c r="CE57" s="200"/>
      <c r="CF57" s="200"/>
      <c r="CG57" s="200"/>
      <c r="CH57" s="200"/>
      <c r="CI57" s="200"/>
      <c r="CJ57" s="200"/>
      <c r="CK57" s="200"/>
    </row>
    <row r="58" spans="2:90" ht="28.5" customHeight="1" x14ac:dyDescent="0.25">
      <c r="B58" s="225" t="str">
        <f>'PLAN DE NECESIDADES'!B47</f>
        <v>ÍTEM</v>
      </c>
      <c r="C58" s="225" t="str">
        <f>'PLAN DE NECESIDADES'!C47</f>
        <v>CÓDIGO DANE</v>
      </c>
      <c r="D58" s="226" t="str">
        <f>'PLAN DE NECESIDADES'!D47</f>
        <v xml:space="preserve">DESCRIPCIÓN DEL BIEN Y/O SERVICIO </v>
      </c>
      <c r="E58" s="225" t="str">
        <f>'PLAN DE NECESIDADES'!E47</f>
        <v>UNIDAD MEDIDA</v>
      </c>
      <c r="F58" s="225" t="str">
        <f>'PLAN DE NECESIDADES'!F47</f>
        <v>EXISTENCIAS (STOCK - INVENTARIOS)</v>
      </c>
      <c r="G58" s="225" t="str">
        <f>'PLAN DE NECESIDADES'!H47</f>
        <v>UNSPSC (CCE)</v>
      </c>
      <c r="H58" s="225" t="str">
        <f>'PLAN DE NECESIDADES'!I47</f>
        <v xml:space="preserve">CÓDIGO MATERIAL SAP </v>
      </c>
      <c r="I58" s="225" t="str">
        <f>'PLAN DE NECESIDADES'!J47</f>
        <v xml:space="preserve">CÓDIGO OTAN - NOC </v>
      </c>
      <c r="J58" s="205" t="s">
        <v>155</v>
      </c>
      <c r="K58" s="203" t="str">
        <f>AD58</f>
        <v>BAABS3</v>
      </c>
      <c r="L58" s="203" t="str">
        <f>AH58</f>
        <v>BAACA10</v>
      </c>
      <c r="M58" s="203" t="str">
        <f>AL58</f>
        <v>BAACA2</v>
      </c>
      <c r="N58" s="203" t="str">
        <f>AP58</f>
        <v>BAADA1</v>
      </c>
      <c r="O58" s="203" t="str">
        <f>AT58</f>
        <v>BAEEV2</v>
      </c>
      <c r="P58" s="203" t="str">
        <f>AX58</f>
        <v>BAEEV3</v>
      </c>
      <c r="Q58" s="203" t="str">
        <f>BB58</f>
        <v>BAMMA7</v>
      </c>
      <c r="R58" s="203" t="str">
        <f>BF58</f>
        <v>BASPC10</v>
      </c>
      <c r="S58" s="203" t="str">
        <f>BJ58</f>
        <v>BASAC</v>
      </c>
      <c r="T58" s="203" t="str">
        <f>BN58</f>
        <v>BICAR</v>
      </c>
      <c r="U58" s="203" t="str">
        <f>BR58</f>
        <v>BIMOC70</v>
      </c>
      <c r="V58" s="203" t="str">
        <f>BV58</f>
        <v>BITER10</v>
      </c>
      <c r="W58" s="203" t="str">
        <f>BZ58</f>
        <v>DIM15</v>
      </c>
      <c r="X58" s="203" t="str">
        <f>CD58</f>
        <v>GMMAT</v>
      </c>
      <c r="Y58" s="203" t="str">
        <f>CH58</f>
        <v>GMRON</v>
      </c>
      <c r="Z58" s="209" t="s">
        <v>13</v>
      </c>
      <c r="AA58" s="227" t="s">
        <v>14</v>
      </c>
      <c r="AB58" s="227" t="s">
        <v>12</v>
      </c>
      <c r="AC58" s="227" t="s">
        <v>4</v>
      </c>
      <c r="AD58" s="214" t="s">
        <v>29</v>
      </c>
      <c r="AE58" s="215"/>
      <c r="AF58" s="215"/>
      <c r="AG58" s="216"/>
      <c r="AH58" s="217" t="s">
        <v>30</v>
      </c>
      <c r="AI58" s="218"/>
      <c r="AJ58" s="218"/>
      <c r="AK58" s="219"/>
      <c r="AL58" s="196" t="s">
        <v>31</v>
      </c>
      <c r="AM58" s="197"/>
      <c r="AN58" s="197"/>
      <c r="AO58" s="198"/>
      <c r="AP58" s="211" t="s">
        <v>32</v>
      </c>
      <c r="AQ58" s="212"/>
      <c r="AR58" s="212"/>
      <c r="AS58" s="213"/>
      <c r="AT58" s="214" t="s">
        <v>27</v>
      </c>
      <c r="AU58" s="215"/>
      <c r="AV58" s="215"/>
      <c r="AW58" s="216"/>
      <c r="AX58" s="217" t="s">
        <v>33</v>
      </c>
      <c r="AY58" s="218"/>
      <c r="AZ58" s="218"/>
      <c r="BA58" s="219"/>
      <c r="BB58" s="196" t="s">
        <v>66</v>
      </c>
      <c r="BC58" s="197"/>
      <c r="BD58" s="197"/>
      <c r="BE58" s="198"/>
      <c r="BF58" s="211" t="s">
        <v>67</v>
      </c>
      <c r="BG58" s="212"/>
      <c r="BH58" s="212"/>
      <c r="BI58" s="213"/>
      <c r="BJ58" s="214" t="s">
        <v>34</v>
      </c>
      <c r="BK58" s="215"/>
      <c r="BL58" s="215"/>
      <c r="BM58" s="216"/>
      <c r="BN58" s="217" t="s">
        <v>35</v>
      </c>
      <c r="BO58" s="218"/>
      <c r="BP58" s="218"/>
      <c r="BQ58" s="219"/>
      <c r="BR58" s="196" t="s">
        <v>68</v>
      </c>
      <c r="BS58" s="197"/>
      <c r="BT58" s="197"/>
      <c r="BU58" s="198"/>
      <c r="BV58" s="211" t="s">
        <v>36</v>
      </c>
      <c r="BW58" s="212"/>
      <c r="BX58" s="212"/>
      <c r="BY58" s="213"/>
      <c r="BZ58" s="214" t="s">
        <v>37</v>
      </c>
      <c r="CA58" s="215"/>
      <c r="CB58" s="215"/>
      <c r="CC58" s="216"/>
      <c r="CD58" s="217" t="s">
        <v>69</v>
      </c>
      <c r="CE58" s="218"/>
      <c r="CF58" s="218"/>
      <c r="CG58" s="219"/>
      <c r="CH58" s="196" t="s">
        <v>38</v>
      </c>
      <c r="CI58" s="197"/>
      <c r="CJ58" s="197"/>
      <c r="CK58" s="198"/>
    </row>
    <row r="59" spans="2:90" ht="28.5" customHeight="1" x14ac:dyDescent="0.25">
      <c r="B59" s="225"/>
      <c r="C59" s="225"/>
      <c r="D59" s="226"/>
      <c r="E59" s="225"/>
      <c r="F59" s="225"/>
      <c r="G59" s="225"/>
      <c r="H59" s="225"/>
      <c r="I59" s="225"/>
      <c r="J59" s="206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10"/>
      <c r="AA59" s="227"/>
      <c r="AB59" s="227"/>
      <c r="AC59" s="227"/>
      <c r="AD59" s="20" t="s">
        <v>15</v>
      </c>
      <c r="AE59" s="21" t="s">
        <v>16</v>
      </c>
      <c r="AF59" s="22" t="s">
        <v>17</v>
      </c>
      <c r="AG59" s="20" t="s">
        <v>20</v>
      </c>
      <c r="AH59" s="3" t="s">
        <v>15</v>
      </c>
      <c r="AI59" s="4" t="s">
        <v>16</v>
      </c>
      <c r="AJ59" s="5" t="s">
        <v>17</v>
      </c>
      <c r="AK59" s="3" t="s">
        <v>20</v>
      </c>
      <c r="AL59" s="51" t="s">
        <v>15</v>
      </c>
      <c r="AM59" s="23" t="s">
        <v>16</v>
      </c>
      <c r="AN59" s="24" t="s">
        <v>17</v>
      </c>
      <c r="AO59" s="51" t="s">
        <v>20</v>
      </c>
      <c r="AP59" s="25" t="s">
        <v>15</v>
      </c>
      <c r="AQ59" s="26" t="s">
        <v>16</v>
      </c>
      <c r="AR59" s="27" t="s">
        <v>17</v>
      </c>
      <c r="AS59" s="25" t="s">
        <v>20</v>
      </c>
      <c r="AT59" s="20" t="s">
        <v>15</v>
      </c>
      <c r="AU59" s="21" t="s">
        <v>16</v>
      </c>
      <c r="AV59" s="22" t="s">
        <v>17</v>
      </c>
      <c r="AW59" s="20" t="s">
        <v>20</v>
      </c>
      <c r="AX59" s="3" t="s">
        <v>15</v>
      </c>
      <c r="AY59" s="4" t="s">
        <v>16</v>
      </c>
      <c r="AZ59" s="5" t="s">
        <v>17</v>
      </c>
      <c r="BA59" s="3" t="s">
        <v>20</v>
      </c>
      <c r="BB59" s="51" t="s">
        <v>15</v>
      </c>
      <c r="BC59" s="23" t="s">
        <v>16</v>
      </c>
      <c r="BD59" s="24" t="s">
        <v>17</v>
      </c>
      <c r="BE59" s="51" t="s">
        <v>20</v>
      </c>
      <c r="BF59" s="25" t="s">
        <v>15</v>
      </c>
      <c r="BG59" s="26" t="s">
        <v>16</v>
      </c>
      <c r="BH59" s="27" t="s">
        <v>17</v>
      </c>
      <c r="BI59" s="25" t="s">
        <v>20</v>
      </c>
      <c r="BJ59" s="20" t="s">
        <v>15</v>
      </c>
      <c r="BK59" s="21" t="s">
        <v>16</v>
      </c>
      <c r="BL59" s="22" t="s">
        <v>17</v>
      </c>
      <c r="BM59" s="20" t="s">
        <v>20</v>
      </c>
      <c r="BN59" s="3" t="s">
        <v>15</v>
      </c>
      <c r="BO59" s="4" t="s">
        <v>16</v>
      </c>
      <c r="BP59" s="5" t="s">
        <v>17</v>
      </c>
      <c r="BQ59" s="3" t="s">
        <v>20</v>
      </c>
      <c r="BR59" s="51" t="s">
        <v>15</v>
      </c>
      <c r="BS59" s="23" t="s">
        <v>16</v>
      </c>
      <c r="BT59" s="24" t="s">
        <v>17</v>
      </c>
      <c r="BU59" s="51" t="s">
        <v>20</v>
      </c>
      <c r="BV59" s="25" t="s">
        <v>15</v>
      </c>
      <c r="BW59" s="26" t="s">
        <v>16</v>
      </c>
      <c r="BX59" s="27" t="s">
        <v>17</v>
      </c>
      <c r="BY59" s="25" t="s">
        <v>20</v>
      </c>
      <c r="BZ59" s="20" t="s">
        <v>15</v>
      </c>
      <c r="CA59" s="21" t="s">
        <v>16</v>
      </c>
      <c r="CB59" s="22" t="s">
        <v>17</v>
      </c>
      <c r="CC59" s="20" t="s">
        <v>20</v>
      </c>
      <c r="CD59" s="3" t="s">
        <v>15</v>
      </c>
      <c r="CE59" s="4" t="s">
        <v>16</v>
      </c>
      <c r="CF59" s="5" t="s">
        <v>17</v>
      </c>
      <c r="CG59" s="3" t="s">
        <v>20</v>
      </c>
      <c r="CH59" s="51" t="s">
        <v>15</v>
      </c>
      <c r="CI59" s="23" t="s">
        <v>16</v>
      </c>
      <c r="CJ59" s="24" t="s">
        <v>17</v>
      </c>
      <c r="CK59" s="51" t="s">
        <v>20</v>
      </c>
    </row>
    <row r="60" spans="2:90" x14ac:dyDescent="0.25">
      <c r="B60" s="7">
        <f>'PLAN DE NECESIDADES'!B48</f>
        <v>28</v>
      </c>
      <c r="C60" s="7">
        <f>'PLAN DE NECESIDADES'!C48</f>
        <v>3699056</v>
      </c>
      <c r="D60" s="60" t="str">
        <f>'PLAN DE NECESIDADES'!D48</f>
        <v>PROTECTORES  AUDITIVOS: 
DEBEN SER PRES MOLDEADOS DE TIPO TAPÓN, SE DEBEN AJUSTAR AL CANAL AUDITIVO DE CASI TODAS LAS PERSONAS. DEBEN LLEVAR TRIPLE REBORDE CON DISEÑO DE FÁCIL INSERCIÓN: ESPECIFICACIONES SEGÚN NORMA TÉCNICA NO. NTMD-0356 A2 ÍTEM  3.1.1.1</v>
      </c>
      <c r="E60" s="7" t="str">
        <f>'PLAN DE NECESIDADES'!E48</f>
        <v>UNIDAD</v>
      </c>
      <c r="F60" s="7">
        <f>'PLAN DE NECESIDADES'!F48</f>
        <v>0</v>
      </c>
      <c r="G60" s="7">
        <f>'PLAN DE NECESIDADES'!H48</f>
        <v>46181902</v>
      </c>
      <c r="H60" s="7">
        <f>'PLAN DE NECESIDADES'!I48</f>
        <v>1447319</v>
      </c>
      <c r="I60" s="7" t="str">
        <f>'PLAN DE NECESIDADES'!J48</f>
        <v>6515-80-0011408</v>
      </c>
      <c r="J60" s="7">
        <v>1</v>
      </c>
      <c r="K60" s="85">
        <v>69</v>
      </c>
      <c r="L60" s="85">
        <v>217</v>
      </c>
      <c r="M60" s="85">
        <v>279</v>
      </c>
      <c r="N60" s="85">
        <v>217</v>
      </c>
      <c r="O60" s="85">
        <v>248</v>
      </c>
      <c r="P60" s="85">
        <v>248</v>
      </c>
      <c r="Q60" s="85">
        <v>279</v>
      </c>
      <c r="R60" s="85">
        <v>125</v>
      </c>
      <c r="S60" s="85">
        <v>62</v>
      </c>
      <c r="T60" s="85">
        <v>279</v>
      </c>
      <c r="U60" s="85">
        <v>186</v>
      </c>
      <c r="V60" s="85">
        <v>32</v>
      </c>
      <c r="W60" s="85">
        <v>12</v>
      </c>
      <c r="X60" s="85">
        <v>186</v>
      </c>
      <c r="Y60" s="85">
        <v>186</v>
      </c>
      <c r="Z60" s="85">
        <f t="shared" ref="Z60:AB62" si="204">SUM(AD60,AH60,AL60,AP60,AT60,AX60,BB60,BF60,BJ60,BN60,BR60,BV60,BZ60,CD60,CH60)</f>
        <v>2656</v>
      </c>
      <c r="AA60" s="7">
        <f t="shared" si="204"/>
        <v>1805</v>
      </c>
      <c r="AB60" s="7">
        <f t="shared" si="204"/>
        <v>851</v>
      </c>
      <c r="AC60" s="12">
        <v>2500</v>
      </c>
      <c r="AD60" s="7">
        <f>K60*J60</f>
        <v>69</v>
      </c>
      <c r="AE60" s="7">
        <f>J60*47</f>
        <v>47</v>
      </c>
      <c r="AF60" s="8">
        <f t="shared" ref="AF60:AF62" si="205">AD60-AE60</f>
        <v>22</v>
      </c>
      <c r="AG60" s="14">
        <f>AC60*AE60</f>
        <v>117500</v>
      </c>
      <c r="AH60" s="7">
        <f>L60*J60</f>
        <v>217</v>
      </c>
      <c r="AI60" s="7">
        <f>J60*149</f>
        <v>149</v>
      </c>
      <c r="AJ60" s="8">
        <f t="shared" ref="AJ60:AJ62" si="206">AH60-AI60</f>
        <v>68</v>
      </c>
      <c r="AK60" s="14">
        <f>AC60*AI60</f>
        <v>372500</v>
      </c>
      <c r="AL60" s="7">
        <f>M60*J60</f>
        <v>279</v>
      </c>
      <c r="AM60" s="7">
        <f>J60*192</f>
        <v>192</v>
      </c>
      <c r="AN60" s="8">
        <f t="shared" ref="AN60:AN62" si="207">AL60-AM60</f>
        <v>87</v>
      </c>
      <c r="AO60" s="14">
        <f>AC60*AM60</f>
        <v>480000</v>
      </c>
      <c r="AP60" s="7">
        <f>N60*J60</f>
        <v>217</v>
      </c>
      <c r="AQ60" s="7">
        <f>J60*149</f>
        <v>149</v>
      </c>
      <c r="AR60" s="8">
        <f t="shared" ref="AR60:AR62" si="208">AP60-AQ60</f>
        <v>68</v>
      </c>
      <c r="AS60" s="14">
        <f>AC60*AQ60</f>
        <v>372500</v>
      </c>
      <c r="AT60" s="7">
        <f>M60*J60</f>
        <v>279</v>
      </c>
      <c r="AU60" s="7">
        <f>J60*171</f>
        <v>171</v>
      </c>
      <c r="AV60" s="8">
        <f t="shared" ref="AV60:AV62" si="209">AT60-AU60</f>
        <v>108</v>
      </c>
      <c r="AW60" s="14">
        <f>AU60*AC60</f>
        <v>427500</v>
      </c>
      <c r="AX60" s="7">
        <f>P60*J60</f>
        <v>248</v>
      </c>
      <c r="AY60" s="7">
        <f>J60*171</f>
        <v>171</v>
      </c>
      <c r="AZ60" s="8">
        <f t="shared" ref="AZ60" si="210">AX60-AY60</f>
        <v>77</v>
      </c>
      <c r="BA60" s="14">
        <f>AC60*AY60</f>
        <v>427500</v>
      </c>
      <c r="BB60" s="7">
        <f>Q60*J60</f>
        <v>279</v>
      </c>
      <c r="BC60" s="7">
        <f>J60*192</f>
        <v>192</v>
      </c>
      <c r="BD60" s="8">
        <f t="shared" ref="BD60" si="211">BB60-BC60</f>
        <v>87</v>
      </c>
      <c r="BE60" s="14">
        <f>BC60*AC60</f>
        <v>480000</v>
      </c>
      <c r="BF60" s="7">
        <f>R60*J60</f>
        <v>125</v>
      </c>
      <c r="BG60" s="7">
        <f>J60*86</f>
        <v>86</v>
      </c>
      <c r="BH60" s="8">
        <f t="shared" ref="BH60" si="212">BF60-BG60</f>
        <v>39</v>
      </c>
      <c r="BI60" s="14">
        <f>BG60*AC60</f>
        <v>215000</v>
      </c>
      <c r="BJ60" s="7">
        <f>S60*J60</f>
        <v>62</v>
      </c>
      <c r="BK60" s="7">
        <f>J60*42</f>
        <v>42</v>
      </c>
      <c r="BL60" s="8">
        <f t="shared" ref="BL60:BL62" si="213">BJ60-BK60</f>
        <v>20</v>
      </c>
      <c r="BM60" s="14">
        <f>BK60*AC60</f>
        <v>105000</v>
      </c>
      <c r="BN60" s="7">
        <f>T60*J60</f>
        <v>279</v>
      </c>
      <c r="BO60" s="7">
        <f>J60*192</f>
        <v>192</v>
      </c>
      <c r="BP60" s="8">
        <f t="shared" ref="BP60:BP62" si="214">BN60-BO60</f>
        <v>87</v>
      </c>
      <c r="BQ60" s="14">
        <f>BO60*AC60</f>
        <v>480000</v>
      </c>
      <c r="BR60" s="7">
        <f>U60*J60</f>
        <v>186</v>
      </c>
      <c r="BS60" s="7">
        <f>J60*128</f>
        <v>128</v>
      </c>
      <c r="BT60" s="8">
        <f t="shared" ref="BT60:BT62" si="215">BR60-BS60</f>
        <v>58</v>
      </c>
      <c r="BU60" s="14">
        <f>BS60*AC60</f>
        <v>320000</v>
      </c>
      <c r="BV60" s="7">
        <f>V60*J60</f>
        <v>32</v>
      </c>
      <c r="BW60" s="7">
        <f>J60*22</f>
        <v>22</v>
      </c>
      <c r="BX60" s="8">
        <f t="shared" ref="BX60:BX62" si="216">BV60-BW60</f>
        <v>10</v>
      </c>
      <c r="BY60" s="14">
        <f>BW60*AC60</f>
        <v>55000</v>
      </c>
      <c r="BZ60" s="7">
        <f>W60*J60</f>
        <v>12</v>
      </c>
      <c r="CA60" s="7">
        <f>J60*8</f>
        <v>8</v>
      </c>
      <c r="CB60" s="8">
        <f t="shared" ref="CB60:CB62" si="217">BZ60-CA60</f>
        <v>4</v>
      </c>
      <c r="CC60" s="14">
        <f>CA60*AC60</f>
        <v>20000</v>
      </c>
      <c r="CD60" s="7">
        <f>X60*J60</f>
        <v>186</v>
      </c>
      <c r="CE60" s="7">
        <f>J60*128</f>
        <v>128</v>
      </c>
      <c r="CF60" s="8">
        <f t="shared" ref="CF60:CF62" si="218">CD60-CE60</f>
        <v>58</v>
      </c>
      <c r="CG60" s="14">
        <f>CE60*AC60</f>
        <v>320000</v>
      </c>
      <c r="CH60" s="7">
        <f>Y60*J60</f>
        <v>186</v>
      </c>
      <c r="CI60" s="7">
        <f>J60*128</f>
        <v>128</v>
      </c>
      <c r="CJ60" s="8">
        <f t="shared" ref="CJ60:CJ62" si="219">CH60-CI60</f>
        <v>58</v>
      </c>
      <c r="CK60" s="14">
        <f>CI60*AC60</f>
        <v>320000</v>
      </c>
    </row>
    <row r="61" spans="2:90" x14ac:dyDescent="0.25">
      <c r="B61" s="7">
        <f>'PLAN DE NECESIDADES'!B49</f>
        <v>29</v>
      </c>
      <c r="C61" s="7">
        <f>'PLAN DE NECESIDADES'!C49</f>
        <v>3694006</v>
      </c>
      <c r="D61" s="60" t="str">
        <f>'PLAN DE NECESIDADES'!D49</f>
        <v>JABONERA: 
PLÁSTICA CAPACIDAD JABÓN 130 GRAMOS ESPECIFICACIONES SEGÚN NORMA TÉCNICA NO. NTMD-0356 A2 ÍTEM  3.1.1.9</v>
      </c>
      <c r="E61" s="7" t="str">
        <f>'PLAN DE NECESIDADES'!E49</f>
        <v>UNIDAD</v>
      </c>
      <c r="F61" s="7">
        <f>'PLAN DE NECESIDADES'!F49</f>
        <v>0</v>
      </c>
      <c r="G61" s="7">
        <f>'PLAN DE NECESIDADES'!H49</f>
        <v>30181601</v>
      </c>
      <c r="H61" s="7">
        <f>'PLAN DE NECESIDADES'!I49</f>
        <v>1082381</v>
      </c>
      <c r="I61" s="7" t="str">
        <f>'PLAN DE NECESIDADES'!J49</f>
        <v>8530-80-0011402</v>
      </c>
      <c r="J61" s="7">
        <v>1</v>
      </c>
      <c r="K61" s="85">
        <v>69</v>
      </c>
      <c r="L61" s="85">
        <v>217</v>
      </c>
      <c r="M61" s="85">
        <v>279</v>
      </c>
      <c r="N61" s="85">
        <v>217</v>
      </c>
      <c r="O61" s="85">
        <v>248</v>
      </c>
      <c r="P61" s="85">
        <v>248</v>
      </c>
      <c r="Q61" s="85">
        <v>279</v>
      </c>
      <c r="R61" s="85">
        <v>125</v>
      </c>
      <c r="S61" s="85">
        <v>62</v>
      </c>
      <c r="T61" s="85">
        <v>279</v>
      </c>
      <c r="U61" s="85">
        <v>186</v>
      </c>
      <c r="V61" s="85">
        <v>32</v>
      </c>
      <c r="W61" s="85">
        <v>12</v>
      </c>
      <c r="X61" s="85">
        <v>186</v>
      </c>
      <c r="Y61" s="85">
        <v>186</v>
      </c>
      <c r="Z61" s="85">
        <f t="shared" si="204"/>
        <v>2656</v>
      </c>
      <c r="AA61" s="7">
        <f t="shared" si="204"/>
        <v>1812</v>
      </c>
      <c r="AB61" s="7">
        <f t="shared" si="204"/>
        <v>844</v>
      </c>
      <c r="AC61" s="12">
        <v>1800</v>
      </c>
      <c r="AD61" s="7">
        <f>K61*J61</f>
        <v>69</v>
      </c>
      <c r="AE61" s="7">
        <f>J61*48</f>
        <v>48</v>
      </c>
      <c r="AF61" s="8">
        <f t="shared" si="205"/>
        <v>21</v>
      </c>
      <c r="AG61" s="14">
        <f>AC61*AE61</f>
        <v>86400</v>
      </c>
      <c r="AH61" s="7">
        <f>L61*J61</f>
        <v>217</v>
      </c>
      <c r="AI61" s="7">
        <f>J61*150</f>
        <v>150</v>
      </c>
      <c r="AJ61" s="8">
        <f t="shared" si="206"/>
        <v>67</v>
      </c>
      <c r="AK61" s="14">
        <f>AC61*AI61</f>
        <v>270000</v>
      </c>
      <c r="AL61" s="7">
        <f>M61*J61</f>
        <v>279</v>
      </c>
      <c r="AM61" s="7">
        <f>J61*193</f>
        <v>193</v>
      </c>
      <c r="AN61" s="8">
        <f t="shared" si="207"/>
        <v>86</v>
      </c>
      <c r="AO61" s="14">
        <f>AC61*AM61</f>
        <v>347400</v>
      </c>
      <c r="AP61" s="7">
        <f>N61*J61</f>
        <v>217</v>
      </c>
      <c r="AQ61" s="7">
        <f>J61*150</f>
        <v>150</v>
      </c>
      <c r="AR61" s="8">
        <f t="shared" si="208"/>
        <v>67</v>
      </c>
      <c r="AS61" s="14">
        <f>AC61*AQ61</f>
        <v>270000</v>
      </c>
      <c r="AT61" s="7">
        <f>M61*J61</f>
        <v>279</v>
      </c>
      <c r="AU61" s="7">
        <f>J61*171</f>
        <v>171</v>
      </c>
      <c r="AV61" s="8">
        <f t="shared" si="209"/>
        <v>108</v>
      </c>
      <c r="AW61" s="14">
        <f>AU61*AC61</f>
        <v>307800</v>
      </c>
      <c r="AX61" s="7">
        <f>P61*J61</f>
        <v>248</v>
      </c>
      <c r="AY61" s="7">
        <f>J61*171</f>
        <v>171</v>
      </c>
      <c r="AZ61" s="8">
        <f t="shared" ref="AZ61:AZ62" si="220">AX61-AY61</f>
        <v>77</v>
      </c>
      <c r="BA61" s="14">
        <f>AC61*AY61</f>
        <v>307800</v>
      </c>
      <c r="BB61" s="7">
        <f>Q61*J61</f>
        <v>279</v>
      </c>
      <c r="BC61" s="7">
        <f>J61*193</f>
        <v>193</v>
      </c>
      <c r="BD61" s="8">
        <f t="shared" ref="BD61:BD62" si="221">BB61-BC61</f>
        <v>86</v>
      </c>
      <c r="BE61" s="14">
        <f>BC61*AC61</f>
        <v>347400</v>
      </c>
      <c r="BF61" s="7">
        <f>R61*J61</f>
        <v>125</v>
      </c>
      <c r="BG61" s="7">
        <f>J61*86</f>
        <v>86</v>
      </c>
      <c r="BH61" s="8">
        <f t="shared" ref="BH61:BH62" si="222">BF61-BG61</f>
        <v>39</v>
      </c>
      <c r="BI61" s="14">
        <f>BG61*AC61</f>
        <v>154800</v>
      </c>
      <c r="BJ61" s="7">
        <f>S61*J61</f>
        <v>62</v>
      </c>
      <c r="BK61" s="7">
        <f>J61*43</f>
        <v>43</v>
      </c>
      <c r="BL61" s="8">
        <f t="shared" si="213"/>
        <v>19</v>
      </c>
      <c r="BM61" s="14">
        <f>BK61*AC61</f>
        <v>77400</v>
      </c>
      <c r="BN61" s="7">
        <f>T61*J61</f>
        <v>279</v>
      </c>
      <c r="BO61" s="7">
        <f>J61*193</f>
        <v>193</v>
      </c>
      <c r="BP61" s="8">
        <f t="shared" si="214"/>
        <v>86</v>
      </c>
      <c r="BQ61" s="14">
        <f>BO61*AC61</f>
        <v>347400</v>
      </c>
      <c r="BR61" s="7">
        <f>U61*J61</f>
        <v>186</v>
      </c>
      <c r="BS61" s="7">
        <f>J61*128</f>
        <v>128</v>
      </c>
      <c r="BT61" s="8">
        <f t="shared" si="215"/>
        <v>58</v>
      </c>
      <c r="BU61" s="14">
        <f>BS61*AC61</f>
        <v>230400</v>
      </c>
      <c r="BV61" s="7">
        <f>V61*J61</f>
        <v>32</v>
      </c>
      <c r="BW61" s="7">
        <f>J61*22</f>
        <v>22</v>
      </c>
      <c r="BX61" s="8">
        <f t="shared" si="216"/>
        <v>10</v>
      </c>
      <c r="BY61" s="14">
        <f>BW61*AC61</f>
        <v>39600</v>
      </c>
      <c r="BZ61" s="7">
        <f>W61*J61</f>
        <v>12</v>
      </c>
      <c r="CA61" s="7">
        <f>J61*8</f>
        <v>8</v>
      </c>
      <c r="CB61" s="8">
        <f t="shared" si="217"/>
        <v>4</v>
      </c>
      <c r="CC61" s="14">
        <f>CA61*AC61</f>
        <v>14400</v>
      </c>
      <c r="CD61" s="7">
        <f>X61*J61</f>
        <v>186</v>
      </c>
      <c r="CE61" s="7">
        <f>J61*128</f>
        <v>128</v>
      </c>
      <c r="CF61" s="8">
        <f t="shared" si="218"/>
        <v>58</v>
      </c>
      <c r="CG61" s="14">
        <f>CE61*AC61</f>
        <v>230400</v>
      </c>
      <c r="CH61" s="7">
        <f>Y61*J61</f>
        <v>186</v>
      </c>
      <c r="CI61" s="7">
        <f>J61*128</f>
        <v>128</v>
      </c>
      <c r="CJ61" s="8">
        <f t="shared" si="219"/>
        <v>58</v>
      </c>
      <c r="CK61" s="14">
        <f>CI61*AC61</f>
        <v>230400</v>
      </c>
    </row>
    <row r="62" spans="2:90" x14ac:dyDescent="0.25">
      <c r="B62" s="7">
        <f>'PLAN DE NECESIDADES'!B50</f>
        <v>30</v>
      </c>
      <c r="C62" s="7">
        <f>'PLAN DE NECESIDADES'!C50</f>
        <v>3649006</v>
      </c>
      <c r="D62" s="60" t="str">
        <f>'PLAN DE NECESIDADES'!D50</f>
        <v>PORTA CEPILLO DE DIENTES: ELABORADO EN PLÁSTICO ESPECIFICACIONES SEGÚN NORMA TÉCNICA NO. NTMD-0356 A2 ÍTEM  3.1.1.11</v>
      </c>
      <c r="E62" s="7" t="str">
        <f>'PLAN DE NECESIDADES'!E50</f>
        <v>UNIDAD</v>
      </c>
      <c r="F62" s="7">
        <f>'PLAN DE NECESIDADES'!F50</f>
        <v>0</v>
      </c>
      <c r="G62" s="7">
        <f>'PLAN DE NECESIDADES'!H50</f>
        <v>53121800</v>
      </c>
      <c r="H62" s="7">
        <f>'PLAN DE NECESIDADES'!I50</f>
        <v>1330024</v>
      </c>
      <c r="I62" s="7" t="str">
        <f>'PLAN DE NECESIDADES'!J50</f>
        <v>4510-80-0011407</v>
      </c>
      <c r="J62" s="7">
        <v>1</v>
      </c>
      <c r="K62" s="85">
        <v>69</v>
      </c>
      <c r="L62" s="85">
        <v>217</v>
      </c>
      <c r="M62" s="85">
        <v>279</v>
      </c>
      <c r="N62" s="85">
        <v>217</v>
      </c>
      <c r="O62" s="85">
        <v>248</v>
      </c>
      <c r="P62" s="85">
        <v>248</v>
      </c>
      <c r="Q62" s="85">
        <v>279</v>
      </c>
      <c r="R62" s="85">
        <v>125</v>
      </c>
      <c r="S62" s="85">
        <v>62</v>
      </c>
      <c r="T62" s="85">
        <v>279</v>
      </c>
      <c r="U62" s="85">
        <v>186</v>
      </c>
      <c r="V62" s="85">
        <v>32</v>
      </c>
      <c r="W62" s="85">
        <v>12</v>
      </c>
      <c r="X62" s="85">
        <v>186</v>
      </c>
      <c r="Y62" s="85">
        <v>186</v>
      </c>
      <c r="Z62" s="85">
        <f t="shared" si="204"/>
        <v>2656</v>
      </c>
      <c r="AA62" s="7">
        <f t="shared" si="204"/>
        <v>1807</v>
      </c>
      <c r="AB62" s="7">
        <f t="shared" si="204"/>
        <v>849</v>
      </c>
      <c r="AC62" s="12">
        <v>1600</v>
      </c>
      <c r="AD62" s="7">
        <f>K62*J62</f>
        <v>69</v>
      </c>
      <c r="AE62" s="7">
        <f>J62*47</f>
        <v>47</v>
      </c>
      <c r="AF62" s="8">
        <f t="shared" si="205"/>
        <v>22</v>
      </c>
      <c r="AG62" s="14">
        <f>AC62*AE62</f>
        <v>75200</v>
      </c>
      <c r="AH62" s="7">
        <f>L62*J62</f>
        <v>217</v>
      </c>
      <c r="AI62" s="7">
        <f>J62*150</f>
        <v>150</v>
      </c>
      <c r="AJ62" s="8">
        <f t="shared" si="206"/>
        <v>67</v>
      </c>
      <c r="AK62" s="14">
        <f>AC62*AI62</f>
        <v>240000</v>
      </c>
      <c r="AL62" s="7">
        <f>M62*J62</f>
        <v>279</v>
      </c>
      <c r="AM62" s="7">
        <f>J62*192</f>
        <v>192</v>
      </c>
      <c r="AN62" s="8">
        <f t="shared" si="207"/>
        <v>87</v>
      </c>
      <c r="AO62" s="14">
        <f>AC62*AM62</f>
        <v>307200</v>
      </c>
      <c r="AP62" s="7">
        <f>N62*J62</f>
        <v>217</v>
      </c>
      <c r="AQ62" s="7">
        <f>J62*150</f>
        <v>150</v>
      </c>
      <c r="AR62" s="8">
        <f t="shared" si="208"/>
        <v>67</v>
      </c>
      <c r="AS62" s="14">
        <f>AC62*AQ62</f>
        <v>240000</v>
      </c>
      <c r="AT62" s="7">
        <f>M62*J62</f>
        <v>279</v>
      </c>
      <c r="AU62" s="7">
        <f>J62*170</f>
        <v>170</v>
      </c>
      <c r="AV62" s="8">
        <f t="shared" si="209"/>
        <v>109</v>
      </c>
      <c r="AW62" s="14">
        <f>AU62*AC62</f>
        <v>272000</v>
      </c>
      <c r="AX62" s="7">
        <f>P62*J62</f>
        <v>248</v>
      </c>
      <c r="AY62" s="7">
        <f>J62*170</f>
        <v>170</v>
      </c>
      <c r="AZ62" s="8">
        <f t="shared" si="220"/>
        <v>78</v>
      </c>
      <c r="BA62" s="14">
        <f>AC62*AY62</f>
        <v>272000</v>
      </c>
      <c r="BB62" s="7">
        <f>Q62*J62</f>
        <v>279</v>
      </c>
      <c r="BC62" s="7">
        <f>J62*192</f>
        <v>192</v>
      </c>
      <c r="BD62" s="8">
        <f t="shared" si="221"/>
        <v>87</v>
      </c>
      <c r="BE62" s="14">
        <f>BC62*AC62</f>
        <v>307200</v>
      </c>
      <c r="BF62" s="7">
        <f>R62*J62</f>
        <v>125</v>
      </c>
      <c r="BG62" s="7">
        <f>J62*86</f>
        <v>86</v>
      </c>
      <c r="BH62" s="8">
        <f t="shared" si="222"/>
        <v>39</v>
      </c>
      <c r="BI62" s="14">
        <f>BG62*AC62</f>
        <v>137600</v>
      </c>
      <c r="BJ62" s="7">
        <f>S62*J62</f>
        <v>62</v>
      </c>
      <c r="BK62" s="7">
        <f>J62*43</f>
        <v>43</v>
      </c>
      <c r="BL62" s="8">
        <f t="shared" si="213"/>
        <v>19</v>
      </c>
      <c r="BM62" s="14">
        <f>BK62*AC62</f>
        <v>68800</v>
      </c>
      <c r="BN62" s="7">
        <f>T62*J62</f>
        <v>279</v>
      </c>
      <c r="BO62" s="7">
        <f>J62*192</f>
        <v>192</v>
      </c>
      <c r="BP62" s="8">
        <f t="shared" si="214"/>
        <v>87</v>
      </c>
      <c r="BQ62" s="14">
        <f>BO62*AC62</f>
        <v>307200</v>
      </c>
      <c r="BR62" s="7">
        <f>U62*J62</f>
        <v>186</v>
      </c>
      <c r="BS62" s="7">
        <f>J62*128</f>
        <v>128</v>
      </c>
      <c r="BT62" s="8">
        <f t="shared" si="215"/>
        <v>58</v>
      </c>
      <c r="BU62" s="14">
        <f>BS62*AC62</f>
        <v>204800</v>
      </c>
      <c r="BV62" s="7">
        <f>V62*J62</f>
        <v>32</v>
      </c>
      <c r="BW62" s="7">
        <f>J62*22</f>
        <v>22</v>
      </c>
      <c r="BX62" s="8">
        <f t="shared" si="216"/>
        <v>10</v>
      </c>
      <c r="BY62" s="14">
        <f>BW62*AC62</f>
        <v>35200</v>
      </c>
      <c r="BZ62" s="7">
        <f>W62*J62</f>
        <v>12</v>
      </c>
      <c r="CA62" s="7">
        <f>J62*9</f>
        <v>9</v>
      </c>
      <c r="CB62" s="8">
        <f t="shared" si="217"/>
        <v>3</v>
      </c>
      <c r="CC62" s="14">
        <f>CA62*AC62</f>
        <v>14400</v>
      </c>
      <c r="CD62" s="7">
        <f>X62*J62</f>
        <v>186</v>
      </c>
      <c r="CE62" s="7">
        <f>J62*128</f>
        <v>128</v>
      </c>
      <c r="CF62" s="8">
        <f t="shared" si="218"/>
        <v>58</v>
      </c>
      <c r="CG62" s="14">
        <f>CE62*AC62</f>
        <v>204800</v>
      </c>
      <c r="CH62" s="7">
        <f>Y62*J62</f>
        <v>186</v>
      </c>
      <c r="CI62" s="7">
        <f>J62*128</f>
        <v>128</v>
      </c>
      <c r="CJ62" s="8">
        <f t="shared" si="219"/>
        <v>58</v>
      </c>
      <c r="CK62" s="14">
        <f>CI62*AC62</f>
        <v>204800</v>
      </c>
    </row>
    <row r="63" spans="2:90" x14ac:dyDescent="0.25">
      <c r="B63" s="226" t="s">
        <v>18</v>
      </c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8">
        <f>SUM(AG60:AG62)</f>
        <v>279100</v>
      </c>
      <c r="AE63" s="228"/>
      <c r="AF63" s="228"/>
      <c r="AG63" s="228"/>
      <c r="AH63" s="228">
        <f t="shared" ref="AH63" si="223">SUM(AK60:AK62)</f>
        <v>882500</v>
      </c>
      <c r="AI63" s="228"/>
      <c r="AJ63" s="228"/>
      <c r="AK63" s="228"/>
      <c r="AL63" s="228">
        <f t="shared" ref="AL63" si="224">SUM(AO60:AO62)</f>
        <v>1134600</v>
      </c>
      <c r="AM63" s="228"/>
      <c r="AN63" s="228"/>
      <c r="AO63" s="228"/>
      <c r="AP63" s="228">
        <f t="shared" ref="AP63" si="225">SUM(AS60:AS62)</f>
        <v>882500</v>
      </c>
      <c r="AQ63" s="228"/>
      <c r="AR63" s="228"/>
      <c r="AS63" s="228"/>
      <c r="AT63" s="228">
        <f t="shared" ref="AT63" si="226">SUM(AW60:AW62)</f>
        <v>1007300</v>
      </c>
      <c r="AU63" s="228"/>
      <c r="AV63" s="228"/>
      <c r="AW63" s="228"/>
      <c r="AX63" s="228">
        <f t="shared" ref="AX63" si="227">SUM(BA60:BA62)</f>
        <v>1007300</v>
      </c>
      <c r="AY63" s="228"/>
      <c r="AZ63" s="228"/>
      <c r="BA63" s="228"/>
      <c r="BB63" s="228">
        <f t="shared" ref="BB63" si="228">SUM(BE60:BE62)</f>
        <v>1134600</v>
      </c>
      <c r="BC63" s="228"/>
      <c r="BD63" s="228"/>
      <c r="BE63" s="228"/>
      <c r="BF63" s="228">
        <f t="shared" ref="BF63" si="229">SUM(BI60:BI62)</f>
        <v>507400</v>
      </c>
      <c r="BG63" s="228"/>
      <c r="BH63" s="228"/>
      <c r="BI63" s="228"/>
      <c r="BJ63" s="228">
        <f t="shared" ref="BJ63" si="230">SUM(BM60:BM62)</f>
        <v>251200</v>
      </c>
      <c r="BK63" s="228"/>
      <c r="BL63" s="228"/>
      <c r="BM63" s="228"/>
      <c r="BN63" s="228">
        <f t="shared" ref="BN63" si="231">SUM(BQ60:BQ62)</f>
        <v>1134600</v>
      </c>
      <c r="BO63" s="228"/>
      <c r="BP63" s="228"/>
      <c r="BQ63" s="228"/>
      <c r="BR63" s="228">
        <f t="shared" ref="BR63" si="232">SUM(BU60:BU62)</f>
        <v>755200</v>
      </c>
      <c r="BS63" s="228"/>
      <c r="BT63" s="228"/>
      <c r="BU63" s="228"/>
      <c r="BV63" s="228">
        <f t="shared" ref="BV63" si="233">SUM(BY60:BY62)</f>
        <v>129800</v>
      </c>
      <c r="BW63" s="228"/>
      <c r="BX63" s="228"/>
      <c r="BY63" s="228"/>
      <c r="BZ63" s="228">
        <f t="shared" ref="BZ63" si="234">SUM(CC60:CC62)</f>
        <v>48800</v>
      </c>
      <c r="CA63" s="228"/>
      <c r="CB63" s="228"/>
      <c r="CC63" s="228"/>
      <c r="CD63" s="228">
        <f t="shared" ref="CD63" si="235">SUM(CG60:CG62)</f>
        <v>755200</v>
      </c>
      <c r="CE63" s="228"/>
      <c r="CF63" s="228"/>
      <c r="CG63" s="228"/>
      <c r="CH63" s="228">
        <f t="shared" ref="CH63" si="236">SUM(CK60:CK62)</f>
        <v>755200</v>
      </c>
      <c r="CI63" s="228"/>
      <c r="CJ63" s="228"/>
      <c r="CK63" s="228"/>
    </row>
    <row r="64" spans="2:90" x14ac:dyDescent="0.25">
      <c r="B64" s="226" t="s">
        <v>19</v>
      </c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8">
        <f>SUMIFS(PRESUPUESTO!$G$123:$G$137,PRESUPUESTO!$E$123:$E$137,'CANTIDADES ADJUDICACIÓN'!AD58)</f>
        <v>280686.848</v>
      </c>
      <c r="AE64" s="228"/>
      <c r="AF64" s="228"/>
      <c r="AG64" s="228"/>
      <c r="AH64" s="228">
        <f>SUMIFS(PRESUPUESTO!$G$123:$G$137,PRESUPUESTO!$E$123:$E$137,'CANTIDADES ADJUDICACIÓN'!AH58)</f>
        <v>882739.79733333329</v>
      </c>
      <c r="AI64" s="228"/>
      <c r="AJ64" s="228"/>
      <c r="AK64" s="228"/>
      <c r="AL64" s="228">
        <f>SUMIFS(PRESUPUESTO!$G$123:$G$137,PRESUPUESTO!$E$123:$E$137,'CANTIDADES ADJUDICACIÓN'!AL58)</f>
        <v>1134951.1679999998</v>
      </c>
      <c r="AM64" s="228"/>
      <c r="AN64" s="228"/>
      <c r="AO64" s="228"/>
      <c r="AP64" s="228">
        <f>SUMIFS(PRESUPUESTO!$G$123:$G$137,PRESUPUESTO!$E$123:$E$137,'CANTIDADES ADJUDICACIÓN'!AP58)</f>
        <v>882739.79733333329</v>
      </c>
      <c r="AQ64" s="228"/>
      <c r="AR64" s="228"/>
      <c r="AS64" s="228"/>
      <c r="AT64" s="228">
        <f>SUMIFS(PRESUPUESTO!$G$123:$G$137,PRESUPUESTO!$E$123:$E$137,'CANTIDADES ADJUDICACIÓN'!AT58)</f>
        <v>1008845.4826666666</v>
      </c>
      <c r="AU64" s="228"/>
      <c r="AV64" s="228"/>
      <c r="AW64" s="228"/>
      <c r="AX64" s="228">
        <f>SUMIFS(PRESUPUESTO!$G$123:$G$137,PRESUPUESTO!$E$123:$E$137,'CANTIDADES ADJUDICACIÓN'!AX58)</f>
        <v>1008845.4826666666</v>
      </c>
      <c r="AY64" s="228"/>
      <c r="AZ64" s="228"/>
      <c r="BA64" s="228"/>
      <c r="BB64" s="228">
        <f>SUMIFS(PRESUPUESTO!$G$123:$G$137,PRESUPUESTO!$E$123:$E$137,'CANTIDADES ADJUDICACIÓN'!BB58)</f>
        <v>1134951.1679999998</v>
      </c>
      <c r="BC64" s="228"/>
      <c r="BD64" s="228"/>
      <c r="BE64" s="228"/>
      <c r="BF64" s="228">
        <f>SUMIFS(PRESUPUESTO!$G$123:$G$137,PRESUPUESTO!$E$123:$E$137,'CANTIDADES ADJUDICACIÓN'!BF58)</f>
        <v>508490.66666666663</v>
      </c>
      <c r="BG64" s="228"/>
      <c r="BH64" s="228"/>
      <c r="BI64" s="228"/>
      <c r="BJ64" s="228">
        <f>SUMIFS(PRESUPUESTO!$G$123:$G$137,PRESUPUESTO!$E$123:$E$137,'CANTIDADES ADJUDICACIÓN'!BJ58)</f>
        <v>252211.37066666665</v>
      </c>
      <c r="BK64" s="228"/>
      <c r="BL64" s="228"/>
      <c r="BM64" s="228"/>
      <c r="BN64" s="228">
        <f>SUMIFS(PRESUPUESTO!$G$123:$G$137,PRESUPUESTO!$E$123:$E$137,'CANTIDADES ADJUDICACIÓN'!BN58)</f>
        <v>1134951.1679999998</v>
      </c>
      <c r="BO64" s="228"/>
      <c r="BP64" s="228"/>
      <c r="BQ64" s="228"/>
      <c r="BR64" s="228">
        <f>SUMIFS(PRESUPUESTO!$G$123:$G$137,PRESUPUESTO!$E$123:$E$137,'CANTIDADES ADJUDICACIÓN'!BR58)</f>
        <v>756634.11199999996</v>
      </c>
      <c r="BS64" s="228"/>
      <c r="BT64" s="228"/>
      <c r="BU64" s="228"/>
      <c r="BV64" s="228">
        <f>SUMIFS(PRESUPUESTO!$G$123:$G$137,PRESUPUESTO!$E$123:$E$137,'CANTIDADES ADJUDICACIÓN'!BV58)</f>
        <v>130173.61066666666</v>
      </c>
      <c r="BW64" s="228"/>
      <c r="BX64" s="228"/>
      <c r="BY64" s="228"/>
      <c r="BZ64" s="228">
        <f>SUMIFS(PRESUPUESTO!$G$123:$G$137,PRESUPUESTO!$E$123:$E$137,'CANTIDADES ADJUDICACIÓN'!BZ58)</f>
        <v>48815.103999999999</v>
      </c>
      <c r="CA64" s="228"/>
      <c r="CB64" s="228"/>
      <c r="CC64" s="228"/>
      <c r="CD64" s="228">
        <f>SUMIFS(PRESUPUESTO!$G$123:$G$137,PRESUPUESTO!$E$123:$E$137,'CANTIDADES ADJUDICACIÓN'!CD58)</f>
        <v>756634.11199999996</v>
      </c>
      <c r="CE64" s="228"/>
      <c r="CF64" s="228"/>
      <c r="CG64" s="228"/>
      <c r="CH64" s="228">
        <f>SUMIFS(PRESUPUESTO!$G$123:$G$137,PRESUPUESTO!$E$123:$E$137,'CANTIDADES ADJUDICACIÓN'!CH58)</f>
        <v>756634.11199999996</v>
      </c>
      <c r="CI64" s="228"/>
      <c r="CJ64" s="228"/>
      <c r="CK64" s="228"/>
      <c r="CL64" s="35">
        <f>SUM(AD64:CK64)</f>
        <v>10678303.999999998</v>
      </c>
    </row>
    <row r="65" spans="2:90" x14ac:dyDescent="0.25">
      <c r="B65" s="226" t="s">
        <v>10</v>
      </c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26"/>
      <c r="Z65" s="226"/>
      <c r="AA65" s="226"/>
      <c r="AB65" s="226"/>
      <c r="AC65" s="226"/>
      <c r="AD65" s="224">
        <f>AD64-AD63</f>
        <v>1586.8479999999981</v>
      </c>
      <c r="AE65" s="224"/>
      <c r="AF65" s="224"/>
      <c r="AG65" s="224"/>
      <c r="AH65" s="224">
        <f>AH64-AH63</f>
        <v>239.79733333329204</v>
      </c>
      <c r="AI65" s="224"/>
      <c r="AJ65" s="224"/>
      <c r="AK65" s="224"/>
      <c r="AL65" s="224">
        <f>AL64-AL63</f>
        <v>351.1679999998305</v>
      </c>
      <c r="AM65" s="224"/>
      <c r="AN65" s="224"/>
      <c r="AO65" s="224"/>
      <c r="AP65" s="224">
        <f t="shared" ref="AP65" si="237">AP64-AP63</f>
        <v>239.79733333329204</v>
      </c>
      <c r="AQ65" s="224"/>
      <c r="AR65" s="224"/>
      <c r="AS65" s="224"/>
      <c r="AT65" s="224">
        <f>AT64-AT63</f>
        <v>1545.4826666666195</v>
      </c>
      <c r="AU65" s="224"/>
      <c r="AV65" s="224"/>
      <c r="AW65" s="224"/>
      <c r="AX65" s="224">
        <f>AX64-AX63</f>
        <v>1545.4826666666195</v>
      </c>
      <c r="AY65" s="224"/>
      <c r="AZ65" s="224"/>
      <c r="BA65" s="224"/>
      <c r="BB65" s="224">
        <f>BB64-BB63</f>
        <v>351.1679999998305</v>
      </c>
      <c r="BC65" s="224"/>
      <c r="BD65" s="224"/>
      <c r="BE65" s="224"/>
      <c r="BF65" s="224">
        <f t="shared" ref="BF65" si="238">BF64-BF63</f>
        <v>1090.6666666666279</v>
      </c>
      <c r="BG65" s="224"/>
      <c r="BH65" s="224"/>
      <c r="BI65" s="224"/>
      <c r="BJ65" s="224">
        <f>BJ64-BJ63</f>
        <v>1011.3706666666549</v>
      </c>
      <c r="BK65" s="224"/>
      <c r="BL65" s="224"/>
      <c r="BM65" s="224"/>
      <c r="BN65" s="224">
        <f>BN64-BN63</f>
        <v>351.1679999998305</v>
      </c>
      <c r="BO65" s="224"/>
      <c r="BP65" s="224"/>
      <c r="BQ65" s="224"/>
      <c r="BR65" s="224">
        <f>BR64-BR63</f>
        <v>1434.1119999999646</v>
      </c>
      <c r="BS65" s="224"/>
      <c r="BT65" s="224"/>
      <c r="BU65" s="224"/>
      <c r="BV65" s="224">
        <f t="shared" ref="BV65" si="239">BV64-BV63</f>
        <v>373.61066666666011</v>
      </c>
      <c r="BW65" s="224"/>
      <c r="BX65" s="224"/>
      <c r="BY65" s="224"/>
      <c r="BZ65" s="224">
        <f>BZ64-BZ63</f>
        <v>15.10399999999936</v>
      </c>
      <c r="CA65" s="224"/>
      <c r="CB65" s="224"/>
      <c r="CC65" s="224"/>
      <c r="CD65" s="224">
        <f>CD64-CD63</f>
        <v>1434.1119999999646</v>
      </c>
      <c r="CE65" s="224"/>
      <c r="CF65" s="224"/>
      <c r="CG65" s="224"/>
      <c r="CH65" s="224">
        <f>CH64-CH63</f>
        <v>1434.1119999999646</v>
      </c>
      <c r="CI65" s="224"/>
      <c r="CJ65" s="224"/>
      <c r="CK65" s="224"/>
    </row>
    <row r="67" spans="2:90" x14ac:dyDescent="0.25">
      <c r="B67" s="199" t="s">
        <v>48</v>
      </c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199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199"/>
      <c r="AR67" s="200"/>
      <c r="AS67" s="200"/>
      <c r="AT67" s="200"/>
      <c r="AU67" s="200"/>
      <c r="AV67" s="200"/>
      <c r="AW67" s="200"/>
      <c r="AX67" s="200"/>
      <c r="AY67" s="200"/>
      <c r="AZ67" s="200"/>
      <c r="BA67" s="200"/>
      <c r="BB67" s="200"/>
      <c r="BC67" s="200"/>
      <c r="BD67" s="199"/>
      <c r="BE67" s="200"/>
      <c r="BF67" s="200"/>
      <c r="BG67" s="200"/>
      <c r="BH67" s="200"/>
      <c r="BI67" s="200"/>
      <c r="BJ67" s="200"/>
      <c r="BK67" s="200"/>
      <c r="BL67" s="200"/>
      <c r="BM67" s="200"/>
      <c r="BN67" s="200"/>
      <c r="BO67" s="200"/>
      <c r="BP67" s="200"/>
      <c r="BQ67" s="199"/>
      <c r="BR67" s="200"/>
      <c r="BS67" s="200"/>
      <c r="BT67" s="200"/>
      <c r="BU67" s="200"/>
      <c r="BV67" s="200"/>
      <c r="BW67" s="200"/>
      <c r="BX67" s="200"/>
      <c r="BY67" s="200"/>
      <c r="BZ67" s="200"/>
      <c r="CA67" s="200"/>
      <c r="CB67" s="200"/>
      <c r="CC67" s="200"/>
      <c r="CD67" s="199"/>
      <c r="CE67" s="200"/>
      <c r="CF67" s="200"/>
      <c r="CG67" s="200"/>
      <c r="CH67" s="200"/>
      <c r="CI67" s="200"/>
      <c r="CJ67" s="200"/>
      <c r="CK67" s="200"/>
    </row>
    <row r="68" spans="2:90" ht="28.5" customHeight="1" x14ac:dyDescent="0.25">
      <c r="B68" s="225" t="str">
        <f>'PLAN DE NECESIDADES'!B54</f>
        <v>ÍTEM</v>
      </c>
      <c r="C68" s="225" t="str">
        <f>'PLAN DE NECESIDADES'!C54</f>
        <v>CÓDIGO DANE</v>
      </c>
      <c r="D68" s="226" t="str">
        <f>'PLAN DE NECESIDADES'!D54</f>
        <v xml:space="preserve">DESCRIPCIÓN DEL BIEN Y/O SERVICIO </v>
      </c>
      <c r="E68" s="225" t="str">
        <f>'PLAN DE NECESIDADES'!E54</f>
        <v>UNIDAD MEDIDA</v>
      </c>
      <c r="F68" s="225" t="str">
        <f>'PLAN DE NECESIDADES'!F54</f>
        <v>EXISTENCIAS (STOCK - INVENTARIOS)</v>
      </c>
      <c r="G68" s="225" t="str">
        <f>'PLAN DE NECESIDADES'!H54</f>
        <v>UNSPSC (CCE)</v>
      </c>
      <c r="H68" s="225" t="str">
        <f>'PLAN DE NECESIDADES'!I54</f>
        <v xml:space="preserve">CÓDIGO MATERIAL SAP </v>
      </c>
      <c r="I68" s="225" t="str">
        <f>'PLAN DE NECESIDADES'!J54</f>
        <v xml:space="preserve">CÓDIGO OTAN - NOC </v>
      </c>
      <c r="J68" s="205" t="s">
        <v>155</v>
      </c>
      <c r="K68" s="203" t="str">
        <f>AD68</f>
        <v>BAABS3</v>
      </c>
      <c r="L68" s="203" t="str">
        <f>AH68</f>
        <v>BAACA10</v>
      </c>
      <c r="M68" s="203" t="str">
        <f>AL68</f>
        <v>BAACA2</v>
      </c>
      <c r="N68" s="203" t="str">
        <f>AP68</f>
        <v>BAADA1</v>
      </c>
      <c r="O68" s="203" t="str">
        <f>AT68</f>
        <v>BAEEV2</v>
      </c>
      <c r="P68" s="203" t="str">
        <f>AX68</f>
        <v>BAEEV3</v>
      </c>
      <c r="Q68" s="203" t="str">
        <f>BB68</f>
        <v>BAMMA7</v>
      </c>
      <c r="R68" s="203" t="str">
        <f>BF68</f>
        <v>BASPC10</v>
      </c>
      <c r="S68" s="203" t="str">
        <f>BJ68</f>
        <v>BASAC</v>
      </c>
      <c r="T68" s="203" t="str">
        <f>BN68</f>
        <v>BICAR</v>
      </c>
      <c r="U68" s="203" t="str">
        <f>BR68</f>
        <v>BIMOC70</v>
      </c>
      <c r="V68" s="203" t="str">
        <f>BV68</f>
        <v>BITER10</v>
      </c>
      <c r="W68" s="203" t="str">
        <f>BZ68</f>
        <v>DIM15</v>
      </c>
      <c r="X68" s="203" t="str">
        <f>CD68</f>
        <v>GMMAT</v>
      </c>
      <c r="Y68" s="203" t="str">
        <f>CH68</f>
        <v>GMRON</v>
      </c>
      <c r="Z68" s="209" t="s">
        <v>13</v>
      </c>
      <c r="AA68" s="227" t="s">
        <v>14</v>
      </c>
      <c r="AB68" s="227" t="s">
        <v>12</v>
      </c>
      <c r="AC68" s="227" t="s">
        <v>4</v>
      </c>
      <c r="AD68" s="214" t="s">
        <v>29</v>
      </c>
      <c r="AE68" s="215"/>
      <c r="AF68" s="215"/>
      <c r="AG68" s="216"/>
      <c r="AH68" s="217" t="s">
        <v>30</v>
      </c>
      <c r="AI68" s="218"/>
      <c r="AJ68" s="218"/>
      <c r="AK68" s="219"/>
      <c r="AL68" s="196" t="s">
        <v>31</v>
      </c>
      <c r="AM68" s="197"/>
      <c r="AN68" s="197"/>
      <c r="AO68" s="198"/>
      <c r="AP68" s="211" t="s">
        <v>32</v>
      </c>
      <c r="AQ68" s="212"/>
      <c r="AR68" s="212"/>
      <c r="AS68" s="213"/>
      <c r="AT68" s="214" t="s">
        <v>27</v>
      </c>
      <c r="AU68" s="215"/>
      <c r="AV68" s="215"/>
      <c r="AW68" s="216"/>
      <c r="AX68" s="217" t="s">
        <v>33</v>
      </c>
      <c r="AY68" s="218"/>
      <c r="AZ68" s="218"/>
      <c r="BA68" s="219"/>
      <c r="BB68" s="196" t="s">
        <v>66</v>
      </c>
      <c r="BC68" s="197"/>
      <c r="BD68" s="197"/>
      <c r="BE68" s="198"/>
      <c r="BF68" s="211" t="s">
        <v>67</v>
      </c>
      <c r="BG68" s="212"/>
      <c r="BH68" s="212"/>
      <c r="BI68" s="213"/>
      <c r="BJ68" s="214" t="s">
        <v>34</v>
      </c>
      <c r="BK68" s="215"/>
      <c r="BL68" s="215"/>
      <c r="BM68" s="216"/>
      <c r="BN68" s="217" t="s">
        <v>35</v>
      </c>
      <c r="BO68" s="218"/>
      <c r="BP68" s="218"/>
      <c r="BQ68" s="219"/>
      <c r="BR68" s="196" t="s">
        <v>68</v>
      </c>
      <c r="BS68" s="197"/>
      <c r="BT68" s="197"/>
      <c r="BU68" s="198"/>
      <c r="BV68" s="211" t="s">
        <v>36</v>
      </c>
      <c r="BW68" s="212"/>
      <c r="BX68" s="212"/>
      <c r="BY68" s="213"/>
      <c r="BZ68" s="214" t="s">
        <v>37</v>
      </c>
      <c r="CA68" s="215"/>
      <c r="CB68" s="215"/>
      <c r="CC68" s="216"/>
      <c r="CD68" s="217" t="s">
        <v>69</v>
      </c>
      <c r="CE68" s="218"/>
      <c r="CF68" s="218"/>
      <c r="CG68" s="219"/>
      <c r="CH68" s="196" t="s">
        <v>38</v>
      </c>
      <c r="CI68" s="197"/>
      <c r="CJ68" s="197"/>
      <c r="CK68" s="198"/>
    </row>
    <row r="69" spans="2:90" ht="28.5" customHeight="1" x14ac:dyDescent="0.25">
      <c r="B69" s="225"/>
      <c r="C69" s="225"/>
      <c r="D69" s="226"/>
      <c r="E69" s="225"/>
      <c r="F69" s="225"/>
      <c r="G69" s="225"/>
      <c r="H69" s="225"/>
      <c r="I69" s="225"/>
      <c r="J69" s="206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10"/>
      <c r="AA69" s="227"/>
      <c r="AB69" s="227"/>
      <c r="AC69" s="227"/>
      <c r="AD69" s="20" t="s">
        <v>15</v>
      </c>
      <c r="AE69" s="21" t="s">
        <v>16</v>
      </c>
      <c r="AF69" s="22" t="s">
        <v>17</v>
      </c>
      <c r="AG69" s="20" t="s">
        <v>20</v>
      </c>
      <c r="AH69" s="3" t="s">
        <v>15</v>
      </c>
      <c r="AI69" s="4" t="s">
        <v>16</v>
      </c>
      <c r="AJ69" s="5" t="s">
        <v>17</v>
      </c>
      <c r="AK69" s="3" t="s">
        <v>20</v>
      </c>
      <c r="AL69" s="51" t="s">
        <v>15</v>
      </c>
      <c r="AM69" s="23" t="s">
        <v>16</v>
      </c>
      <c r="AN69" s="24" t="s">
        <v>17</v>
      </c>
      <c r="AO69" s="51" t="s">
        <v>20</v>
      </c>
      <c r="AP69" s="25" t="s">
        <v>15</v>
      </c>
      <c r="AQ69" s="26" t="s">
        <v>16</v>
      </c>
      <c r="AR69" s="27" t="s">
        <v>17</v>
      </c>
      <c r="AS69" s="25" t="s">
        <v>20</v>
      </c>
      <c r="AT69" s="20" t="s">
        <v>15</v>
      </c>
      <c r="AU69" s="21" t="s">
        <v>16</v>
      </c>
      <c r="AV69" s="22" t="s">
        <v>17</v>
      </c>
      <c r="AW69" s="20" t="s">
        <v>20</v>
      </c>
      <c r="AX69" s="3" t="s">
        <v>15</v>
      </c>
      <c r="AY69" s="4" t="s">
        <v>16</v>
      </c>
      <c r="AZ69" s="5" t="s">
        <v>17</v>
      </c>
      <c r="BA69" s="3" t="s">
        <v>20</v>
      </c>
      <c r="BB69" s="51" t="s">
        <v>15</v>
      </c>
      <c r="BC69" s="23" t="s">
        <v>16</v>
      </c>
      <c r="BD69" s="24" t="s">
        <v>17</v>
      </c>
      <c r="BE69" s="51" t="s">
        <v>20</v>
      </c>
      <c r="BF69" s="25" t="s">
        <v>15</v>
      </c>
      <c r="BG69" s="26" t="s">
        <v>16</v>
      </c>
      <c r="BH69" s="27" t="s">
        <v>17</v>
      </c>
      <c r="BI69" s="25" t="s">
        <v>20</v>
      </c>
      <c r="BJ69" s="20" t="s">
        <v>15</v>
      </c>
      <c r="BK69" s="21" t="s">
        <v>16</v>
      </c>
      <c r="BL69" s="22" t="s">
        <v>17</v>
      </c>
      <c r="BM69" s="20" t="s">
        <v>20</v>
      </c>
      <c r="BN69" s="3" t="s">
        <v>15</v>
      </c>
      <c r="BO69" s="4" t="s">
        <v>16</v>
      </c>
      <c r="BP69" s="5" t="s">
        <v>17</v>
      </c>
      <c r="BQ69" s="3" t="s">
        <v>20</v>
      </c>
      <c r="BR69" s="51" t="s">
        <v>15</v>
      </c>
      <c r="BS69" s="23" t="s">
        <v>16</v>
      </c>
      <c r="BT69" s="24" t="s">
        <v>17</v>
      </c>
      <c r="BU69" s="51" t="s">
        <v>20</v>
      </c>
      <c r="BV69" s="25" t="s">
        <v>15</v>
      </c>
      <c r="BW69" s="26" t="s">
        <v>16</v>
      </c>
      <c r="BX69" s="27" t="s">
        <v>17</v>
      </c>
      <c r="BY69" s="25" t="s">
        <v>20</v>
      </c>
      <c r="BZ69" s="20" t="s">
        <v>15</v>
      </c>
      <c r="CA69" s="21" t="s">
        <v>16</v>
      </c>
      <c r="CB69" s="22" t="s">
        <v>17</v>
      </c>
      <c r="CC69" s="20" t="s">
        <v>20</v>
      </c>
      <c r="CD69" s="3" t="s">
        <v>15</v>
      </c>
      <c r="CE69" s="4" t="s">
        <v>16</v>
      </c>
      <c r="CF69" s="5" t="s">
        <v>17</v>
      </c>
      <c r="CG69" s="3" t="s">
        <v>20</v>
      </c>
      <c r="CH69" s="51" t="s">
        <v>15</v>
      </c>
      <c r="CI69" s="23" t="s">
        <v>16</v>
      </c>
      <c r="CJ69" s="24" t="s">
        <v>17</v>
      </c>
      <c r="CK69" s="51" t="s">
        <v>20</v>
      </c>
    </row>
    <row r="70" spans="2:90" x14ac:dyDescent="0.25">
      <c r="B70" s="7">
        <f>'PLAN DE NECESIDADES'!B55</f>
        <v>31</v>
      </c>
      <c r="C70" s="7">
        <f>'PLAN DE NECESIDADES'!C55</f>
        <v>3899307</v>
      </c>
      <c r="D70" s="60" t="str">
        <f>'PLAN DE NECESIDADES'!D55</f>
        <v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v>
      </c>
      <c r="E70" s="7" t="str">
        <f>'PLAN DE NECESIDADES'!E55</f>
        <v>UNIDAD</v>
      </c>
      <c r="F70" s="7">
        <f>'PLAN DE NECESIDADES'!F55</f>
        <v>0</v>
      </c>
      <c r="G70" s="7">
        <f>'PLAN DE NECESIDADES'!H55</f>
        <v>53131503</v>
      </c>
      <c r="H70" s="7">
        <f>'PLAN DE NECESIDADES'!I55</f>
        <v>1349993</v>
      </c>
      <c r="I70" s="7" t="str">
        <f>'PLAN DE NECESIDADES'!J55</f>
        <v>8530-80-0011406</v>
      </c>
      <c r="J70" s="7">
        <v>1</v>
      </c>
      <c r="K70" s="85">
        <v>69</v>
      </c>
      <c r="L70" s="85">
        <v>217</v>
      </c>
      <c r="M70" s="85">
        <v>279</v>
      </c>
      <c r="N70" s="85">
        <v>217</v>
      </c>
      <c r="O70" s="85">
        <v>248</v>
      </c>
      <c r="P70" s="85">
        <v>248</v>
      </c>
      <c r="Q70" s="85">
        <v>279</v>
      </c>
      <c r="R70" s="85">
        <v>125</v>
      </c>
      <c r="S70" s="85">
        <v>62</v>
      </c>
      <c r="T70" s="85">
        <v>279</v>
      </c>
      <c r="U70" s="85">
        <v>186</v>
      </c>
      <c r="V70" s="85">
        <v>32</v>
      </c>
      <c r="W70" s="85">
        <v>12</v>
      </c>
      <c r="X70" s="85">
        <v>186</v>
      </c>
      <c r="Y70" s="85">
        <v>186</v>
      </c>
      <c r="Z70" s="85">
        <f t="shared" ref="Z70:AB73" si="240">SUM(AD70,AH70,AL70,AP70,AT70,AX70,BB70,BF70,BJ70,BN70,BR70,BV70,BZ70,CD70,CH70)</f>
        <v>2656</v>
      </c>
      <c r="AA70" s="7">
        <f t="shared" si="240"/>
        <v>1532</v>
      </c>
      <c r="AB70" s="7">
        <f t="shared" si="240"/>
        <v>1124</v>
      </c>
      <c r="AC70" s="12">
        <v>3000</v>
      </c>
      <c r="AD70" s="7">
        <f>K70*J70</f>
        <v>69</v>
      </c>
      <c r="AE70" s="7">
        <f>J70*40</f>
        <v>40</v>
      </c>
      <c r="AF70" s="8">
        <f t="shared" ref="AF70:AF73" si="241">AD70-AE70</f>
        <v>29</v>
      </c>
      <c r="AG70" s="14">
        <f>AC70*AE70</f>
        <v>120000</v>
      </c>
      <c r="AH70" s="7">
        <f>L70*J70</f>
        <v>217</v>
      </c>
      <c r="AI70" s="7">
        <f>J70*126</f>
        <v>126</v>
      </c>
      <c r="AJ70" s="8">
        <f t="shared" ref="AJ70:AJ73" si="242">AH70-AI70</f>
        <v>91</v>
      </c>
      <c r="AK70" s="14">
        <f>AC70*AI70</f>
        <v>378000</v>
      </c>
      <c r="AL70" s="7">
        <f>M70*J70</f>
        <v>279</v>
      </c>
      <c r="AM70" s="7">
        <f>J70*163</f>
        <v>163</v>
      </c>
      <c r="AN70" s="8">
        <f t="shared" ref="AN70:AN73" si="243">AL70-AM70</f>
        <v>116</v>
      </c>
      <c r="AO70" s="14">
        <f>AC70*AM70</f>
        <v>489000</v>
      </c>
      <c r="AP70" s="7">
        <f>N70*J70</f>
        <v>217</v>
      </c>
      <c r="AQ70" s="7">
        <f>J70*127</f>
        <v>127</v>
      </c>
      <c r="AR70" s="8">
        <f t="shared" ref="AR70:AR73" si="244">AP70-AQ70</f>
        <v>90</v>
      </c>
      <c r="AS70" s="14">
        <f>AC70*AQ70</f>
        <v>381000</v>
      </c>
      <c r="AT70" s="7">
        <f>M70*J70</f>
        <v>279</v>
      </c>
      <c r="AU70" s="7">
        <f>J70*143</f>
        <v>143</v>
      </c>
      <c r="AV70" s="8">
        <f t="shared" ref="AV70:AV73" si="245">AT70-AU70</f>
        <v>136</v>
      </c>
      <c r="AW70" s="14">
        <f>AU70*AC70</f>
        <v>429000</v>
      </c>
      <c r="AX70" s="7">
        <f>P70*J70</f>
        <v>248</v>
      </c>
      <c r="AY70" s="7">
        <f>J70*145</f>
        <v>145</v>
      </c>
      <c r="AZ70" s="8">
        <f t="shared" ref="AZ70" si="246">AX70-AY70</f>
        <v>103</v>
      </c>
      <c r="BA70" s="14">
        <f>AC70*AY70</f>
        <v>435000</v>
      </c>
      <c r="BB70" s="7">
        <f>Q70*J70</f>
        <v>279</v>
      </c>
      <c r="BC70" s="7">
        <f>J70*163</f>
        <v>163</v>
      </c>
      <c r="BD70" s="8">
        <f t="shared" ref="BD70" si="247">BB70-BC70</f>
        <v>116</v>
      </c>
      <c r="BE70" s="14">
        <f>BC70*AC70</f>
        <v>489000</v>
      </c>
      <c r="BF70" s="7">
        <f>R70*J70</f>
        <v>125</v>
      </c>
      <c r="BG70" s="7">
        <f>J70*74</f>
        <v>74</v>
      </c>
      <c r="BH70" s="8">
        <f t="shared" ref="BH70:BH73" si="248">BF70-BG70</f>
        <v>51</v>
      </c>
      <c r="BI70" s="14">
        <f>BG70*AC70</f>
        <v>222000</v>
      </c>
      <c r="BJ70" s="7">
        <f>S70*J70</f>
        <v>62</v>
      </c>
      <c r="BK70" s="7">
        <f>J70*36</f>
        <v>36</v>
      </c>
      <c r="BL70" s="8">
        <f t="shared" ref="BL70:BL73" si="249">BJ70-BK70</f>
        <v>26</v>
      </c>
      <c r="BM70" s="14">
        <f>BK70*AC70</f>
        <v>108000</v>
      </c>
      <c r="BN70" s="7">
        <f>T70*J70</f>
        <v>279</v>
      </c>
      <c r="BO70" s="7">
        <f>J70*163</f>
        <v>163</v>
      </c>
      <c r="BP70" s="8">
        <f t="shared" ref="BP70:BP73" si="250">BN70-BO70</f>
        <v>116</v>
      </c>
      <c r="BQ70" s="14">
        <f>BO70*AC70</f>
        <v>489000</v>
      </c>
      <c r="BR70" s="7">
        <f>U70*J70</f>
        <v>186</v>
      </c>
      <c r="BS70" s="7">
        <f>J70*109</f>
        <v>109</v>
      </c>
      <c r="BT70" s="8">
        <f t="shared" ref="BT70" si="251">BR70-BS70</f>
        <v>77</v>
      </c>
      <c r="BU70" s="14">
        <f>BS70*AC70</f>
        <v>327000</v>
      </c>
      <c r="BV70" s="7">
        <f>V70*J70</f>
        <v>32</v>
      </c>
      <c r="BW70" s="7">
        <f>J70*18</f>
        <v>18</v>
      </c>
      <c r="BX70" s="8">
        <f t="shared" ref="BX70:BX73" si="252">BV70-BW70</f>
        <v>14</v>
      </c>
      <c r="BY70" s="14">
        <f>BW70*AC70</f>
        <v>54000</v>
      </c>
      <c r="BZ70" s="7">
        <f>W70*J70</f>
        <v>12</v>
      </c>
      <c r="CA70" s="7">
        <f>J70*7</f>
        <v>7</v>
      </c>
      <c r="CB70" s="8">
        <f t="shared" ref="CB70:CB73" si="253">BZ70-CA70</f>
        <v>5</v>
      </c>
      <c r="CC70" s="14">
        <f>CA70*AC70</f>
        <v>21000</v>
      </c>
      <c r="CD70" s="7">
        <f>X70*J70</f>
        <v>186</v>
      </c>
      <c r="CE70" s="7">
        <f>J70*109</f>
        <v>109</v>
      </c>
      <c r="CF70" s="8">
        <f t="shared" ref="CF70:CF73" si="254">CD70-CE70</f>
        <v>77</v>
      </c>
      <c r="CG70" s="14">
        <f>CE70*AC70</f>
        <v>327000</v>
      </c>
      <c r="CH70" s="7">
        <f>Y70*J70</f>
        <v>186</v>
      </c>
      <c r="CI70" s="7">
        <f>J70*109</f>
        <v>109</v>
      </c>
      <c r="CJ70" s="8">
        <f t="shared" ref="CJ70:CJ73" si="255">CH70-CI70</f>
        <v>77</v>
      </c>
      <c r="CK70" s="14">
        <f>CI70*AC70</f>
        <v>327000</v>
      </c>
    </row>
    <row r="71" spans="2:90" x14ac:dyDescent="0.25">
      <c r="B71" s="7">
        <f>'PLAN DE NECESIDADES'!B56</f>
        <v>32</v>
      </c>
      <c r="C71" s="7">
        <f>'PLAN DE NECESIDADES'!C56</f>
        <v>3899402</v>
      </c>
      <c r="D71" s="60" t="str">
        <f>'PLAN DE NECESIDADES'!D56</f>
        <v>PEINILLA: 
(LARGO: 120 MM ± 5 MM; ALTO: 28 MM ± 5 MM), ESPECIFICACIONES SEGÚN NORMA TÉCNICA NO. NTMD-0356 A2  ÍTEM  3.1.1.12</v>
      </c>
      <c r="E71" s="7" t="str">
        <f>'PLAN DE NECESIDADES'!E56</f>
        <v>UNIDAD</v>
      </c>
      <c r="F71" s="7">
        <f>'PLAN DE NECESIDADES'!F56</f>
        <v>0</v>
      </c>
      <c r="G71" s="7">
        <f>'PLAN DE NECESIDADES'!H56</f>
        <v>53131604</v>
      </c>
      <c r="H71" s="7">
        <f>'PLAN DE NECESIDADES'!I56</f>
        <v>1082385</v>
      </c>
      <c r="I71" s="7" t="str">
        <f>'PLAN DE NECESIDADES'!J56</f>
        <v>8530-80-0011404</v>
      </c>
      <c r="J71" s="7">
        <v>1</v>
      </c>
      <c r="K71" s="85">
        <v>69</v>
      </c>
      <c r="L71" s="85">
        <v>217</v>
      </c>
      <c r="M71" s="85">
        <v>279</v>
      </c>
      <c r="N71" s="85">
        <v>217</v>
      </c>
      <c r="O71" s="85">
        <v>248</v>
      </c>
      <c r="P71" s="85">
        <v>248</v>
      </c>
      <c r="Q71" s="85">
        <v>279</v>
      </c>
      <c r="R71" s="85">
        <v>125</v>
      </c>
      <c r="S71" s="85">
        <v>62</v>
      </c>
      <c r="T71" s="85">
        <v>279</v>
      </c>
      <c r="U71" s="85">
        <v>186</v>
      </c>
      <c r="V71" s="85">
        <v>32</v>
      </c>
      <c r="W71" s="85">
        <v>12</v>
      </c>
      <c r="X71" s="85">
        <v>186</v>
      </c>
      <c r="Y71" s="85">
        <v>186</v>
      </c>
      <c r="Z71" s="85">
        <f t="shared" si="240"/>
        <v>2656</v>
      </c>
      <c r="AA71" s="7">
        <f t="shared" si="240"/>
        <v>1529</v>
      </c>
      <c r="AB71" s="7">
        <f t="shared" si="240"/>
        <v>1127</v>
      </c>
      <c r="AC71" s="12">
        <v>1700</v>
      </c>
      <c r="AD71" s="7">
        <f>K71*J71</f>
        <v>69</v>
      </c>
      <c r="AE71" s="7">
        <f>J71*41</f>
        <v>41</v>
      </c>
      <c r="AF71" s="8">
        <f t="shared" si="241"/>
        <v>28</v>
      </c>
      <c r="AG71" s="14">
        <f>AC71*AE71</f>
        <v>69700</v>
      </c>
      <c r="AH71" s="7">
        <f>L71*J71</f>
        <v>217</v>
      </c>
      <c r="AI71" s="7">
        <f>J71*128</f>
        <v>128</v>
      </c>
      <c r="AJ71" s="8">
        <f t="shared" si="242"/>
        <v>89</v>
      </c>
      <c r="AK71" s="14">
        <f>AC71*AI71</f>
        <v>217600</v>
      </c>
      <c r="AL71" s="7">
        <f>M71*J71</f>
        <v>279</v>
      </c>
      <c r="AM71" s="7">
        <f>J71*163</f>
        <v>163</v>
      </c>
      <c r="AN71" s="8">
        <f t="shared" si="243"/>
        <v>116</v>
      </c>
      <c r="AO71" s="14">
        <f>AC71*AM71</f>
        <v>277100</v>
      </c>
      <c r="AP71" s="7">
        <f>N71*J71</f>
        <v>217</v>
      </c>
      <c r="AQ71" s="7">
        <f>J71*126</f>
        <v>126</v>
      </c>
      <c r="AR71" s="8">
        <f t="shared" si="244"/>
        <v>91</v>
      </c>
      <c r="AS71" s="14">
        <f>AC71*AQ71</f>
        <v>214200</v>
      </c>
      <c r="AT71" s="7">
        <f>M71*J71</f>
        <v>279</v>
      </c>
      <c r="AU71" s="7">
        <f>J71*143</f>
        <v>143</v>
      </c>
      <c r="AV71" s="8">
        <f t="shared" si="245"/>
        <v>136</v>
      </c>
      <c r="AW71" s="14">
        <f>AU71*AC71</f>
        <v>243100</v>
      </c>
      <c r="AX71" s="7">
        <f>P71*J71</f>
        <v>248</v>
      </c>
      <c r="AY71" s="7">
        <f>J71*144</f>
        <v>144</v>
      </c>
      <c r="AZ71" s="8">
        <f t="shared" ref="AZ71:AZ73" si="256">AX71-AY71</f>
        <v>104</v>
      </c>
      <c r="BA71" s="14">
        <f>AC71*AY71</f>
        <v>244800</v>
      </c>
      <c r="BB71" s="7">
        <f>Q71*J71</f>
        <v>279</v>
      </c>
      <c r="BC71" s="7">
        <f>J71*163</f>
        <v>163</v>
      </c>
      <c r="BD71" s="8">
        <f t="shared" ref="BD71:BD73" si="257">BB71-BC71</f>
        <v>116</v>
      </c>
      <c r="BE71" s="14">
        <f>BC71*AC71</f>
        <v>277100</v>
      </c>
      <c r="BF71" s="7">
        <f>R71*J71</f>
        <v>125</v>
      </c>
      <c r="BG71" s="7">
        <f>J71*73</f>
        <v>73</v>
      </c>
      <c r="BH71" s="8">
        <f t="shared" si="248"/>
        <v>52</v>
      </c>
      <c r="BI71" s="14">
        <f>BG71*AC71</f>
        <v>124100</v>
      </c>
      <c r="BJ71" s="7">
        <f>S71*J71</f>
        <v>62</v>
      </c>
      <c r="BK71" s="7">
        <f>J71*36</f>
        <v>36</v>
      </c>
      <c r="BL71" s="8">
        <f t="shared" si="249"/>
        <v>26</v>
      </c>
      <c r="BM71" s="14">
        <f>BK71*AC71</f>
        <v>61200</v>
      </c>
      <c r="BN71" s="7">
        <f>T71*J71</f>
        <v>279</v>
      </c>
      <c r="BO71" s="7">
        <f>J71*163</f>
        <v>163</v>
      </c>
      <c r="BP71" s="8">
        <f t="shared" si="250"/>
        <v>116</v>
      </c>
      <c r="BQ71" s="14">
        <f>BO71*AC71</f>
        <v>277100</v>
      </c>
      <c r="BR71" s="7">
        <f>U71*J71</f>
        <v>186</v>
      </c>
      <c r="BS71" s="7">
        <f>J71*108</f>
        <v>108</v>
      </c>
      <c r="BT71" s="8">
        <f t="shared" ref="BT71:BT73" si="258">BR71-BS71</f>
        <v>78</v>
      </c>
      <c r="BU71" s="14">
        <f>BS71*AC71</f>
        <v>183600</v>
      </c>
      <c r="BV71" s="7">
        <f>V71*J71</f>
        <v>32</v>
      </c>
      <c r="BW71" s="7">
        <f>J71*18</f>
        <v>18</v>
      </c>
      <c r="BX71" s="8">
        <f t="shared" si="252"/>
        <v>14</v>
      </c>
      <c r="BY71" s="14">
        <f>BW71*AC71</f>
        <v>30600</v>
      </c>
      <c r="BZ71" s="7">
        <f>W71*J71</f>
        <v>12</v>
      </c>
      <c r="CA71" s="7">
        <f>J71*7</f>
        <v>7</v>
      </c>
      <c r="CB71" s="8">
        <f t="shared" si="253"/>
        <v>5</v>
      </c>
      <c r="CC71" s="14">
        <f>CA71*AC71</f>
        <v>11900</v>
      </c>
      <c r="CD71" s="7">
        <f>X71*J71</f>
        <v>186</v>
      </c>
      <c r="CE71" s="7">
        <f>J71*108</f>
        <v>108</v>
      </c>
      <c r="CF71" s="8">
        <f t="shared" si="254"/>
        <v>78</v>
      </c>
      <c r="CG71" s="14">
        <f>CE71*AC71</f>
        <v>183600</v>
      </c>
      <c r="CH71" s="7">
        <f>Y71*J71</f>
        <v>186</v>
      </c>
      <c r="CI71" s="7">
        <f>J71*108</f>
        <v>108</v>
      </c>
      <c r="CJ71" s="8">
        <f t="shared" si="255"/>
        <v>78</v>
      </c>
      <c r="CK71" s="14">
        <f>CI71*AC71</f>
        <v>183600</v>
      </c>
    </row>
    <row r="72" spans="2:90" x14ac:dyDescent="0.25">
      <c r="B72" s="7">
        <f>'PLAN DE NECESIDADES'!B57</f>
        <v>33</v>
      </c>
      <c r="C72" s="7">
        <f>'PLAN DE NECESIDADES'!C57</f>
        <v>3899306</v>
      </c>
      <c r="D72" s="60" t="str">
        <f>'PLAN DE NECESIDADES'!D57</f>
        <v>CEPILLOS GRANDE Y PEQUEÑO PARA BRILLAR CALZADO: DEBE ESTAR CONFORMADO POR UN MANGO Y UNA BASE, SOBRE LA CUAL SE FIJAN LAS CERDAS, APTOS PARA LIMPIAR, LAVAR, BRILLAR O BARRER, ESPECIFICACIONES SEGÚN NORMA TÉCNICA NO. NTMD-0356 A2  ÍTEM  3.1.1.16</v>
      </c>
      <c r="E72" s="7" t="str">
        <f>'PLAN DE NECESIDADES'!E57</f>
        <v>UNIDAD</v>
      </c>
      <c r="F72" s="7">
        <f>'PLAN DE NECESIDADES'!F57</f>
        <v>0</v>
      </c>
      <c r="G72" s="7">
        <f>'PLAN DE NECESIDADES'!H57</f>
        <v>27113000</v>
      </c>
      <c r="H72" s="7">
        <f>'PLAN DE NECESIDADES'!I57</f>
        <v>1017232</v>
      </c>
      <c r="I72" s="7" t="str">
        <f>'PLAN DE NECESIDADES'!J57</f>
        <v>7920-80-0011395</v>
      </c>
      <c r="J72" s="7">
        <v>1</v>
      </c>
      <c r="K72" s="85">
        <v>69</v>
      </c>
      <c r="L72" s="85">
        <v>217</v>
      </c>
      <c r="M72" s="85">
        <v>279</v>
      </c>
      <c r="N72" s="85">
        <v>217</v>
      </c>
      <c r="O72" s="85">
        <v>248</v>
      </c>
      <c r="P72" s="85">
        <v>248</v>
      </c>
      <c r="Q72" s="85">
        <v>279</v>
      </c>
      <c r="R72" s="85">
        <v>125</v>
      </c>
      <c r="S72" s="85">
        <v>62</v>
      </c>
      <c r="T72" s="85">
        <v>279</v>
      </c>
      <c r="U72" s="85">
        <v>186</v>
      </c>
      <c r="V72" s="85">
        <v>32</v>
      </c>
      <c r="W72" s="85">
        <v>12</v>
      </c>
      <c r="X72" s="85">
        <v>186</v>
      </c>
      <c r="Y72" s="85">
        <v>186</v>
      </c>
      <c r="Z72" s="85">
        <f t="shared" si="240"/>
        <v>2656</v>
      </c>
      <c r="AA72" s="7">
        <f t="shared" si="240"/>
        <v>1525</v>
      </c>
      <c r="AB72" s="7">
        <f t="shared" si="240"/>
        <v>1131</v>
      </c>
      <c r="AC72" s="12">
        <v>8100</v>
      </c>
      <c r="AD72" s="7">
        <f>K72*J72</f>
        <v>69</v>
      </c>
      <c r="AE72" s="7">
        <f>J72*40</f>
        <v>40</v>
      </c>
      <c r="AF72" s="8">
        <f t="shared" si="241"/>
        <v>29</v>
      </c>
      <c r="AG72" s="14">
        <f>AC72*AE72</f>
        <v>324000</v>
      </c>
      <c r="AH72" s="7">
        <f>L72*J72</f>
        <v>217</v>
      </c>
      <c r="AI72" s="7">
        <f>J72*126</f>
        <v>126</v>
      </c>
      <c r="AJ72" s="8">
        <f t="shared" si="242"/>
        <v>91</v>
      </c>
      <c r="AK72" s="14">
        <f>AC72*AI72</f>
        <v>1020600</v>
      </c>
      <c r="AL72" s="7">
        <f>M72*J72</f>
        <v>279</v>
      </c>
      <c r="AM72" s="7">
        <f>J72*162</f>
        <v>162</v>
      </c>
      <c r="AN72" s="8">
        <f t="shared" si="243"/>
        <v>117</v>
      </c>
      <c r="AO72" s="14">
        <f>AC72*AM72</f>
        <v>1312200</v>
      </c>
      <c r="AP72" s="7">
        <f>N72*J72</f>
        <v>217</v>
      </c>
      <c r="AQ72" s="7">
        <f>J72*126</f>
        <v>126</v>
      </c>
      <c r="AR72" s="8">
        <f t="shared" si="244"/>
        <v>91</v>
      </c>
      <c r="AS72" s="14">
        <f>AC72*AQ72</f>
        <v>1020600</v>
      </c>
      <c r="AT72" s="7">
        <f>M72*J72</f>
        <v>279</v>
      </c>
      <c r="AU72" s="7">
        <f>J72*145</f>
        <v>145</v>
      </c>
      <c r="AV72" s="8">
        <f t="shared" si="245"/>
        <v>134</v>
      </c>
      <c r="AW72" s="14">
        <f>AU72*AC72</f>
        <v>1174500</v>
      </c>
      <c r="AX72" s="7">
        <f>P72*J72</f>
        <v>248</v>
      </c>
      <c r="AY72" s="7">
        <f>J72*144</f>
        <v>144</v>
      </c>
      <c r="AZ72" s="8">
        <f t="shared" si="256"/>
        <v>104</v>
      </c>
      <c r="BA72" s="14">
        <f>AC72*AY72</f>
        <v>1166400</v>
      </c>
      <c r="BB72" s="7">
        <f>Q72*J72</f>
        <v>279</v>
      </c>
      <c r="BC72" s="7">
        <f>J72*162</f>
        <v>162</v>
      </c>
      <c r="BD72" s="8">
        <f t="shared" si="257"/>
        <v>117</v>
      </c>
      <c r="BE72" s="14">
        <f>BC72*AC72</f>
        <v>1312200</v>
      </c>
      <c r="BF72" s="7">
        <f>R72*J72</f>
        <v>125</v>
      </c>
      <c r="BG72" s="7">
        <f>J72*72</f>
        <v>72</v>
      </c>
      <c r="BH72" s="8">
        <f t="shared" si="248"/>
        <v>53</v>
      </c>
      <c r="BI72" s="14">
        <f>BG72*AC72</f>
        <v>583200</v>
      </c>
      <c r="BJ72" s="7">
        <f>S72*J72</f>
        <v>62</v>
      </c>
      <c r="BK72" s="7">
        <f>J72*36</f>
        <v>36</v>
      </c>
      <c r="BL72" s="8">
        <f t="shared" si="249"/>
        <v>26</v>
      </c>
      <c r="BM72" s="14">
        <f>BK72*AC72</f>
        <v>291600</v>
      </c>
      <c r="BN72" s="7">
        <f>T72*J72</f>
        <v>279</v>
      </c>
      <c r="BO72" s="7">
        <f>J72*162</f>
        <v>162</v>
      </c>
      <c r="BP72" s="8">
        <f t="shared" si="250"/>
        <v>117</v>
      </c>
      <c r="BQ72" s="14">
        <f>BO72*AC72</f>
        <v>1312200</v>
      </c>
      <c r="BR72" s="7">
        <f>U72*J72</f>
        <v>186</v>
      </c>
      <c r="BS72" s="7">
        <f>J72*108</f>
        <v>108</v>
      </c>
      <c r="BT72" s="8">
        <f t="shared" si="258"/>
        <v>78</v>
      </c>
      <c r="BU72" s="14">
        <f>BS72*AC72</f>
        <v>874800</v>
      </c>
      <c r="BV72" s="7">
        <f>V72*J72</f>
        <v>32</v>
      </c>
      <c r="BW72" s="7">
        <f>J72*19</f>
        <v>19</v>
      </c>
      <c r="BX72" s="8">
        <f t="shared" si="252"/>
        <v>13</v>
      </c>
      <c r="BY72" s="14">
        <f>BW72*AC72</f>
        <v>153900</v>
      </c>
      <c r="BZ72" s="7">
        <f>W72*J72</f>
        <v>12</v>
      </c>
      <c r="CA72" s="7">
        <f>J72*7</f>
        <v>7</v>
      </c>
      <c r="CB72" s="8">
        <f t="shared" si="253"/>
        <v>5</v>
      </c>
      <c r="CC72" s="14">
        <f>CA72*AC72</f>
        <v>56700</v>
      </c>
      <c r="CD72" s="7">
        <f>X72*J72</f>
        <v>186</v>
      </c>
      <c r="CE72" s="7">
        <f>J72*108</f>
        <v>108</v>
      </c>
      <c r="CF72" s="8">
        <f t="shared" si="254"/>
        <v>78</v>
      </c>
      <c r="CG72" s="14">
        <f>CE72*AC72</f>
        <v>874800</v>
      </c>
      <c r="CH72" s="7">
        <f>Y72*J72</f>
        <v>186</v>
      </c>
      <c r="CI72" s="7">
        <f>J72*108</f>
        <v>108</v>
      </c>
      <c r="CJ72" s="8">
        <f t="shared" si="255"/>
        <v>78</v>
      </c>
      <c r="CK72" s="14">
        <f>CI72*AC72</f>
        <v>874800</v>
      </c>
    </row>
    <row r="73" spans="2:90" x14ac:dyDescent="0.25">
      <c r="B73" s="7">
        <f>'PLAN DE NECESIDADES'!B58</f>
        <v>34</v>
      </c>
      <c r="C73" s="7">
        <f>'PLAN DE NECESIDADES'!C58</f>
        <v>3891103</v>
      </c>
      <c r="D73" s="60" t="str">
        <f>'PLAN DE NECESIDADES'!D58</f>
        <v>LAPICERO:
(14 CM DE LONGITUD Y 7 MM DE DIÁMETRO), ESPECIFICACIONES SEGÚN NORMA TÉCNICA NO. NTMD-0356 A2  ÍTEM  3.1.1.19</v>
      </c>
      <c r="E73" s="7" t="str">
        <f>'PLAN DE NECESIDADES'!E58</f>
        <v>UNIDAD</v>
      </c>
      <c r="F73" s="7">
        <f>'PLAN DE NECESIDADES'!F58</f>
        <v>0</v>
      </c>
      <c r="G73" s="7">
        <f>'PLAN DE NECESIDADES'!H58</f>
        <v>44121701</v>
      </c>
      <c r="H73" s="7">
        <f>'PLAN DE NECESIDADES'!I58</f>
        <v>1749319</v>
      </c>
      <c r="I73" s="7" t="str">
        <f>'PLAN DE NECESIDADES'!J58</f>
        <v>SIN CREAR</v>
      </c>
      <c r="J73" s="7">
        <v>1</v>
      </c>
      <c r="K73" s="85">
        <v>69</v>
      </c>
      <c r="L73" s="85">
        <v>217</v>
      </c>
      <c r="M73" s="85">
        <v>279</v>
      </c>
      <c r="N73" s="85">
        <v>217</v>
      </c>
      <c r="O73" s="85">
        <v>248</v>
      </c>
      <c r="P73" s="85">
        <v>248</v>
      </c>
      <c r="Q73" s="85">
        <v>279</v>
      </c>
      <c r="R73" s="85">
        <v>125</v>
      </c>
      <c r="S73" s="85">
        <v>62</v>
      </c>
      <c r="T73" s="85">
        <v>279</v>
      </c>
      <c r="U73" s="85">
        <v>186</v>
      </c>
      <c r="V73" s="85">
        <v>32</v>
      </c>
      <c r="W73" s="85">
        <v>12</v>
      </c>
      <c r="X73" s="85">
        <v>186</v>
      </c>
      <c r="Y73" s="85">
        <v>186</v>
      </c>
      <c r="Z73" s="85">
        <f t="shared" si="240"/>
        <v>2656</v>
      </c>
      <c r="AA73" s="7">
        <f t="shared" si="240"/>
        <v>1525</v>
      </c>
      <c r="AB73" s="7">
        <f t="shared" si="240"/>
        <v>1131</v>
      </c>
      <c r="AC73" s="12">
        <v>1200</v>
      </c>
      <c r="AD73" s="7">
        <f>K73*J73</f>
        <v>69</v>
      </c>
      <c r="AE73" s="7">
        <f>J73*40</f>
        <v>40</v>
      </c>
      <c r="AF73" s="8">
        <f t="shared" si="241"/>
        <v>29</v>
      </c>
      <c r="AG73" s="14">
        <f>AC73*AE73</f>
        <v>48000</v>
      </c>
      <c r="AH73" s="7">
        <f>L73*J73</f>
        <v>217</v>
      </c>
      <c r="AI73" s="7">
        <f>J73*126</f>
        <v>126</v>
      </c>
      <c r="AJ73" s="8">
        <f t="shared" si="242"/>
        <v>91</v>
      </c>
      <c r="AK73" s="14">
        <f>AC73*AI73</f>
        <v>151200</v>
      </c>
      <c r="AL73" s="7">
        <f>M73*J73</f>
        <v>279</v>
      </c>
      <c r="AM73" s="7">
        <f>J73*162</f>
        <v>162</v>
      </c>
      <c r="AN73" s="8">
        <f t="shared" si="243"/>
        <v>117</v>
      </c>
      <c r="AO73" s="14">
        <f>AC73*AM73</f>
        <v>194400</v>
      </c>
      <c r="AP73" s="7">
        <f>N73*J73</f>
        <v>217</v>
      </c>
      <c r="AQ73" s="7">
        <f>J73*126</f>
        <v>126</v>
      </c>
      <c r="AR73" s="8">
        <f t="shared" si="244"/>
        <v>91</v>
      </c>
      <c r="AS73" s="14">
        <f>AC73*AQ73</f>
        <v>151200</v>
      </c>
      <c r="AT73" s="7">
        <f>M73*J73</f>
        <v>279</v>
      </c>
      <c r="AU73" s="7">
        <f>J73*144</f>
        <v>144</v>
      </c>
      <c r="AV73" s="8">
        <f t="shared" si="245"/>
        <v>135</v>
      </c>
      <c r="AW73" s="14">
        <f>AU73*AC73</f>
        <v>172800</v>
      </c>
      <c r="AX73" s="7">
        <f>P73*J73</f>
        <v>248</v>
      </c>
      <c r="AY73" s="7">
        <f>J73*145</f>
        <v>145</v>
      </c>
      <c r="AZ73" s="8">
        <f t="shared" si="256"/>
        <v>103</v>
      </c>
      <c r="BA73" s="14">
        <f>AC73*AY73</f>
        <v>174000</v>
      </c>
      <c r="BB73" s="7">
        <f>Q73*J73</f>
        <v>279</v>
      </c>
      <c r="BC73" s="7">
        <f>J73*162</f>
        <v>162</v>
      </c>
      <c r="BD73" s="8">
        <f t="shared" si="257"/>
        <v>117</v>
      </c>
      <c r="BE73" s="14">
        <f>BC73*AC73</f>
        <v>194400</v>
      </c>
      <c r="BF73" s="7">
        <f>R73*J73</f>
        <v>125</v>
      </c>
      <c r="BG73" s="7">
        <f>J73*74</f>
        <v>74</v>
      </c>
      <c r="BH73" s="8">
        <f t="shared" si="248"/>
        <v>51</v>
      </c>
      <c r="BI73" s="14">
        <f>BG73*AC73</f>
        <v>88800</v>
      </c>
      <c r="BJ73" s="7">
        <f>S73*J73</f>
        <v>62</v>
      </c>
      <c r="BK73" s="7">
        <f>J73*36</f>
        <v>36</v>
      </c>
      <c r="BL73" s="8">
        <f t="shared" si="249"/>
        <v>26</v>
      </c>
      <c r="BM73" s="14">
        <f>BK73*AC73</f>
        <v>43200</v>
      </c>
      <c r="BN73" s="7">
        <f>T73*J73</f>
        <v>279</v>
      </c>
      <c r="BO73" s="7">
        <f>J73*162</f>
        <v>162</v>
      </c>
      <c r="BP73" s="8">
        <f t="shared" si="250"/>
        <v>117</v>
      </c>
      <c r="BQ73" s="14">
        <f>BO73*AC73</f>
        <v>194400</v>
      </c>
      <c r="BR73" s="7">
        <f>U73*J73</f>
        <v>186</v>
      </c>
      <c r="BS73" s="7">
        <f>J73*108</f>
        <v>108</v>
      </c>
      <c r="BT73" s="8">
        <f t="shared" si="258"/>
        <v>78</v>
      </c>
      <c r="BU73" s="14">
        <f>BS73*AC73</f>
        <v>129600</v>
      </c>
      <c r="BV73" s="7">
        <f>V73*J73</f>
        <v>32</v>
      </c>
      <c r="BW73" s="7">
        <f>J73*18</f>
        <v>18</v>
      </c>
      <c r="BX73" s="8">
        <f t="shared" si="252"/>
        <v>14</v>
      </c>
      <c r="BY73" s="14">
        <f>BW73*AC73</f>
        <v>21600</v>
      </c>
      <c r="BZ73" s="7">
        <f>W73*J73</f>
        <v>12</v>
      </c>
      <c r="CA73" s="7">
        <f>J73*6</f>
        <v>6</v>
      </c>
      <c r="CB73" s="8">
        <f t="shared" si="253"/>
        <v>6</v>
      </c>
      <c r="CC73" s="14">
        <f>CA73*AC73</f>
        <v>7200</v>
      </c>
      <c r="CD73" s="7">
        <f>X73*J73</f>
        <v>186</v>
      </c>
      <c r="CE73" s="7">
        <f>J73*108</f>
        <v>108</v>
      </c>
      <c r="CF73" s="8">
        <f t="shared" si="254"/>
        <v>78</v>
      </c>
      <c r="CG73" s="14">
        <f>CE73*AC73</f>
        <v>129600</v>
      </c>
      <c r="CH73" s="7">
        <f>Y73*J73</f>
        <v>186</v>
      </c>
      <c r="CI73" s="7">
        <f>J73*108</f>
        <v>108</v>
      </c>
      <c r="CJ73" s="8">
        <f t="shared" si="255"/>
        <v>78</v>
      </c>
      <c r="CK73" s="14">
        <f>CI73*AC73</f>
        <v>129600</v>
      </c>
    </row>
    <row r="74" spans="2:90" x14ac:dyDescent="0.25">
      <c r="B74" s="226" t="s">
        <v>18</v>
      </c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8">
        <f>SUM(AG70:AG73)</f>
        <v>561700</v>
      </c>
      <c r="AE74" s="228"/>
      <c r="AF74" s="228"/>
      <c r="AG74" s="228"/>
      <c r="AH74" s="228">
        <f t="shared" ref="AH74" si="259">SUM(AK70:AK73)</f>
        <v>1767400</v>
      </c>
      <c r="AI74" s="228"/>
      <c r="AJ74" s="228"/>
      <c r="AK74" s="228"/>
      <c r="AL74" s="228">
        <f t="shared" ref="AL74" si="260">SUM(AO70:AO73)</f>
        <v>2272700</v>
      </c>
      <c r="AM74" s="228"/>
      <c r="AN74" s="228"/>
      <c r="AO74" s="228"/>
      <c r="AP74" s="228">
        <f t="shared" ref="AP74" si="261">SUM(AS70:AS73)</f>
        <v>1767000</v>
      </c>
      <c r="AQ74" s="228"/>
      <c r="AR74" s="228"/>
      <c r="AS74" s="228"/>
      <c r="AT74" s="228">
        <f t="shared" ref="AT74" si="262">SUM(AW70:AW73)</f>
        <v>2019400</v>
      </c>
      <c r="AU74" s="228"/>
      <c r="AV74" s="228"/>
      <c r="AW74" s="228"/>
      <c r="AX74" s="228">
        <f t="shared" ref="AX74" si="263">SUM(BA70:BA73)</f>
        <v>2020200</v>
      </c>
      <c r="AY74" s="228"/>
      <c r="AZ74" s="228"/>
      <c r="BA74" s="228"/>
      <c r="BB74" s="228">
        <f t="shared" ref="BB74" si="264">SUM(BE70:BE73)</f>
        <v>2272700</v>
      </c>
      <c r="BC74" s="228"/>
      <c r="BD74" s="228"/>
      <c r="BE74" s="228"/>
      <c r="BF74" s="228">
        <f t="shared" ref="BF74" si="265">SUM(BI70:BI73)</f>
        <v>1018100</v>
      </c>
      <c r="BG74" s="228"/>
      <c r="BH74" s="228"/>
      <c r="BI74" s="228"/>
      <c r="BJ74" s="228">
        <f t="shared" ref="BJ74" si="266">SUM(BM70:BM73)</f>
        <v>504000</v>
      </c>
      <c r="BK74" s="228"/>
      <c r="BL74" s="228"/>
      <c r="BM74" s="228"/>
      <c r="BN74" s="228">
        <f t="shared" ref="BN74" si="267">SUM(BQ70:BQ73)</f>
        <v>2272700</v>
      </c>
      <c r="BO74" s="228"/>
      <c r="BP74" s="228"/>
      <c r="BQ74" s="228"/>
      <c r="BR74" s="228">
        <f t="shared" ref="BR74" si="268">SUM(BU70:BU73)</f>
        <v>1515000</v>
      </c>
      <c r="BS74" s="228"/>
      <c r="BT74" s="228"/>
      <c r="BU74" s="228"/>
      <c r="BV74" s="228">
        <f t="shared" ref="BV74" si="269">SUM(BY70:BY73)</f>
        <v>260100</v>
      </c>
      <c r="BW74" s="228"/>
      <c r="BX74" s="228"/>
      <c r="BY74" s="228"/>
      <c r="BZ74" s="228">
        <f t="shared" ref="BZ74" si="270">SUM(CC70:CC73)</f>
        <v>96800</v>
      </c>
      <c r="CA74" s="228"/>
      <c r="CB74" s="228"/>
      <c r="CC74" s="228"/>
      <c r="CD74" s="228">
        <f t="shared" ref="CD74" si="271">SUM(CG70:CG73)</f>
        <v>1515000</v>
      </c>
      <c r="CE74" s="228"/>
      <c r="CF74" s="228"/>
      <c r="CG74" s="228"/>
      <c r="CH74" s="228">
        <f t="shared" ref="CH74" si="272">SUM(CK70:CK73)</f>
        <v>1515000</v>
      </c>
      <c r="CI74" s="228"/>
      <c r="CJ74" s="228"/>
      <c r="CK74" s="228"/>
    </row>
    <row r="75" spans="2:90" x14ac:dyDescent="0.25">
      <c r="B75" s="226" t="s">
        <v>19</v>
      </c>
      <c r="C75" s="226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26"/>
      <c r="Z75" s="226"/>
      <c r="AA75" s="226"/>
      <c r="AB75" s="226"/>
      <c r="AC75" s="226"/>
      <c r="AD75" s="228">
        <f>SUMIFS(PRESUPUESTO!$G$141:$G$155,PRESUPUESTO!$E$141:$E$155,'CANTIDADES ADJUDICACIÓN'!AD68)</f>
        <v>562100.86400000006</v>
      </c>
      <c r="AE75" s="228"/>
      <c r="AF75" s="228"/>
      <c r="AG75" s="228"/>
      <c r="AH75" s="228">
        <f>SUMIFS(PRESUPUESTO!$G$141:$G$155,PRESUPUESTO!$E$141:$E$155,'CANTIDADES ADJUDICACIÓN'!AH68)</f>
        <v>1767766.4853333335</v>
      </c>
      <c r="AI75" s="228"/>
      <c r="AJ75" s="228"/>
      <c r="AK75" s="228"/>
      <c r="AL75" s="228">
        <f>SUMIFS(PRESUPUESTO!$G$141:$G$155,PRESUPUESTO!$E$141:$E$155,'CANTIDADES ADJUDICACIÓN'!AL68)</f>
        <v>2272842.6239999998</v>
      </c>
      <c r="AM75" s="228"/>
      <c r="AN75" s="228"/>
      <c r="AO75" s="228"/>
      <c r="AP75" s="228">
        <f>SUMIFS(PRESUPUESTO!$G$141:$G$155,PRESUPUESTO!$E$141:$E$155,'CANTIDADES ADJUDICACIÓN'!AP68)</f>
        <v>1767766.4853333335</v>
      </c>
      <c r="AQ75" s="228"/>
      <c r="AR75" s="228"/>
      <c r="AS75" s="228"/>
      <c r="AT75" s="228">
        <f>SUMIFS(PRESUPUESTO!$G$141:$G$155,PRESUPUESTO!$E$141:$E$155,'CANTIDADES ADJUDICACIÓN'!AT68)</f>
        <v>2020304.5546666668</v>
      </c>
      <c r="AU75" s="228"/>
      <c r="AV75" s="228"/>
      <c r="AW75" s="228"/>
      <c r="AX75" s="228">
        <f>SUMIFS(PRESUPUESTO!$G$141:$G$155,PRESUPUESTO!$E$141:$E$155,'CANTIDADES ADJUDICACIÓN'!AX68)</f>
        <v>2020304.5546666668</v>
      </c>
      <c r="AY75" s="228"/>
      <c r="AZ75" s="228"/>
      <c r="BA75" s="228"/>
      <c r="BB75" s="228">
        <f>SUMIFS(PRESUPUESTO!$G$141:$G$155,PRESUPUESTO!$E$141:$E$155,'CANTIDADES ADJUDICACIÓN'!BB68)</f>
        <v>2272842.6239999998</v>
      </c>
      <c r="BC75" s="228"/>
      <c r="BD75" s="228"/>
      <c r="BE75" s="228"/>
      <c r="BF75" s="228">
        <f>SUMIFS(PRESUPUESTO!$G$141:$G$155,PRESUPUESTO!$E$141:$E$155,'CANTIDADES ADJUDICACIÓN'!BF68)</f>
        <v>1018298.6666666667</v>
      </c>
      <c r="BG75" s="228"/>
      <c r="BH75" s="228"/>
      <c r="BI75" s="228"/>
      <c r="BJ75" s="228">
        <f>SUMIFS(PRESUPUESTO!$G$141:$G$155,PRESUPUESTO!$E$141:$E$155,'CANTIDADES ADJUDICACIÓN'!BJ68)</f>
        <v>505076.13866666669</v>
      </c>
      <c r="BK75" s="228"/>
      <c r="BL75" s="228"/>
      <c r="BM75" s="228"/>
      <c r="BN75" s="228">
        <f>SUMIFS(PRESUPUESTO!$G$141:$G$155,PRESUPUESTO!$E$141:$E$155,'CANTIDADES ADJUDICACIÓN'!BN68)</f>
        <v>2272842.6239999998</v>
      </c>
      <c r="BO75" s="228"/>
      <c r="BP75" s="228"/>
      <c r="BQ75" s="228"/>
      <c r="BR75" s="228">
        <f>SUMIFS(PRESUPUESTO!$G$141:$G$155,PRESUPUESTO!$E$141:$E$155,'CANTIDADES ADJUDICACIÓN'!BR68)</f>
        <v>1515228.416</v>
      </c>
      <c r="BS75" s="228"/>
      <c r="BT75" s="228"/>
      <c r="BU75" s="228"/>
      <c r="BV75" s="228">
        <f>SUMIFS(PRESUPUESTO!$G$141:$G$155,PRESUPUESTO!$E$141:$E$155,'CANTIDADES ADJUDICACIÓN'!BV68)</f>
        <v>260684.45866666667</v>
      </c>
      <c r="BW75" s="228"/>
      <c r="BX75" s="228"/>
      <c r="BY75" s="228"/>
      <c r="BZ75" s="228">
        <f>SUMIFS(PRESUPUESTO!$G$141:$G$155,PRESUPUESTO!$E$141:$E$155,'CANTIDADES ADJUDICACIÓN'!BZ68)</f>
        <v>97756.672000000006</v>
      </c>
      <c r="CA75" s="228"/>
      <c r="CB75" s="228"/>
      <c r="CC75" s="228"/>
      <c r="CD75" s="228">
        <f>SUMIFS(PRESUPUESTO!$G$141:$G$155,PRESUPUESTO!$E$141:$E$155,'CANTIDADES ADJUDICACIÓN'!CD68)</f>
        <v>1515228.416</v>
      </c>
      <c r="CE75" s="228"/>
      <c r="CF75" s="228"/>
      <c r="CG75" s="228"/>
      <c r="CH75" s="228">
        <f>SUMIFS(PRESUPUESTO!$G$141:$G$155,PRESUPUESTO!$E$141:$E$155,'CANTIDADES ADJUDICACIÓN'!CH68)</f>
        <v>1515228.416</v>
      </c>
      <c r="CI75" s="228"/>
      <c r="CJ75" s="228"/>
      <c r="CK75" s="228"/>
      <c r="CL75" s="35">
        <f>SUM(AD75:CK75)</f>
        <v>21384272</v>
      </c>
    </row>
    <row r="76" spans="2:90" x14ac:dyDescent="0.25">
      <c r="B76" s="226" t="s">
        <v>10</v>
      </c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4">
        <f>AD75-AD74</f>
        <v>400.8640000000596</v>
      </c>
      <c r="AE76" s="224"/>
      <c r="AF76" s="224"/>
      <c r="AG76" s="224"/>
      <c r="AH76" s="224">
        <f>AH75-AH74</f>
        <v>366.48533333349042</v>
      </c>
      <c r="AI76" s="224"/>
      <c r="AJ76" s="224"/>
      <c r="AK76" s="224"/>
      <c r="AL76" s="224">
        <f>AL75-AL74</f>
        <v>142.62399999983609</v>
      </c>
      <c r="AM76" s="224"/>
      <c r="AN76" s="224"/>
      <c r="AO76" s="224"/>
      <c r="AP76" s="224">
        <f t="shared" ref="AP76" si="273">AP75-AP74</f>
        <v>766.48533333349042</v>
      </c>
      <c r="AQ76" s="224"/>
      <c r="AR76" s="224"/>
      <c r="AS76" s="224"/>
      <c r="AT76" s="224">
        <f>AT75-AT74</f>
        <v>904.55466666677967</v>
      </c>
      <c r="AU76" s="224"/>
      <c r="AV76" s="224"/>
      <c r="AW76" s="224"/>
      <c r="AX76" s="224">
        <f>AX75-AX74</f>
        <v>104.55466666677967</v>
      </c>
      <c r="AY76" s="224"/>
      <c r="AZ76" s="224"/>
      <c r="BA76" s="224"/>
      <c r="BB76" s="224">
        <f>BB75-BB74</f>
        <v>142.62399999983609</v>
      </c>
      <c r="BC76" s="224"/>
      <c r="BD76" s="224"/>
      <c r="BE76" s="224"/>
      <c r="BF76" s="224">
        <f t="shared" ref="BF76" si="274">BF75-BF74</f>
        <v>198.66666666674428</v>
      </c>
      <c r="BG76" s="224"/>
      <c r="BH76" s="224"/>
      <c r="BI76" s="224"/>
      <c r="BJ76" s="224">
        <f>BJ75-BJ74</f>
        <v>1076.1386666666949</v>
      </c>
      <c r="BK76" s="224"/>
      <c r="BL76" s="224"/>
      <c r="BM76" s="224"/>
      <c r="BN76" s="224">
        <f>BN75-BN74</f>
        <v>142.62399999983609</v>
      </c>
      <c r="BO76" s="224"/>
      <c r="BP76" s="224"/>
      <c r="BQ76" s="224"/>
      <c r="BR76" s="224">
        <f>BR75-BR74</f>
        <v>228.41599999996834</v>
      </c>
      <c r="BS76" s="224"/>
      <c r="BT76" s="224"/>
      <c r="BU76" s="224"/>
      <c r="BV76" s="224">
        <f t="shared" ref="BV76" si="275">BV75-BV74</f>
        <v>584.4586666666728</v>
      </c>
      <c r="BW76" s="224"/>
      <c r="BX76" s="224"/>
      <c r="BY76" s="224"/>
      <c r="BZ76" s="224">
        <f>BZ75-BZ74</f>
        <v>956.67200000000594</v>
      </c>
      <c r="CA76" s="224"/>
      <c r="CB76" s="224"/>
      <c r="CC76" s="224"/>
      <c r="CD76" s="224">
        <f>CD75-CD74</f>
        <v>228.41599999996834</v>
      </c>
      <c r="CE76" s="224"/>
      <c r="CF76" s="224"/>
      <c r="CG76" s="224"/>
      <c r="CH76" s="224">
        <f>CH75-CH74</f>
        <v>228.41599999996834</v>
      </c>
      <c r="CI76" s="224"/>
      <c r="CJ76" s="224"/>
      <c r="CK76" s="224"/>
    </row>
    <row r="78" spans="2:90" x14ac:dyDescent="0.25">
      <c r="B78" s="199" t="s">
        <v>149</v>
      </c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0"/>
      <c r="O78" s="200"/>
      <c r="P78" s="200"/>
      <c r="Q78" s="200"/>
      <c r="R78" s="200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199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199"/>
      <c r="AR78" s="200"/>
      <c r="AS78" s="200"/>
      <c r="AT78" s="200"/>
      <c r="AU78" s="200"/>
      <c r="AV78" s="200"/>
      <c r="AW78" s="200"/>
      <c r="AX78" s="200"/>
      <c r="AY78" s="200"/>
      <c r="AZ78" s="200"/>
      <c r="BA78" s="200"/>
      <c r="BB78" s="200"/>
      <c r="BC78" s="200"/>
      <c r="BD78" s="199"/>
      <c r="BE78" s="200"/>
      <c r="BF78" s="200"/>
      <c r="BG78" s="200"/>
      <c r="BH78" s="200"/>
      <c r="BI78" s="200"/>
      <c r="BJ78" s="200"/>
      <c r="BK78" s="200"/>
      <c r="BL78" s="200"/>
      <c r="BM78" s="200"/>
      <c r="BN78" s="200"/>
      <c r="BO78" s="200"/>
      <c r="BP78" s="200"/>
      <c r="BQ78" s="199"/>
      <c r="BR78" s="200"/>
      <c r="BS78" s="200"/>
      <c r="BT78" s="200"/>
      <c r="BU78" s="200"/>
      <c r="BV78" s="200"/>
      <c r="BW78" s="200"/>
      <c r="BX78" s="200"/>
      <c r="BY78" s="200"/>
      <c r="BZ78" s="200"/>
      <c r="CA78" s="200"/>
      <c r="CB78" s="200"/>
      <c r="CC78" s="200"/>
      <c r="CD78" s="199"/>
      <c r="CE78" s="200"/>
      <c r="CF78" s="200"/>
      <c r="CG78" s="200"/>
      <c r="CH78" s="200"/>
      <c r="CI78" s="200"/>
      <c r="CJ78" s="200"/>
      <c r="CK78" s="200"/>
    </row>
    <row r="79" spans="2:90" ht="28.5" customHeight="1" x14ac:dyDescent="0.25">
      <c r="B79" s="225" t="str">
        <f>'PLAN DE NECESIDADES'!B62</f>
        <v>ÍTEM</v>
      </c>
      <c r="C79" s="225" t="str">
        <f>'PLAN DE NECESIDADES'!C62</f>
        <v>CÓDIGO DANE</v>
      </c>
      <c r="D79" s="226" t="str">
        <f>'PLAN DE NECESIDADES'!D62</f>
        <v xml:space="preserve">DESCRIPCIÓN DEL BIEN Y/O SERVICIO </v>
      </c>
      <c r="E79" s="225" t="str">
        <f>'PLAN DE NECESIDADES'!E62</f>
        <v>UNIDAD MEDIDA</v>
      </c>
      <c r="F79" s="225" t="str">
        <f>'PLAN DE NECESIDADES'!F62</f>
        <v>EXISTENCIAS (STOCK - INVENTARIOS)</v>
      </c>
      <c r="G79" s="225" t="str">
        <f>'PLAN DE NECESIDADES'!H62</f>
        <v>UNSPSC (CCE)</v>
      </c>
      <c r="H79" s="225" t="str">
        <f>'PLAN DE NECESIDADES'!I62</f>
        <v xml:space="preserve">CÓDIGO MATERIAL SAP </v>
      </c>
      <c r="I79" s="225" t="str">
        <f>'PLAN DE NECESIDADES'!J62</f>
        <v xml:space="preserve">CÓDIGO OTAN - NOC </v>
      </c>
      <c r="J79" s="205" t="s">
        <v>155</v>
      </c>
      <c r="K79" s="203" t="str">
        <f>AD79</f>
        <v>BAABS3</v>
      </c>
      <c r="L79" s="203" t="str">
        <f>AH79</f>
        <v>BAACA10</v>
      </c>
      <c r="M79" s="203" t="str">
        <f>AL79</f>
        <v>BAACA2</v>
      </c>
      <c r="N79" s="203" t="str">
        <f>AP79</f>
        <v>BAADA1</v>
      </c>
      <c r="O79" s="203" t="str">
        <f>AT79</f>
        <v>BAEEV2</v>
      </c>
      <c r="P79" s="203" t="str">
        <f>AX79</f>
        <v>BAEEV3</v>
      </c>
      <c r="Q79" s="203" t="str">
        <f>BB79</f>
        <v>BAMMA7</v>
      </c>
      <c r="R79" s="203" t="str">
        <f>BF79</f>
        <v>BASPC10</v>
      </c>
      <c r="S79" s="203" t="str">
        <f>BJ79</f>
        <v>BASAC</v>
      </c>
      <c r="T79" s="203" t="str">
        <f>BN79</f>
        <v>BICAR</v>
      </c>
      <c r="U79" s="203" t="str">
        <f>BR79</f>
        <v>BIMOC70</v>
      </c>
      <c r="V79" s="203" t="str">
        <f>BV79</f>
        <v>BITER10</v>
      </c>
      <c r="W79" s="203" t="str">
        <f>BZ79</f>
        <v>DIM15</v>
      </c>
      <c r="X79" s="203" t="str">
        <f>CD79</f>
        <v>GMMAT</v>
      </c>
      <c r="Y79" s="203" t="str">
        <f>CH79</f>
        <v>GMRON</v>
      </c>
      <c r="Z79" s="209" t="s">
        <v>13</v>
      </c>
      <c r="AA79" s="227" t="s">
        <v>14</v>
      </c>
      <c r="AB79" s="227" t="s">
        <v>12</v>
      </c>
      <c r="AC79" s="227" t="s">
        <v>4</v>
      </c>
      <c r="AD79" s="214" t="s">
        <v>29</v>
      </c>
      <c r="AE79" s="215"/>
      <c r="AF79" s="215"/>
      <c r="AG79" s="216"/>
      <c r="AH79" s="217" t="s">
        <v>30</v>
      </c>
      <c r="AI79" s="218"/>
      <c r="AJ79" s="218"/>
      <c r="AK79" s="219"/>
      <c r="AL79" s="196" t="s">
        <v>31</v>
      </c>
      <c r="AM79" s="197"/>
      <c r="AN79" s="197"/>
      <c r="AO79" s="198"/>
      <c r="AP79" s="211" t="s">
        <v>32</v>
      </c>
      <c r="AQ79" s="212"/>
      <c r="AR79" s="212"/>
      <c r="AS79" s="213"/>
      <c r="AT79" s="214" t="s">
        <v>27</v>
      </c>
      <c r="AU79" s="215"/>
      <c r="AV79" s="215"/>
      <c r="AW79" s="216"/>
      <c r="AX79" s="217" t="s">
        <v>33</v>
      </c>
      <c r="AY79" s="218"/>
      <c r="AZ79" s="218"/>
      <c r="BA79" s="219"/>
      <c r="BB79" s="196" t="s">
        <v>66</v>
      </c>
      <c r="BC79" s="197"/>
      <c r="BD79" s="197"/>
      <c r="BE79" s="198"/>
      <c r="BF79" s="211" t="s">
        <v>67</v>
      </c>
      <c r="BG79" s="212"/>
      <c r="BH79" s="212"/>
      <c r="BI79" s="213"/>
      <c r="BJ79" s="214" t="s">
        <v>34</v>
      </c>
      <c r="BK79" s="215"/>
      <c r="BL79" s="215"/>
      <c r="BM79" s="216"/>
      <c r="BN79" s="217" t="s">
        <v>35</v>
      </c>
      <c r="BO79" s="218"/>
      <c r="BP79" s="218"/>
      <c r="BQ79" s="219"/>
      <c r="BR79" s="196" t="s">
        <v>68</v>
      </c>
      <c r="BS79" s="197"/>
      <c r="BT79" s="197"/>
      <c r="BU79" s="198"/>
      <c r="BV79" s="211" t="s">
        <v>36</v>
      </c>
      <c r="BW79" s="212"/>
      <c r="BX79" s="212"/>
      <c r="BY79" s="213"/>
      <c r="BZ79" s="214" t="s">
        <v>37</v>
      </c>
      <c r="CA79" s="215"/>
      <c r="CB79" s="215"/>
      <c r="CC79" s="216"/>
      <c r="CD79" s="217" t="s">
        <v>69</v>
      </c>
      <c r="CE79" s="218"/>
      <c r="CF79" s="218"/>
      <c r="CG79" s="219"/>
      <c r="CH79" s="196" t="s">
        <v>38</v>
      </c>
      <c r="CI79" s="197"/>
      <c r="CJ79" s="197"/>
      <c r="CK79" s="198"/>
    </row>
    <row r="80" spans="2:90" ht="28.5" customHeight="1" x14ac:dyDescent="0.25">
      <c r="B80" s="225"/>
      <c r="C80" s="225"/>
      <c r="D80" s="226"/>
      <c r="E80" s="225"/>
      <c r="F80" s="225"/>
      <c r="G80" s="225"/>
      <c r="H80" s="225"/>
      <c r="I80" s="225"/>
      <c r="J80" s="206"/>
      <c r="K80" s="204"/>
      <c r="L80" s="204"/>
      <c r="M80" s="204"/>
      <c r="N80" s="204"/>
      <c r="O80" s="204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10"/>
      <c r="AA80" s="227"/>
      <c r="AB80" s="227"/>
      <c r="AC80" s="227"/>
      <c r="AD80" s="20" t="s">
        <v>15</v>
      </c>
      <c r="AE80" s="21" t="s">
        <v>16</v>
      </c>
      <c r="AF80" s="22" t="s">
        <v>17</v>
      </c>
      <c r="AG80" s="20" t="s">
        <v>20</v>
      </c>
      <c r="AH80" s="3" t="s">
        <v>15</v>
      </c>
      <c r="AI80" s="4" t="s">
        <v>16</v>
      </c>
      <c r="AJ80" s="5" t="s">
        <v>17</v>
      </c>
      <c r="AK80" s="3" t="s">
        <v>20</v>
      </c>
      <c r="AL80" s="51" t="s">
        <v>15</v>
      </c>
      <c r="AM80" s="23" t="s">
        <v>16</v>
      </c>
      <c r="AN80" s="24" t="s">
        <v>17</v>
      </c>
      <c r="AO80" s="51" t="s">
        <v>20</v>
      </c>
      <c r="AP80" s="25" t="s">
        <v>15</v>
      </c>
      <c r="AQ80" s="26" t="s">
        <v>16</v>
      </c>
      <c r="AR80" s="27" t="s">
        <v>17</v>
      </c>
      <c r="AS80" s="25" t="s">
        <v>20</v>
      </c>
      <c r="AT80" s="20" t="s">
        <v>15</v>
      </c>
      <c r="AU80" s="21" t="s">
        <v>16</v>
      </c>
      <c r="AV80" s="22" t="s">
        <v>17</v>
      </c>
      <c r="AW80" s="20" t="s">
        <v>20</v>
      </c>
      <c r="AX80" s="3" t="s">
        <v>15</v>
      </c>
      <c r="AY80" s="4" t="s">
        <v>16</v>
      </c>
      <c r="AZ80" s="5" t="s">
        <v>17</v>
      </c>
      <c r="BA80" s="3" t="s">
        <v>20</v>
      </c>
      <c r="BB80" s="51" t="s">
        <v>15</v>
      </c>
      <c r="BC80" s="23" t="s">
        <v>16</v>
      </c>
      <c r="BD80" s="24" t="s">
        <v>17</v>
      </c>
      <c r="BE80" s="51" t="s">
        <v>20</v>
      </c>
      <c r="BF80" s="25" t="s">
        <v>15</v>
      </c>
      <c r="BG80" s="26" t="s">
        <v>16</v>
      </c>
      <c r="BH80" s="27" t="s">
        <v>17</v>
      </c>
      <c r="BI80" s="25" t="s">
        <v>20</v>
      </c>
      <c r="BJ80" s="20" t="s">
        <v>15</v>
      </c>
      <c r="BK80" s="21" t="s">
        <v>16</v>
      </c>
      <c r="BL80" s="22" t="s">
        <v>17</v>
      </c>
      <c r="BM80" s="20" t="s">
        <v>20</v>
      </c>
      <c r="BN80" s="3" t="s">
        <v>15</v>
      </c>
      <c r="BO80" s="4" t="s">
        <v>16</v>
      </c>
      <c r="BP80" s="5" t="s">
        <v>17</v>
      </c>
      <c r="BQ80" s="3" t="s">
        <v>20</v>
      </c>
      <c r="BR80" s="51" t="s">
        <v>15</v>
      </c>
      <c r="BS80" s="23" t="s">
        <v>16</v>
      </c>
      <c r="BT80" s="24" t="s">
        <v>17</v>
      </c>
      <c r="BU80" s="51" t="s">
        <v>20</v>
      </c>
      <c r="BV80" s="25" t="s">
        <v>15</v>
      </c>
      <c r="BW80" s="26" t="s">
        <v>16</v>
      </c>
      <c r="BX80" s="27" t="s">
        <v>17</v>
      </c>
      <c r="BY80" s="25" t="s">
        <v>20</v>
      </c>
      <c r="BZ80" s="20" t="s">
        <v>15</v>
      </c>
      <c r="CA80" s="21" t="s">
        <v>16</v>
      </c>
      <c r="CB80" s="22" t="s">
        <v>17</v>
      </c>
      <c r="CC80" s="20" t="s">
        <v>20</v>
      </c>
      <c r="CD80" s="3" t="s">
        <v>15</v>
      </c>
      <c r="CE80" s="4" t="s">
        <v>16</v>
      </c>
      <c r="CF80" s="5" t="s">
        <v>17</v>
      </c>
      <c r="CG80" s="3" t="s">
        <v>20</v>
      </c>
      <c r="CH80" s="51" t="s">
        <v>15</v>
      </c>
      <c r="CI80" s="23" t="s">
        <v>16</v>
      </c>
      <c r="CJ80" s="24" t="s">
        <v>17</v>
      </c>
      <c r="CK80" s="51" t="s">
        <v>20</v>
      </c>
    </row>
    <row r="81" spans="2:90" x14ac:dyDescent="0.25">
      <c r="B81" s="7">
        <f>'PLAN DE NECESIDADES'!B63</f>
        <v>35</v>
      </c>
      <c r="C81" s="7">
        <f>'PLAN DE NECESIDADES'!C63</f>
        <v>4291403</v>
      </c>
      <c r="D81" s="60" t="str">
        <f>'PLAN DE NECESIDADES'!D63</f>
        <v>MAQUINA  PARA AFEITAR: DESECHABLE, MÍNIMO TRIPLE HOJA, DEBE TENER BANDA LUBRICANTE ESPECIFICACIONES SEGÚN NORMA TÉCNICA NO. NTMD-0356 A2 ÍTEM  3.1.1.4</v>
      </c>
      <c r="E81" s="7" t="str">
        <f>'PLAN DE NECESIDADES'!E63</f>
        <v>UNIDAD</v>
      </c>
      <c r="F81" s="7">
        <f>'PLAN DE NECESIDADES'!F63</f>
        <v>0</v>
      </c>
      <c r="G81" s="7">
        <f>'PLAN DE NECESIDADES'!H63</f>
        <v>53131603</v>
      </c>
      <c r="H81" s="7">
        <f>'PLAN DE NECESIDADES'!I63</f>
        <v>1266905</v>
      </c>
      <c r="I81" s="7" t="str">
        <f>'PLAN DE NECESIDADES'!J63</f>
        <v>SIN CREAR</v>
      </c>
      <c r="J81" s="7">
        <v>3</v>
      </c>
      <c r="K81" s="85">
        <v>69</v>
      </c>
      <c r="L81" s="85">
        <v>217</v>
      </c>
      <c r="M81" s="85">
        <v>279</v>
      </c>
      <c r="N81" s="85">
        <v>217</v>
      </c>
      <c r="O81" s="85">
        <v>248</v>
      </c>
      <c r="P81" s="85">
        <v>248</v>
      </c>
      <c r="Q81" s="85">
        <v>279</v>
      </c>
      <c r="R81" s="85">
        <v>125</v>
      </c>
      <c r="S81" s="85">
        <v>62</v>
      </c>
      <c r="T81" s="85">
        <v>279</v>
      </c>
      <c r="U81" s="85">
        <v>186</v>
      </c>
      <c r="V81" s="85">
        <v>32</v>
      </c>
      <c r="W81" s="85">
        <v>12</v>
      </c>
      <c r="X81" s="85">
        <v>186</v>
      </c>
      <c r="Y81" s="85">
        <v>186</v>
      </c>
      <c r="Z81" s="85">
        <f t="shared" ref="Z81:AB84" si="276">SUM(AD81,AH81,AL81,AP81,AT81,AX81,BB81,BF81,BJ81,BN81,BR81,BV81,BZ81,CD81,CH81)</f>
        <v>7968</v>
      </c>
      <c r="AA81" s="7">
        <f t="shared" si="276"/>
        <v>4908</v>
      </c>
      <c r="AB81" s="7">
        <f t="shared" si="276"/>
        <v>3060</v>
      </c>
      <c r="AC81" s="12">
        <v>3500</v>
      </c>
      <c r="AD81" s="7">
        <f>K81*J81</f>
        <v>207</v>
      </c>
      <c r="AE81" s="7">
        <f>J81*44</f>
        <v>132</v>
      </c>
      <c r="AF81" s="8">
        <f t="shared" ref="AF81:AF84" si="277">AD81-AE81</f>
        <v>75</v>
      </c>
      <c r="AG81" s="14">
        <f>AC81*AE81</f>
        <v>462000</v>
      </c>
      <c r="AH81" s="7">
        <f>L81*J81</f>
        <v>651</v>
      </c>
      <c r="AI81" s="7">
        <f>J81*135</f>
        <v>405</v>
      </c>
      <c r="AJ81" s="8">
        <f t="shared" ref="AJ81:AJ84" si="278">AH81-AI81</f>
        <v>246</v>
      </c>
      <c r="AK81" s="14">
        <f>AC81*AI81</f>
        <v>1417500</v>
      </c>
      <c r="AL81" s="7">
        <f>M81*J81</f>
        <v>837</v>
      </c>
      <c r="AM81" s="7">
        <f>J81*174</f>
        <v>522</v>
      </c>
      <c r="AN81" s="8">
        <f t="shared" ref="AN81:AN84" si="279">AL81-AM81</f>
        <v>315</v>
      </c>
      <c r="AO81" s="14">
        <f>AC81*AM81</f>
        <v>1827000</v>
      </c>
      <c r="AP81" s="7">
        <f>N81*J81</f>
        <v>651</v>
      </c>
      <c r="AQ81" s="7">
        <f>J81*135</f>
        <v>405</v>
      </c>
      <c r="AR81" s="8">
        <f t="shared" ref="AR81:AR84" si="280">AP81-AQ81</f>
        <v>246</v>
      </c>
      <c r="AS81" s="14">
        <f>AC81*AQ81</f>
        <v>1417500</v>
      </c>
      <c r="AT81" s="7">
        <f>M81*J81</f>
        <v>837</v>
      </c>
      <c r="AU81" s="7">
        <f>J81*155</f>
        <v>465</v>
      </c>
      <c r="AV81" s="8">
        <f t="shared" ref="AV81:AV84" si="281">AT81-AU81</f>
        <v>372</v>
      </c>
      <c r="AW81" s="14">
        <f>AU81*AC81</f>
        <v>1627500</v>
      </c>
      <c r="AX81" s="7">
        <f>P81*J81</f>
        <v>744</v>
      </c>
      <c r="AY81" s="7">
        <f>J81*155</f>
        <v>465</v>
      </c>
      <c r="AZ81" s="8">
        <f t="shared" ref="AZ81" si="282">AX81-AY81</f>
        <v>279</v>
      </c>
      <c r="BA81" s="14">
        <f>AC81*AY81</f>
        <v>1627500</v>
      </c>
      <c r="BB81" s="7">
        <f>Q81*J81</f>
        <v>837</v>
      </c>
      <c r="BC81" s="7">
        <f>J81*174</f>
        <v>522</v>
      </c>
      <c r="BD81" s="8">
        <f t="shared" ref="BD81" si="283">BB81-BC81</f>
        <v>315</v>
      </c>
      <c r="BE81" s="14">
        <f>BC81*AC81</f>
        <v>1827000</v>
      </c>
      <c r="BF81" s="7">
        <f>R81*J81</f>
        <v>375</v>
      </c>
      <c r="BG81" s="7">
        <f>J81*78</f>
        <v>234</v>
      </c>
      <c r="BH81" s="8">
        <f t="shared" ref="BH81" si="284">BF81-BG81</f>
        <v>141</v>
      </c>
      <c r="BI81" s="14">
        <f>BG81*AC81</f>
        <v>819000</v>
      </c>
      <c r="BJ81" s="7">
        <f>S81*J81</f>
        <v>186</v>
      </c>
      <c r="BK81" s="7">
        <f>J81*39</f>
        <v>117</v>
      </c>
      <c r="BL81" s="8">
        <f t="shared" ref="BL81:BL84" si="285">BJ81-BK81</f>
        <v>69</v>
      </c>
      <c r="BM81" s="14">
        <f>BK81*AC81</f>
        <v>409500</v>
      </c>
      <c r="BN81" s="7">
        <f>T81*J81</f>
        <v>837</v>
      </c>
      <c r="BO81" s="7">
        <f>J81*174</f>
        <v>522</v>
      </c>
      <c r="BP81" s="8">
        <f t="shared" ref="BP81:BP84" si="286">BN81-BO81</f>
        <v>315</v>
      </c>
      <c r="BQ81" s="14">
        <f>BO81*AC81</f>
        <v>1827000</v>
      </c>
      <c r="BR81" s="7">
        <f>U81*J81</f>
        <v>558</v>
      </c>
      <c r="BS81" s="7">
        <f>J81*116</f>
        <v>348</v>
      </c>
      <c r="BT81" s="8">
        <f t="shared" ref="BT81:BT84" si="287">BR81-BS81</f>
        <v>210</v>
      </c>
      <c r="BU81" s="14">
        <f>BS81*AC81</f>
        <v>1218000</v>
      </c>
      <c r="BV81" s="7">
        <f>V81*J81</f>
        <v>96</v>
      </c>
      <c r="BW81" s="7">
        <f>J81*20</f>
        <v>60</v>
      </c>
      <c r="BX81" s="8">
        <f t="shared" ref="BX81:BX84" si="288">BV81-BW81</f>
        <v>36</v>
      </c>
      <c r="BY81" s="14">
        <f>BW81*AC81</f>
        <v>210000</v>
      </c>
      <c r="BZ81" s="7">
        <f>W81*J81</f>
        <v>36</v>
      </c>
      <c r="CA81" s="7">
        <f>J81*7</f>
        <v>21</v>
      </c>
      <c r="CB81" s="8">
        <f t="shared" ref="CB81:CB84" si="289">BZ81-CA81</f>
        <v>15</v>
      </c>
      <c r="CC81" s="14">
        <f>CA81*AC81</f>
        <v>73500</v>
      </c>
      <c r="CD81" s="7">
        <f>X81*J81</f>
        <v>558</v>
      </c>
      <c r="CE81" s="7">
        <f>J81*115</f>
        <v>345</v>
      </c>
      <c r="CF81" s="8">
        <f t="shared" ref="CF81:CF84" si="290">CD81-CE81</f>
        <v>213</v>
      </c>
      <c r="CG81" s="14">
        <f>CE81*AC81</f>
        <v>1207500</v>
      </c>
      <c r="CH81" s="7">
        <f>Y81*J81</f>
        <v>558</v>
      </c>
      <c r="CI81" s="7">
        <f>J81*115</f>
        <v>345</v>
      </c>
      <c r="CJ81" s="8">
        <f t="shared" ref="CJ81:CJ84" si="291">CH81-CI81</f>
        <v>213</v>
      </c>
      <c r="CK81" s="14">
        <f>CI81*AC81</f>
        <v>1207500</v>
      </c>
    </row>
    <row r="82" spans="2:90" x14ac:dyDescent="0.25">
      <c r="B82" s="7">
        <f>'PLAN DE NECESIDADES'!B64</f>
        <v>36</v>
      </c>
      <c r="C82" s="7">
        <f>'PLAN DE NECESIDADES'!C64</f>
        <v>4299206</v>
      </c>
      <c r="D82" s="60" t="str">
        <f>'PLAN DE NECESIDADES'!D64</f>
        <v>CANDADO: AALTO 60 MM ± 5 MM
ANCHO 35 MM ± 5 MM, ESPECIFICACIONES SEGÚN NORMA TÉCNICA NO. NTMD-0356 A2 ÍTEM  3.1.1.15</v>
      </c>
      <c r="E82" s="7" t="str">
        <f>'PLAN DE NECESIDADES'!E64</f>
        <v>UNIDAD</v>
      </c>
      <c r="F82" s="7">
        <f>'PLAN DE NECESIDADES'!F64</f>
        <v>0</v>
      </c>
      <c r="G82" s="7">
        <f>'PLAN DE NECESIDADES'!H64</f>
        <v>46171501</v>
      </c>
      <c r="H82" s="7">
        <f>'PLAN DE NECESIDADES'!I64</f>
        <v>1448704</v>
      </c>
      <c r="I82" s="7" t="str">
        <f>'PLAN DE NECESIDADES'!J64</f>
        <v>5340-80-0011396</v>
      </c>
      <c r="J82" s="7">
        <v>1</v>
      </c>
      <c r="K82" s="85">
        <v>69</v>
      </c>
      <c r="L82" s="85">
        <v>217</v>
      </c>
      <c r="M82" s="85">
        <v>279</v>
      </c>
      <c r="N82" s="85">
        <v>217</v>
      </c>
      <c r="O82" s="85">
        <v>248</v>
      </c>
      <c r="P82" s="85">
        <v>248</v>
      </c>
      <c r="Q82" s="85">
        <v>279</v>
      </c>
      <c r="R82" s="85">
        <v>125</v>
      </c>
      <c r="S82" s="85">
        <v>62</v>
      </c>
      <c r="T82" s="85">
        <v>279</v>
      </c>
      <c r="U82" s="85">
        <v>186</v>
      </c>
      <c r="V82" s="85">
        <v>32</v>
      </c>
      <c r="W82" s="85">
        <v>12</v>
      </c>
      <c r="X82" s="85">
        <v>186</v>
      </c>
      <c r="Y82" s="85">
        <v>186</v>
      </c>
      <c r="Z82" s="85">
        <f t="shared" si="276"/>
        <v>2656</v>
      </c>
      <c r="AA82" s="7">
        <f t="shared" si="276"/>
        <v>1635</v>
      </c>
      <c r="AB82" s="7">
        <f t="shared" si="276"/>
        <v>1021</v>
      </c>
      <c r="AC82" s="12">
        <v>5400</v>
      </c>
      <c r="AD82" s="7">
        <f>K82*J82</f>
        <v>69</v>
      </c>
      <c r="AE82" s="7">
        <f>J82*43</f>
        <v>43</v>
      </c>
      <c r="AF82" s="8">
        <f t="shared" si="277"/>
        <v>26</v>
      </c>
      <c r="AG82" s="14">
        <f>AC82*AE82</f>
        <v>232200</v>
      </c>
      <c r="AH82" s="7">
        <f>L82*J82</f>
        <v>217</v>
      </c>
      <c r="AI82" s="7">
        <f>J82*135</f>
        <v>135</v>
      </c>
      <c r="AJ82" s="8">
        <f t="shared" si="278"/>
        <v>82</v>
      </c>
      <c r="AK82" s="14">
        <f>AC82*AI82</f>
        <v>729000</v>
      </c>
      <c r="AL82" s="7">
        <f>M82*J82</f>
        <v>279</v>
      </c>
      <c r="AM82" s="7">
        <f>J82*174</f>
        <v>174</v>
      </c>
      <c r="AN82" s="8">
        <f t="shared" si="279"/>
        <v>105</v>
      </c>
      <c r="AO82" s="14">
        <f>AC82*AM82</f>
        <v>939600</v>
      </c>
      <c r="AP82" s="7">
        <f>N82*J82</f>
        <v>217</v>
      </c>
      <c r="AQ82" s="7">
        <f>J82*135</f>
        <v>135</v>
      </c>
      <c r="AR82" s="8">
        <f t="shared" si="280"/>
        <v>82</v>
      </c>
      <c r="AS82" s="14">
        <f>AC82*AQ82</f>
        <v>729000</v>
      </c>
      <c r="AT82" s="7">
        <f>M82*J82</f>
        <v>279</v>
      </c>
      <c r="AU82" s="7">
        <f>J82*154</f>
        <v>154</v>
      </c>
      <c r="AV82" s="8">
        <f t="shared" si="281"/>
        <v>125</v>
      </c>
      <c r="AW82" s="14">
        <f>AU82*AC82</f>
        <v>831600</v>
      </c>
      <c r="AX82" s="7">
        <f>P82*J82</f>
        <v>248</v>
      </c>
      <c r="AY82" s="7">
        <f>J82*154</f>
        <v>154</v>
      </c>
      <c r="AZ82" s="8">
        <f t="shared" ref="AZ82:AZ84" si="292">AX82-AY82</f>
        <v>94</v>
      </c>
      <c r="BA82" s="14">
        <f>AC82*AY82</f>
        <v>831600</v>
      </c>
      <c r="BB82" s="7">
        <f>Q82*J82</f>
        <v>279</v>
      </c>
      <c r="BC82" s="7">
        <f>J82*174</f>
        <v>174</v>
      </c>
      <c r="BD82" s="8">
        <f t="shared" ref="BD82:BD84" si="293">BB82-BC82</f>
        <v>105</v>
      </c>
      <c r="BE82" s="14">
        <f>BC82*AC82</f>
        <v>939600</v>
      </c>
      <c r="BF82" s="7">
        <f>R82*J82</f>
        <v>125</v>
      </c>
      <c r="BG82" s="7">
        <f>J82*77</f>
        <v>77</v>
      </c>
      <c r="BH82" s="8">
        <f t="shared" ref="BH82:BH84" si="294">BF82-BG82</f>
        <v>48</v>
      </c>
      <c r="BI82" s="14">
        <f>BG82*AC82</f>
        <v>415800</v>
      </c>
      <c r="BJ82" s="7">
        <f>S82*J82</f>
        <v>62</v>
      </c>
      <c r="BK82" s="7">
        <f>J82*39</f>
        <v>39</v>
      </c>
      <c r="BL82" s="8">
        <f t="shared" si="285"/>
        <v>23</v>
      </c>
      <c r="BM82" s="14">
        <f>BK82*AC82</f>
        <v>210600</v>
      </c>
      <c r="BN82" s="7">
        <f>T82*J82</f>
        <v>279</v>
      </c>
      <c r="BO82" s="7">
        <f>J82*174</f>
        <v>174</v>
      </c>
      <c r="BP82" s="8">
        <f t="shared" si="286"/>
        <v>105</v>
      </c>
      <c r="BQ82" s="14">
        <f>BO82*AC82</f>
        <v>939600</v>
      </c>
      <c r="BR82" s="7">
        <f>U82*J82</f>
        <v>186</v>
      </c>
      <c r="BS82" s="7">
        <f>J82*116</f>
        <v>116</v>
      </c>
      <c r="BT82" s="8">
        <f t="shared" si="287"/>
        <v>70</v>
      </c>
      <c r="BU82" s="14">
        <f>BS82*AC82</f>
        <v>626400</v>
      </c>
      <c r="BV82" s="7">
        <f>V82*J82</f>
        <v>32</v>
      </c>
      <c r="BW82" s="7">
        <f>J82*20</f>
        <v>20</v>
      </c>
      <c r="BX82" s="8">
        <f t="shared" si="288"/>
        <v>12</v>
      </c>
      <c r="BY82" s="14">
        <f>BW82*AC82</f>
        <v>108000</v>
      </c>
      <c r="BZ82" s="7">
        <f>W82*J82</f>
        <v>12</v>
      </c>
      <c r="CA82" s="7">
        <f>J82*8</f>
        <v>8</v>
      </c>
      <c r="CB82" s="8">
        <f t="shared" si="289"/>
        <v>4</v>
      </c>
      <c r="CC82" s="14">
        <f>CA82*AC82</f>
        <v>43200</v>
      </c>
      <c r="CD82" s="7">
        <f>X82*J82</f>
        <v>186</v>
      </c>
      <c r="CE82" s="7">
        <f>J82*117</f>
        <v>117</v>
      </c>
      <c r="CF82" s="8">
        <f t="shared" si="290"/>
        <v>69</v>
      </c>
      <c r="CG82" s="14">
        <f>CE82*AC82</f>
        <v>631800</v>
      </c>
      <c r="CH82" s="7">
        <f>Y82*J82</f>
        <v>186</v>
      </c>
      <c r="CI82" s="7">
        <f>J82*115</f>
        <v>115</v>
      </c>
      <c r="CJ82" s="8">
        <f t="shared" si="291"/>
        <v>71</v>
      </c>
      <c r="CK82" s="14">
        <f>CI82*AC82</f>
        <v>621000</v>
      </c>
    </row>
    <row r="83" spans="2:90" x14ac:dyDescent="0.25">
      <c r="B83" s="7">
        <f>'PLAN DE NECESIDADES'!B65</f>
        <v>37</v>
      </c>
      <c r="C83" s="7">
        <f>'PLAN DE NECESIDADES'!C65</f>
        <v>4291502</v>
      </c>
      <c r="D83" s="60" t="str">
        <f>'PLAN DE NECESIDADES'!D65</f>
        <v>CORTA UÑAS:
80 MM DE LONGITUD  ESPECIFICACIONES SEGÚN NORMA TÉCNICA NO. NTMD-0356 A2 ÍTEM  3.1.1.17</v>
      </c>
      <c r="E83" s="7" t="str">
        <f>'PLAN DE NECESIDADES'!E65</f>
        <v>UNIDAD</v>
      </c>
      <c r="F83" s="7">
        <f>'PLAN DE NECESIDADES'!F65</f>
        <v>0</v>
      </c>
      <c r="G83" s="7">
        <f>'PLAN DE NECESIDADES'!H65</f>
        <v>53131621</v>
      </c>
      <c r="H83" s="7">
        <f>'PLAN DE NECESIDADES'!I65</f>
        <v>1315903</v>
      </c>
      <c r="I83" s="7" t="str">
        <f>'PLAN DE NECESIDADES'!J65</f>
        <v>8530-80-0011403</v>
      </c>
      <c r="J83" s="7">
        <v>1</v>
      </c>
      <c r="K83" s="85">
        <v>69</v>
      </c>
      <c r="L83" s="85">
        <v>217</v>
      </c>
      <c r="M83" s="85">
        <v>279</v>
      </c>
      <c r="N83" s="85">
        <v>217</v>
      </c>
      <c r="O83" s="85">
        <v>248</v>
      </c>
      <c r="P83" s="85">
        <v>248</v>
      </c>
      <c r="Q83" s="85">
        <v>279</v>
      </c>
      <c r="R83" s="85">
        <v>125</v>
      </c>
      <c r="S83" s="85">
        <v>62</v>
      </c>
      <c r="T83" s="85">
        <v>279</v>
      </c>
      <c r="U83" s="85">
        <v>186</v>
      </c>
      <c r="V83" s="85">
        <v>32</v>
      </c>
      <c r="W83" s="85">
        <v>12</v>
      </c>
      <c r="X83" s="85">
        <v>186</v>
      </c>
      <c r="Y83" s="85">
        <v>186</v>
      </c>
      <c r="Z83" s="85">
        <f t="shared" si="276"/>
        <v>2656</v>
      </c>
      <c r="AA83" s="7">
        <f t="shared" si="276"/>
        <v>1634</v>
      </c>
      <c r="AB83" s="7">
        <f t="shared" si="276"/>
        <v>1022</v>
      </c>
      <c r="AC83" s="12">
        <v>4100</v>
      </c>
      <c r="AD83" s="7">
        <f>K83*J83</f>
        <v>69</v>
      </c>
      <c r="AE83" s="7">
        <f>J83*42</f>
        <v>42</v>
      </c>
      <c r="AF83" s="8">
        <f t="shared" si="277"/>
        <v>27</v>
      </c>
      <c r="AG83" s="14">
        <f>AC83*AE83</f>
        <v>172200</v>
      </c>
      <c r="AH83" s="7">
        <f>L83*J83</f>
        <v>217</v>
      </c>
      <c r="AI83" s="7">
        <f>J83*135</f>
        <v>135</v>
      </c>
      <c r="AJ83" s="8">
        <f t="shared" si="278"/>
        <v>82</v>
      </c>
      <c r="AK83" s="14">
        <f>AC83*AI83</f>
        <v>553500</v>
      </c>
      <c r="AL83" s="7">
        <f>M83*J83</f>
        <v>279</v>
      </c>
      <c r="AM83" s="7">
        <f>J83*174</f>
        <v>174</v>
      </c>
      <c r="AN83" s="8">
        <f t="shared" si="279"/>
        <v>105</v>
      </c>
      <c r="AO83" s="14">
        <f>AC83*AM83</f>
        <v>713400</v>
      </c>
      <c r="AP83" s="7">
        <f>N83*J83</f>
        <v>217</v>
      </c>
      <c r="AQ83" s="7">
        <f>J83*135</f>
        <v>135</v>
      </c>
      <c r="AR83" s="8">
        <f t="shared" si="280"/>
        <v>82</v>
      </c>
      <c r="AS83" s="14">
        <f>AC83*AQ83</f>
        <v>553500</v>
      </c>
      <c r="AT83" s="7">
        <f>M83*J83</f>
        <v>279</v>
      </c>
      <c r="AU83" s="7">
        <f>J83*154</f>
        <v>154</v>
      </c>
      <c r="AV83" s="8">
        <f t="shared" si="281"/>
        <v>125</v>
      </c>
      <c r="AW83" s="14">
        <f>AU83*AC83</f>
        <v>631400</v>
      </c>
      <c r="AX83" s="7">
        <f>P83*J83</f>
        <v>248</v>
      </c>
      <c r="AY83" s="7">
        <f>J83*154</f>
        <v>154</v>
      </c>
      <c r="AZ83" s="8">
        <f t="shared" si="292"/>
        <v>94</v>
      </c>
      <c r="BA83" s="14">
        <f>AC83*AY83</f>
        <v>631400</v>
      </c>
      <c r="BB83" s="7">
        <f>Q83*J83</f>
        <v>279</v>
      </c>
      <c r="BC83" s="7">
        <f>J83*174</f>
        <v>174</v>
      </c>
      <c r="BD83" s="8">
        <f t="shared" si="293"/>
        <v>105</v>
      </c>
      <c r="BE83" s="14">
        <f>BC83*AC83</f>
        <v>713400</v>
      </c>
      <c r="BF83" s="7">
        <f>R83*J83</f>
        <v>125</v>
      </c>
      <c r="BG83" s="7">
        <f>J83*78</f>
        <v>78</v>
      </c>
      <c r="BH83" s="8">
        <f t="shared" si="294"/>
        <v>47</v>
      </c>
      <c r="BI83" s="14">
        <f>BG83*AC83</f>
        <v>319800</v>
      </c>
      <c r="BJ83" s="7">
        <f>S83*J83</f>
        <v>62</v>
      </c>
      <c r="BK83" s="7">
        <f>J83*38</f>
        <v>38</v>
      </c>
      <c r="BL83" s="8">
        <f t="shared" si="285"/>
        <v>24</v>
      </c>
      <c r="BM83" s="14">
        <f>BK83*AC83</f>
        <v>155800</v>
      </c>
      <c r="BN83" s="7">
        <f>T83*J83</f>
        <v>279</v>
      </c>
      <c r="BO83" s="7">
        <f>J83*174</f>
        <v>174</v>
      </c>
      <c r="BP83" s="8">
        <f t="shared" si="286"/>
        <v>105</v>
      </c>
      <c r="BQ83" s="14">
        <f>BO83*AC83</f>
        <v>713400</v>
      </c>
      <c r="BR83" s="7">
        <f>U83*J83</f>
        <v>186</v>
      </c>
      <c r="BS83" s="7">
        <f>J83*117</f>
        <v>117</v>
      </c>
      <c r="BT83" s="8">
        <f t="shared" si="287"/>
        <v>69</v>
      </c>
      <c r="BU83" s="14">
        <f>BS83*AC83</f>
        <v>479700</v>
      </c>
      <c r="BV83" s="7">
        <f>V83*J83</f>
        <v>32</v>
      </c>
      <c r="BW83" s="7">
        <f>J83*19</f>
        <v>19</v>
      </c>
      <c r="BX83" s="8">
        <f t="shared" si="288"/>
        <v>13</v>
      </c>
      <c r="BY83" s="14">
        <f>BW83*AC83</f>
        <v>77900</v>
      </c>
      <c r="BZ83" s="7">
        <f>W83*J83</f>
        <v>12</v>
      </c>
      <c r="CA83" s="7">
        <f>J83*9</f>
        <v>9</v>
      </c>
      <c r="CB83" s="8">
        <f t="shared" si="289"/>
        <v>3</v>
      </c>
      <c r="CC83" s="14">
        <f>CA83*AC83</f>
        <v>36900</v>
      </c>
      <c r="CD83" s="7">
        <f>X83*J83</f>
        <v>186</v>
      </c>
      <c r="CE83" s="7">
        <f>J83*115</f>
        <v>115</v>
      </c>
      <c r="CF83" s="8">
        <f t="shared" si="290"/>
        <v>71</v>
      </c>
      <c r="CG83" s="14">
        <f>CE83*AC83</f>
        <v>471500</v>
      </c>
      <c r="CH83" s="7">
        <f>Y83*J83</f>
        <v>186</v>
      </c>
      <c r="CI83" s="7">
        <f>J83*116</f>
        <v>116</v>
      </c>
      <c r="CJ83" s="8">
        <f t="shared" si="291"/>
        <v>70</v>
      </c>
      <c r="CK83" s="14">
        <f>CI83*AC83</f>
        <v>475600</v>
      </c>
    </row>
    <row r="84" spans="2:90" x14ac:dyDescent="0.25">
      <c r="B84" s="7">
        <f>'PLAN DE NECESIDADES'!B66</f>
        <v>38</v>
      </c>
      <c r="C84" s="7">
        <f>'PLAN DE NECESIDADES'!C66</f>
        <v>4299904</v>
      </c>
      <c r="D84" s="60" t="str">
        <f>'PLAN DE NECESIDADES'!D66</f>
        <v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v>
      </c>
      <c r="E84" s="7" t="str">
        <f>'PLAN DE NECESIDADES'!E66</f>
        <v>JUEGO</v>
      </c>
      <c r="F84" s="7">
        <f>'PLAN DE NECESIDADES'!F66</f>
        <v>0</v>
      </c>
      <c r="G84" s="7">
        <f>'PLAN DE NECESIDADES'!H66</f>
        <v>60101717</v>
      </c>
      <c r="H84" s="7">
        <f>'PLAN DE NECESIDADES'!I66</f>
        <v>1108870</v>
      </c>
      <c r="I84" s="7" t="str">
        <f>'PLAN DE NECESIDADES'!J66</f>
        <v>8465-80-0011304</v>
      </c>
      <c r="J84" s="7">
        <v>1</v>
      </c>
      <c r="K84" s="85">
        <v>69</v>
      </c>
      <c r="L84" s="85">
        <v>217</v>
      </c>
      <c r="M84" s="85">
        <v>279</v>
      </c>
      <c r="N84" s="85">
        <v>217</v>
      </c>
      <c r="O84" s="85">
        <v>248</v>
      </c>
      <c r="P84" s="85">
        <v>248</v>
      </c>
      <c r="Q84" s="85">
        <v>279</v>
      </c>
      <c r="R84" s="85">
        <v>125</v>
      </c>
      <c r="S84" s="85">
        <v>62</v>
      </c>
      <c r="T84" s="85">
        <v>279</v>
      </c>
      <c r="U84" s="85">
        <v>186</v>
      </c>
      <c r="V84" s="85">
        <v>32</v>
      </c>
      <c r="W84" s="85">
        <v>12</v>
      </c>
      <c r="X84" s="85">
        <v>186</v>
      </c>
      <c r="Y84" s="85">
        <v>186</v>
      </c>
      <c r="Z84" s="85">
        <f t="shared" si="276"/>
        <v>2656</v>
      </c>
      <c r="AA84" s="7">
        <f t="shared" si="276"/>
        <v>1629</v>
      </c>
      <c r="AB84" s="7">
        <f t="shared" si="276"/>
        <v>1027</v>
      </c>
      <c r="AC84" s="12">
        <v>11300</v>
      </c>
      <c r="AD84" s="7">
        <f>K84*J84</f>
        <v>69</v>
      </c>
      <c r="AE84" s="7">
        <f>J84*42</f>
        <v>42</v>
      </c>
      <c r="AF84" s="8">
        <f t="shared" si="277"/>
        <v>27</v>
      </c>
      <c r="AG84" s="14">
        <f>AC84*AE84</f>
        <v>474600</v>
      </c>
      <c r="AH84" s="7">
        <f>L84*J84</f>
        <v>217</v>
      </c>
      <c r="AI84" s="7">
        <f>J84*135</f>
        <v>135</v>
      </c>
      <c r="AJ84" s="8">
        <f t="shared" si="278"/>
        <v>82</v>
      </c>
      <c r="AK84" s="14">
        <f>AC84*AI84</f>
        <v>1525500</v>
      </c>
      <c r="AL84" s="7">
        <f>M84*J84</f>
        <v>279</v>
      </c>
      <c r="AM84" s="7">
        <f>J84*173</f>
        <v>173</v>
      </c>
      <c r="AN84" s="8">
        <f t="shared" si="279"/>
        <v>106</v>
      </c>
      <c r="AO84" s="14">
        <f>AC84*AM84</f>
        <v>1954900</v>
      </c>
      <c r="AP84" s="7">
        <f>N84*J84</f>
        <v>217</v>
      </c>
      <c r="AQ84" s="7">
        <f>J84*135</f>
        <v>135</v>
      </c>
      <c r="AR84" s="8">
        <f t="shared" si="280"/>
        <v>82</v>
      </c>
      <c r="AS84" s="14">
        <f>AC84*AQ84</f>
        <v>1525500</v>
      </c>
      <c r="AT84" s="7">
        <f>M84*J84</f>
        <v>279</v>
      </c>
      <c r="AU84" s="7">
        <f>J84*154</f>
        <v>154</v>
      </c>
      <c r="AV84" s="8">
        <f t="shared" si="281"/>
        <v>125</v>
      </c>
      <c r="AW84" s="14">
        <f>AU84*AC84</f>
        <v>1740200</v>
      </c>
      <c r="AX84" s="7">
        <f>P84*J84</f>
        <v>248</v>
      </c>
      <c r="AY84" s="7">
        <f>J84*154</f>
        <v>154</v>
      </c>
      <c r="AZ84" s="8">
        <f t="shared" si="292"/>
        <v>94</v>
      </c>
      <c r="BA84" s="14">
        <f>AC84*AY84</f>
        <v>1740200</v>
      </c>
      <c r="BB84" s="7">
        <f>Q84*J84</f>
        <v>279</v>
      </c>
      <c r="BC84" s="7">
        <f>J84*173</f>
        <v>173</v>
      </c>
      <c r="BD84" s="8">
        <f t="shared" si="293"/>
        <v>106</v>
      </c>
      <c r="BE84" s="14">
        <f>BC84*AC84</f>
        <v>1954900</v>
      </c>
      <c r="BF84" s="7">
        <f>R84*J84</f>
        <v>125</v>
      </c>
      <c r="BG84" s="7">
        <f>J84*78</f>
        <v>78</v>
      </c>
      <c r="BH84" s="8">
        <f t="shared" si="294"/>
        <v>47</v>
      </c>
      <c r="BI84" s="14">
        <f>BG84*AC84</f>
        <v>881400</v>
      </c>
      <c r="BJ84" s="7">
        <f>S84*J84</f>
        <v>62</v>
      </c>
      <c r="BK84" s="7">
        <f>J84*38</f>
        <v>38</v>
      </c>
      <c r="BL84" s="8">
        <f t="shared" si="285"/>
        <v>24</v>
      </c>
      <c r="BM84" s="14">
        <f>BK84*AC84</f>
        <v>429400</v>
      </c>
      <c r="BN84" s="7">
        <f>T84*J84</f>
        <v>279</v>
      </c>
      <c r="BO84" s="7">
        <f>J84*173</f>
        <v>173</v>
      </c>
      <c r="BP84" s="8">
        <f t="shared" si="286"/>
        <v>106</v>
      </c>
      <c r="BQ84" s="14">
        <f>BO84*AC84</f>
        <v>1954900</v>
      </c>
      <c r="BR84" s="7">
        <f>U84*J84</f>
        <v>186</v>
      </c>
      <c r="BS84" s="7">
        <f>J84*115</f>
        <v>115</v>
      </c>
      <c r="BT84" s="8">
        <f t="shared" si="287"/>
        <v>71</v>
      </c>
      <c r="BU84" s="14">
        <f>BS84*AC84</f>
        <v>1299500</v>
      </c>
      <c r="BV84" s="7">
        <f>V84*J84</f>
        <v>32</v>
      </c>
      <c r="BW84" s="7">
        <f>J84*20</f>
        <v>20</v>
      </c>
      <c r="BX84" s="8">
        <f t="shared" si="288"/>
        <v>12</v>
      </c>
      <c r="BY84" s="14">
        <f>BW84*AC84</f>
        <v>226000</v>
      </c>
      <c r="BZ84" s="7">
        <f>W84*J84</f>
        <v>12</v>
      </c>
      <c r="CA84" s="7">
        <f>J84*7</f>
        <v>7</v>
      </c>
      <c r="CB84" s="8">
        <f t="shared" si="289"/>
        <v>5</v>
      </c>
      <c r="CC84" s="14">
        <f>CA84*AC84</f>
        <v>79100</v>
      </c>
      <c r="CD84" s="7">
        <f>X84*J84</f>
        <v>186</v>
      </c>
      <c r="CE84" s="7">
        <f>J84*116</f>
        <v>116</v>
      </c>
      <c r="CF84" s="8">
        <f t="shared" si="290"/>
        <v>70</v>
      </c>
      <c r="CG84" s="14">
        <f>CE84*AC84</f>
        <v>1310800</v>
      </c>
      <c r="CH84" s="7">
        <f>Y84*J84</f>
        <v>186</v>
      </c>
      <c r="CI84" s="7">
        <f>J84*116</f>
        <v>116</v>
      </c>
      <c r="CJ84" s="8">
        <f t="shared" si="291"/>
        <v>70</v>
      </c>
      <c r="CK84" s="14">
        <f>CI84*AC84</f>
        <v>1310800</v>
      </c>
    </row>
    <row r="85" spans="2:90" x14ac:dyDescent="0.25">
      <c r="B85" s="226" t="s">
        <v>18</v>
      </c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8">
        <f>SUM(AG81:AG84)</f>
        <v>1341000</v>
      </c>
      <c r="AE85" s="228"/>
      <c r="AF85" s="228"/>
      <c r="AG85" s="228"/>
      <c r="AH85" s="228">
        <f t="shared" ref="AH85" si="295">SUM(AK81:AK84)</f>
        <v>4225500</v>
      </c>
      <c r="AI85" s="228"/>
      <c r="AJ85" s="228"/>
      <c r="AK85" s="228"/>
      <c r="AL85" s="228">
        <f t="shared" ref="AL85" si="296">SUM(AO81:AO84)</f>
        <v>5434900</v>
      </c>
      <c r="AM85" s="228"/>
      <c r="AN85" s="228"/>
      <c r="AO85" s="228"/>
      <c r="AP85" s="228">
        <f t="shared" ref="AP85" si="297">SUM(AS81:AS84)</f>
        <v>4225500</v>
      </c>
      <c r="AQ85" s="228"/>
      <c r="AR85" s="228"/>
      <c r="AS85" s="228"/>
      <c r="AT85" s="228">
        <f t="shared" ref="AT85" si="298">SUM(AW81:AW84)</f>
        <v>4830700</v>
      </c>
      <c r="AU85" s="228"/>
      <c r="AV85" s="228"/>
      <c r="AW85" s="228"/>
      <c r="AX85" s="228">
        <f t="shared" ref="AX85" si="299">SUM(BA81:BA84)</f>
        <v>4830700</v>
      </c>
      <c r="AY85" s="228"/>
      <c r="AZ85" s="228"/>
      <c r="BA85" s="228"/>
      <c r="BB85" s="228">
        <f t="shared" ref="BB85" si="300">SUM(BE81:BE84)</f>
        <v>5434900</v>
      </c>
      <c r="BC85" s="228"/>
      <c r="BD85" s="228"/>
      <c r="BE85" s="228"/>
      <c r="BF85" s="228">
        <f t="shared" ref="BF85" si="301">SUM(BI81:BI84)</f>
        <v>2436000</v>
      </c>
      <c r="BG85" s="228"/>
      <c r="BH85" s="228"/>
      <c r="BI85" s="228"/>
      <c r="BJ85" s="228">
        <f t="shared" ref="BJ85" si="302">SUM(BM81:BM84)</f>
        <v>1205300</v>
      </c>
      <c r="BK85" s="228"/>
      <c r="BL85" s="228"/>
      <c r="BM85" s="228"/>
      <c r="BN85" s="228">
        <f t="shared" ref="BN85" si="303">SUM(BQ81:BQ84)</f>
        <v>5434900</v>
      </c>
      <c r="BO85" s="228"/>
      <c r="BP85" s="228"/>
      <c r="BQ85" s="228"/>
      <c r="BR85" s="228">
        <f t="shared" ref="BR85" si="304">SUM(BU81:BU84)</f>
        <v>3623600</v>
      </c>
      <c r="BS85" s="228"/>
      <c r="BT85" s="228"/>
      <c r="BU85" s="228"/>
      <c r="BV85" s="228">
        <f t="shared" ref="BV85" si="305">SUM(BY81:BY84)</f>
        <v>621900</v>
      </c>
      <c r="BW85" s="228"/>
      <c r="BX85" s="228"/>
      <c r="BY85" s="228"/>
      <c r="BZ85" s="228">
        <f t="shared" ref="BZ85" si="306">SUM(CC81:CC84)</f>
        <v>232700</v>
      </c>
      <c r="CA85" s="228"/>
      <c r="CB85" s="228"/>
      <c r="CC85" s="228"/>
      <c r="CD85" s="228">
        <f t="shared" ref="CD85" si="307">SUM(CG81:CG84)</f>
        <v>3621600</v>
      </c>
      <c r="CE85" s="228"/>
      <c r="CF85" s="228"/>
      <c r="CG85" s="228"/>
      <c r="CH85" s="228">
        <f t="shared" ref="CH85" si="308">SUM(CK81:CK84)</f>
        <v>3614900</v>
      </c>
      <c r="CI85" s="228"/>
      <c r="CJ85" s="228"/>
      <c r="CK85" s="228"/>
    </row>
    <row r="86" spans="2:90" x14ac:dyDescent="0.25">
      <c r="B86" s="226" t="s">
        <v>19</v>
      </c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8">
        <f>SUMIFS(PRESUPUESTO!$G$159:$G$173,PRESUPUESTO!$E$159:$E$173,'CANTIDADES ADJUDICACIÓN'!AD79)</f>
        <v>1344689.4537142857</v>
      </c>
      <c r="AE86" s="228"/>
      <c r="AF86" s="228"/>
      <c r="AG86" s="228"/>
      <c r="AH86" s="228">
        <f>SUMIFS(PRESUPUESTO!$G$159:$G$173,PRESUPUESTO!$E$159:$E$173,'CANTIDADES ADJUDICACIÓN'!AH79)</f>
        <v>4228950.8906666674</v>
      </c>
      <c r="AI86" s="228"/>
      <c r="AJ86" s="228"/>
      <c r="AK86" s="228"/>
      <c r="AL86" s="228">
        <f>SUMIFS(PRESUPUESTO!$G$159:$G$173,PRESUPUESTO!$E$159:$E$173,'CANTIDADES ADJUDICACIÓN'!AL79)</f>
        <v>5437222.5737142861</v>
      </c>
      <c r="AM86" s="228"/>
      <c r="AN86" s="228"/>
      <c r="AO86" s="228"/>
      <c r="AP86" s="228">
        <f>SUMIFS(PRESUPUESTO!$G$159:$G$173,PRESUPUESTO!$E$159:$E$173,'CANTIDADES ADJUDICACIÓN'!AP79)</f>
        <v>4228950.8906666674</v>
      </c>
      <c r="AQ86" s="228"/>
      <c r="AR86" s="228"/>
      <c r="AS86" s="228"/>
      <c r="AT86" s="228">
        <f>SUMIFS(PRESUPUESTO!$G$159:$G$173,PRESUPUESTO!$E$159:$E$173,'CANTIDADES ADJUDICACIÓN'!AT79)</f>
        <v>4833086.7321904767</v>
      </c>
      <c r="AU86" s="228"/>
      <c r="AV86" s="228"/>
      <c r="AW86" s="228"/>
      <c r="AX86" s="228">
        <f>SUMIFS(PRESUPUESTO!$G$159:$G$173,PRESUPUESTO!$E$159:$E$173,'CANTIDADES ADJUDICACIÓN'!AX79)</f>
        <v>4833086.7321904767</v>
      </c>
      <c r="AY86" s="228"/>
      <c r="AZ86" s="228"/>
      <c r="BA86" s="228"/>
      <c r="BB86" s="228">
        <f>SUMIFS(PRESUPUESTO!$G$159:$G$173,PRESUPUESTO!$E$159:$E$173,'CANTIDADES ADJUDICACIÓN'!BB79)</f>
        <v>5437222.5737142861</v>
      </c>
      <c r="BC86" s="228"/>
      <c r="BD86" s="228"/>
      <c r="BE86" s="228"/>
      <c r="BF86" s="228">
        <f>SUMIFS(PRESUPUESTO!$G$159:$G$173,PRESUPUESTO!$E$159:$E$173,'CANTIDADES ADJUDICACIÓN'!BF79)</f>
        <v>2436031.6190476194</v>
      </c>
      <c r="BG86" s="228"/>
      <c r="BH86" s="228"/>
      <c r="BI86" s="228"/>
      <c r="BJ86" s="228">
        <f>SUMIFS(PRESUPUESTO!$G$159:$G$173,PRESUPUESTO!$E$159:$E$173,'CANTIDADES ADJUDICACIÓN'!BJ79)</f>
        <v>1208271.6830476192</v>
      </c>
      <c r="BK86" s="228"/>
      <c r="BL86" s="228"/>
      <c r="BM86" s="228"/>
      <c r="BN86" s="228">
        <f>SUMIFS(PRESUPUESTO!$G$159:$G$173,PRESUPUESTO!$E$159:$E$173,'CANTIDADES ADJUDICACIÓN'!BN79)</f>
        <v>5437222.5737142861</v>
      </c>
      <c r="BO86" s="228"/>
      <c r="BP86" s="228"/>
      <c r="BQ86" s="228"/>
      <c r="BR86" s="228">
        <f>SUMIFS(PRESUPUESTO!$G$159:$G$173,PRESUPUESTO!$E$159:$E$173,'CANTIDADES ADJUDICACIÓN'!BR79)</f>
        <v>3624815.0491428575</v>
      </c>
      <c r="BS86" s="228"/>
      <c r="BT86" s="228"/>
      <c r="BU86" s="228"/>
      <c r="BV86" s="228">
        <f>SUMIFS(PRESUPUESTO!$G$159:$G$173,PRESUPUESTO!$E$159:$E$173,'CANTIDADES ADJUDICACIÓN'!BV79)</f>
        <v>623624.09447619051</v>
      </c>
      <c r="BW86" s="228"/>
      <c r="BX86" s="228"/>
      <c r="BY86" s="228"/>
      <c r="BZ86" s="228">
        <f>SUMIFS(PRESUPUESTO!$G$159:$G$173,PRESUPUESTO!$E$159:$E$173,'CANTIDADES ADJUDICACIÓN'!BZ79)</f>
        <v>233859.03542857146</v>
      </c>
      <c r="CA86" s="228"/>
      <c r="CB86" s="228"/>
      <c r="CC86" s="228"/>
      <c r="CD86" s="228">
        <f>SUMIFS(PRESUPUESTO!$G$159:$G$173,PRESUPUESTO!$E$159:$E$173,'CANTIDADES ADJUDICACIÓN'!CD79)</f>
        <v>3624815.0491428575</v>
      </c>
      <c r="CE86" s="228"/>
      <c r="CF86" s="228"/>
      <c r="CG86" s="228"/>
      <c r="CH86" s="228">
        <f>SUMIFS(PRESUPUESTO!$G$159:$G$173,PRESUPUESTO!$E$159:$E$173,'CANTIDADES ADJUDICACIÓN'!CH79)</f>
        <v>3624815.0491428575</v>
      </c>
      <c r="CI86" s="228"/>
      <c r="CJ86" s="228"/>
      <c r="CK86" s="228"/>
      <c r="CL86" s="35">
        <f>SUM(AD86:CK86)</f>
        <v>51156664.000000015</v>
      </c>
    </row>
    <row r="87" spans="2:90" x14ac:dyDescent="0.25">
      <c r="B87" s="226" t="s">
        <v>10</v>
      </c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4">
        <f>AD86-AD85</f>
        <v>3689.4537142857444</v>
      </c>
      <c r="AE87" s="224"/>
      <c r="AF87" s="224"/>
      <c r="AG87" s="224"/>
      <c r="AH87" s="224">
        <f>AH86-AH85</f>
        <v>3450.890666667372</v>
      </c>
      <c r="AI87" s="224"/>
      <c r="AJ87" s="224"/>
      <c r="AK87" s="224"/>
      <c r="AL87" s="224">
        <f>AL86-AL85</f>
        <v>2322.5737142860889</v>
      </c>
      <c r="AM87" s="224"/>
      <c r="AN87" s="224"/>
      <c r="AO87" s="224"/>
      <c r="AP87" s="224">
        <f t="shared" ref="AP87" si="309">AP86-AP85</f>
        <v>3450.890666667372</v>
      </c>
      <c r="AQ87" s="224"/>
      <c r="AR87" s="224"/>
      <c r="AS87" s="224"/>
      <c r="AT87" s="224">
        <f>AT86-AT85</f>
        <v>2386.7321904767305</v>
      </c>
      <c r="AU87" s="224"/>
      <c r="AV87" s="224"/>
      <c r="AW87" s="224"/>
      <c r="AX87" s="224">
        <f>AX86-AX85</f>
        <v>2386.7321904767305</v>
      </c>
      <c r="AY87" s="224"/>
      <c r="AZ87" s="224"/>
      <c r="BA87" s="224"/>
      <c r="BB87" s="224">
        <f>BB86-BB85</f>
        <v>2322.5737142860889</v>
      </c>
      <c r="BC87" s="224"/>
      <c r="BD87" s="224"/>
      <c r="BE87" s="224"/>
      <c r="BF87" s="224">
        <f t="shared" ref="BF87" si="310">BF86-BF85</f>
        <v>31.619047619402409</v>
      </c>
      <c r="BG87" s="224"/>
      <c r="BH87" s="224"/>
      <c r="BI87" s="224"/>
      <c r="BJ87" s="224">
        <f>BJ86-BJ85</f>
        <v>2971.6830476191826</v>
      </c>
      <c r="BK87" s="224"/>
      <c r="BL87" s="224"/>
      <c r="BM87" s="224"/>
      <c r="BN87" s="224">
        <f>BN86-BN85</f>
        <v>2322.5737142860889</v>
      </c>
      <c r="BO87" s="224"/>
      <c r="BP87" s="224"/>
      <c r="BQ87" s="224"/>
      <c r="BR87" s="224">
        <f>BR86-BR85</f>
        <v>1215.0491428575478</v>
      </c>
      <c r="BS87" s="224"/>
      <c r="BT87" s="224"/>
      <c r="BU87" s="224"/>
      <c r="BV87" s="224">
        <f t="shared" ref="BV87" si="311">BV86-BV85</f>
        <v>1724.0944761905121</v>
      </c>
      <c r="BW87" s="224"/>
      <c r="BX87" s="224"/>
      <c r="BY87" s="224"/>
      <c r="BZ87" s="224">
        <f>BZ86-BZ85</f>
        <v>1159.0354285714566</v>
      </c>
      <c r="CA87" s="224"/>
      <c r="CB87" s="224"/>
      <c r="CC87" s="224"/>
      <c r="CD87" s="224">
        <f>CD86-CD85</f>
        <v>3215.0491428575478</v>
      </c>
      <c r="CE87" s="224"/>
      <c r="CF87" s="224"/>
      <c r="CG87" s="224"/>
      <c r="CH87" s="224">
        <f>CH86-CH85</f>
        <v>9915.0491428575478</v>
      </c>
      <c r="CI87" s="224"/>
      <c r="CJ87" s="224"/>
      <c r="CK87" s="224"/>
    </row>
    <row r="89" spans="2:90" x14ac:dyDescent="0.3">
      <c r="AD89" s="232">
        <f>SUM(AD85,AD74,AD63,AD53,AD39,AD29,AD17)</f>
        <v>11456500</v>
      </c>
      <c r="AE89" s="232"/>
      <c r="AF89" s="232"/>
      <c r="AG89" s="232"/>
      <c r="AH89" s="232">
        <f>SUM(AH85,AH74,AH63,AH53,AH39,AH29,AH17)</f>
        <v>36070200</v>
      </c>
      <c r="AI89" s="232"/>
      <c r="AJ89" s="232"/>
      <c r="AK89" s="232"/>
      <c r="AL89" s="232">
        <f>SUM(AL85,AL74,AL63,AL53,AL39,AL29,AL17)</f>
        <v>46383600</v>
      </c>
      <c r="AM89" s="232"/>
      <c r="AN89" s="232"/>
      <c r="AO89" s="232"/>
      <c r="AP89" s="232">
        <f>SUM(AP85,AP74,AP63,AP53,AP39,AP29,AP17)</f>
        <v>36068000</v>
      </c>
      <c r="AQ89" s="232"/>
      <c r="AR89" s="232"/>
      <c r="AS89" s="232"/>
      <c r="AT89" s="232">
        <f>SUM(AT85,AT74,AT63,AT53,AT39,AT29,AT17)</f>
        <v>41226700</v>
      </c>
      <c r="AU89" s="232"/>
      <c r="AV89" s="232"/>
      <c r="AW89" s="232"/>
      <c r="AX89" s="232">
        <f>SUM(AX85,AX74,AX63,AX53,AX39,AX29,AX17)</f>
        <v>41228100</v>
      </c>
      <c r="AY89" s="232"/>
      <c r="AZ89" s="232"/>
      <c r="BA89" s="232"/>
      <c r="BB89" s="232">
        <f>SUM(BB85,BB74,BB63,BB53,BB39,BB29,BB17)</f>
        <v>46383800</v>
      </c>
      <c r="BC89" s="232"/>
      <c r="BD89" s="232"/>
      <c r="BE89" s="232"/>
      <c r="BF89" s="232">
        <f>SUM(BF85,BF74,BF63,BF53,BF39,BF29,BF17)</f>
        <v>20776800</v>
      </c>
      <c r="BG89" s="232"/>
      <c r="BH89" s="232"/>
      <c r="BI89" s="232"/>
      <c r="BJ89" s="232">
        <f>SUM(BJ85,BJ74,BJ63,BJ53,BJ39,BJ29,BJ17)</f>
        <v>10297000</v>
      </c>
      <c r="BK89" s="232"/>
      <c r="BL89" s="232"/>
      <c r="BM89" s="232"/>
      <c r="BN89" s="232">
        <f>SUM(BN85,BN74,BN63,BN53,BN39,BN29,BN17)</f>
        <v>46381700</v>
      </c>
      <c r="BO89" s="232"/>
      <c r="BP89" s="232"/>
      <c r="BQ89" s="232"/>
      <c r="BR89" s="232">
        <f>SUM(BR85,BR74,BR63,BR53,BR39,BR29,BR17)</f>
        <v>30921400</v>
      </c>
      <c r="BS89" s="232"/>
      <c r="BT89" s="232"/>
      <c r="BU89" s="232"/>
      <c r="BV89" s="232">
        <f>SUM(BV85,BV74,BV63,BV53,BV39,BV29,BV17)</f>
        <v>5309300</v>
      </c>
      <c r="BW89" s="232"/>
      <c r="BX89" s="232"/>
      <c r="BY89" s="232"/>
      <c r="BZ89" s="232">
        <f>SUM(BZ85,BZ74,BZ63,BZ53,BZ39,BZ29,BZ17)</f>
        <v>1988800</v>
      </c>
      <c r="CA89" s="232"/>
      <c r="CB89" s="232"/>
      <c r="CC89" s="232"/>
      <c r="CD89" s="232">
        <f>SUM(CD85,CD74,CD63,CD53,CD39,CD29,CD17)</f>
        <v>30919400</v>
      </c>
      <c r="CE89" s="232"/>
      <c r="CF89" s="232"/>
      <c r="CG89" s="232"/>
      <c r="CH89" s="232">
        <f>SUM(CH85,CH74,CH63,CH53,CH39,CH29,CH17)</f>
        <v>30911900</v>
      </c>
      <c r="CI89" s="232"/>
      <c r="CJ89" s="232"/>
      <c r="CK89" s="232"/>
      <c r="CL89" s="35">
        <f>SUM(AD89:CK89)</f>
        <v>436323200</v>
      </c>
    </row>
    <row r="90" spans="2:90" x14ac:dyDescent="0.3">
      <c r="AC90" s="18"/>
      <c r="AD90" s="232">
        <f>SUM(AD86,AD75,AD64,AD54,AD40,AD30,AD18)</f>
        <v>11472958.413714286</v>
      </c>
      <c r="AE90" s="232"/>
      <c r="AF90" s="232"/>
      <c r="AG90" s="232"/>
      <c r="AH90" s="232">
        <f>SUM(AH86,AH75,AH64,AH54,AH40,AH30,AH18)</f>
        <v>36081622.837333336</v>
      </c>
      <c r="AI90" s="232"/>
      <c r="AJ90" s="232"/>
      <c r="AK90" s="232"/>
      <c r="AL90" s="232">
        <f>SUM(AL86,AL75,AL64,AL54,AL40,AL30,AL18)</f>
        <v>46390657.933714285</v>
      </c>
      <c r="AM90" s="232"/>
      <c r="AN90" s="232"/>
      <c r="AO90" s="232"/>
      <c r="AP90" s="232">
        <f>SUM(AP86,AP75,AP64,AP54,AP40,AP30,AP18)</f>
        <v>36081622.837333336</v>
      </c>
      <c r="AQ90" s="232"/>
      <c r="AR90" s="232"/>
      <c r="AS90" s="232"/>
      <c r="AT90" s="232">
        <f>SUM(AT86,AT75,AT64,AT54,AT40,AT30,AT18)</f>
        <v>41236140.385523811</v>
      </c>
      <c r="AU90" s="232"/>
      <c r="AV90" s="232"/>
      <c r="AW90" s="232"/>
      <c r="AX90" s="232">
        <f>SUM(AX86,AX75,AX64,AX54,AX40,AX30,AX18)</f>
        <v>41236140.385523811</v>
      </c>
      <c r="AY90" s="232"/>
      <c r="AZ90" s="232"/>
      <c r="BA90" s="232"/>
      <c r="BB90" s="232">
        <f>SUM(BB86,BB75,BB64,BB54,BB40,BB30,BB18)</f>
        <v>46390657.933714285</v>
      </c>
      <c r="BC90" s="232"/>
      <c r="BD90" s="232"/>
      <c r="BE90" s="232"/>
      <c r="BF90" s="232">
        <f>SUM(BF86,BF75,BF64,BF54,BF40,BF30,BF18)</f>
        <v>20784344.952380955</v>
      </c>
      <c r="BG90" s="232"/>
      <c r="BH90" s="232"/>
      <c r="BI90" s="232"/>
      <c r="BJ90" s="232">
        <f>SUM(BJ86,BJ75,BJ64,BJ54,BJ40,BJ30,BJ18)</f>
        <v>10309035.096380953</v>
      </c>
      <c r="BK90" s="232"/>
      <c r="BL90" s="232"/>
      <c r="BM90" s="232"/>
      <c r="BN90" s="232">
        <f>SUM(BN86,BN75,BN64,BN54,BN40,BN30,BN18)</f>
        <v>46390657.933714285</v>
      </c>
      <c r="BO90" s="232"/>
      <c r="BP90" s="232"/>
      <c r="BQ90" s="232"/>
      <c r="BR90" s="232">
        <f>SUM(BR86,BR75,BR64,BR54,BR40,BR30,BR18)</f>
        <v>30927105.289142858</v>
      </c>
      <c r="BS90" s="232"/>
      <c r="BT90" s="232"/>
      <c r="BU90" s="232"/>
      <c r="BV90" s="232">
        <f>SUM(BV86,BV75,BV64,BV54,BV40,BV30,BV18)</f>
        <v>5320792.3078095242</v>
      </c>
      <c r="BW90" s="232"/>
      <c r="BX90" s="232"/>
      <c r="BY90" s="232"/>
      <c r="BZ90" s="232">
        <f>SUM(BZ86,BZ75,BZ64,BZ54,BZ40,BZ30,BZ18)</f>
        <v>1995297.1154285714</v>
      </c>
      <c r="CA90" s="232"/>
      <c r="CB90" s="232"/>
      <c r="CC90" s="232"/>
      <c r="CD90" s="232">
        <f>SUM(CD86,CD75,CD64,CD54,CD40,CD30,CD18)</f>
        <v>30927105.289142858</v>
      </c>
      <c r="CE90" s="232"/>
      <c r="CF90" s="232"/>
      <c r="CG90" s="232"/>
      <c r="CH90" s="232">
        <f>SUM(CH86,CH75,CH64,CH54,CH40,CH30,CH18)</f>
        <v>30927105.289142858</v>
      </c>
      <c r="CI90" s="232"/>
      <c r="CJ90" s="232"/>
      <c r="CK90" s="232"/>
      <c r="CL90" s="35">
        <f>SUM(AD90:CK90)</f>
        <v>436471243.99999994</v>
      </c>
    </row>
    <row r="91" spans="2:90" x14ac:dyDescent="0.3">
      <c r="AD91" s="232">
        <f>SUM(AD87,AD76,AD65,AD55,AD41,AD31,AD19)</f>
        <v>16458.413714286056</v>
      </c>
      <c r="AE91" s="232"/>
      <c r="AF91" s="232"/>
      <c r="AG91" s="232"/>
      <c r="AH91" s="232">
        <f>SUM(AH87,AH76,AH65,AH55,AH41,AH31,AH19)</f>
        <v>11422.837333333329</v>
      </c>
      <c r="AI91" s="232"/>
      <c r="AJ91" s="232"/>
      <c r="AK91" s="232"/>
      <c r="AL91" s="232">
        <f>SUM(AL87,AL76,AL65,AL55,AL41,AL31,AL19)</f>
        <v>7057.9337142845616</v>
      </c>
      <c r="AM91" s="232"/>
      <c r="AN91" s="232"/>
      <c r="AO91" s="232"/>
      <c r="AP91" s="232">
        <f>SUM(AP87,AP76,AP65,AP55,AP41,AP31,AP19)</f>
        <v>13622.837333333329</v>
      </c>
      <c r="AQ91" s="232"/>
      <c r="AR91" s="232"/>
      <c r="AS91" s="232"/>
      <c r="AT91" s="232">
        <f>SUM(AT87,AT76,AT65,AT55,AT41,AT31,AT19)</f>
        <v>9440.385523810517</v>
      </c>
      <c r="AU91" s="232"/>
      <c r="AV91" s="232"/>
      <c r="AW91" s="232"/>
      <c r="AX91" s="232">
        <f>SUM(AX87,AX76,AX65,AX55,AX41,AX31,AX19)</f>
        <v>8040.385523810517</v>
      </c>
      <c r="AY91" s="232"/>
      <c r="AZ91" s="232"/>
      <c r="BA91" s="232"/>
      <c r="BB91" s="232">
        <f>SUM(BB87,BB76,BB65,BB55,BB41,BB31,BB19)</f>
        <v>6857.9337142845616</v>
      </c>
      <c r="BC91" s="232"/>
      <c r="BD91" s="232"/>
      <c r="BE91" s="232"/>
      <c r="BF91" s="232">
        <f>SUM(BF87,BF76,BF65,BF55,BF41,BF31,BF19)</f>
        <v>7544.9523809533566</v>
      </c>
      <c r="BG91" s="232"/>
      <c r="BH91" s="232"/>
      <c r="BI91" s="232"/>
      <c r="BJ91" s="232">
        <f>SUM(BJ87,BJ76,BJ65,BJ55,BJ41,BJ31,BJ19)</f>
        <v>12035.096380952629</v>
      </c>
      <c r="BK91" s="232"/>
      <c r="BL91" s="232"/>
      <c r="BM91" s="232"/>
      <c r="BN91" s="232">
        <f>SUM(BN87,BN76,BN65,BN55,BN41,BN31,BN19)</f>
        <v>8957.9337142845616</v>
      </c>
      <c r="BO91" s="232"/>
      <c r="BP91" s="232"/>
      <c r="BQ91" s="232"/>
      <c r="BR91" s="232">
        <f>SUM(BR87,BR76,BR65,BR55,BR41,BR31,BR19)</f>
        <v>5705.2891428573057</v>
      </c>
      <c r="BS91" s="232"/>
      <c r="BT91" s="232"/>
      <c r="BU91" s="232"/>
      <c r="BV91" s="232">
        <f>SUM(BV87,BV76,BV65,BV55,BV41,BV31,BV19)</f>
        <v>11492.307809523816</v>
      </c>
      <c r="BW91" s="232"/>
      <c r="BX91" s="232"/>
      <c r="BY91" s="232"/>
      <c r="BZ91" s="232">
        <f>SUM(BZ87,BZ76,BZ65,BZ55,BZ41,BZ31,BZ19)</f>
        <v>6497.1154285714219</v>
      </c>
      <c r="CA91" s="232"/>
      <c r="CB91" s="232"/>
      <c r="CC91" s="232"/>
      <c r="CD91" s="232">
        <f>SUM(CD87,CD76,CD65,CD55,CD41,CD31,CD19)</f>
        <v>7705.2891428573057</v>
      </c>
      <c r="CE91" s="232"/>
      <c r="CF91" s="232"/>
      <c r="CG91" s="232"/>
      <c r="CH91" s="232">
        <f>SUM(CH87,CH76,CH65,CH55,CH41,CH31,CH19)</f>
        <v>15205.289142857306</v>
      </c>
      <c r="CI91" s="232"/>
      <c r="CJ91" s="232"/>
      <c r="CK91" s="232"/>
      <c r="CL91" s="35">
        <f>SUM(AD91:CK91)</f>
        <v>148044.00000000058</v>
      </c>
    </row>
  </sheetData>
  <mergeCells count="718">
    <mergeCell ref="Z58:Z59"/>
    <mergeCell ref="AT29:AW29"/>
    <mergeCell ref="AX29:BA29"/>
    <mergeCell ref="BB29:BE29"/>
    <mergeCell ref="BF29:BI29"/>
    <mergeCell ref="AT79:AW79"/>
    <mergeCell ref="AX79:BA79"/>
    <mergeCell ref="BB79:BE79"/>
    <mergeCell ref="BF79:BI79"/>
    <mergeCell ref="BB44:BE44"/>
    <mergeCell ref="BF44:BI44"/>
    <mergeCell ref="AT40:AW40"/>
    <mergeCell ref="AX40:BA40"/>
    <mergeCell ref="BB40:BE40"/>
    <mergeCell ref="BF40:BI40"/>
    <mergeCell ref="AL68:AO68"/>
    <mergeCell ref="AP68:AS68"/>
    <mergeCell ref="AD79:AG79"/>
    <mergeCell ref="AH79:AK79"/>
    <mergeCell ref="AL79:AO79"/>
    <mergeCell ref="AP79:AS79"/>
    <mergeCell ref="B74:AC74"/>
    <mergeCell ref="V58:V59"/>
    <mergeCell ref="W58:W59"/>
    <mergeCell ref="X58:X59"/>
    <mergeCell ref="Y58:Y59"/>
    <mergeCell ref="B54:AC54"/>
    <mergeCell ref="B53:AC53"/>
    <mergeCell ref="AA34:AA35"/>
    <mergeCell ref="L68:L69"/>
    <mergeCell ref="M68:M69"/>
    <mergeCell ref="N68:N69"/>
    <mergeCell ref="O68:O69"/>
    <mergeCell ref="P68:P69"/>
    <mergeCell ref="Q68:Q69"/>
    <mergeCell ref="R68:R69"/>
    <mergeCell ref="S68:S69"/>
    <mergeCell ref="T68:T69"/>
    <mergeCell ref="G68:G69"/>
    <mergeCell ref="H68:H69"/>
    <mergeCell ref="K68:K69"/>
    <mergeCell ref="B64:AC64"/>
    <mergeCell ref="AA68:AA69"/>
    <mergeCell ref="AB68:AB69"/>
    <mergeCell ref="AC68:AC69"/>
    <mergeCell ref="B67:AC67"/>
    <mergeCell ref="U68:U69"/>
    <mergeCell ref="V68:V69"/>
    <mergeCell ref="V22:V23"/>
    <mergeCell ref="W22:W23"/>
    <mergeCell ref="X22:X23"/>
    <mergeCell ref="Y22:Y23"/>
    <mergeCell ref="Z22:Z23"/>
    <mergeCell ref="U34:U35"/>
    <mergeCell ref="V34:V35"/>
    <mergeCell ref="W34:W35"/>
    <mergeCell ref="X34:X35"/>
    <mergeCell ref="Y34:Y35"/>
    <mergeCell ref="Z34:Z35"/>
    <mergeCell ref="B29:AC29"/>
    <mergeCell ref="R34:R35"/>
    <mergeCell ref="S34:S35"/>
    <mergeCell ref="T34:T35"/>
    <mergeCell ref="J3:J4"/>
    <mergeCell ref="J22:J23"/>
    <mergeCell ref="J34:J35"/>
    <mergeCell ref="J44:J45"/>
    <mergeCell ref="J58:J59"/>
    <mergeCell ref="J68:J69"/>
    <mergeCell ref="J79:J80"/>
    <mergeCell ref="Z3:Z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L22:L23"/>
    <mergeCell ref="M22:M23"/>
    <mergeCell ref="CD86:CG86"/>
    <mergeCell ref="CH86:CK86"/>
    <mergeCell ref="CD87:CG87"/>
    <mergeCell ref="CH87:CK87"/>
    <mergeCell ref="AT87:AW87"/>
    <mergeCell ref="AX87:BA87"/>
    <mergeCell ref="BB87:BE87"/>
    <mergeCell ref="BF87:BI87"/>
    <mergeCell ref="BJ87:BM87"/>
    <mergeCell ref="BN87:BQ87"/>
    <mergeCell ref="BR87:BU87"/>
    <mergeCell ref="BV87:BY87"/>
    <mergeCell ref="BZ87:CC87"/>
    <mergeCell ref="AT86:AW86"/>
    <mergeCell ref="AX86:BA86"/>
    <mergeCell ref="BB86:BE86"/>
    <mergeCell ref="BF86:BI86"/>
    <mergeCell ref="BJ86:BM86"/>
    <mergeCell ref="BN86:BQ86"/>
    <mergeCell ref="BR86:BU86"/>
    <mergeCell ref="BV86:BY86"/>
    <mergeCell ref="BZ86:CC86"/>
    <mergeCell ref="CD76:CG76"/>
    <mergeCell ref="CH76:CK76"/>
    <mergeCell ref="AT85:AW85"/>
    <mergeCell ref="AX85:BA85"/>
    <mergeCell ref="BB85:BE85"/>
    <mergeCell ref="BF85:BI85"/>
    <mergeCell ref="BJ85:BM85"/>
    <mergeCell ref="BN85:BQ85"/>
    <mergeCell ref="BR85:BU85"/>
    <mergeCell ref="BV85:BY85"/>
    <mergeCell ref="BZ85:CC85"/>
    <mergeCell ref="CD85:CG85"/>
    <mergeCell ref="CH85:CK85"/>
    <mergeCell ref="AT76:AW76"/>
    <mergeCell ref="AX76:BA76"/>
    <mergeCell ref="BB76:BE76"/>
    <mergeCell ref="BF76:BI76"/>
    <mergeCell ref="BJ76:BM76"/>
    <mergeCell ref="BN76:BQ76"/>
    <mergeCell ref="BR76:BU76"/>
    <mergeCell ref="BV76:BY76"/>
    <mergeCell ref="BZ76:CC76"/>
    <mergeCell ref="CD79:CG79"/>
    <mergeCell ref="CH79:CK79"/>
    <mergeCell ref="CD74:CG74"/>
    <mergeCell ref="CH74:CK74"/>
    <mergeCell ref="AT75:AW75"/>
    <mergeCell ref="AX75:BA75"/>
    <mergeCell ref="BB75:BE75"/>
    <mergeCell ref="BF75:BI75"/>
    <mergeCell ref="BJ75:BM75"/>
    <mergeCell ref="BN75:BQ75"/>
    <mergeCell ref="BR75:BU75"/>
    <mergeCell ref="BV75:BY75"/>
    <mergeCell ref="BZ75:CC75"/>
    <mergeCell ref="CD75:CG75"/>
    <mergeCell ref="CH75:CK75"/>
    <mergeCell ref="AT74:AW74"/>
    <mergeCell ref="AX74:BA74"/>
    <mergeCell ref="BB74:BE74"/>
    <mergeCell ref="BF74:BI74"/>
    <mergeCell ref="BJ74:BM74"/>
    <mergeCell ref="BN74:BQ74"/>
    <mergeCell ref="BR74:BU74"/>
    <mergeCell ref="BV74:BY74"/>
    <mergeCell ref="BZ74:CC74"/>
    <mergeCell ref="CD64:CG64"/>
    <mergeCell ref="CH64:CK64"/>
    <mergeCell ref="AT65:AW65"/>
    <mergeCell ref="AX65:BA65"/>
    <mergeCell ref="BB65:BE65"/>
    <mergeCell ref="BF65:BI65"/>
    <mergeCell ref="BJ65:BM65"/>
    <mergeCell ref="BN65:BQ65"/>
    <mergeCell ref="BR65:BU65"/>
    <mergeCell ref="BV65:BY65"/>
    <mergeCell ref="BZ65:CC65"/>
    <mergeCell ref="CD65:CG65"/>
    <mergeCell ref="CH65:CK65"/>
    <mergeCell ref="AT64:AW64"/>
    <mergeCell ref="AX64:BA64"/>
    <mergeCell ref="BB64:BE64"/>
    <mergeCell ref="BF64:BI64"/>
    <mergeCell ref="BJ64:BM64"/>
    <mergeCell ref="BN64:BQ64"/>
    <mergeCell ref="BR64:BU64"/>
    <mergeCell ref="BV64:BY64"/>
    <mergeCell ref="BZ64:CC64"/>
    <mergeCell ref="CD54:CG54"/>
    <mergeCell ref="CH54:CK54"/>
    <mergeCell ref="AT55:AW55"/>
    <mergeCell ref="AX55:BA55"/>
    <mergeCell ref="BB55:BE55"/>
    <mergeCell ref="BF55:BI55"/>
    <mergeCell ref="BJ55:BM55"/>
    <mergeCell ref="BN55:BQ55"/>
    <mergeCell ref="BR55:BU55"/>
    <mergeCell ref="BV55:BY55"/>
    <mergeCell ref="BZ55:CC55"/>
    <mergeCell ref="CD55:CG55"/>
    <mergeCell ref="CH55:CK55"/>
    <mergeCell ref="AT54:AW54"/>
    <mergeCell ref="AX54:BA54"/>
    <mergeCell ref="BB54:BE54"/>
    <mergeCell ref="BF54:BI54"/>
    <mergeCell ref="BJ54:BM54"/>
    <mergeCell ref="BN54:BQ54"/>
    <mergeCell ref="BR54:BU54"/>
    <mergeCell ref="BV54:BY54"/>
    <mergeCell ref="BZ54:CC54"/>
    <mergeCell ref="CD53:CG53"/>
    <mergeCell ref="CH53:CK53"/>
    <mergeCell ref="AT41:AW41"/>
    <mergeCell ref="AX41:BA41"/>
    <mergeCell ref="BB41:BE41"/>
    <mergeCell ref="BF41:BI41"/>
    <mergeCell ref="BJ41:BM41"/>
    <mergeCell ref="BN41:BQ41"/>
    <mergeCell ref="BR41:BU41"/>
    <mergeCell ref="BV41:BY41"/>
    <mergeCell ref="BZ41:CC41"/>
    <mergeCell ref="AT44:AW44"/>
    <mergeCell ref="AX44:BA44"/>
    <mergeCell ref="AT53:AW53"/>
    <mergeCell ref="AX53:BA53"/>
    <mergeCell ref="BB53:BE53"/>
    <mergeCell ref="BF53:BI53"/>
    <mergeCell ref="BJ53:BM53"/>
    <mergeCell ref="BN53:BQ53"/>
    <mergeCell ref="BR53:BU53"/>
    <mergeCell ref="BV53:BY53"/>
    <mergeCell ref="BZ53:CC53"/>
    <mergeCell ref="CH44:CK44"/>
    <mergeCell ref="BJ44:BM44"/>
    <mergeCell ref="CH31:CK31"/>
    <mergeCell ref="AT39:AW39"/>
    <mergeCell ref="AX39:BA39"/>
    <mergeCell ref="BB39:BE39"/>
    <mergeCell ref="BF39:BI39"/>
    <mergeCell ref="BJ39:BM39"/>
    <mergeCell ref="BN39:BQ39"/>
    <mergeCell ref="BR39:BU39"/>
    <mergeCell ref="BV39:BY39"/>
    <mergeCell ref="BZ39:CC39"/>
    <mergeCell ref="CD39:CG39"/>
    <mergeCell ref="CH39:CK39"/>
    <mergeCell ref="AT31:AW31"/>
    <mergeCell ref="AX31:BA31"/>
    <mergeCell ref="BB31:BE31"/>
    <mergeCell ref="BF31:BI31"/>
    <mergeCell ref="BJ31:BM31"/>
    <mergeCell ref="BN31:BQ31"/>
    <mergeCell ref="BR31:BU31"/>
    <mergeCell ref="BV31:BY31"/>
    <mergeCell ref="BZ31:CC31"/>
    <mergeCell ref="CD34:CG34"/>
    <mergeCell ref="CH34:CK34"/>
    <mergeCell ref="BR34:BU34"/>
    <mergeCell ref="CH29:CK29"/>
    <mergeCell ref="AT30:AW30"/>
    <mergeCell ref="AX30:BA30"/>
    <mergeCell ref="BB30:BE30"/>
    <mergeCell ref="BF30:BI30"/>
    <mergeCell ref="BJ30:BM30"/>
    <mergeCell ref="BN30:BQ30"/>
    <mergeCell ref="BR30:BU30"/>
    <mergeCell ref="BV30:BY30"/>
    <mergeCell ref="BZ30:CC30"/>
    <mergeCell ref="CD30:CG30"/>
    <mergeCell ref="CH30:CK30"/>
    <mergeCell ref="BJ79:BM79"/>
    <mergeCell ref="BN79:BQ79"/>
    <mergeCell ref="BR79:BU79"/>
    <mergeCell ref="BV79:BY79"/>
    <mergeCell ref="BZ79:CC79"/>
    <mergeCell ref="CD58:CG58"/>
    <mergeCell ref="CH58:CK58"/>
    <mergeCell ref="AT68:AW68"/>
    <mergeCell ref="AX68:BA68"/>
    <mergeCell ref="BB68:BE68"/>
    <mergeCell ref="BF68:BI68"/>
    <mergeCell ref="BJ68:BM68"/>
    <mergeCell ref="BN68:BQ68"/>
    <mergeCell ref="BR68:BU68"/>
    <mergeCell ref="BV68:BY68"/>
    <mergeCell ref="BZ68:CC68"/>
    <mergeCell ref="CD68:CG68"/>
    <mergeCell ref="CH68:CK68"/>
    <mergeCell ref="AT63:AW63"/>
    <mergeCell ref="AX63:BA63"/>
    <mergeCell ref="BB63:BE63"/>
    <mergeCell ref="BF63:BI63"/>
    <mergeCell ref="BJ63:BM63"/>
    <mergeCell ref="BN63:BQ63"/>
    <mergeCell ref="BR63:BU63"/>
    <mergeCell ref="BV63:BY63"/>
    <mergeCell ref="BZ63:CC63"/>
    <mergeCell ref="CD63:CG63"/>
    <mergeCell ref="CH63:CK63"/>
    <mergeCell ref="AT58:AW58"/>
    <mergeCell ref="AX58:BA58"/>
    <mergeCell ref="BB58:BE58"/>
    <mergeCell ref="BF58:BI58"/>
    <mergeCell ref="BJ58:BM58"/>
    <mergeCell ref="BN58:BQ58"/>
    <mergeCell ref="BR58:BU58"/>
    <mergeCell ref="BV58:BY58"/>
    <mergeCell ref="BZ58:CC58"/>
    <mergeCell ref="BR40:BU40"/>
    <mergeCell ref="BV40:BY40"/>
    <mergeCell ref="BZ40:CC40"/>
    <mergeCell ref="CH40:CK40"/>
    <mergeCell ref="BD43:BP43"/>
    <mergeCell ref="BQ43:CC43"/>
    <mergeCell ref="CD43:CK43"/>
    <mergeCell ref="CD41:CG41"/>
    <mergeCell ref="CH41:CK41"/>
    <mergeCell ref="BV34:BY34"/>
    <mergeCell ref="BZ34:CC34"/>
    <mergeCell ref="BN44:BQ44"/>
    <mergeCell ref="BR44:BU44"/>
    <mergeCell ref="BV44:BY44"/>
    <mergeCell ref="BZ44:CC44"/>
    <mergeCell ref="CD44:CG44"/>
    <mergeCell ref="BJ19:BM19"/>
    <mergeCell ref="BN19:BQ19"/>
    <mergeCell ref="BR19:BU19"/>
    <mergeCell ref="BV19:BY19"/>
    <mergeCell ref="BZ19:CC19"/>
    <mergeCell ref="CD19:CG19"/>
    <mergeCell ref="CD40:CG40"/>
    <mergeCell ref="BJ29:BM29"/>
    <mergeCell ref="BN29:BQ29"/>
    <mergeCell ref="BR29:BU29"/>
    <mergeCell ref="BV29:BY29"/>
    <mergeCell ref="BZ29:CC29"/>
    <mergeCell ref="CD29:CG29"/>
    <mergeCell ref="CD31:CG31"/>
    <mergeCell ref="CD33:CK33"/>
    <mergeCell ref="BJ40:BM40"/>
    <mergeCell ref="BN40:BQ40"/>
    <mergeCell ref="CH19:CK19"/>
    <mergeCell ref="AT22:AW22"/>
    <mergeCell ref="AX22:BA22"/>
    <mergeCell ref="BB22:BE22"/>
    <mergeCell ref="BF22:BI22"/>
    <mergeCell ref="BJ22:BM22"/>
    <mergeCell ref="BN22:BQ22"/>
    <mergeCell ref="BR22:BU22"/>
    <mergeCell ref="BV22:BY22"/>
    <mergeCell ref="BZ22:CC22"/>
    <mergeCell ref="CD22:CG22"/>
    <mergeCell ref="CH22:CK22"/>
    <mergeCell ref="BZ3:CC3"/>
    <mergeCell ref="CD3:CG3"/>
    <mergeCell ref="CH3:CK3"/>
    <mergeCell ref="BZ17:CC17"/>
    <mergeCell ref="CD17:CG17"/>
    <mergeCell ref="CH17:CK17"/>
    <mergeCell ref="BZ18:CC18"/>
    <mergeCell ref="CD18:CG18"/>
    <mergeCell ref="CH18:CK18"/>
    <mergeCell ref="BJ3:BM3"/>
    <mergeCell ref="BN3:BQ3"/>
    <mergeCell ref="BR3:BU3"/>
    <mergeCell ref="BV3:BY3"/>
    <mergeCell ref="BJ17:BM17"/>
    <mergeCell ref="BN17:BQ17"/>
    <mergeCell ref="BR17:BU17"/>
    <mergeCell ref="BV17:BY17"/>
    <mergeCell ref="BJ18:BM18"/>
    <mergeCell ref="BN18:BQ18"/>
    <mergeCell ref="BR18:BU18"/>
    <mergeCell ref="BV18:BY18"/>
    <mergeCell ref="B87:AC87"/>
    <mergeCell ref="AD87:AG87"/>
    <mergeCell ref="AH87:AK87"/>
    <mergeCell ref="AL87:AO87"/>
    <mergeCell ref="AP87:AS87"/>
    <mergeCell ref="AT3:AW3"/>
    <mergeCell ref="AX3:BA3"/>
    <mergeCell ref="BB3:BE3"/>
    <mergeCell ref="BF3:BI3"/>
    <mergeCell ref="AT17:AW17"/>
    <mergeCell ref="AX17:BA17"/>
    <mergeCell ref="BB17:BE17"/>
    <mergeCell ref="BF17:BI17"/>
    <mergeCell ref="AT18:AW18"/>
    <mergeCell ref="AX18:BA18"/>
    <mergeCell ref="BB18:BE18"/>
    <mergeCell ref="BF18:BI18"/>
    <mergeCell ref="AT19:AW19"/>
    <mergeCell ref="AX19:BA19"/>
    <mergeCell ref="BB19:BE19"/>
    <mergeCell ref="BF19:BI19"/>
    <mergeCell ref="B85:AC85"/>
    <mergeCell ref="AD85:AG85"/>
    <mergeCell ref="AH85:AK85"/>
    <mergeCell ref="AL85:AO85"/>
    <mergeCell ref="AP85:AS85"/>
    <mergeCell ref="B86:AC86"/>
    <mergeCell ref="AD86:AG86"/>
    <mergeCell ref="AH86:AK86"/>
    <mergeCell ref="AL86:AO86"/>
    <mergeCell ref="AP86:AS86"/>
    <mergeCell ref="B76:AC76"/>
    <mergeCell ref="AD76:AG76"/>
    <mergeCell ref="AH76:AK76"/>
    <mergeCell ref="AL76:AO76"/>
    <mergeCell ref="AP76:AS76"/>
    <mergeCell ref="B79:B80"/>
    <mergeCell ref="C79:C80"/>
    <mergeCell ref="D79:D80"/>
    <mergeCell ref="E79:E80"/>
    <mergeCell ref="F79:F80"/>
    <mergeCell ref="G79:G80"/>
    <mergeCell ref="H79:H80"/>
    <mergeCell ref="K79:K80"/>
    <mergeCell ref="AA79:AA80"/>
    <mergeCell ref="AB79:AB80"/>
    <mergeCell ref="AC79:AC80"/>
    <mergeCell ref="L79:L80"/>
    <mergeCell ref="M79:M80"/>
    <mergeCell ref="N79:N80"/>
    <mergeCell ref="O79:O80"/>
    <mergeCell ref="AD68:AG68"/>
    <mergeCell ref="AD74:AG74"/>
    <mergeCell ref="AH74:AK74"/>
    <mergeCell ref="AL74:AO74"/>
    <mergeCell ref="AP74:AS74"/>
    <mergeCell ref="B75:AC75"/>
    <mergeCell ref="AD75:AG75"/>
    <mergeCell ref="AH75:AK75"/>
    <mergeCell ref="AL75:AO75"/>
    <mergeCell ref="AP75:AS75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W68:W69"/>
    <mergeCell ref="X68:X69"/>
    <mergeCell ref="Y68:Y69"/>
    <mergeCell ref="Z68:Z69"/>
    <mergeCell ref="AH64:AK64"/>
    <mergeCell ref="AH68:AK68"/>
    <mergeCell ref="B68:B69"/>
    <mergeCell ref="C68:C69"/>
    <mergeCell ref="D68:D69"/>
    <mergeCell ref="E68:E69"/>
    <mergeCell ref="F68:F69"/>
    <mergeCell ref="AL64:AO64"/>
    <mergeCell ref="AP64:AS64"/>
    <mergeCell ref="B65:AC65"/>
    <mergeCell ref="AD65:AG65"/>
    <mergeCell ref="AH65:AK65"/>
    <mergeCell ref="AL65:AO65"/>
    <mergeCell ref="AP65:AS65"/>
    <mergeCell ref="AL63:AO63"/>
    <mergeCell ref="AP63:AS63"/>
    <mergeCell ref="AD64:AG64"/>
    <mergeCell ref="B58:B59"/>
    <mergeCell ref="C58:C59"/>
    <mergeCell ref="D58:D59"/>
    <mergeCell ref="E58:E59"/>
    <mergeCell ref="F58:F59"/>
    <mergeCell ref="G58:G59"/>
    <mergeCell ref="H58:H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AD54:AG54"/>
    <mergeCell ref="AH54:AK54"/>
    <mergeCell ref="AL54:AO54"/>
    <mergeCell ref="AP54:AS54"/>
    <mergeCell ref="B55:AC55"/>
    <mergeCell ref="AD55:AG55"/>
    <mergeCell ref="AH55:AK55"/>
    <mergeCell ref="AL55:AO55"/>
    <mergeCell ref="AP55:AS55"/>
    <mergeCell ref="AD53:AG53"/>
    <mergeCell ref="AH53:AK53"/>
    <mergeCell ref="AL53:AO53"/>
    <mergeCell ref="AP53:AS53"/>
    <mergeCell ref="B44:B45"/>
    <mergeCell ref="C44:C45"/>
    <mergeCell ref="D44:D45"/>
    <mergeCell ref="E44:E45"/>
    <mergeCell ref="F44:F45"/>
    <mergeCell ref="G44:G45"/>
    <mergeCell ref="H44:H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B41:AC41"/>
    <mergeCell ref="AD41:AG41"/>
    <mergeCell ref="AH41:AK41"/>
    <mergeCell ref="AL41:AO41"/>
    <mergeCell ref="AP41:AS41"/>
    <mergeCell ref="AA44:AA45"/>
    <mergeCell ref="AB44:AB45"/>
    <mergeCell ref="AC44:AC45"/>
    <mergeCell ref="AD44:AG44"/>
    <mergeCell ref="AH44:AK44"/>
    <mergeCell ref="AL44:AO44"/>
    <mergeCell ref="AP44:AS44"/>
    <mergeCell ref="W44:W45"/>
    <mergeCell ref="X44:X45"/>
    <mergeCell ref="Y44:Y45"/>
    <mergeCell ref="Z44:Z45"/>
    <mergeCell ref="AD29:AG29"/>
    <mergeCell ref="AH29:AK29"/>
    <mergeCell ref="AL30:AO30"/>
    <mergeCell ref="AP30:AS30"/>
    <mergeCell ref="B31:AC31"/>
    <mergeCell ref="AD31:AG31"/>
    <mergeCell ref="AH31:AK31"/>
    <mergeCell ref="AL31:AO31"/>
    <mergeCell ref="AP31:AS31"/>
    <mergeCell ref="AL29:AO29"/>
    <mergeCell ref="AP29:AS29"/>
    <mergeCell ref="B30:AC30"/>
    <mergeCell ref="AD30:AG30"/>
    <mergeCell ref="AH30:AK30"/>
    <mergeCell ref="AP18:AS18"/>
    <mergeCell ref="B22:B23"/>
    <mergeCell ref="B19:AC19"/>
    <mergeCell ref="AD19:AG19"/>
    <mergeCell ref="AD22:AG22"/>
    <mergeCell ref="AC22:AC23"/>
    <mergeCell ref="AH22:AK22"/>
    <mergeCell ref="H22:H23"/>
    <mergeCell ref="C22:C23"/>
    <mergeCell ref="D22:D23"/>
    <mergeCell ref="E22:E23"/>
    <mergeCell ref="F22:F23"/>
    <mergeCell ref="G22:G23"/>
    <mergeCell ref="K22:K23"/>
    <mergeCell ref="AA22:AA23"/>
    <mergeCell ref="AB22:AB23"/>
    <mergeCell ref="N22:N23"/>
    <mergeCell ref="O22:O23"/>
    <mergeCell ref="P22:P23"/>
    <mergeCell ref="Q22:Q23"/>
    <mergeCell ref="R22:R23"/>
    <mergeCell ref="S22:S23"/>
    <mergeCell ref="T22:T23"/>
    <mergeCell ref="U22:U23"/>
    <mergeCell ref="B2:AC2"/>
    <mergeCell ref="B21:AC21"/>
    <mergeCell ref="AD21:AP21"/>
    <mergeCell ref="AQ21:BC21"/>
    <mergeCell ref="BD21:BP21"/>
    <mergeCell ref="BQ21:CC21"/>
    <mergeCell ref="CD21:CK21"/>
    <mergeCell ref="E3:E4"/>
    <mergeCell ref="D3:D4"/>
    <mergeCell ref="C3:C4"/>
    <mergeCell ref="B3:B4"/>
    <mergeCell ref="AP3:AS3"/>
    <mergeCell ref="AH3:AK3"/>
    <mergeCell ref="AL3:AO3"/>
    <mergeCell ref="AH17:AK17"/>
    <mergeCell ref="AL17:AO17"/>
    <mergeCell ref="AP17:AS17"/>
    <mergeCell ref="AD3:AG3"/>
    <mergeCell ref="B17:AC17"/>
    <mergeCell ref="AD17:AG17"/>
    <mergeCell ref="F3:F4"/>
    <mergeCell ref="H3:H4"/>
    <mergeCell ref="G3:G4"/>
    <mergeCell ref="AC3:AC4"/>
    <mergeCell ref="AT34:AW34"/>
    <mergeCell ref="AX34:BA34"/>
    <mergeCell ref="BB34:BE34"/>
    <mergeCell ref="BF34:BI34"/>
    <mergeCell ref="BJ34:BM34"/>
    <mergeCell ref="BN34:BQ34"/>
    <mergeCell ref="B33:AC33"/>
    <mergeCell ref="AD33:AP33"/>
    <mergeCell ref="L34:L35"/>
    <mergeCell ref="AL34:AO34"/>
    <mergeCell ref="AP34:AS34"/>
    <mergeCell ref="B34:B35"/>
    <mergeCell ref="C34:C35"/>
    <mergeCell ref="D34:D35"/>
    <mergeCell ref="E34:E35"/>
    <mergeCell ref="F34:F35"/>
    <mergeCell ref="G34:G35"/>
    <mergeCell ref="H34:H35"/>
    <mergeCell ref="K34:K35"/>
    <mergeCell ref="AB34:AB35"/>
    <mergeCell ref="AC34:AC35"/>
    <mergeCell ref="AD34:AG34"/>
    <mergeCell ref="AH34:AK34"/>
    <mergeCell ref="AH58:AK58"/>
    <mergeCell ref="AL58:AO58"/>
    <mergeCell ref="AP58:AS58"/>
    <mergeCell ref="B63:AC63"/>
    <mergeCell ref="AD63:AG63"/>
    <mergeCell ref="AH63:AK63"/>
    <mergeCell ref="AQ33:BC33"/>
    <mergeCell ref="BD33:BP33"/>
    <mergeCell ref="BQ33:CC33"/>
    <mergeCell ref="B40:AC40"/>
    <mergeCell ref="AD40:AG40"/>
    <mergeCell ref="AH40:AK40"/>
    <mergeCell ref="AL40:AO40"/>
    <mergeCell ref="B39:AC39"/>
    <mergeCell ref="AD39:AG39"/>
    <mergeCell ref="AH39:AK39"/>
    <mergeCell ref="AL39:AO39"/>
    <mergeCell ref="AP39:AS39"/>
    <mergeCell ref="AP40:AS40"/>
    <mergeCell ref="M34:M35"/>
    <mergeCell ref="N34:N35"/>
    <mergeCell ref="O34:O35"/>
    <mergeCell ref="P34:P35"/>
    <mergeCell ref="Q34:Q35"/>
    <mergeCell ref="AH19:AK19"/>
    <mergeCell ref="AL19:AO19"/>
    <mergeCell ref="B18:AC18"/>
    <mergeCell ref="AD18:AG18"/>
    <mergeCell ref="AH18:AK18"/>
    <mergeCell ref="AL18:AO18"/>
    <mergeCell ref="BD78:BP78"/>
    <mergeCell ref="BQ78:CC78"/>
    <mergeCell ref="CD78:CK78"/>
    <mergeCell ref="AD67:AP67"/>
    <mergeCell ref="AQ67:BC67"/>
    <mergeCell ref="BD67:BP67"/>
    <mergeCell ref="BQ67:CC67"/>
    <mergeCell ref="CD67:CK67"/>
    <mergeCell ref="B57:AC57"/>
    <mergeCell ref="AD57:AP57"/>
    <mergeCell ref="AQ57:BC57"/>
    <mergeCell ref="BD57:BP57"/>
    <mergeCell ref="BQ57:CC57"/>
    <mergeCell ref="CD57:CK57"/>
    <mergeCell ref="AA58:AA59"/>
    <mergeCell ref="AB58:AB59"/>
    <mergeCell ref="AC58:AC59"/>
    <mergeCell ref="AD58:AG58"/>
    <mergeCell ref="AL90:AO90"/>
    <mergeCell ref="AP90:AS90"/>
    <mergeCell ref="AT90:AW90"/>
    <mergeCell ref="AX90:BA90"/>
    <mergeCell ref="BB90:BE90"/>
    <mergeCell ref="BF90:BI90"/>
    <mergeCell ref="I3:I4"/>
    <mergeCell ref="I22:I23"/>
    <mergeCell ref="I34:I35"/>
    <mergeCell ref="I58:I59"/>
    <mergeCell ref="I68:I69"/>
    <mergeCell ref="I79:I80"/>
    <mergeCell ref="B78:AC78"/>
    <mergeCell ref="AD78:AP78"/>
    <mergeCell ref="AQ78:BC78"/>
    <mergeCell ref="B43:AC43"/>
    <mergeCell ref="AD43:AP43"/>
    <mergeCell ref="AQ43:BC43"/>
    <mergeCell ref="AB3:AB4"/>
    <mergeCell ref="AA3:AA4"/>
    <mergeCell ref="K3:K4"/>
    <mergeCell ref="AL22:AO22"/>
    <mergeCell ref="AP22:AS22"/>
    <mergeCell ref="AP19:AS19"/>
    <mergeCell ref="BJ90:BM90"/>
    <mergeCell ref="BN90:BQ90"/>
    <mergeCell ref="BR90:BU90"/>
    <mergeCell ref="BV90:BY90"/>
    <mergeCell ref="BZ90:CC90"/>
    <mergeCell ref="CD90:CG90"/>
    <mergeCell ref="CH90:CK90"/>
    <mergeCell ref="AD89:AG89"/>
    <mergeCell ref="AH89:AK89"/>
    <mergeCell ref="AL89:AO89"/>
    <mergeCell ref="AP89:AS89"/>
    <mergeCell ref="AT89:AW89"/>
    <mergeCell ref="AX89:BA89"/>
    <mergeCell ref="BB89:BE89"/>
    <mergeCell ref="BF89:BI89"/>
    <mergeCell ref="BJ89:BM89"/>
    <mergeCell ref="BN89:BQ89"/>
    <mergeCell ref="BR89:BU89"/>
    <mergeCell ref="BV89:BY89"/>
    <mergeCell ref="BZ89:CC89"/>
    <mergeCell ref="CD89:CG89"/>
    <mergeCell ref="CH89:CK89"/>
    <mergeCell ref="AD90:AG90"/>
    <mergeCell ref="AH90:AK90"/>
    <mergeCell ref="BN91:BQ91"/>
    <mergeCell ref="BR91:BU91"/>
    <mergeCell ref="BV91:BY91"/>
    <mergeCell ref="BZ91:CC91"/>
    <mergeCell ref="CD91:CG91"/>
    <mergeCell ref="CH91:CK91"/>
    <mergeCell ref="AD91:AG91"/>
    <mergeCell ref="AH91:AK91"/>
    <mergeCell ref="AL91:AO91"/>
    <mergeCell ref="AP91:AS91"/>
    <mergeCell ref="AT91:AW91"/>
    <mergeCell ref="AX91:BA91"/>
    <mergeCell ref="BB91:BE91"/>
    <mergeCell ref="BF91:BI91"/>
    <mergeCell ref="BJ91:BM91"/>
  </mergeCells>
  <conditionalFormatting sqref="AC24:AC28">
    <cfRule type="cellIs" dxfId="6" priority="7" operator="lessThan">
      <formula>0</formula>
    </cfRule>
  </conditionalFormatting>
  <conditionalFormatting sqref="AC36:AC38">
    <cfRule type="cellIs" dxfId="5" priority="6" operator="lessThan">
      <formula>0</formula>
    </cfRule>
  </conditionalFormatting>
  <conditionalFormatting sqref="AC46:AC52">
    <cfRule type="cellIs" dxfId="4" priority="5" operator="lessThan">
      <formula>0</formula>
    </cfRule>
  </conditionalFormatting>
  <conditionalFormatting sqref="AC60:AC62">
    <cfRule type="cellIs" dxfId="3" priority="4" operator="lessThan">
      <formula>0</formula>
    </cfRule>
  </conditionalFormatting>
  <conditionalFormatting sqref="AC70:AC73">
    <cfRule type="cellIs" dxfId="2" priority="3" operator="lessThan">
      <formula>0</formula>
    </cfRule>
  </conditionalFormatting>
  <conditionalFormatting sqref="AC81:AC84">
    <cfRule type="cellIs" dxfId="1" priority="2" operator="lessThan">
      <formula>0</formula>
    </cfRule>
  </conditionalFormatting>
  <conditionalFormatting sqref="AD19:CK19 AD31:CK31 AD41:CK41 AD55:CK55 AD65:CK65 AD76:CK76 AD87:CK87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L48"/>
  <sheetViews>
    <sheetView showGridLines="0" topLeftCell="A25" zoomScale="85" zoomScaleNormal="85" workbookViewId="0">
      <selection activeCell="D28" sqref="D28"/>
    </sheetView>
  </sheetViews>
  <sheetFormatPr baseColWidth="10" defaultRowHeight="12.75" x14ac:dyDescent="0.2"/>
  <cols>
    <col min="1" max="1" width="6.5703125" style="16" customWidth="1"/>
    <col min="2" max="2" width="6.7109375" style="32" customWidth="1"/>
    <col min="3" max="3" width="9.85546875" style="32" customWidth="1"/>
    <col min="4" max="4" width="75.5703125" style="95" customWidth="1"/>
    <col min="5" max="5" width="13.7109375" style="32" bestFit="1" customWidth="1"/>
    <col min="6" max="6" width="11.28515625" style="32" customWidth="1"/>
    <col min="7" max="8" width="6.85546875" style="32" customWidth="1"/>
    <col min="9" max="9" width="6.140625" style="34" bestFit="1" customWidth="1"/>
    <col min="10" max="10" width="5.5703125" style="33" bestFit="1" customWidth="1"/>
    <col min="11" max="11" width="11.42578125" style="92"/>
    <col min="12" max="12" width="16.140625" style="91" bestFit="1" customWidth="1"/>
    <col min="13" max="16384" width="11.42578125" style="15"/>
  </cols>
  <sheetData>
    <row r="2" spans="2:11" ht="16.5" x14ac:dyDescent="0.2">
      <c r="B2" s="233" t="s">
        <v>2</v>
      </c>
      <c r="C2" s="233" t="s">
        <v>3</v>
      </c>
      <c r="D2" s="233" t="s">
        <v>0</v>
      </c>
      <c r="E2" s="233" t="s">
        <v>1</v>
      </c>
      <c r="F2" s="233" t="s">
        <v>13</v>
      </c>
      <c r="G2" s="233" t="s">
        <v>22</v>
      </c>
      <c r="H2" s="233"/>
      <c r="I2" s="234" t="s">
        <v>24</v>
      </c>
      <c r="J2" s="234"/>
    </row>
    <row r="3" spans="2:11" ht="33" x14ac:dyDescent="0.2">
      <c r="B3" s="233"/>
      <c r="C3" s="233"/>
      <c r="D3" s="233"/>
      <c r="E3" s="233"/>
      <c r="F3" s="233"/>
      <c r="G3" s="42" t="s">
        <v>49</v>
      </c>
      <c r="H3" s="42" t="s">
        <v>23</v>
      </c>
      <c r="I3" s="44" t="s">
        <v>49</v>
      </c>
      <c r="J3" s="45" t="s">
        <v>23</v>
      </c>
    </row>
    <row r="4" spans="2:11" ht="16.5" x14ac:dyDescent="0.2">
      <c r="B4" s="225" t="str">
        <f>'CANTIDADES ADJUDICACIÓN'!B2</f>
        <v>A-02-02-01-002-007 ARTÍCULOS TEXTILES (EXCEPTO PRENDAS DE VESTIR)</v>
      </c>
      <c r="C4" s="225"/>
      <c r="D4" s="225"/>
      <c r="E4" s="225"/>
      <c r="F4" s="225"/>
      <c r="G4" s="225"/>
      <c r="H4" s="225"/>
      <c r="I4" s="225"/>
      <c r="J4" s="225"/>
    </row>
    <row r="5" spans="2:11" ht="49.5" x14ac:dyDescent="0.2">
      <c r="B5" s="10">
        <f>'CANTIDADES ADJUDICACIÓN'!B5</f>
        <v>1</v>
      </c>
      <c r="C5" s="10">
        <f>'CANTIDADES ADJUDICACIÓN'!C5</f>
        <v>2791301</v>
      </c>
      <c r="D5" s="94" t="str">
        <f>'CANTIDADES ADJUDICACIÓN'!D5</f>
        <v>PARCHE DE IDENTIFICACIÓN PERSONAL: 
ESPECIFICACIONES  TÉCNICAS DE ACUERDO NORMA TÉCNICA KIT DE DOTACIÓN NO. NTMD-0356 - A2</v>
      </c>
      <c r="E5" s="10" t="str">
        <f>'CANTIDADES ADJUDICACIÓN'!E5</f>
        <v>UNIDAD</v>
      </c>
      <c r="F5" s="89">
        <f>'CANTIDADES ADJUDICACIÓN'!Z5</f>
        <v>10624</v>
      </c>
      <c r="G5" s="46">
        <f>'CANTIDADES ADJUDICACIÓN'!AA5</f>
        <v>5080</v>
      </c>
      <c r="H5" s="47">
        <f>G5/F5</f>
        <v>0.47816265060240964</v>
      </c>
      <c r="I5" s="48">
        <f>'CANTIDADES ADJUDICACIÓN'!AB5</f>
        <v>5544</v>
      </c>
      <c r="J5" s="47">
        <f>I5/F5</f>
        <v>0.52183734939759041</v>
      </c>
      <c r="K5" s="91"/>
    </row>
    <row r="6" spans="2:11" ht="49.5" x14ac:dyDescent="0.2">
      <c r="B6" s="10">
        <f>'CANTIDADES ADJUDICACIÓN'!B6</f>
        <v>2</v>
      </c>
      <c r="C6" s="10">
        <f>'CANTIDADES ADJUDICACIÓN'!C6</f>
        <v>2791301</v>
      </c>
      <c r="D6" s="94" t="str">
        <f>'CANTIDADES ADJUDICACIÓN'!D6</f>
        <v>PARCHE DE EJÉRCITO: 
ESPECIFICACIONES  TÉCNICAS   DE  ACUERDO A LA NORMA TÉCNICA KIT DE DOTACIÓN. NO. NTMD-0356 - A2.</v>
      </c>
      <c r="E6" s="10" t="str">
        <f>'CANTIDADES ADJUDICACIÓN'!E6</f>
        <v>UNIDAD</v>
      </c>
      <c r="F6" s="89">
        <f>'CANTIDADES ADJUDICACIÓN'!Z6</f>
        <v>5312</v>
      </c>
      <c r="G6" s="46">
        <f>'CANTIDADES ADJUDICACIÓN'!AA6</f>
        <v>2538</v>
      </c>
      <c r="H6" s="47">
        <f t="shared" ref="H6:H18" si="0">G6/F6</f>
        <v>0.47778614457831325</v>
      </c>
      <c r="I6" s="48">
        <f>'CANTIDADES ADJUDICACIÓN'!AB6</f>
        <v>2774</v>
      </c>
      <c r="J6" s="47">
        <f t="shared" ref="J6:J18" si="1">I6/F6</f>
        <v>0.52221385542168675</v>
      </c>
      <c r="K6" s="91"/>
    </row>
    <row r="7" spans="2:11" ht="49.5" x14ac:dyDescent="0.2">
      <c r="B7" s="10">
        <f>'CANTIDADES ADJUDICACIÓN'!B7</f>
        <v>3</v>
      </c>
      <c r="C7" s="10">
        <f>'CANTIDADES ADJUDICACIÓN'!C7</f>
        <v>2791301</v>
      </c>
      <c r="D7" s="94" t="str">
        <f>'CANTIDADES ADJUDICACIÓN'!D7</f>
        <v>PARCHES DE LA UNIDAD SUPERIOR Y SUBALTERNA:
ESPECIFICACIONES  TÉCNICAS   DE  ACUERDO A LA NORMA TÉCNICA KIT DE DOTACIÓN N°. NTMD-0356 - A2.</v>
      </c>
      <c r="E7" s="10" t="str">
        <f>'CANTIDADES ADJUDICACIÓN'!E7</f>
        <v>UNIDAD</v>
      </c>
      <c r="F7" s="89">
        <f>'CANTIDADES ADJUDICACIÓN'!Z7</f>
        <v>10624</v>
      </c>
      <c r="G7" s="46">
        <f>'CANTIDADES ADJUDICACIÓN'!AA7</f>
        <v>5076</v>
      </c>
      <c r="H7" s="47">
        <f t="shared" si="0"/>
        <v>0.47778614457831325</v>
      </c>
      <c r="I7" s="48">
        <f>'CANTIDADES ADJUDICACIÓN'!AB7</f>
        <v>5548</v>
      </c>
      <c r="J7" s="47">
        <f t="shared" si="1"/>
        <v>0.52221385542168675</v>
      </c>
      <c r="K7" s="91"/>
    </row>
    <row r="8" spans="2:11" ht="82.5" x14ac:dyDescent="0.2">
      <c r="B8" s="10">
        <f>'CANTIDADES ADJUDICACIÓN'!B8</f>
        <v>4</v>
      </c>
      <c r="C8" s="10">
        <f>'CANTIDADES ADJUDICACIÓN'!C8</f>
        <v>2791301</v>
      </c>
      <c r="D8" s="94" t="str">
        <f>'CANTIDADES ADJUDICACIÓN'!D8</f>
        <v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v>
      </c>
      <c r="E8" s="10" t="str">
        <f>'CANTIDADES ADJUDICACIÓN'!E8</f>
        <v>UNIDAD</v>
      </c>
      <c r="F8" s="89">
        <f>'CANTIDADES ADJUDICACIÓN'!Z8</f>
        <v>5312</v>
      </c>
      <c r="G8" s="46">
        <f>'CANTIDADES ADJUDICACIÓN'!AA8</f>
        <v>2536</v>
      </c>
      <c r="H8" s="47">
        <f t="shared" si="0"/>
        <v>0.47740963855421686</v>
      </c>
      <c r="I8" s="48">
        <f>'CANTIDADES ADJUDICACIÓN'!AB8</f>
        <v>2776</v>
      </c>
      <c r="J8" s="47">
        <f t="shared" si="1"/>
        <v>0.52259036144578308</v>
      </c>
      <c r="K8" s="91"/>
    </row>
    <row r="9" spans="2:11" ht="49.5" x14ac:dyDescent="0.2">
      <c r="B9" s="10">
        <f>'CANTIDADES ADJUDICACIÓN'!B9</f>
        <v>5</v>
      </c>
      <c r="C9" s="10">
        <f>'CANTIDADES ADJUDICACIÓN'!C9</f>
        <v>2791301</v>
      </c>
      <c r="D9" s="94" t="str">
        <f>'CANTIDADES ADJUDICACIÓN'!D9</f>
        <v>PARCHE PARA IDENTIFICACIÓN GRUPO SANGUÍNEO:
ESPECIFICACIONES  TÉCNICAS   DE  ACUERDO A LA NORMA TÉCNICA KIT DE DOTACIÓN N°. NTMD-0356 - A2.</v>
      </c>
      <c r="E9" s="10" t="str">
        <f>'CANTIDADES ADJUDICACIÓN'!E9</f>
        <v>UNIDAD</v>
      </c>
      <c r="F9" s="89">
        <f>'CANTIDADES ADJUDICACIÓN'!Z9</f>
        <v>5312</v>
      </c>
      <c r="G9" s="46">
        <f>'CANTIDADES ADJUDICACIÓN'!AA9</f>
        <v>2534</v>
      </c>
      <c r="H9" s="47">
        <f t="shared" si="0"/>
        <v>0.47703313253012047</v>
      </c>
      <c r="I9" s="48">
        <f>'CANTIDADES ADJUDICACIÓN'!AB9</f>
        <v>2778</v>
      </c>
      <c r="J9" s="47">
        <f t="shared" si="1"/>
        <v>0.52296686746987953</v>
      </c>
      <c r="K9" s="91"/>
    </row>
    <row r="10" spans="2:11" ht="49.5" x14ac:dyDescent="0.2">
      <c r="B10" s="10">
        <f>'CANTIDADES ADJUDICACIÓN'!B10</f>
        <v>6</v>
      </c>
      <c r="C10" s="10">
        <f>'CANTIDADES ADJUDICACIÓN'!C10</f>
        <v>2791301</v>
      </c>
      <c r="D10" s="94" t="str">
        <f>'CANTIDADES ADJUDICACIÓN'!D10</f>
        <v>INSIGNIA DEL GRADO SOLDADO:
ESPECIFICACIONES  TÉCNICAS   DE  ACUERDO A LA NORMA TÉCNICA KIT DE DOTACIÓN N°. NTMD-0356 - A2.</v>
      </c>
      <c r="E10" s="10" t="str">
        <f>'CANTIDADES ADJUDICACIÓN'!E10</f>
        <v>JUEGO</v>
      </c>
      <c r="F10" s="89">
        <f>'CANTIDADES ADJUDICACIÓN'!Z10</f>
        <v>5312</v>
      </c>
      <c r="G10" s="46">
        <f>'CANTIDADES ADJUDICACIÓN'!AA10</f>
        <v>2534</v>
      </c>
      <c r="H10" s="47">
        <f t="shared" si="0"/>
        <v>0.47703313253012047</v>
      </c>
      <c r="I10" s="48">
        <f>'CANTIDADES ADJUDICACIÓN'!AB10</f>
        <v>2778</v>
      </c>
      <c r="J10" s="47">
        <f t="shared" si="1"/>
        <v>0.52296686746987953</v>
      </c>
      <c r="K10" s="91"/>
    </row>
    <row r="11" spans="2:11" ht="49.5" x14ac:dyDescent="0.2">
      <c r="B11" s="10">
        <f>'CANTIDADES ADJUDICACIÓN'!B11</f>
        <v>7</v>
      </c>
      <c r="C11" s="10">
        <f>'CANTIDADES ADJUDICACIÓN'!C11</f>
        <v>2791301</v>
      </c>
      <c r="D11" s="94" t="str">
        <f>'CANTIDADES ADJUDICACIÓN'!D11</f>
        <v>BRAZALETES TÁCTICOS X JUEGO DE 4:
ESPECIFICACIONES  TÉCNICAS   DE  ACUERDO A LA NORMA TÉCNICA KIT DE DOTACIÓN N°. NTMD-0356 - A2.</v>
      </c>
      <c r="E11" s="10" t="str">
        <f>'CANTIDADES ADJUDICACIÓN'!E11</f>
        <v>JUEGO</v>
      </c>
      <c r="F11" s="89">
        <f>'CANTIDADES ADJUDICACIÓN'!Z11</f>
        <v>2656</v>
      </c>
      <c r="G11" s="46">
        <f>'CANTIDADES ADJUDICACIÓN'!AA11</f>
        <v>1260</v>
      </c>
      <c r="H11" s="47">
        <f t="shared" si="0"/>
        <v>0.4743975903614458</v>
      </c>
      <c r="I11" s="48">
        <f>'CANTIDADES ADJUDICACIÓN'!AB11</f>
        <v>1396</v>
      </c>
      <c r="J11" s="47">
        <f t="shared" si="1"/>
        <v>0.5256024096385542</v>
      </c>
      <c r="K11" s="91"/>
    </row>
    <row r="12" spans="2:11" ht="49.5" x14ac:dyDescent="0.2">
      <c r="B12" s="10">
        <f>'CANTIDADES ADJUDICACIÓN'!B12</f>
        <v>8</v>
      </c>
      <c r="C12" s="10">
        <f>'CANTIDADES ADJUDICACIÓN'!C12</f>
        <v>2791301</v>
      </c>
      <c r="D12" s="94" t="str">
        <f>'CANTIDADES ADJUDICACIÓN'!D12</f>
        <v>OJOS DE GATO:
ESPECIFICACIONES  TÉCNICAS   DE  ACUERDO A LA NORMA TÉCNICA KIT DE DOTACIÓN N°. NTMD-0356 - A2.</v>
      </c>
      <c r="E12" s="10" t="str">
        <f>'CANTIDADES ADJUDICACIÓN'!E12</f>
        <v>UNIDAD</v>
      </c>
      <c r="F12" s="89">
        <f>'CANTIDADES ADJUDICACIÓN'!Z12</f>
        <v>5312</v>
      </c>
      <c r="G12" s="46">
        <f>'CANTIDADES ADJUDICACIÓN'!AA12</f>
        <v>2534</v>
      </c>
      <c r="H12" s="47">
        <f t="shared" si="0"/>
        <v>0.47703313253012047</v>
      </c>
      <c r="I12" s="48">
        <f>'CANTIDADES ADJUDICACIÓN'!AB12</f>
        <v>2778</v>
      </c>
      <c r="J12" s="47">
        <f t="shared" si="1"/>
        <v>0.52296686746987953</v>
      </c>
      <c r="K12" s="91"/>
    </row>
    <row r="13" spans="2:11" ht="49.5" x14ac:dyDescent="0.2">
      <c r="B13" s="10">
        <f>'CANTIDADES ADJUDICACIÓN'!B13</f>
        <v>9</v>
      </c>
      <c r="C13" s="10">
        <f>'CANTIDADES ADJUDICACIÓN'!C13</f>
        <v>2792201</v>
      </c>
      <c r="D13" s="94" t="str">
        <f>'CANTIDADES ADJUDICACIÓN'!D13</f>
        <v>LIGAS PARA BOTA MANGA PANTALÓN CAMUFLADO:
ESPECIFICACIONES  TÉCNICAS   DE  ACUERDO A LA NORMA TÉCNICA KIT DE DOTACIÓN N°. NTMD-0356 - A2.</v>
      </c>
      <c r="E13" s="10" t="str">
        <f>'CANTIDADES ADJUDICACIÓN'!E13</f>
        <v>PAR</v>
      </c>
      <c r="F13" s="89">
        <f>'CANTIDADES ADJUDICACIÓN'!Z13</f>
        <v>2656</v>
      </c>
      <c r="G13" s="46">
        <f>'CANTIDADES ADJUDICACIÓN'!AA13</f>
        <v>1258</v>
      </c>
      <c r="H13" s="47">
        <f t="shared" si="0"/>
        <v>0.47364457831325302</v>
      </c>
      <c r="I13" s="48">
        <f>'CANTIDADES ADJUDICACIÓN'!AB13</f>
        <v>1398</v>
      </c>
      <c r="J13" s="47">
        <f t="shared" si="1"/>
        <v>0.52635542168674698</v>
      </c>
      <c r="K13" s="91"/>
    </row>
    <row r="14" spans="2:11" ht="49.5" x14ac:dyDescent="0.2">
      <c r="B14" s="10">
        <f>'CANTIDADES ADJUDICACIÓN'!B14</f>
        <v>10</v>
      </c>
      <c r="C14" s="10">
        <f>'CANTIDADES ADJUDICACIÓN'!C14</f>
        <v>2712007</v>
      </c>
      <c r="D14" s="94" t="str">
        <f>'CANTIDADES ADJUDICACIÓN'!D14</f>
        <v>PAÑUELO:
ESPECIFICACIONES  TÉCNICAS   DE  ACUERDO A LA NORMA TÉCNICA KIT DE DOTACIÓN N°. NTMD-0356 - A2.</v>
      </c>
      <c r="E14" s="10" t="str">
        <f>'CANTIDADES ADJUDICACIÓN'!E14</f>
        <v>UNIDAD</v>
      </c>
      <c r="F14" s="89">
        <f>'CANTIDADES ADJUDICACIÓN'!Z14</f>
        <v>5312</v>
      </c>
      <c r="G14" s="46">
        <f>'CANTIDADES ADJUDICACIÓN'!AA14</f>
        <v>2532</v>
      </c>
      <c r="H14" s="47">
        <f t="shared" si="0"/>
        <v>0.47665662650602408</v>
      </c>
      <c r="I14" s="48">
        <f>'CANTIDADES ADJUDICACIÓN'!AB14</f>
        <v>2780</v>
      </c>
      <c r="J14" s="47">
        <f t="shared" si="1"/>
        <v>0.52334337349397586</v>
      </c>
      <c r="K14" s="91"/>
    </row>
    <row r="15" spans="2:11" ht="49.5" x14ac:dyDescent="0.2">
      <c r="B15" s="10">
        <f>'CANTIDADES ADJUDICACIÓN'!B15</f>
        <v>11</v>
      </c>
      <c r="C15" s="10">
        <f>'CANTIDADES ADJUDICACIÓN'!C15</f>
        <v>2799701</v>
      </c>
      <c r="D15" s="94" t="str">
        <f>'CANTIDADES ADJUDICACIÓN'!D15</f>
        <v>BOLSO PARA ÚTILES DE ASEO:
ESPECIFICACIONES  TÉCNICAS   DE  ACUERDO A LA NORMA TÉCNICA KIT DE DOTACIÓN N°. NTMD-0356 - A2.</v>
      </c>
      <c r="E15" s="10" t="str">
        <f>'CANTIDADES ADJUDICACIÓN'!E15</f>
        <v>UNIDAD</v>
      </c>
      <c r="F15" s="89">
        <f>'CANTIDADES ADJUDICACIÓN'!Z15</f>
        <v>2656</v>
      </c>
      <c r="G15" s="46">
        <f>'CANTIDADES ADJUDICACIÓN'!AA15</f>
        <v>1262</v>
      </c>
      <c r="H15" s="47">
        <f t="shared" si="0"/>
        <v>0.47515060240963858</v>
      </c>
      <c r="I15" s="48">
        <f>'CANTIDADES ADJUDICACIÓN'!AB15</f>
        <v>1394</v>
      </c>
      <c r="J15" s="47">
        <f t="shared" si="1"/>
        <v>0.52484939759036142</v>
      </c>
      <c r="K15" s="91"/>
    </row>
    <row r="16" spans="2:11" ht="33" x14ac:dyDescent="0.2">
      <c r="B16" s="10">
        <f>'CANTIDADES ADJUDICACIÓN'!B16</f>
        <v>12</v>
      </c>
      <c r="C16" s="10">
        <f>'CANTIDADES ADJUDICACIÓN'!C16</f>
        <v>2732099</v>
      </c>
      <c r="D16" s="94" t="str">
        <f>'CANTIDADES ADJUDICACIÓN'!D16</f>
        <v>MALLA PARA CABELLO COLOR NEGRO
DE ACUERDO A ESPECIFICACIONES TÉCNICAS JEMPP-CEDE4-DIETE-ET-04937/INT-0</v>
      </c>
      <c r="E16" s="10" t="str">
        <f>'CANTIDADES ADJUDICACIÓN'!E16</f>
        <v>UNIDAD</v>
      </c>
      <c r="F16" s="89">
        <f>'CANTIDADES ADJUDICACIÓN'!Z16</f>
        <v>125</v>
      </c>
      <c r="G16" s="46">
        <f>'CANTIDADES ADJUDICACIÓN'!AA16</f>
        <v>58</v>
      </c>
      <c r="H16" s="47">
        <f t="shared" si="0"/>
        <v>0.46400000000000002</v>
      </c>
      <c r="I16" s="48">
        <f>'CANTIDADES ADJUDICACIÓN'!AB16</f>
        <v>67</v>
      </c>
      <c r="J16" s="47">
        <f t="shared" si="1"/>
        <v>0.53600000000000003</v>
      </c>
      <c r="K16" s="91"/>
    </row>
    <row r="17" spans="2:11" ht="16.5" x14ac:dyDescent="0.2">
      <c r="B17" s="225" t="str">
        <f>'CANTIDADES ADJUDICACIÓN'!B21</f>
        <v>A-02-02-01-002-008 DOTACIÓN (PRENDAS DE VESTIR Y CALZADO)</v>
      </c>
      <c r="C17" s="225"/>
      <c r="D17" s="225"/>
      <c r="E17" s="225"/>
      <c r="F17" s="225"/>
      <c r="G17" s="225"/>
      <c r="H17" s="225"/>
      <c r="I17" s="225"/>
      <c r="J17" s="225"/>
      <c r="K17" s="91"/>
    </row>
    <row r="18" spans="2:11" ht="132" x14ac:dyDescent="0.2">
      <c r="B18" s="7">
        <f>'CANTIDADES ADJUDICACIÓN'!B24</f>
        <v>13</v>
      </c>
      <c r="C18" s="7">
        <f>'CANTIDADES ADJUDICACIÓN'!C24</f>
        <v>2821001</v>
      </c>
      <c r="D18" s="94" t="str">
        <f>'CANTIDADES ADJUDICACIÓN'!D24</f>
        <v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v>
      </c>
      <c r="E18" s="7" t="str">
        <f>'CANTIDADES ADJUDICACIÓN'!E24</f>
        <v>PAR</v>
      </c>
      <c r="F18" s="89">
        <f>'CANTIDADES ADJUDICACIÓN'!Z24</f>
        <v>2656</v>
      </c>
      <c r="G18" s="46">
        <f>'CANTIDADES ADJUDICACIÓN'!AA24</f>
        <v>1957</v>
      </c>
      <c r="H18" s="47">
        <f t="shared" si="0"/>
        <v>0.73682228915662651</v>
      </c>
      <c r="I18" s="48">
        <f>'CANTIDADES ADJUDICACIÓN'!AB24</f>
        <v>699</v>
      </c>
      <c r="J18" s="47">
        <f t="shared" si="1"/>
        <v>0.26317771084337349</v>
      </c>
      <c r="K18" s="91"/>
    </row>
    <row r="19" spans="2:11" ht="49.5" x14ac:dyDescent="0.2">
      <c r="B19" s="7">
        <f>'CANTIDADES ADJUDICACIÓN'!B25</f>
        <v>14</v>
      </c>
      <c r="C19" s="7">
        <f>'CANTIDADES ADJUDICACIÓN'!C25</f>
        <v>2823601</v>
      </c>
      <c r="D19" s="94" t="str">
        <f>'CANTIDADES ADJUDICACIÓN'!D25</f>
        <v>UNIFORME DE DEPORTES COMPLETO (CAMISETA Y PANTALONETA): 
DE ACUERDO A NORMA TÉCNICA  NO. NTMD-0356 A2 DE ACUERDO A ÍTEM  3.1.2.7 FIGURA ILUSTRATIVA 37</v>
      </c>
      <c r="E19" s="7" t="str">
        <f>'CANTIDADES ADJUDICACIÓN'!E25</f>
        <v>UNIDAD</v>
      </c>
      <c r="F19" s="89">
        <f>'CANTIDADES ADJUDICACIÓN'!Z25</f>
        <v>2656</v>
      </c>
      <c r="G19" s="46">
        <f>'CANTIDADES ADJUDICACIÓN'!AA25</f>
        <v>1944</v>
      </c>
      <c r="H19" s="47">
        <f t="shared" ref="H19:H22" si="2">G19/F19</f>
        <v>0.73192771084337349</v>
      </c>
      <c r="I19" s="48">
        <f>'CANTIDADES ADJUDICACIÓN'!AB25</f>
        <v>712</v>
      </c>
      <c r="J19" s="47">
        <f t="shared" ref="J19:J22" si="3">I19/F19</f>
        <v>0.26807228915662651</v>
      </c>
      <c r="K19" s="91"/>
    </row>
    <row r="20" spans="2:11" ht="99" x14ac:dyDescent="0.2">
      <c r="B20" s="7">
        <f>'CANTIDADES ADJUDICACIÓN'!B26</f>
        <v>15</v>
      </c>
      <c r="C20" s="7">
        <f>'CANTIDADES ADJUDICACIÓN'!C26</f>
        <v>2819003</v>
      </c>
      <c r="D20" s="94" t="str">
        <f>'CANTIDADES ADJUDICACIÓN'!D26</f>
        <v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v>
      </c>
      <c r="E20" s="7" t="str">
        <f>'CANTIDADES ADJUDICACIÓN'!E26</f>
        <v>PAR</v>
      </c>
      <c r="F20" s="89">
        <f>'CANTIDADES ADJUDICACIÓN'!Z26</f>
        <v>2656</v>
      </c>
      <c r="G20" s="46">
        <f>'CANTIDADES ADJUDICACIÓN'!AA26</f>
        <v>1961</v>
      </c>
      <c r="H20" s="47">
        <f t="shared" si="2"/>
        <v>0.73832831325301207</v>
      </c>
      <c r="I20" s="48">
        <f>'CANTIDADES ADJUDICACIÓN'!AB26</f>
        <v>695</v>
      </c>
      <c r="J20" s="47">
        <f t="shared" si="3"/>
        <v>0.26167168674698793</v>
      </c>
      <c r="K20" s="91"/>
    </row>
    <row r="21" spans="2:11" ht="49.5" x14ac:dyDescent="0.2">
      <c r="B21" s="7">
        <f>'CANTIDADES ADJUDICACIÓN'!B27</f>
        <v>16</v>
      </c>
      <c r="C21" s="7">
        <f>'CANTIDADES ADJUDICACIÓN'!C27</f>
        <v>2823603</v>
      </c>
      <c r="D21" s="94" t="str">
        <f>'CANTIDADES ADJUDICACIÓN'!D27</f>
        <v>BICICLETERO NEGRO CORTO:
DE ACUERDO A ESPECIFICACIONES TÉCNICAS ESPECIFICACIONES TÉCNICAS NO JEMPP-CEDE4-DIETE-ET05595/INT-0</v>
      </c>
      <c r="E21" s="7" t="str">
        <f>'CANTIDADES ADJUDICACIÓN'!E27</f>
        <v>UNIDAD</v>
      </c>
      <c r="F21" s="89">
        <f>'CANTIDADES ADJUDICACIÓN'!Z27</f>
        <v>125</v>
      </c>
      <c r="G21" s="46">
        <f>'CANTIDADES ADJUDICACIÓN'!AA27</f>
        <v>41</v>
      </c>
      <c r="H21" s="47">
        <f t="shared" si="2"/>
        <v>0.32800000000000001</v>
      </c>
      <c r="I21" s="48">
        <f>'CANTIDADES ADJUDICACIÓN'!AB27</f>
        <v>84</v>
      </c>
      <c r="J21" s="47">
        <f t="shared" si="3"/>
        <v>0.67200000000000004</v>
      </c>
      <c r="K21" s="91"/>
    </row>
    <row r="22" spans="2:11" ht="49.5" x14ac:dyDescent="0.2">
      <c r="B22" s="7">
        <f>'CANTIDADES ADJUDICACIÓN'!B28</f>
        <v>17</v>
      </c>
      <c r="C22" s="7">
        <f>'CANTIDADES ADJUDICACIÓN'!C28</f>
        <v>2822401</v>
      </c>
      <c r="D22" s="94" t="str">
        <f>'CANTIDADES ADJUDICACIÓN'!D28</f>
        <v>JUEGO DE ROPA INTERIOR (TOP-CACHETERO) 
DE ACUERDO A ESPECIFICACIONES TÉCNICAS N° JEMPP-CEDE4-DIETE-ET05573/INT-01</v>
      </c>
      <c r="E22" s="7" t="str">
        <f>'CANTIDADES ADJUDICACIÓN'!E28</f>
        <v>UNIDAD</v>
      </c>
      <c r="F22" s="89">
        <f>'CANTIDADES ADJUDICACIÓN'!Z28</f>
        <v>125</v>
      </c>
      <c r="G22" s="46">
        <f>'CANTIDADES ADJUDICACIÓN'!AA28</f>
        <v>41</v>
      </c>
      <c r="H22" s="47">
        <f t="shared" si="2"/>
        <v>0.32800000000000001</v>
      </c>
      <c r="I22" s="48">
        <f>'CANTIDADES ADJUDICACIÓN'!AB28</f>
        <v>84</v>
      </c>
      <c r="J22" s="47">
        <f t="shared" si="3"/>
        <v>0.67200000000000004</v>
      </c>
      <c r="K22" s="91"/>
    </row>
    <row r="23" spans="2:11" ht="16.5" x14ac:dyDescent="0.2">
      <c r="B23" s="225" t="s">
        <v>46</v>
      </c>
      <c r="C23" s="225"/>
      <c r="D23" s="225"/>
      <c r="E23" s="225"/>
      <c r="F23" s="225"/>
      <c r="G23" s="225"/>
      <c r="H23" s="225"/>
      <c r="I23" s="225"/>
      <c r="J23" s="225"/>
      <c r="K23" s="91"/>
    </row>
    <row r="24" spans="2:11" ht="66" x14ac:dyDescent="0.2">
      <c r="B24" s="10">
        <f>'CANTIDADES ADJUDICACIÓN'!B36</f>
        <v>18</v>
      </c>
      <c r="C24" s="10">
        <f>'CANTIDADES ADJUDICACIÓN'!C36</f>
        <v>3270109</v>
      </c>
      <c r="D24" s="94" t="str">
        <f>'CANTIDADES ADJUDICACIÓN'!D36</f>
        <v>CUADERNO PARA ESCRITURA:   
DEBE SER COSIDO, GRAPADO O ARGOLLADO CON PASTA PLASTIFICADA DURA O BLANDA DE MÍNIMO 100 HOJAS DE COLOR BLANCO, ESPECIFICACIONES SEGÚN NORMA TÉCNICA N°. NTMD-0356 A2 ÍTEM  3.1.1.18</v>
      </c>
      <c r="E24" s="10" t="str">
        <f>'CANTIDADES ADJUDICACIÓN'!E36</f>
        <v>UNIDAD</v>
      </c>
      <c r="F24" s="89">
        <f>'CANTIDADES ADJUDICACIÓN'!Z36</f>
        <v>2656</v>
      </c>
      <c r="G24" s="46">
        <f>'CANTIDADES ADJUDICACIÓN'!AA36</f>
        <v>1443</v>
      </c>
      <c r="H24" s="47">
        <f t="shared" ref="H24" si="4">G24/F24</f>
        <v>0.54329819277108438</v>
      </c>
      <c r="I24" s="48">
        <f>'CANTIDADES ADJUDICACIÓN'!AB36</f>
        <v>1213</v>
      </c>
      <c r="J24" s="47">
        <f t="shared" ref="J24" si="5">I24/F24</f>
        <v>0.45670180722891568</v>
      </c>
      <c r="K24" s="91"/>
    </row>
    <row r="25" spans="2:11" ht="99" x14ac:dyDescent="0.2">
      <c r="B25" s="10">
        <f>'CANTIDADES ADJUDICACIÓN'!B37</f>
        <v>19</v>
      </c>
      <c r="C25" s="10">
        <f>'CANTIDADES ADJUDICACIÓN'!C37</f>
        <v>3219302</v>
      </c>
      <c r="D25" s="94" t="str">
        <f>'CANTIDADES ADJUDICACIÓN'!D37</f>
        <v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v>
      </c>
      <c r="E25" s="10" t="str">
        <f>'CANTIDADES ADJUDICACIÓN'!E37</f>
        <v>UNIDAD</v>
      </c>
      <c r="F25" s="89">
        <f>'CANTIDADES ADJUDICACIÓN'!Z37</f>
        <v>5312</v>
      </c>
      <c r="G25" s="46">
        <f>'CANTIDADES ADJUDICACIÓN'!AA37</f>
        <v>2858</v>
      </c>
      <c r="H25" s="47">
        <f t="shared" ref="H25:H28" si="6">G25/F25</f>
        <v>0.53802710843373491</v>
      </c>
      <c r="I25" s="48">
        <f>'CANTIDADES ADJUDICACIÓN'!AB37</f>
        <v>2454</v>
      </c>
      <c r="J25" s="47">
        <f t="shared" ref="J25:J28" si="7">I25/F25</f>
        <v>0.46197289156626509</v>
      </c>
      <c r="K25" s="91"/>
    </row>
    <row r="26" spans="2:11" ht="33" x14ac:dyDescent="0.2">
      <c r="B26" s="10">
        <f>'CANTIDADES ADJUDICACIÓN'!B38</f>
        <v>20</v>
      </c>
      <c r="C26" s="10">
        <f>'CANTIDADES ADJUDICACIÓN'!C38</f>
        <v>3219308</v>
      </c>
      <c r="D26" s="94" t="str">
        <f>'CANTIDADES ADJUDICACIÓN'!D38</f>
        <v>TOALLAS HIGIÉNICAS MUJER CON ALAS: ESPECIFICACIONES  DE ACUERDO A NTC-3604</v>
      </c>
      <c r="E26" s="10" t="str">
        <f>'CANTIDADES ADJUDICACIÓN'!E38</f>
        <v>PAQUETE</v>
      </c>
      <c r="F26" s="89">
        <f>'CANTIDADES ADJUDICACIÓN'!Z38</f>
        <v>125</v>
      </c>
      <c r="G26" s="46">
        <f>'CANTIDADES ADJUDICACIÓN'!AA38</f>
        <v>34</v>
      </c>
      <c r="H26" s="47">
        <f t="shared" si="6"/>
        <v>0.27200000000000002</v>
      </c>
      <c r="I26" s="48">
        <f>'CANTIDADES ADJUDICACIÓN'!AB38</f>
        <v>91</v>
      </c>
      <c r="J26" s="47">
        <f t="shared" si="7"/>
        <v>0.72799999999999998</v>
      </c>
      <c r="K26" s="91"/>
    </row>
    <row r="27" spans="2:11" ht="16.5" x14ac:dyDescent="0.2">
      <c r="B27" s="225" t="str">
        <f>'CANTIDADES ADJUDICACIÓN'!B43</f>
        <v>A-02-02-01-003-005 OTROS PRODUCTOS QUÍMICOS; FIBRAS ARTIFICIALES (O FIBRAS INDUSTRIALES HECHAS POR EL HOMBRE)</v>
      </c>
      <c r="C27" s="225"/>
      <c r="D27" s="225"/>
      <c r="E27" s="225"/>
      <c r="F27" s="225"/>
      <c r="G27" s="225"/>
      <c r="H27" s="225"/>
      <c r="I27" s="225"/>
      <c r="J27" s="225"/>
      <c r="K27" s="91"/>
    </row>
    <row r="28" spans="2:11" ht="49.5" x14ac:dyDescent="0.2">
      <c r="B28" s="10">
        <f>'CANTIDADES ADJUDICACIÓN'!B46</f>
        <v>21</v>
      </c>
      <c r="C28" s="10">
        <f>'CANTIDADES ADJUDICACIÓN'!C46</f>
        <v>3533301</v>
      </c>
      <c r="D28" s="94" t="str">
        <f>'CANTIDADES ADJUDICACIÓN'!D46</f>
        <v>BETÚN:
NEGRO 125 GRAMOS ESPECIFICACIONES SEGÚN NORMA TÉCNICA NO. NTMD-0356 A2  ÍTEM  3.1.1.14</v>
      </c>
      <c r="E28" s="10" t="str">
        <f>'CANTIDADES ADJUDICACIÓN'!E46</f>
        <v>UNIDAD</v>
      </c>
      <c r="F28" s="89">
        <f>'CANTIDADES ADJUDICACIÓN'!Z46</f>
        <v>2718</v>
      </c>
      <c r="G28" s="46">
        <f>'CANTIDADES ADJUDICACIÓN'!AA46</f>
        <v>1440</v>
      </c>
      <c r="H28" s="47">
        <f t="shared" si="6"/>
        <v>0.5298013245033113</v>
      </c>
      <c r="I28" s="48">
        <f>'CANTIDADES ADJUDICACIÓN'!AB46</f>
        <v>1278</v>
      </c>
      <c r="J28" s="47">
        <f t="shared" si="7"/>
        <v>0.47019867549668876</v>
      </c>
      <c r="K28" s="91"/>
    </row>
    <row r="29" spans="2:11" ht="49.5" x14ac:dyDescent="0.2">
      <c r="B29" s="10">
        <f>'CANTIDADES ADJUDICACIÓN'!B47</f>
        <v>22</v>
      </c>
      <c r="C29" s="10">
        <f>'CANTIDADES ADJUDICACIÓN'!C47</f>
        <v>3532315</v>
      </c>
      <c r="D29" s="94" t="str">
        <f>'CANTIDADES ADJUDICACIÓN'!D47</f>
        <v>TALCOS PARA PIES :  
DE 85 GRAMOS ESPECIFICACIONES SEGÚN NORMA TÉCNICA NO. NTMD-0356 A2 ÍTEM  3.1.1.6</v>
      </c>
      <c r="E29" s="10" t="str">
        <f>'CANTIDADES ADJUDICACIÓN'!E47</f>
        <v>UNIDAD</v>
      </c>
      <c r="F29" s="89">
        <f>'CANTIDADES ADJUDICACIÓN'!Z47</f>
        <v>2718</v>
      </c>
      <c r="G29" s="46">
        <f>'CANTIDADES ADJUDICACIÓN'!AA47</f>
        <v>1439</v>
      </c>
      <c r="H29" s="47">
        <f t="shared" ref="H29:H34" si="8">G29/F29</f>
        <v>0.52943340691685059</v>
      </c>
      <c r="I29" s="48">
        <f>'CANTIDADES ADJUDICACIÓN'!AB47</f>
        <v>1279</v>
      </c>
      <c r="J29" s="47">
        <f t="shared" ref="J29:J34" si="9">I29/F29</f>
        <v>0.47056659308314935</v>
      </c>
      <c r="K29" s="91"/>
    </row>
    <row r="30" spans="2:11" ht="49.5" x14ac:dyDescent="0.2">
      <c r="B30" s="10">
        <f>'CANTIDADES ADJUDICACIÓN'!B48</f>
        <v>23</v>
      </c>
      <c r="C30" s="10">
        <f>'CANTIDADES ADJUDICACIÓN'!C48</f>
        <v>3532308</v>
      </c>
      <c r="D30" s="94" t="str">
        <f>'CANTIDADES ADJUDICACIÓN'!D48</f>
        <v>CREMA DENTAL:
DE 100 ML ESPECIFICACIONES SEGÚN NORMA TÉCNICA NO. NTMD-0356 A2 ÍTEM  3.1.1.3</v>
      </c>
      <c r="E30" s="10" t="str">
        <f>'CANTIDADES ADJUDICACIÓN'!E48</f>
        <v>UNIDAD</v>
      </c>
      <c r="F30" s="89">
        <f>'CANTIDADES ADJUDICACIÓN'!Z48</f>
        <v>2718</v>
      </c>
      <c r="G30" s="46">
        <f>'CANTIDADES ADJUDICACIÓN'!AA48</f>
        <v>1438</v>
      </c>
      <c r="H30" s="47">
        <f t="shared" si="8"/>
        <v>0.52906548933038999</v>
      </c>
      <c r="I30" s="48">
        <f>'CANTIDADES ADJUDICACIÓN'!AB48</f>
        <v>1280</v>
      </c>
      <c r="J30" s="47">
        <f t="shared" si="9"/>
        <v>0.47093451066961001</v>
      </c>
      <c r="K30" s="91"/>
    </row>
    <row r="31" spans="2:11" ht="33" x14ac:dyDescent="0.2">
      <c r="B31" s="10">
        <f>'CANTIDADES ADJUDICACIÓN'!B49</f>
        <v>24</v>
      </c>
      <c r="C31" s="10">
        <f>'CANTIDADES ADJUDICACIÓN'!C49</f>
        <v>3532324</v>
      </c>
      <c r="D31" s="94" t="str">
        <f>'CANTIDADES ADJUDICACIÓN'!D49</f>
        <v>DESODORANTE ANTITRASPIRANTE: ESPECIFICACIONES  TÉCNICAS   DE  ACUERDO A LA NORMA TÉCNICA KIT DE DOTACIÓN NO. NTMD-0356 A2 ÍTEM  3.1.1.7</v>
      </c>
      <c r="E31" s="10" t="str">
        <f>'CANTIDADES ADJUDICACIÓN'!E49</f>
        <v>UNIDAD</v>
      </c>
      <c r="F31" s="89">
        <f>'CANTIDADES ADJUDICACIÓN'!Z49</f>
        <v>2718</v>
      </c>
      <c r="G31" s="46">
        <f>'CANTIDADES ADJUDICACIÓN'!AA49</f>
        <v>1440</v>
      </c>
      <c r="H31" s="47">
        <f t="shared" si="8"/>
        <v>0.5298013245033113</v>
      </c>
      <c r="I31" s="48">
        <f>'CANTIDADES ADJUDICACIÓN'!AB49</f>
        <v>1278</v>
      </c>
      <c r="J31" s="47">
        <f t="shared" si="9"/>
        <v>0.47019867549668876</v>
      </c>
      <c r="K31" s="91"/>
    </row>
    <row r="32" spans="2:11" ht="49.5" x14ac:dyDescent="0.2">
      <c r="B32" s="10">
        <f>'CANTIDADES ADJUDICACIÓN'!B50</f>
        <v>25</v>
      </c>
      <c r="C32" s="10">
        <f>'CANTIDADES ADJUDICACIÓN'!C50</f>
        <v>3532324</v>
      </c>
      <c r="D32" s="94" t="str">
        <f>'CANTIDADES ADJUDICACIÓN'!D50</f>
        <v>DESODORANTE ANTITRANSPIRANTE PARA MUJER:
DE 80 GRAMOS, ESPECIFICACIONES SEGÚN NORMA TÉCNICA NO. NTMD-0356 A2 ÍTEM  3.1.1.7</v>
      </c>
      <c r="E32" s="10" t="str">
        <f>'CANTIDADES ADJUDICACIÓN'!E50</f>
        <v>UNIDAD</v>
      </c>
      <c r="F32" s="89">
        <f>'CANTIDADES ADJUDICACIÓN'!Z50</f>
        <v>125</v>
      </c>
      <c r="G32" s="46">
        <f>'CANTIDADES ADJUDICACIÓN'!AA50</f>
        <v>58</v>
      </c>
      <c r="H32" s="47">
        <f t="shared" si="8"/>
        <v>0.46400000000000002</v>
      </c>
      <c r="I32" s="48">
        <f>'CANTIDADES ADJUDICACIÓN'!AB50</f>
        <v>67</v>
      </c>
      <c r="J32" s="47">
        <f t="shared" si="9"/>
        <v>0.53600000000000003</v>
      </c>
      <c r="K32" s="91"/>
    </row>
    <row r="33" spans="1:11" ht="49.5" x14ac:dyDescent="0.2">
      <c r="B33" s="10">
        <f>'CANTIDADES ADJUDICACIÓN'!B51</f>
        <v>26</v>
      </c>
      <c r="C33" s="10">
        <f>'CANTIDADES ADJUDICACIÓN'!C51</f>
        <v>3532105</v>
      </c>
      <c r="D33" s="94" t="str">
        <f>'CANTIDADES ADJUDICACIÓN'!D51</f>
        <v>JABÓN DE BAÑO ANTIBACTERIAL
130 GRAMOS: ESPECIFICACIONES SEGÚN NORMA TÉCNICA NO. NTMD-0356 A2 ÍTEM  3.1.1.8</v>
      </c>
      <c r="E33" s="10" t="str">
        <f>'CANTIDADES ADJUDICACIÓN'!E51</f>
        <v>UNIDAD</v>
      </c>
      <c r="F33" s="89">
        <f>'CANTIDADES ADJUDICACIÓN'!Z51</f>
        <v>5312</v>
      </c>
      <c r="G33" s="46">
        <f>'CANTIDADES ADJUDICACIÓN'!AA51</f>
        <v>2882</v>
      </c>
      <c r="H33" s="47">
        <f t="shared" si="8"/>
        <v>0.5425451807228916</v>
      </c>
      <c r="I33" s="48">
        <f>'CANTIDADES ADJUDICACIÓN'!AB51</f>
        <v>2430</v>
      </c>
      <c r="J33" s="47">
        <f t="shared" si="9"/>
        <v>0.45745481927710846</v>
      </c>
      <c r="K33" s="91"/>
    </row>
    <row r="34" spans="1:11" ht="49.5" x14ac:dyDescent="0.2">
      <c r="B34" s="10">
        <f>'CANTIDADES ADJUDICACIÓN'!B52</f>
        <v>27</v>
      </c>
      <c r="C34" s="10">
        <f>'CANTIDADES ADJUDICACIÓN'!C52</f>
        <v>3532101</v>
      </c>
      <c r="D34" s="94" t="str">
        <f>'CANTIDADES ADJUDICACIÓN'!D52</f>
        <v>JABÓN PARA LAVAR ROPA:
DE 300 GRAMOS, ESPECIFICACIONES SEGÚN NORMA TÉCNICA NO. NTMD-0356 A2  ÍTEM  3.1.1.13</v>
      </c>
      <c r="E34" s="10" t="str">
        <f>'CANTIDADES ADJUDICACIÓN'!E52</f>
        <v>UNIDAD</v>
      </c>
      <c r="F34" s="89">
        <f>'CANTIDADES ADJUDICACIÓN'!Z52</f>
        <v>2656</v>
      </c>
      <c r="G34" s="46">
        <f>'CANTIDADES ADJUDICACIÓN'!AA52</f>
        <v>1447</v>
      </c>
      <c r="H34" s="47">
        <f t="shared" si="8"/>
        <v>0.54480421686746983</v>
      </c>
      <c r="I34" s="48">
        <f>'CANTIDADES ADJUDICACIÓN'!AB52</f>
        <v>1209</v>
      </c>
      <c r="J34" s="47">
        <f t="shared" si="9"/>
        <v>0.45519578313253012</v>
      </c>
      <c r="K34" s="91"/>
    </row>
    <row r="35" spans="1:11" x14ac:dyDescent="0.2">
      <c r="B35" s="225" t="str">
        <f>'CANTIDADES ADJUDICACIÓN'!B57</f>
        <v>A-02-02-01-003-006 PRODUCTOS DE CAUCHO Y PLÁSTICO</v>
      </c>
      <c r="C35" s="225" t="e">
        <f>#REF!</f>
        <v>#REF!</v>
      </c>
      <c r="D35" s="225" t="e">
        <f>#REF!</f>
        <v>#REF!</v>
      </c>
      <c r="E35" s="225" t="e">
        <f>#REF!</f>
        <v>#REF!</v>
      </c>
      <c r="F35" s="225" t="e">
        <f>#REF!</f>
        <v>#REF!</v>
      </c>
      <c r="G35" s="225" t="e">
        <f>SUM('CANTIDADES ADJUDICACIÓN'!AE53,'CANTIDADES ADJUDICACIÓN'!AI53,'CANTIDADES ADJUDICACIÓN'!AM53,'CANTIDADES ADJUDICACIÓN'!AQ53,'CANTIDADES ADJUDICACIÓN'!AU53,'CANTIDADES ADJUDICACIÓN'!AY53,'CANTIDADES ADJUDICACIÓN'!BC53,'CANTIDADES ADJUDICACIÓN'!BG53,'CANTIDADES ADJUDICACIÓN'!BK53,'CANTIDADES ADJUDICACIÓN'!BO53,'CANTIDADES ADJUDICACIÓN'!BS53,'CANTIDADES ADJUDICACIÓN'!BW53,'CANTIDADES ADJUDICACIÓN'!CA53,'CANTIDADES ADJUDICACIÓN'!CE53,'CANTIDADES ADJUDICACIÓN'!CI53,'CANTIDADES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ADJUDICACIÓN'!#REF!)</f>
        <v>#REF!</v>
      </c>
      <c r="H35" s="225" t="e">
        <f t="shared" ref="H35:H36" si="10">G35/F35</f>
        <v>#REF!</v>
      </c>
      <c r="I35" s="225" t="e">
        <f>SUM('CANTIDADES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ADJUDICACIÓN'!CJ53,'CANTIDADES ADJUDICACIÓN'!CF53,'CANTIDADES ADJUDICACIÓN'!CB53,'CANTIDADES ADJUDICACIÓN'!BX53,'CANTIDADES ADJUDICACIÓN'!BT53,'CANTIDADES ADJUDICACIÓN'!BP53,'CANTIDADES ADJUDICACIÓN'!BL53,'CANTIDADES ADJUDICACIÓN'!BH53,'CANTIDADES ADJUDICACIÓN'!BD53,'CANTIDADES ADJUDICACIÓN'!AZ53,'CANTIDADES ADJUDICACIÓN'!AV53,'CANTIDADES ADJUDICACIÓN'!AR53,'CANTIDADES ADJUDICACIÓN'!AN53,'CANTIDADES ADJUDICACIÓN'!AJ53,'CANTIDADES ADJUDICACIÓN'!AF53)</f>
        <v>#REF!</v>
      </c>
      <c r="J35" s="225" t="e">
        <f t="shared" ref="J35:J36" si="11">I35/F35</f>
        <v>#REF!</v>
      </c>
      <c r="K35" s="91"/>
    </row>
    <row r="36" spans="1:11" ht="82.5" x14ac:dyDescent="0.2">
      <c r="B36" s="10">
        <f>'CANTIDADES ADJUDICACIÓN'!B60</f>
        <v>28</v>
      </c>
      <c r="C36" s="10">
        <f>'CANTIDADES ADJUDICACIÓN'!C60</f>
        <v>3699056</v>
      </c>
      <c r="D36" s="94" t="str">
        <f>'CANTIDADES ADJUDICACIÓN'!D60</f>
        <v>PROTECTORES  AUDITIVOS: 
DEBEN SER PRES MOLDEADOS DE TIPO TAPÓN, SE DEBEN AJUSTAR AL CANAL AUDITIVO DE CASI TODAS LAS PERSONAS. DEBEN LLEVAR TRIPLE REBORDE CON DISEÑO DE FÁCIL INSERCIÓN: ESPECIFICACIONES SEGÚN NORMA TÉCNICA NO. NTMD-0356 A2 ÍTEM  3.1.1.1</v>
      </c>
      <c r="E36" s="10" t="str">
        <f>'CANTIDADES ADJUDICACIÓN'!E60</f>
        <v>UNIDAD</v>
      </c>
      <c r="F36" s="89">
        <f>'CANTIDADES ADJUDICACIÓN'!Z60</f>
        <v>2656</v>
      </c>
      <c r="G36" s="46">
        <f>'CANTIDADES ADJUDICACIÓN'!AA60</f>
        <v>1805</v>
      </c>
      <c r="H36" s="47">
        <f t="shared" si="10"/>
        <v>0.67959337349397586</v>
      </c>
      <c r="I36" s="48">
        <f>'CANTIDADES ADJUDICACIÓN'!AB60</f>
        <v>851</v>
      </c>
      <c r="J36" s="47">
        <f t="shared" si="11"/>
        <v>0.32040662650602408</v>
      </c>
      <c r="K36" s="91"/>
    </row>
    <row r="37" spans="1:11" ht="49.5" x14ac:dyDescent="0.2">
      <c r="B37" s="10">
        <f>'CANTIDADES ADJUDICACIÓN'!B61</f>
        <v>29</v>
      </c>
      <c r="C37" s="10">
        <f>'CANTIDADES ADJUDICACIÓN'!C61</f>
        <v>3694006</v>
      </c>
      <c r="D37" s="94" t="str">
        <f>'CANTIDADES ADJUDICACIÓN'!D61</f>
        <v>JABONERA: 
PLÁSTICA CAPACIDAD JABÓN 130 GRAMOS ESPECIFICACIONES SEGÚN NORMA TÉCNICA NO. NTMD-0356 A2 ÍTEM  3.1.1.9</v>
      </c>
      <c r="E37" s="10" t="str">
        <f>'CANTIDADES ADJUDICACIÓN'!E61</f>
        <v>UNIDAD</v>
      </c>
      <c r="F37" s="89">
        <f>'CANTIDADES ADJUDICACIÓN'!Z61</f>
        <v>2656</v>
      </c>
      <c r="G37" s="46">
        <f>'CANTIDADES ADJUDICACIÓN'!AA61</f>
        <v>1812</v>
      </c>
      <c r="H37" s="47">
        <f t="shared" ref="H37:H43" si="12">G37/F37</f>
        <v>0.68222891566265065</v>
      </c>
      <c r="I37" s="48">
        <f>'CANTIDADES ADJUDICACIÓN'!AB61</f>
        <v>844</v>
      </c>
      <c r="J37" s="47">
        <f t="shared" ref="J37:J43" si="13">I37/F37</f>
        <v>0.31777108433734941</v>
      </c>
      <c r="K37" s="91"/>
    </row>
    <row r="38" spans="1:11" ht="33" x14ac:dyDescent="0.2">
      <c r="B38" s="10">
        <f>'CANTIDADES ADJUDICACIÓN'!B62</f>
        <v>30</v>
      </c>
      <c r="C38" s="10">
        <f>'CANTIDADES ADJUDICACIÓN'!C62</f>
        <v>3649006</v>
      </c>
      <c r="D38" s="94" t="str">
        <f>'CANTIDADES ADJUDICACIÓN'!D62</f>
        <v>PORTA CEPILLO DE DIENTES: ELABORADO EN PLÁSTICO ESPECIFICACIONES SEGÚN NORMA TÉCNICA NO. NTMD-0356 A2 ÍTEM  3.1.1.11</v>
      </c>
      <c r="E38" s="10" t="str">
        <f>'CANTIDADES ADJUDICACIÓN'!E62</f>
        <v>UNIDAD</v>
      </c>
      <c r="F38" s="89">
        <f>'CANTIDADES ADJUDICACIÓN'!Z62</f>
        <v>2656</v>
      </c>
      <c r="G38" s="46">
        <f>'CANTIDADES ADJUDICACIÓN'!AA62</f>
        <v>1807</v>
      </c>
      <c r="H38" s="47">
        <f t="shared" si="12"/>
        <v>0.68034638554216864</v>
      </c>
      <c r="I38" s="48">
        <f>'CANTIDADES ADJUDICACIÓN'!AB62</f>
        <v>849</v>
      </c>
      <c r="J38" s="47">
        <f t="shared" si="13"/>
        <v>0.3196536144578313</v>
      </c>
      <c r="K38" s="91"/>
    </row>
    <row r="39" spans="1:11" x14ac:dyDescent="0.2">
      <c r="B39" s="225" t="str">
        <f>'CANTIDADES ADJUDICACIÓN'!B67</f>
        <v>A-02-02-01-003-008 OTROS BIENES TRANSPORTABLES N.C.P.</v>
      </c>
      <c r="C39" s="225" t="e">
        <f>#REF!</f>
        <v>#REF!</v>
      </c>
      <c r="D39" s="225" t="e">
        <f>#REF!</f>
        <v>#REF!</v>
      </c>
      <c r="E39" s="225" t="e">
        <f>#REF!</f>
        <v>#REF!</v>
      </c>
      <c r="F39" s="225" t="e">
        <f>#REF!</f>
        <v>#REF!</v>
      </c>
      <c r="G39" s="225" t="e">
        <f>SUM('CANTIDADES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ADJUDICACIÓN'!#REF!)</f>
        <v>#REF!</v>
      </c>
      <c r="H39" s="225" t="e">
        <f t="shared" si="12"/>
        <v>#REF!</v>
      </c>
      <c r="I39" s="225" t="e">
        <f>SUM('CANTIDADES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ADJUDICACIÓN'!#REF!)</f>
        <v>#REF!</v>
      </c>
      <c r="J39" s="225" t="e">
        <f t="shared" si="13"/>
        <v>#REF!</v>
      </c>
      <c r="K39" s="91"/>
    </row>
    <row r="40" spans="1:11" ht="99" x14ac:dyDescent="0.2">
      <c r="B40" s="10">
        <f>'CANTIDADES ADJUDICACIÓN'!B70</f>
        <v>31</v>
      </c>
      <c r="C40" s="10">
        <f>'CANTIDADES ADJUDICACIÓN'!C70</f>
        <v>3899307</v>
      </c>
      <c r="D40" s="94" t="str">
        <f>'CANTIDADES ADJUDICACIÓN'!D70</f>
        <v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v>
      </c>
      <c r="E40" s="10" t="str">
        <f>'CANTIDADES ADJUDICACIÓN'!E70</f>
        <v>UNIDAD</v>
      </c>
      <c r="F40" s="89">
        <f>'CANTIDADES ADJUDICACIÓN'!Z70</f>
        <v>2656</v>
      </c>
      <c r="G40" s="90">
        <f>'CANTIDADES ADJUDICACIÓN'!AA70</f>
        <v>1532</v>
      </c>
      <c r="H40" s="47">
        <f t="shared" si="12"/>
        <v>0.57680722891566261</v>
      </c>
      <c r="I40" s="48">
        <f>'CANTIDADES ADJUDICACIÓN'!AB70</f>
        <v>1124</v>
      </c>
      <c r="J40" s="47">
        <f t="shared" si="13"/>
        <v>0.42319277108433734</v>
      </c>
      <c r="K40" s="91"/>
    </row>
    <row r="41" spans="1:11" ht="49.5" x14ac:dyDescent="0.2">
      <c r="B41" s="10">
        <f>'CANTIDADES ADJUDICACIÓN'!B71</f>
        <v>32</v>
      </c>
      <c r="C41" s="10">
        <f>'CANTIDADES ADJUDICACIÓN'!C71</f>
        <v>3899402</v>
      </c>
      <c r="D41" s="94" t="str">
        <f>'CANTIDADES ADJUDICACIÓN'!D71</f>
        <v>PEINILLA: 
(LARGO: 120 MM ± 5 MM; ALTO: 28 MM ± 5 MM), ESPECIFICACIONES SEGÚN NORMA TÉCNICA NO. NTMD-0356 A2  ÍTEM  3.1.1.12</v>
      </c>
      <c r="E41" s="10" t="str">
        <f>'CANTIDADES ADJUDICACIÓN'!E71</f>
        <v>UNIDAD</v>
      </c>
      <c r="F41" s="89">
        <f>'CANTIDADES ADJUDICACIÓN'!Z71</f>
        <v>2656</v>
      </c>
      <c r="G41" s="90">
        <f>'CANTIDADES ADJUDICACIÓN'!AA71</f>
        <v>1529</v>
      </c>
      <c r="H41" s="47">
        <f t="shared" si="12"/>
        <v>0.57567771084337349</v>
      </c>
      <c r="I41" s="48">
        <f>'CANTIDADES ADJUDICACIÓN'!AB71</f>
        <v>1127</v>
      </c>
      <c r="J41" s="47">
        <f t="shared" si="13"/>
        <v>0.42432228915662651</v>
      </c>
      <c r="K41" s="91"/>
    </row>
    <row r="42" spans="1:11" ht="66" x14ac:dyDescent="0.2">
      <c r="B42" s="10">
        <f>'CANTIDADES ADJUDICACIÓN'!B72</f>
        <v>33</v>
      </c>
      <c r="C42" s="10">
        <f>'CANTIDADES ADJUDICACIÓN'!C72</f>
        <v>3899306</v>
      </c>
      <c r="D42" s="94" t="str">
        <f>'CANTIDADES ADJUDICACIÓN'!D72</f>
        <v>CEPILLOS GRANDE Y PEQUEÑO PARA BRILLAR CALZADO: DEBE ESTAR CONFORMADO POR UN MANGO Y UNA BASE, SOBRE LA CUAL SE FIJAN LAS CERDAS, APTOS PARA LIMPIAR, LAVAR, BRILLAR O BARRER, ESPECIFICACIONES SEGÚN NORMA TÉCNICA NO. NTMD-0356 A2  ÍTEM  3.1.1.16</v>
      </c>
      <c r="E42" s="10" t="str">
        <f>'CANTIDADES ADJUDICACIÓN'!E72</f>
        <v>UNIDAD</v>
      </c>
      <c r="F42" s="89">
        <f>'CANTIDADES ADJUDICACIÓN'!Z72</f>
        <v>2656</v>
      </c>
      <c r="G42" s="90">
        <f>'CANTIDADES ADJUDICACIÓN'!AA72</f>
        <v>1525</v>
      </c>
      <c r="H42" s="47">
        <f t="shared" si="12"/>
        <v>0.57417168674698793</v>
      </c>
      <c r="I42" s="48">
        <f>'CANTIDADES ADJUDICACIÓN'!AB72</f>
        <v>1131</v>
      </c>
      <c r="J42" s="47">
        <f t="shared" si="13"/>
        <v>0.42582831325301207</v>
      </c>
      <c r="K42" s="91"/>
    </row>
    <row r="43" spans="1:11" ht="49.5" x14ac:dyDescent="0.2">
      <c r="B43" s="10">
        <f>'CANTIDADES ADJUDICACIÓN'!B73</f>
        <v>34</v>
      </c>
      <c r="C43" s="10">
        <f>'CANTIDADES ADJUDICACIÓN'!C73</f>
        <v>3891103</v>
      </c>
      <c r="D43" s="94" t="str">
        <f>'CANTIDADES ADJUDICACIÓN'!D73</f>
        <v>LAPICERO:
(14 CM DE LONGITUD Y 7 MM DE DIÁMETRO), ESPECIFICACIONES SEGÚN NORMA TÉCNICA NO. NTMD-0356 A2  ÍTEM  3.1.1.19</v>
      </c>
      <c r="E43" s="10" t="str">
        <f>'CANTIDADES ADJUDICACIÓN'!E73</f>
        <v>UNIDAD</v>
      </c>
      <c r="F43" s="89">
        <f>'CANTIDADES ADJUDICACIÓN'!Z73</f>
        <v>2656</v>
      </c>
      <c r="G43" s="90">
        <f>'CANTIDADES ADJUDICACIÓN'!AA73</f>
        <v>1525</v>
      </c>
      <c r="H43" s="47">
        <f t="shared" si="12"/>
        <v>0.57417168674698793</v>
      </c>
      <c r="I43" s="48">
        <f>'CANTIDADES ADJUDICACIÓN'!AB73</f>
        <v>1131</v>
      </c>
      <c r="J43" s="47">
        <f t="shared" si="13"/>
        <v>0.42582831325301207</v>
      </c>
      <c r="K43" s="91"/>
    </row>
    <row r="44" spans="1:11" x14ac:dyDescent="0.2">
      <c r="B44" s="225" t="str">
        <f>'CANTIDADES ADJUDICACIÓN'!B78</f>
        <v>A-02-02-01-004-002 PRODUCTOS METÁLICOS ELABORADOS (EXCEPTO MAQUINARIA Y EQUIPO)</v>
      </c>
      <c r="C44" s="225" t="e">
        <f>#REF!</f>
        <v>#REF!</v>
      </c>
      <c r="D44" s="225" t="e">
        <f>#REF!</f>
        <v>#REF!</v>
      </c>
      <c r="E44" s="225" t="e">
        <f>#REF!</f>
        <v>#REF!</v>
      </c>
      <c r="F44" s="225" t="e">
        <f>#REF!</f>
        <v>#REF!</v>
      </c>
      <c r="G44" s="225" t="e">
        <f>SUM('CANTIDADES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ADJUDICACIÓN'!#REF!)</f>
        <v>#REF!</v>
      </c>
      <c r="H44" s="225" t="e">
        <f t="shared" ref="H44:H45" si="14">G44/F44</f>
        <v>#REF!</v>
      </c>
      <c r="I44" s="225" t="e">
        <f>SUM('CANTIDADES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ADJUDICACIÓN'!#REF!,'CANTIDADES ADJUDICACIÓN'!#REF!)</f>
        <v>#REF!</v>
      </c>
      <c r="J44" s="225" t="e">
        <f t="shared" ref="J44:J45" si="15">I44/F44</f>
        <v>#REF!</v>
      </c>
      <c r="K44" s="91"/>
    </row>
    <row r="45" spans="1:11" ht="49.5" x14ac:dyDescent="0.2">
      <c r="B45" s="10">
        <f>'CANTIDADES ADJUDICACIÓN'!B81</f>
        <v>35</v>
      </c>
      <c r="C45" s="10">
        <f>'CANTIDADES ADJUDICACIÓN'!C81</f>
        <v>4291403</v>
      </c>
      <c r="D45" s="94" t="str">
        <f>'CANTIDADES ADJUDICACIÓN'!D81</f>
        <v>MAQUINA  PARA AFEITAR: DESECHABLE, MÍNIMO TRIPLE HOJA, DEBE TENER BANDA LUBRICANTE ESPECIFICACIONES SEGÚN NORMA TÉCNICA NO. NTMD-0356 A2 ÍTEM  3.1.1.4</v>
      </c>
      <c r="E45" s="10" t="str">
        <f>'CANTIDADES ADJUDICACIÓN'!E81</f>
        <v>UNIDAD</v>
      </c>
      <c r="F45" s="89">
        <f>'CANTIDADES ADJUDICACIÓN'!Z81</f>
        <v>7968</v>
      </c>
      <c r="G45" s="46">
        <f>'CANTIDADES ADJUDICACIÓN'!AA81</f>
        <v>4908</v>
      </c>
      <c r="H45" s="47">
        <f t="shared" si="14"/>
        <v>0.61596385542168675</v>
      </c>
      <c r="I45" s="48">
        <f>'CANTIDADES ADJUDICACIÓN'!AB81</f>
        <v>3060</v>
      </c>
      <c r="J45" s="47">
        <f t="shared" si="15"/>
        <v>0.38403614457831325</v>
      </c>
      <c r="K45" s="91"/>
    </row>
    <row r="46" spans="1:11" ht="49.5" x14ac:dyDescent="0.2">
      <c r="A46" s="16" t="s">
        <v>156</v>
      </c>
      <c r="B46" s="10">
        <f>'CANTIDADES ADJUDICACIÓN'!B82</f>
        <v>36</v>
      </c>
      <c r="C46" s="10">
        <f>'CANTIDADES ADJUDICACIÓN'!C82</f>
        <v>4299206</v>
      </c>
      <c r="D46" s="94" t="str">
        <f>'CANTIDADES ADJUDICACIÓN'!D82</f>
        <v>CANDADO: AALTO 60 MM ± 5 MM
ANCHO 35 MM ± 5 MM, ESPECIFICACIONES SEGÚN NORMA TÉCNICA NO. NTMD-0356 A2 ÍTEM  3.1.1.15</v>
      </c>
      <c r="E46" s="10" t="str">
        <f>'CANTIDADES ADJUDICACIÓN'!E82</f>
        <v>UNIDAD</v>
      </c>
      <c r="F46" s="89">
        <f>'CANTIDADES ADJUDICACIÓN'!Z82</f>
        <v>2656</v>
      </c>
      <c r="G46" s="46">
        <f>'CANTIDADES ADJUDICACIÓN'!AA82</f>
        <v>1635</v>
      </c>
      <c r="H46" s="47">
        <f t="shared" ref="H46:H48" si="16">G46/F46</f>
        <v>0.61558734939759041</v>
      </c>
      <c r="I46" s="48">
        <f>'CANTIDADES ADJUDICACIÓN'!AB82</f>
        <v>1021</v>
      </c>
      <c r="J46" s="47">
        <f t="shared" ref="J46:J48" si="17">I46/F46</f>
        <v>0.38441265060240964</v>
      </c>
      <c r="K46" s="91"/>
    </row>
    <row r="47" spans="1:11" ht="49.5" x14ac:dyDescent="0.2">
      <c r="B47" s="10">
        <f>'CANTIDADES ADJUDICACIÓN'!B83</f>
        <v>37</v>
      </c>
      <c r="C47" s="10">
        <f>'CANTIDADES ADJUDICACIÓN'!C83</f>
        <v>4291502</v>
      </c>
      <c r="D47" s="94" t="str">
        <f>'CANTIDADES ADJUDICACIÓN'!D83</f>
        <v>CORTA UÑAS:
80 MM DE LONGITUD  ESPECIFICACIONES SEGÚN NORMA TÉCNICA NO. NTMD-0356 A2 ÍTEM  3.1.1.17</v>
      </c>
      <c r="E47" s="10" t="str">
        <f>'CANTIDADES ADJUDICACIÓN'!E83</f>
        <v>UNIDAD</v>
      </c>
      <c r="F47" s="89">
        <f>'CANTIDADES ADJUDICACIÓN'!Z83</f>
        <v>2656</v>
      </c>
      <c r="G47" s="46">
        <f>'CANTIDADES ADJUDICACIÓN'!AA83</f>
        <v>1634</v>
      </c>
      <c r="H47" s="47">
        <f t="shared" si="16"/>
        <v>0.61521084337349397</v>
      </c>
      <c r="I47" s="48">
        <f>'CANTIDADES ADJUDICACIÓN'!AB83</f>
        <v>1022</v>
      </c>
      <c r="J47" s="47">
        <f t="shared" si="17"/>
        <v>0.38478915662650603</v>
      </c>
      <c r="K47" s="91"/>
    </row>
    <row r="48" spans="1:11" ht="99" x14ac:dyDescent="0.2">
      <c r="B48" s="10">
        <f>'CANTIDADES ADJUDICACIÓN'!B84</f>
        <v>38</v>
      </c>
      <c r="C48" s="10">
        <f>'CANTIDADES ADJUDICACIÓN'!C84</f>
        <v>4299904</v>
      </c>
      <c r="D48" s="94" t="str">
        <f>'CANTIDADES ADJUDICACIÓN'!D84</f>
        <v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v>
      </c>
      <c r="E48" s="10" t="str">
        <f>'CANTIDADES ADJUDICACIÓN'!E84</f>
        <v>JUEGO</v>
      </c>
      <c r="F48" s="89">
        <f>'CANTIDADES ADJUDICACIÓN'!Z84</f>
        <v>2656</v>
      </c>
      <c r="G48" s="46">
        <f>'CANTIDADES ADJUDICACIÓN'!AA84</f>
        <v>1629</v>
      </c>
      <c r="H48" s="47">
        <f t="shared" si="16"/>
        <v>0.61332831325301207</v>
      </c>
      <c r="I48" s="48">
        <f>'CANTIDADES ADJUDICACIÓN'!AB84</f>
        <v>1027</v>
      </c>
      <c r="J48" s="47">
        <f t="shared" si="17"/>
        <v>0.38667168674698793</v>
      </c>
      <c r="K48" s="91"/>
    </row>
  </sheetData>
  <mergeCells count="14">
    <mergeCell ref="F2:F3"/>
    <mergeCell ref="G2:H2"/>
    <mergeCell ref="I2:J2"/>
    <mergeCell ref="B4:J4"/>
    <mergeCell ref="E2:E3"/>
    <mergeCell ref="D2:D3"/>
    <mergeCell ref="C2:C3"/>
    <mergeCell ref="B2:B3"/>
    <mergeCell ref="B44:J44"/>
    <mergeCell ref="B17:J17"/>
    <mergeCell ref="B23:J23"/>
    <mergeCell ref="B27:J27"/>
    <mergeCell ref="B35:J35"/>
    <mergeCell ref="B39:J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PLAN DE NECESIDADES</vt:lpstr>
      <vt:lpstr>PRESUPUESTO CONSOLIDADO</vt:lpstr>
      <vt:lpstr>PRESUPUESTO</vt:lpstr>
      <vt:lpstr>OFICIO</vt:lpstr>
      <vt:lpstr>DÉFICIT POR CONTINGENTE</vt:lpstr>
      <vt:lpstr>MÍNIMAS (2)</vt:lpstr>
      <vt:lpstr>CANTIDADES ADJUDICACIÓN</vt:lpstr>
      <vt:lpstr>LIMITANTES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MANJARREZ</dc:creator>
  <cp:lastModifiedBy>Andrea Carolina Manjarrez Montes</cp:lastModifiedBy>
  <dcterms:created xsi:type="dcterms:W3CDTF">2025-09-28T04:12:50Z</dcterms:created>
  <dcterms:modified xsi:type="dcterms:W3CDTF">2026-08-06T22:31:19Z</dcterms:modified>
</cp:coreProperties>
</file>