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10"/>
  <workbookPr/>
  <mc:AlternateContent xmlns:mc="http://schemas.openxmlformats.org/markup-compatibility/2006">
    <mc:Choice Requires="x15">
      <x15ac:absPath xmlns:x15ac="http://schemas.microsoft.com/office/spreadsheetml/2010/11/ac" url="C:\Users\sandr\OneDrive - dane.gov.co\UPS 2026\Revisión Inicial Compras 27 abril\"/>
    </mc:Choice>
  </mc:AlternateContent>
  <xr:revisionPtr revIDLastSave="4" documentId="11_C4FF3916BBA15E1E8B21CEE7121BBCF8C30CCD91" xr6:coauthVersionLast="47" xr6:coauthVersionMax="47" xr10:uidLastSave="{3E83286F-3ACE-43BF-AFC3-DF489DBBD0A0}"/>
  <bookViews>
    <workbookView xWindow="2250" yWindow="2250" windowWidth="21600" windowHeight="11295" xr2:uid="{00000000-000D-0000-FFFF-FFFF00000000}"/>
  </bookViews>
  <sheets>
    <sheet name=" GCO-040-PDT-002-f-016 (2)" sheetId="5" r:id="rId1"/>
    <sheet name="Hoja1" sheetId="2" r:id="rId2"/>
    <sheet name="Hoja2"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 i="5" l="1"/>
  <c r="N39" i="5" l="1"/>
  <c r="O39" i="5" s="1"/>
  <c r="D5" i="2" s="1"/>
  <c r="N71" i="5"/>
  <c r="O71" i="5" s="1"/>
  <c r="D9" i="2" s="1"/>
  <c r="L70" i="5"/>
  <c r="M10" i="5"/>
  <c r="Q9" i="5"/>
  <c r="M67" i="5"/>
  <c r="M66" i="5"/>
  <c r="Q57" i="5"/>
  <c r="M57" i="5"/>
  <c r="Q56" i="5"/>
  <c r="M56" i="5"/>
  <c r="Q55" i="5"/>
  <c r="M55" i="5"/>
  <c r="Q53" i="5"/>
  <c r="M53" i="5"/>
  <c r="Q52" i="5"/>
  <c r="M52" i="5"/>
  <c r="Q51" i="5"/>
  <c r="M51" i="5"/>
  <c r="Q49" i="5"/>
  <c r="M49" i="5"/>
  <c r="Q48" i="5"/>
  <c r="M48" i="5"/>
  <c r="Q47" i="5"/>
  <c r="M47" i="5"/>
  <c r="Q45" i="5"/>
  <c r="M45" i="5"/>
  <c r="Q44" i="5"/>
  <c r="M44" i="5"/>
  <c r="Q43" i="5"/>
  <c r="M43" i="5"/>
  <c r="M35" i="5"/>
  <c r="Q34" i="5"/>
  <c r="M34" i="5"/>
  <c r="Q33" i="5"/>
  <c r="M33" i="5"/>
  <c r="M29" i="5"/>
  <c r="Q25" i="5"/>
  <c r="M25" i="5"/>
  <c r="Q24" i="5"/>
  <c r="M24" i="5"/>
  <c r="Q22" i="5"/>
  <c r="M22" i="5"/>
  <c r="Q21" i="5"/>
  <c r="M21" i="5"/>
  <c r="M20" i="5"/>
  <c r="Q18" i="5"/>
  <c r="M18" i="5"/>
  <c r="Q15" i="5"/>
  <c r="M15" i="5"/>
  <c r="Q13" i="5"/>
  <c r="M13" i="5"/>
  <c r="Q11" i="5"/>
  <c r="M11" i="5"/>
  <c r="Q10" i="5"/>
  <c r="N10" i="5"/>
  <c r="O10" i="5" s="1"/>
  <c r="H70" i="5"/>
  <c r="H72" i="5" s="1"/>
  <c r="G70" i="5"/>
  <c r="G72" i="5" s="1"/>
  <c r="F70" i="5"/>
  <c r="F72" i="5" s="1"/>
  <c r="E70" i="5"/>
  <c r="E72" i="5" s="1"/>
  <c r="K70" i="5"/>
  <c r="K72" i="5" s="1"/>
  <c r="J70" i="5"/>
  <c r="J72" i="5" s="1"/>
  <c r="I70" i="5"/>
  <c r="I72" i="5" s="1"/>
  <c r="M69" i="5"/>
  <c r="N69" i="5" s="1"/>
  <c r="O69" i="5" s="1"/>
  <c r="Q68" i="5"/>
  <c r="P68" i="5"/>
  <c r="M68" i="5"/>
  <c r="N68" i="5" s="1"/>
  <c r="O68" i="5" s="1"/>
  <c r="Q67" i="5"/>
  <c r="P67" i="5"/>
  <c r="N67" i="5"/>
  <c r="O67" i="5" s="1"/>
  <c r="Q66" i="5"/>
  <c r="P66" i="5"/>
  <c r="N66" i="5"/>
  <c r="O66" i="5" s="1"/>
  <c r="Q65" i="5"/>
  <c r="P65" i="5"/>
  <c r="M65" i="5"/>
  <c r="N65" i="5" s="1"/>
  <c r="O65" i="5" s="1"/>
  <c r="Q64" i="5"/>
  <c r="P64" i="5"/>
  <c r="M64" i="5"/>
  <c r="N64" i="5" s="1"/>
  <c r="O64" i="5" s="1"/>
  <c r="Q63" i="5"/>
  <c r="P63" i="5"/>
  <c r="M63" i="5"/>
  <c r="N63" i="5" s="1"/>
  <c r="O63" i="5" s="1"/>
  <c r="Q62" i="5"/>
  <c r="P62" i="5"/>
  <c r="M62" i="5"/>
  <c r="N62" i="5" s="1"/>
  <c r="O62" i="5" s="1"/>
  <c r="Q61" i="5"/>
  <c r="P61" i="5"/>
  <c r="M61" i="5"/>
  <c r="N61" i="5" s="1"/>
  <c r="O61" i="5" s="1"/>
  <c r="Q60" i="5"/>
  <c r="P60" i="5"/>
  <c r="M60" i="5"/>
  <c r="N60" i="5" s="1"/>
  <c r="O60" i="5" s="1"/>
  <c r="Q59" i="5"/>
  <c r="P59" i="5"/>
  <c r="M59" i="5"/>
  <c r="N59" i="5" s="1"/>
  <c r="O59" i="5" s="1"/>
  <c r="Q58" i="5"/>
  <c r="P58" i="5"/>
  <c r="M58" i="5"/>
  <c r="N58" i="5" s="1"/>
  <c r="O58" i="5" s="1"/>
  <c r="P57" i="5"/>
  <c r="N57" i="5"/>
  <c r="O57" i="5" s="1"/>
  <c r="P56" i="5"/>
  <c r="N56" i="5"/>
  <c r="O56" i="5" s="1"/>
  <c r="P55" i="5"/>
  <c r="N55" i="5"/>
  <c r="O55" i="5" s="1"/>
  <c r="Q54" i="5"/>
  <c r="P54" i="5"/>
  <c r="M54" i="5"/>
  <c r="N54" i="5" s="1"/>
  <c r="O54" i="5" s="1"/>
  <c r="P53" i="5"/>
  <c r="N53" i="5"/>
  <c r="O53" i="5" s="1"/>
  <c r="P52" i="5"/>
  <c r="N52" i="5"/>
  <c r="O52" i="5" s="1"/>
  <c r="P51" i="5"/>
  <c r="N51" i="5"/>
  <c r="O51" i="5" s="1"/>
  <c r="Q50" i="5"/>
  <c r="P50" i="5"/>
  <c r="M50" i="5"/>
  <c r="N50" i="5" s="1"/>
  <c r="O50" i="5" s="1"/>
  <c r="P49" i="5"/>
  <c r="N49" i="5"/>
  <c r="O49" i="5" s="1"/>
  <c r="P48" i="5"/>
  <c r="N48" i="5"/>
  <c r="O48" i="5" s="1"/>
  <c r="P47" i="5"/>
  <c r="N47" i="5"/>
  <c r="O47" i="5" s="1"/>
  <c r="Q46" i="5"/>
  <c r="P46" i="5"/>
  <c r="M46" i="5"/>
  <c r="N46" i="5" s="1"/>
  <c r="O46" i="5" s="1"/>
  <c r="P45" i="5"/>
  <c r="N45" i="5"/>
  <c r="O45" i="5" s="1"/>
  <c r="P44" i="5"/>
  <c r="N44" i="5"/>
  <c r="O44" i="5" s="1"/>
  <c r="P43" i="5"/>
  <c r="N43" i="5"/>
  <c r="O43" i="5" s="1"/>
  <c r="O70" i="5" s="1"/>
  <c r="O72" i="5" s="1"/>
  <c r="H38" i="5"/>
  <c r="H40" i="5" s="1"/>
  <c r="G38" i="5"/>
  <c r="G40" i="5" s="1"/>
  <c r="F38" i="5"/>
  <c r="F40" i="5" s="1"/>
  <c r="E38" i="5"/>
  <c r="E40" i="5" s="1"/>
  <c r="K38" i="5"/>
  <c r="K40" i="5" s="1"/>
  <c r="J38" i="5"/>
  <c r="J40" i="5" s="1"/>
  <c r="I38" i="5"/>
  <c r="I40" i="5" s="1"/>
  <c r="Q37" i="5"/>
  <c r="P37" i="5"/>
  <c r="M37" i="5"/>
  <c r="N37" i="5" s="1"/>
  <c r="O37" i="5" s="1"/>
  <c r="Q36" i="5"/>
  <c r="P36" i="5"/>
  <c r="M36" i="5"/>
  <c r="N36" i="5" s="1"/>
  <c r="O36" i="5" s="1"/>
  <c r="Q35" i="5"/>
  <c r="P35" i="5"/>
  <c r="N35" i="5"/>
  <c r="O35" i="5" s="1"/>
  <c r="P34" i="5"/>
  <c r="N34" i="5"/>
  <c r="O34" i="5" s="1"/>
  <c r="P33" i="5"/>
  <c r="N33" i="5"/>
  <c r="O33" i="5" s="1"/>
  <c r="Q32" i="5"/>
  <c r="P32" i="5"/>
  <c r="M32" i="5"/>
  <c r="N32" i="5" s="1"/>
  <c r="O32" i="5" s="1"/>
  <c r="Q31" i="5"/>
  <c r="P31" i="5"/>
  <c r="M31" i="5"/>
  <c r="N31" i="5" s="1"/>
  <c r="O31" i="5" s="1"/>
  <c r="Q30" i="5"/>
  <c r="P30" i="5"/>
  <c r="M30" i="5"/>
  <c r="N30" i="5" s="1"/>
  <c r="O30" i="5" s="1"/>
  <c r="Q29" i="5"/>
  <c r="P29" i="5"/>
  <c r="N29" i="5"/>
  <c r="O29" i="5" s="1"/>
  <c r="Q28" i="5"/>
  <c r="P28" i="5"/>
  <c r="M28" i="5"/>
  <c r="N28" i="5" s="1"/>
  <c r="O28" i="5" s="1"/>
  <c r="Q27" i="5"/>
  <c r="P27" i="5"/>
  <c r="M27" i="5"/>
  <c r="N27" i="5" s="1"/>
  <c r="O27" i="5" s="1"/>
  <c r="Q26" i="5"/>
  <c r="P26" i="5"/>
  <c r="M26" i="5"/>
  <c r="N26" i="5" s="1"/>
  <c r="O26" i="5" s="1"/>
  <c r="P25" i="5"/>
  <c r="N25" i="5"/>
  <c r="O25" i="5" s="1"/>
  <c r="P24" i="5"/>
  <c r="N24" i="5"/>
  <c r="O24" i="5" s="1"/>
  <c r="Q23" i="5"/>
  <c r="P23" i="5"/>
  <c r="M23" i="5"/>
  <c r="N23" i="5" s="1"/>
  <c r="O23" i="5" s="1"/>
  <c r="P22" i="5"/>
  <c r="N22" i="5"/>
  <c r="O22" i="5" s="1"/>
  <c r="P21" i="5"/>
  <c r="N21" i="5"/>
  <c r="O21" i="5" s="1"/>
  <c r="Q20" i="5"/>
  <c r="P20" i="5"/>
  <c r="N20" i="5"/>
  <c r="O20" i="5" s="1"/>
  <c r="Q19" i="5"/>
  <c r="P19" i="5"/>
  <c r="M19" i="5"/>
  <c r="N19" i="5" s="1"/>
  <c r="O19" i="5" s="1"/>
  <c r="P18" i="5"/>
  <c r="N18" i="5"/>
  <c r="O18" i="5" s="1"/>
  <c r="Q17" i="5"/>
  <c r="P17" i="5"/>
  <c r="M17" i="5"/>
  <c r="N17" i="5" s="1"/>
  <c r="O17" i="5" s="1"/>
  <c r="Q16" i="5"/>
  <c r="P16" i="5"/>
  <c r="M16" i="5"/>
  <c r="N16" i="5" s="1"/>
  <c r="O16" i="5" s="1"/>
  <c r="P15" i="5"/>
  <c r="N15" i="5"/>
  <c r="O15" i="5" s="1"/>
  <c r="Q14" i="5"/>
  <c r="P14" i="5"/>
  <c r="M14" i="5"/>
  <c r="N14" i="5" s="1"/>
  <c r="O14" i="5" s="1"/>
  <c r="P13" i="5"/>
  <c r="N13" i="5"/>
  <c r="O13" i="5" s="1"/>
  <c r="Q12" i="5"/>
  <c r="P12" i="5"/>
  <c r="M12" i="5"/>
  <c r="N12" i="5" s="1"/>
  <c r="O12" i="5" s="1"/>
  <c r="P11" i="5"/>
  <c r="N11" i="5"/>
  <c r="O11" i="5" s="1"/>
  <c r="P10" i="5"/>
  <c r="P9" i="5"/>
  <c r="N9" i="5"/>
  <c r="O9" i="5" s="1"/>
  <c r="O38" i="5" s="1"/>
  <c r="O40" i="5" s="1"/>
  <c r="D16" i="4"/>
  <c r="E16" i="4" s="1"/>
  <c r="D15" i="4"/>
  <c r="E15" i="4" s="1"/>
  <c r="D14" i="4"/>
  <c r="E14" i="4" s="1"/>
  <c r="D12" i="4"/>
  <c r="E12" i="4" s="1"/>
  <c r="D10" i="4"/>
  <c r="D11" i="4"/>
  <c r="E11" i="4" s="1"/>
  <c r="E10" i="4"/>
  <c r="D2" i="4"/>
  <c r="D3" i="4"/>
  <c r="E3" i="4"/>
  <c r="D4" i="4"/>
  <c r="E4" i="4"/>
  <c r="D6" i="4"/>
  <c r="E6" i="4"/>
  <c r="D7" i="4"/>
  <c r="E7" i="4"/>
  <c r="D8" i="4"/>
  <c r="E8" i="4"/>
  <c r="E2" i="4"/>
  <c r="I73" i="5" l="1"/>
  <c r="J73" i="5"/>
  <c r="K73" i="5"/>
  <c r="E73" i="5"/>
  <c r="F73" i="5"/>
  <c r="G73" i="5"/>
  <c r="H73" i="5"/>
  <c r="D6" i="2"/>
  <c r="D4" i="2"/>
  <c r="D8" i="2" l="1"/>
  <c r="O73" i="5" l="1"/>
  <c r="D11" i="2" s="1"/>
  <c r="D13" i="2" s="1"/>
  <c r="D10" i="2"/>
</calcChain>
</file>

<file path=xl/sharedStrings.xml><?xml version="1.0" encoding="utf-8"?>
<sst xmlns="http://schemas.openxmlformats.org/spreadsheetml/2006/main" count="167" uniqueCount="91">
  <si>
    <t xml:space="preserve">CONSOLIDADO ESTUDIO DE LA OFERTA </t>
  </si>
  <si>
    <t>Objeto:</t>
  </si>
  <si>
    <t>2323502226_OSIS_2026_ST Adquirir el servicio de mantenimiento preventivo y correctivo especializado, con suministro de repuestos a los sistemas de aire acondicionado y sistemas ininterrumpidos de potencia - UPS, de acuerdo con las especificaciones técnicas establecidas por la Entidad.</t>
  </si>
  <si>
    <t>Ítem</t>
  </si>
  <si>
    <t>Descripción del bien o servicio</t>
  </si>
  <si>
    <t>Unidad de medida</t>
  </si>
  <si>
    <t>Cantidad</t>
  </si>
  <si>
    <t>SMARTE PLANNIG</t>
  </si>
  <si>
    <t>COMPUTEL SYSTEM S.A.S.</t>
  </si>
  <si>
    <t>SISELCOM</t>
  </si>
  <si>
    <t xml:space="preserve">COTEL </t>
  </si>
  <si>
    <t xml:space="preserve">INVERSER </t>
  </si>
  <si>
    <t>COMSISTELCO</t>
  </si>
  <si>
    <t xml:space="preserve">POWERSUN </t>
  </si>
  <si>
    <t>HISTORICO CTO 2025 DANE</t>
  </si>
  <si>
    <t>Valor Unitario Promedio Incluido IVA</t>
  </si>
  <si>
    <t>Valor Unitario Promedio Incluido IVA (redondeado)</t>
  </si>
  <si>
    <t>Valor total promedio por ítem (para la cantidad requerida) incluido IVA</t>
  </si>
  <si>
    <t>DESVIACIÓN ESTÁNDAR CON TODAS LAS COTIZACIONES</t>
  </si>
  <si>
    <t>DESVIACIÓN ESTÁNDAR EXCLUYENDO ALGUNAS COTIZACIONES</t>
  </si>
  <si>
    <t>24/2/2026</t>
  </si>
  <si>
    <t>25/3/2026</t>
  </si>
  <si>
    <t>Valor unitario incluido IVA</t>
  </si>
  <si>
    <t>CO1.PCCNTR.8460196</t>
  </si>
  <si>
    <t>LOTE 1. EQUIPOS MARCA LIEBERT Y VERTIV - MANTENIMIENTO PREVENTIVO Y CORRECTIVO DE ACUERDO CON EL ANEXO 1 FICHA TÉCNICA MANTENIMIENTO UPS</t>
  </si>
  <si>
    <t>Mantenimiento preventivo UPS Bogotá DANE CENTRAL LIEBERT 200 kVA</t>
  </si>
  <si>
    <t>Unidad</t>
  </si>
  <si>
    <t>Mantenimiento preventivo UPS Bucaramanga LIEBERT 10 kVA</t>
  </si>
  <si>
    <t>Mantenimiento preventivo UPS Barranquilla VERTIV 20 KVA</t>
  </si>
  <si>
    <t>Mantenimiento preventivo UPS Manizales LIEBERT 10 KVA</t>
  </si>
  <si>
    <t>Mantenimiento preventivo UPS Florencia LIEBERT 3 kVA</t>
  </si>
  <si>
    <t>Mantenimiento preventivo UPS Santa Marta LIEBERT 10 kVA</t>
  </si>
  <si>
    <t>Mantenimiento preventivo UPS Villavicencio LIEBERT 10 kVA</t>
  </si>
  <si>
    <t>Mantenimiento preventivo UPS Riohacha VERTIV 6 KVA</t>
  </si>
  <si>
    <t>Mantenimiento preventivo UPS Valledupar LIEBERT 15 kVA</t>
  </si>
  <si>
    <t>Mantenimiento preventivo UPS Montería LIEBERT 40 kVA</t>
  </si>
  <si>
    <t>Mantenimiento preventivo UPS Arauca LIEBERT 3 kVA</t>
  </si>
  <si>
    <t>Mantenimiento preventivo UPS San Jose del Guaviare LIEBERT 3 kVA</t>
  </si>
  <si>
    <t>Mantenimiento preventivo UPS Inirida LIEBERT 3 kVA</t>
  </si>
  <si>
    <t>Mantenimiento preventivo UPS Yopal LIEBERT 3 kVA</t>
  </si>
  <si>
    <t>Mantenimiento preventivo UPS Mitu LIEBERT 3 kVA</t>
  </si>
  <si>
    <t>Mantenimiento preventivo UPS Leticia LIEBERT 3 kVA</t>
  </si>
  <si>
    <t>Adquisicion e instalacion de baterias para UPS de 10 KVA UPS Bucaramanga</t>
  </si>
  <si>
    <t>Adquisicion e instalacion de baterias para UPS de 6 KVA UPS Rioacha</t>
  </si>
  <si>
    <t>Adquisicion e instalacion de baterias para UPS de 3 KVA UPS Arauca</t>
  </si>
  <si>
    <t>Adquisicion e instalacion de baterias para UPS de 3 KVA UPS San jose del guaviare</t>
  </si>
  <si>
    <t>Adquisicion e instalacion de baterias para UPS de 3 KVA UPS Inirida</t>
  </si>
  <si>
    <t>Adquisicion e instalacion de baterias para UPS de 3 KVA UPS Yopal</t>
  </si>
  <si>
    <t>Adquisicion e instalacion de baterias para UPS de 3 KVA UPS Mitu</t>
  </si>
  <si>
    <t>Mantenimiento preventivo Aire Acondicionado Bogotá DANE CENTRAL LIEBERT 5 TR</t>
  </si>
  <si>
    <t>Mantenimiento preventivo Aire Acondicionado Bogotá DANE CENTRAL LIEBERT 10 TR</t>
  </si>
  <si>
    <t>Mantenimiento preventivo Aire Acondicionado Bogotá DANE CENTRAL VERTIV 10 TR</t>
  </si>
  <si>
    <t>Adquisicion e instalacion Correa de transmisión Ref. A-41 Aire Aconcicionado Bogota Dane Cental LIEBERT 5 TR</t>
  </si>
  <si>
    <t>Adquisicion e instalacion Pantalla/Display iCOM Aire Aconcicionado Bogota Dane Cental LIEBERT 10 TR</t>
  </si>
  <si>
    <t>TOTAL MANTENIMIENTO PREVENTIVO</t>
  </si>
  <si>
    <t>MANTENIMIENTO CORRECTIVO - BOLSA DE REPUESTOS LOTE 1 ($ incluido IVA)(No modificar este valor)</t>
  </si>
  <si>
    <t>TOTAL LOTE 1</t>
  </si>
  <si>
    <t>LOTE 2 UPSS Y AIRES MULTIMARCA - MANTENIMIENTO PREVENTIVO Y CORRECTIVO DE ACUERDO CON EL ANEXO 1 FICHA TÉCNICA – CONDICIONES CARACTERÍSTICAS TÉCNICAS</t>
  </si>
  <si>
    <t>CO1.PCCNTR.8460365</t>
  </si>
  <si>
    <t>Mantenimiento preventivo UPS  Bogotá CASA LA ESMERALDA TRIPP-LITE 20KVA</t>
  </si>
  <si>
    <t>Mantenimiento preventivo UPS Bogotá -Álamos TRIPP-LITE 60kVA</t>
  </si>
  <si>
    <t>Mantenimiento preventivo UPS Bogotá Álamos TRIPP-LITE 60kVA</t>
  </si>
  <si>
    <t>Mantenimiento preventivo UPS Medellin TITAN 10 KVA</t>
  </si>
  <si>
    <t>Mantenimiento preventivo UPS Quibdó POWERCOM 6  kva</t>
  </si>
  <si>
    <t>Mantenimiento preventivo UPS Puerto Carreño TRIPP-LITE 10kVA</t>
  </si>
  <si>
    <t>Mantenimiento preventivo UPS Cucuta POWERCOM 12 Kva</t>
  </si>
  <si>
    <t>Mantenimiento preventivo UPS Manizales TRIPPLITE 10 KVA</t>
  </si>
  <si>
    <t>Mantenimiento preventivo UPS Pereira TRIPP-LITE 20 Kva</t>
  </si>
  <si>
    <t>Mantenimiento preventivo UPS Armenia TRIPP-LITE 10 Kva</t>
  </si>
  <si>
    <t>Mantenimiento preventivo UPS Popayán TRIPP-LITE 10kva</t>
  </si>
  <si>
    <t>Mantenimiento preventivo UPS Pasto TRIPP-LITE 10 KVA</t>
  </si>
  <si>
    <t>Mantenimiento preventivo UPS San Andrés Titan 6kva</t>
  </si>
  <si>
    <t>Adquisicion e instalacion de baterias UPS Bogotá -Álamos TRIPP-LITE 60kVA</t>
  </si>
  <si>
    <t>Adquisicion e instalacion de baterias UPS Medellin TITAN 10 KVA</t>
  </si>
  <si>
    <t>Adquisicion e instalacion de baterias UPS Cucuta ENERGEX 10 Kva</t>
  </si>
  <si>
    <t>Adquisicion e instalacion de baterias UPS Pasto TRIPP-LITE 10 KVA</t>
  </si>
  <si>
    <t>Mantenimiento preventivo Aire Acondicionado Bogotá DANE CENTRAL BLUELINE 5 TR</t>
  </si>
  <si>
    <t>Mantenimiento preventivo Aire Acondicionado Bogotá DANE CENTRAL YORK 36000 BTU</t>
  </si>
  <si>
    <t xml:space="preserve">Intervencion Condensadoras aires acondicionados YORK - DANE CENTRAL </t>
  </si>
  <si>
    <t>MANTENIMIENTO CORRECTIVO - BOLSA DE REPUESTOS LOTE 2 ($ incluido IVA)(No modificar este valor)</t>
  </si>
  <si>
    <t>GLOBAL</t>
  </si>
  <si>
    <t>TOTAL LOTE 2</t>
  </si>
  <si>
    <t xml:space="preserve">TOTAL </t>
  </si>
  <si>
    <r>
      <rPr>
        <b/>
        <sz val="11"/>
        <color rgb="FF000000"/>
        <rFont val="Segoe UI"/>
      </rPr>
      <t xml:space="preserve">Observaciones: 
1. </t>
    </r>
    <r>
      <rPr>
        <sz val="11"/>
        <color rgb="FF000000"/>
        <rFont val="Segoe UI"/>
      </rPr>
      <t xml:space="preserve">Se dio inicio al proceso de estudio de mercado  recibieron siete cotizaciones de las cuales 4 se presentaron de forma parcial para el proceso de UPS, y todas se presentaron para los dos lotes cuales cotizaron para los dos lotes
2, Se concidero en el proceso de analisis como historico los valores del contrato del año inmediatamente anterior generando el aumento del IPC 
2. Se evaluaron las cotizaciones identificando valores atípicosy adicionalmente se calculó la desviación estándar considerando todas las cotizaciones y excluyendo los valores atípicos, se concluye que con todas las cotizaciones la desviación estándar aumenta y disminuye al excluirlos.  
3. Respecto al valor relacionado con la bolsa de repuesto para los mantenimientos, en el estudio previo se relaciona el valor asignado de acuerdo con el incremento del IPC 
El presupuesto oficial estimado es de DOSCIENTOS CINCUENTA Y TRES MILLONES CUATROCIENTOS NOVENTA Y TRES MIL CIENTO CINCUENTA Y TRES PESOS  ($ 253.596.088) M/CTE, INCLUIDO IVA
</t>
    </r>
  </si>
  <si>
    <t>Elaborado: Sandra Paola Murcia Murcia 
Revisado: Nelson Mauricio Parada Botia – Asesor Oficina Sistemas  
Aprobado: Luis Martín Barrera Pino</t>
  </si>
  <si>
    <t>LOTE 1</t>
  </si>
  <si>
    <t>MANTENIMIENTO PREVENTIVO</t>
  </si>
  <si>
    <t>MANTENIMIENTO CORRECTIVO</t>
  </si>
  <si>
    <t>LOTE 2</t>
  </si>
  <si>
    <t>CDP</t>
  </si>
  <si>
    <t>FALTANTE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</si>
</sst>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0.00_);[Red]\(&quot;$&quot;#,##0.00\)"/>
    <numFmt numFmtId="164" formatCode="&quot;$&quot;\ #,##0;[Red]\-&quot;$&quot;\ #,##0"/>
    <numFmt numFmtId="165" formatCode="&quot;$&quot;\ #,##0.00;[Red]\-&quot;$&quot;\ #,##0.00"/>
    <numFmt numFmtId="166" formatCode="_-&quot;$&quot;\ * #,##0.00_-;\-&quot;$&quot;\ * #,##0.00_-;_-&quot;$&quot;\ * &quot;-&quot;??_-;_-@_-"/>
    <numFmt numFmtId="167" formatCode="_-* #,##0.00\ &quot;€&quot;_-;\-* #,##0.00\ &quot;€&quot;_-;_-* &quot;-&quot;??\ &quot;€&quot;_-;_-@_-"/>
    <numFmt numFmtId="168" formatCode="_([$$-409]* #,##0.00_);_([$$-409]* \(#,##0.00\);_([$$-409]* &quot;-&quot;??_);_(@_)"/>
    <numFmt numFmtId="169" formatCode="_-&quot;$&quot;\ * #,##0.000_-;\-&quot;$&quot;\ * #,##0.000_-;_-&quot;$&quot;\ * &quot;-&quot;??_-;_-@_-"/>
    <numFmt numFmtId="170" formatCode="_-&quot;$&quot;* #,##0.00_-;\-&quot;$&quot;* #,##0.00_-;_-&quot;$&quot;* &quot;-&quot;??_-;_-@_-"/>
    <numFmt numFmtId="171" formatCode="dd/mm/yyyy;@"/>
    <numFmt numFmtId="172" formatCode="&quot;$&quot;#,##0.00"/>
  </numFmts>
  <fonts count="18">
    <font>
      <sz val="11"/>
      <color theme="1"/>
      <name val="Calibri"/>
      <family val="2"/>
      <scheme val="minor"/>
    </font>
    <font>
      <sz val="11"/>
      <color theme="1"/>
      <name val="Calibri"/>
      <family val="2"/>
      <scheme val="minor"/>
    </font>
    <font>
      <sz val="10"/>
      <color theme="1"/>
      <name val="Segoe UI"/>
      <family val="2"/>
    </font>
    <font>
      <b/>
      <sz val="8"/>
      <color theme="1"/>
      <name val="Segoe UI"/>
      <family val="2"/>
    </font>
    <font>
      <sz val="11"/>
      <color theme="1"/>
      <name val="Segoe UI"/>
      <family val="2"/>
    </font>
    <font>
      <b/>
      <sz val="11"/>
      <color theme="1"/>
      <name val="Segoe UI"/>
      <family val="2"/>
    </font>
    <font>
      <sz val="10"/>
      <name val="Segoe UI"/>
      <family val="2"/>
    </font>
    <font>
      <b/>
      <sz val="10"/>
      <color theme="1"/>
      <name val="Segoe UI"/>
      <family val="2"/>
    </font>
    <font>
      <sz val="10"/>
      <name val="Arial"/>
      <family val="2"/>
    </font>
    <font>
      <b/>
      <sz val="10"/>
      <color rgb="FF000000"/>
      <name val="Segoe UI"/>
      <family val="2"/>
    </font>
    <font>
      <b/>
      <sz val="10"/>
      <name val="Segoe UI"/>
      <family val="2"/>
    </font>
    <font>
      <sz val="10"/>
      <name val="Arial"/>
    </font>
    <font>
      <sz val="10"/>
      <color rgb="FF000000"/>
      <name val="Segoe UI"/>
      <family val="2"/>
    </font>
    <font>
      <sz val="8"/>
      <color theme="1"/>
      <name val="Segoe UI"/>
    </font>
    <font>
      <sz val="10"/>
      <color theme="1"/>
      <name val="Arial"/>
      <family val="2"/>
    </font>
    <font>
      <sz val="8"/>
      <color rgb="FF000000"/>
      <name val="Arial"/>
      <family val="2"/>
      <charset val="1"/>
    </font>
    <font>
      <b/>
      <sz val="11"/>
      <color rgb="FF000000"/>
      <name val="Segoe UI"/>
    </font>
    <font>
      <sz val="11"/>
      <color rgb="FF000000"/>
      <name val="Segoe UI"/>
    </font>
  </fonts>
  <fills count="11">
    <fill>
      <patternFill patternType="none"/>
    </fill>
    <fill>
      <patternFill patternType="gray125"/>
    </fill>
    <fill>
      <patternFill patternType="solid">
        <fgColor theme="4"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FFFADD"/>
        <bgColor indexed="64"/>
      </patternFill>
    </fill>
    <fill>
      <patternFill patternType="solid">
        <fgColor rgb="FFD9D9D9"/>
        <bgColor rgb="FF000000"/>
      </patternFill>
    </fill>
    <fill>
      <patternFill patternType="solid">
        <fgColor theme="0" tint="-0.3499862666707357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rgb="FF000000"/>
      </top>
      <bottom/>
      <diagonal/>
    </border>
    <border>
      <left/>
      <right style="thin">
        <color rgb="FF000000"/>
      </right>
      <top style="thin">
        <color rgb="FF000000"/>
      </top>
      <bottom/>
      <diagonal/>
    </border>
    <border>
      <left style="medium">
        <color auto="1"/>
      </left>
      <right style="thin">
        <color auto="1"/>
      </right>
      <top style="thin">
        <color auto="1"/>
      </top>
      <bottom style="thin">
        <color auto="1"/>
      </bottom>
      <diagonal/>
    </border>
    <border>
      <left style="medium">
        <color auto="1"/>
      </left>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4">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0" fontId="11" fillId="0" borderId="0"/>
    <xf numFmtId="0" fontId="1" fillId="0" borderId="0"/>
    <xf numFmtId="0" fontId="1" fillId="0" borderId="0"/>
    <xf numFmtId="0" fontId="1" fillId="0" borderId="0"/>
    <xf numFmtId="167" fontId="1" fillId="0" borderId="0" applyFont="0" applyFill="0" applyBorder="0" applyAlignment="0" applyProtection="0"/>
    <xf numFmtId="0" fontId="8" fillId="0" borderId="0"/>
    <xf numFmtId="0" fontId="1" fillId="0" borderId="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cellStyleXfs>
  <cellXfs count="114">
    <xf numFmtId="0" fontId="0" fillId="0" borderId="0" xfId="0"/>
    <xf numFmtId="0" fontId="2" fillId="0" borderId="0" xfId="0" applyFont="1"/>
    <xf numFmtId="166" fontId="2" fillId="0" borderId="0" xfId="1" applyFont="1" applyFill="1"/>
    <xf numFmtId="168" fontId="2" fillId="0" borderId="0" xfId="1" applyNumberFormat="1" applyFont="1" applyFill="1"/>
    <xf numFmtId="0" fontId="2" fillId="0" borderId="0" xfId="0" applyFont="1" applyAlignment="1">
      <alignment horizontal="center" vertical="center"/>
    </xf>
    <xf numFmtId="168" fontId="2" fillId="0" borderId="0" xfId="0" applyNumberFormat="1" applyFont="1"/>
    <xf numFmtId="168" fontId="3" fillId="0" borderId="0" xfId="0" applyNumberFormat="1" applyFont="1" applyAlignment="1">
      <alignment vertical="top" wrapText="1"/>
    </xf>
    <xf numFmtId="0" fontId="3" fillId="0" borderId="0" xfId="0" applyFont="1" applyAlignment="1">
      <alignment vertical="top" wrapText="1"/>
    </xf>
    <xf numFmtId="168" fontId="4" fillId="0" borderId="0" xfId="0" applyNumberFormat="1" applyFont="1"/>
    <xf numFmtId="0" fontId="4" fillId="0" borderId="0" xfId="0" applyFont="1"/>
    <xf numFmtId="168" fontId="5" fillId="0" borderId="0" xfId="0" applyNumberFormat="1" applyFont="1" applyAlignment="1">
      <alignment vertical="top"/>
    </xf>
    <xf numFmtId="0" fontId="5" fillId="0" borderId="0" xfId="0" applyFont="1" applyAlignment="1">
      <alignment vertical="top"/>
    </xf>
    <xf numFmtId="10" fontId="5" fillId="0" borderId="0" xfId="2" applyNumberFormat="1" applyFont="1" applyAlignment="1">
      <alignment vertical="top"/>
    </xf>
    <xf numFmtId="168" fontId="5" fillId="0" borderId="0" xfId="2" applyNumberFormat="1" applyFont="1" applyAlignment="1">
      <alignment vertical="top"/>
    </xf>
    <xf numFmtId="0" fontId="5" fillId="0" borderId="0" xfId="0" applyFont="1" applyAlignment="1">
      <alignment vertical="top" wrapText="1"/>
    </xf>
    <xf numFmtId="0" fontId="2" fillId="0" borderId="1" xfId="0" applyFont="1" applyBorder="1"/>
    <xf numFmtId="166" fontId="6" fillId="0" borderId="0" xfId="1" applyFont="1" applyFill="1" applyBorder="1" applyAlignment="1" applyProtection="1">
      <alignment horizontal="center" vertical="center"/>
      <protection locked="0"/>
    </xf>
    <xf numFmtId="164" fontId="2" fillId="0" borderId="1" xfId="0" applyNumberFormat="1" applyFont="1" applyBorder="1"/>
    <xf numFmtId="0" fontId="2" fillId="0" borderId="0" xfId="0" applyFont="1" applyAlignment="1">
      <alignment vertical="center" wrapText="1"/>
    </xf>
    <xf numFmtId="0" fontId="2" fillId="0" borderId="1" xfId="0" applyFont="1" applyBorder="1" applyAlignment="1">
      <alignment vertical="center" wrapText="1"/>
    </xf>
    <xf numFmtId="9" fontId="5" fillId="0" borderId="0" xfId="2" applyFont="1" applyAlignment="1">
      <alignment vertical="top"/>
    </xf>
    <xf numFmtId="0" fontId="2" fillId="0" borderId="1" xfId="0" applyFont="1" applyBorder="1" applyAlignment="1">
      <alignment horizontal="center" vertical="center"/>
    </xf>
    <xf numFmtId="0" fontId="7" fillId="0" borderId="1" xfId="0" applyFont="1" applyBorder="1" applyAlignment="1">
      <alignment horizontal="center"/>
    </xf>
    <xf numFmtId="0" fontId="7" fillId="0" borderId="1" xfId="0" applyFont="1" applyBorder="1" applyAlignment="1">
      <alignment horizontal="center" vertical="center"/>
    </xf>
    <xf numFmtId="169" fontId="2" fillId="0" borderId="2" xfId="1" applyNumberFormat="1" applyFont="1" applyFill="1" applyBorder="1"/>
    <xf numFmtId="49" fontId="2" fillId="0" borderId="0" xfId="0" applyNumberFormat="1" applyFont="1" applyAlignment="1">
      <alignment horizontal="left" vertical="center"/>
    </xf>
    <xf numFmtId="3" fontId="2" fillId="0" borderId="0" xfId="0" applyNumberFormat="1" applyFont="1" applyAlignment="1">
      <alignment horizontal="center" vertical="center"/>
    </xf>
    <xf numFmtId="0" fontId="2" fillId="2" borderId="1" xfId="0" applyFont="1" applyFill="1" applyBorder="1"/>
    <xf numFmtId="170" fontId="7" fillId="2" borderId="1" xfId="0" applyNumberFormat="1" applyFont="1" applyFill="1" applyBorder="1"/>
    <xf numFmtId="0" fontId="2" fillId="3" borderId="1" xfId="0" applyFont="1" applyFill="1" applyBorder="1"/>
    <xf numFmtId="166" fontId="6" fillId="3" borderId="1" xfId="1" applyFont="1" applyFill="1" applyBorder="1" applyAlignment="1" applyProtection="1">
      <alignment horizontal="center" vertical="center"/>
      <protection locked="0"/>
    </xf>
    <xf numFmtId="169" fontId="2" fillId="0" borderId="0" xfId="1" applyNumberFormat="1" applyFont="1" applyFill="1" applyBorder="1"/>
    <xf numFmtId="0" fontId="6" fillId="0" borderId="1" xfId="0" applyFont="1" applyBorder="1" applyAlignment="1">
      <alignment horizontal="center" vertical="center" wrapText="1"/>
    </xf>
    <xf numFmtId="0" fontId="2" fillId="0" borderId="1" xfId="3" applyFont="1" applyBorder="1" applyAlignment="1">
      <alignment vertical="center" wrapText="1"/>
    </xf>
    <xf numFmtId="0" fontId="7" fillId="0" borderId="1" xfId="0" applyFont="1" applyBorder="1" applyAlignment="1">
      <alignment horizontal="center" vertical="center" wrapText="1"/>
    </xf>
    <xf numFmtId="168" fontId="7" fillId="0" borderId="1" xfId="1" applyNumberFormat="1" applyFont="1" applyFill="1" applyBorder="1" applyAlignment="1">
      <alignment horizontal="center" vertical="center" wrapText="1"/>
    </xf>
    <xf numFmtId="168" fontId="10" fillId="0" borderId="1" xfId="1" applyNumberFormat="1" applyFont="1" applyFill="1" applyBorder="1" applyAlignment="1">
      <alignment horizontal="center" vertical="top" wrapText="1"/>
    </xf>
    <xf numFmtId="166" fontId="10" fillId="0" borderId="1" xfId="1" applyFont="1" applyFill="1" applyBorder="1" applyAlignment="1">
      <alignment horizontal="center" vertical="top" wrapText="1"/>
    </xf>
    <xf numFmtId="166" fontId="7" fillId="0" borderId="1" xfId="1" applyFont="1" applyFill="1" applyBorder="1" applyAlignment="1">
      <alignment horizontal="center" vertical="center" wrapText="1"/>
    </xf>
    <xf numFmtId="171" fontId="10" fillId="0" borderId="1" xfId="1" applyNumberFormat="1" applyFont="1" applyFill="1" applyBorder="1" applyAlignment="1">
      <alignment horizontal="center" vertical="center" wrapText="1"/>
    </xf>
    <xf numFmtId="168" fontId="4" fillId="0" borderId="1" xfId="0" applyNumberFormat="1" applyFont="1" applyBorder="1" applyAlignment="1">
      <alignment vertical="center"/>
    </xf>
    <xf numFmtId="164" fontId="7" fillId="2" borderId="1" xfId="0" applyNumberFormat="1" applyFont="1" applyFill="1" applyBorder="1"/>
    <xf numFmtId="169" fontId="2" fillId="3" borderId="1" xfId="1" applyNumberFormat="1" applyFont="1" applyFill="1" applyBorder="1"/>
    <xf numFmtId="168" fontId="4" fillId="0" borderId="0" xfId="0" applyNumberFormat="1" applyFont="1" applyAlignment="1">
      <alignment vertical="top"/>
    </xf>
    <xf numFmtId="172" fontId="2" fillId="0" borderId="1" xfId="0" applyNumberFormat="1" applyFont="1" applyBorder="1"/>
    <xf numFmtId="165" fontId="2" fillId="0" borderId="1" xfId="0" applyNumberFormat="1" applyFont="1" applyBorder="1"/>
    <xf numFmtId="165" fontId="12" fillId="0" borderId="1" xfId="0" applyNumberFormat="1" applyFont="1" applyBorder="1" applyAlignment="1">
      <alignment horizontal="right" vertical="center" wrapText="1"/>
    </xf>
    <xf numFmtId="0" fontId="13" fillId="0" borderId="0" xfId="0" applyFont="1" applyAlignment="1">
      <alignment vertical="top" wrapText="1"/>
    </xf>
    <xf numFmtId="0" fontId="0" fillId="0" borderId="13" xfId="0" applyBorder="1" applyAlignment="1">
      <alignment vertical="center"/>
    </xf>
    <xf numFmtId="0" fontId="14" fillId="0" borderId="1" xfId="3" applyFont="1" applyBorder="1" applyAlignment="1">
      <alignment horizontal="center" vertical="center" wrapText="1"/>
    </xf>
    <xf numFmtId="0" fontId="0" fillId="0" borderId="13" xfId="0" applyBorder="1" applyAlignment="1">
      <alignment horizontal="center" vertical="center"/>
    </xf>
    <xf numFmtId="0" fontId="8" fillId="0" borderId="13" xfId="0" applyFont="1" applyBorder="1" applyAlignment="1">
      <alignment vertical="center"/>
    </xf>
    <xf numFmtId="0" fontId="8" fillId="0" borderId="14" xfId="0" applyFont="1" applyBorder="1" applyAlignment="1">
      <alignment vertical="center"/>
    </xf>
    <xf numFmtId="0" fontId="0" fillId="0" borderId="14" xfId="0" applyBorder="1" applyAlignment="1">
      <alignment vertical="center"/>
    </xf>
    <xf numFmtId="0" fontId="0" fillId="0" borderId="3" xfId="0" applyBorder="1" applyAlignment="1">
      <alignment horizontal="center" vertical="center"/>
    </xf>
    <xf numFmtId="165" fontId="12" fillId="2" borderId="15" xfId="0" applyNumberFormat="1" applyFont="1" applyFill="1" applyBorder="1" applyAlignment="1">
      <alignment horizontal="right" vertical="center" wrapText="1"/>
    </xf>
    <xf numFmtId="0" fontId="2" fillId="2" borderId="15" xfId="0" applyFont="1" applyFill="1" applyBorder="1"/>
    <xf numFmtId="165" fontId="7" fillId="2" borderId="15" xfId="0" applyNumberFormat="1" applyFont="1" applyFill="1" applyBorder="1"/>
    <xf numFmtId="168" fontId="7" fillId="3" borderId="1" xfId="0" applyNumberFormat="1" applyFont="1" applyFill="1" applyBorder="1"/>
    <xf numFmtId="164" fontId="2" fillId="0" borderId="1" xfId="0" applyNumberFormat="1" applyFont="1" applyBorder="1" applyAlignment="1">
      <alignment vertical="center"/>
    </xf>
    <xf numFmtId="172" fontId="2" fillId="0" borderId="1" xfId="0" applyNumberFormat="1" applyFont="1" applyBorder="1" applyAlignment="1">
      <alignment vertical="center"/>
    </xf>
    <xf numFmtId="172" fontId="6" fillId="0" borderId="1" xfId="0" applyNumberFormat="1" applyFont="1" applyBorder="1" applyAlignment="1">
      <alignment vertical="center"/>
    </xf>
    <xf numFmtId="0" fontId="0" fillId="0" borderId="1" xfId="0" applyBorder="1"/>
    <xf numFmtId="166" fontId="0" fillId="0" borderId="1" xfId="1" applyFont="1" applyBorder="1"/>
    <xf numFmtId="166" fontId="0" fillId="0" borderId="1" xfId="0" applyNumberFormat="1" applyBorder="1"/>
    <xf numFmtId="0" fontId="9" fillId="0" borderId="1" xfId="0" applyFont="1" applyBorder="1" applyAlignment="1">
      <alignment horizontal="left" vertical="center" wrapText="1"/>
    </xf>
    <xf numFmtId="166" fontId="10" fillId="0" borderId="6" xfId="1" applyFont="1" applyFill="1" applyBorder="1" applyAlignment="1">
      <alignment horizontal="center" vertical="center" wrapText="1"/>
    </xf>
    <xf numFmtId="166" fontId="10" fillId="0" borderId="0" xfId="1" applyFont="1" applyFill="1" applyBorder="1" applyAlignment="1">
      <alignment horizontal="center" vertical="center" wrapText="1"/>
    </xf>
    <xf numFmtId="0" fontId="2" fillId="0" borderId="1" xfId="0" applyFont="1" applyBorder="1" applyAlignment="1">
      <alignment horizontal="center"/>
    </xf>
    <xf numFmtId="165" fontId="0" fillId="0" borderId="1" xfId="1" applyNumberFormat="1" applyFont="1" applyBorder="1"/>
    <xf numFmtId="165" fontId="12" fillId="5" borderId="1" xfId="0" applyNumberFormat="1" applyFont="1" applyFill="1" applyBorder="1" applyAlignment="1">
      <alignment horizontal="right" vertical="center" wrapText="1"/>
    </xf>
    <xf numFmtId="165" fontId="12" fillId="6" borderId="1" xfId="0" applyNumberFormat="1" applyFont="1" applyFill="1" applyBorder="1" applyAlignment="1">
      <alignment horizontal="right" vertical="center" wrapText="1"/>
    </xf>
    <xf numFmtId="165" fontId="12" fillId="7" borderId="1" xfId="0" applyNumberFormat="1" applyFont="1" applyFill="1" applyBorder="1" applyAlignment="1">
      <alignment horizontal="right" vertical="center" wrapText="1"/>
    </xf>
    <xf numFmtId="165" fontId="2" fillId="0" borderId="1" xfId="0" applyNumberFormat="1" applyFont="1" applyBorder="1" applyAlignment="1">
      <alignment wrapText="1"/>
    </xf>
    <xf numFmtId="0" fontId="15" fillId="8" borderId="0" xfId="0" applyFont="1" applyFill="1" applyAlignment="1">
      <alignment wrapText="1"/>
    </xf>
    <xf numFmtId="172" fontId="0" fillId="0" borderId="0" xfId="0" applyNumberFormat="1"/>
    <xf numFmtId="10" fontId="0" fillId="0" borderId="0" xfId="0" applyNumberFormat="1"/>
    <xf numFmtId="168" fontId="12" fillId="5" borderId="1" xfId="0" applyNumberFormat="1" applyFont="1" applyFill="1" applyBorder="1" applyAlignment="1">
      <alignment horizontal="right" vertical="center" wrapText="1"/>
    </xf>
    <xf numFmtId="172" fontId="2" fillId="0" borderId="1" xfId="0" applyNumberFormat="1" applyFont="1" applyBorder="1" applyAlignment="1">
      <alignment wrapText="1"/>
    </xf>
    <xf numFmtId="0" fontId="12" fillId="0" borderId="15" xfId="0" applyFont="1" applyBorder="1" applyAlignment="1">
      <alignment wrapText="1"/>
    </xf>
    <xf numFmtId="8" fontId="12" fillId="0" borderId="1" xfId="0" applyNumberFormat="1" applyFont="1" applyBorder="1" applyAlignment="1">
      <alignment wrapText="1"/>
    </xf>
    <xf numFmtId="8" fontId="12" fillId="0" borderId="15" xfId="0" applyNumberFormat="1" applyFont="1" applyBorder="1" applyAlignment="1">
      <alignment wrapText="1"/>
    </xf>
    <xf numFmtId="8" fontId="12" fillId="9" borderId="1" xfId="0" applyNumberFormat="1" applyFont="1" applyFill="1" applyBorder="1" applyAlignment="1">
      <alignment wrapText="1"/>
    </xf>
    <xf numFmtId="8" fontId="12" fillId="9" borderId="15" xfId="0" applyNumberFormat="1" applyFont="1" applyFill="1" applyBorder="1" applyAlignment="1">
      <alignment wrapText="1"/>
    </xf>
    <xf numFmtId="165" fontId="12" fillId="10" borderId="1" xfId="0" applyNumberFormat="1" applyFont="1" applyFill="1" applyBorder="1" applyAlignment="1">
      <alignment horizontal="right" vertical="center" wrapText="1"/>
    </xf>
    <xf numFmtId="0" fontId="10" fillId="0" borderId="1" xfId="0" applyFont="1" applyBorder="1" applyAlignment="1">
      <alignment horizontal="center" vertical="center"/>
    </xf>
    <xf numFmtId="0" fontId="7" fillId="2" borderId="1" xfId="0" applyFont="1" applyFill="1" applyBorder="1" applyAlignment="1">
      <alignment horizontal="center" vertical="center"/>
    </xf>
    <xf numFmtId="49" fontId="7" fillId="3" borderId="1" xfId="0" applyNumberFormat="1" applyFont="1" applyFill="1" applyBorder="1" applyAlignment="1">
      <alignment horizontal="center" vertical="center"/>
    </xf>
    <xf numFmtId="0" fontId="16" fillId="4" borderId="0" xfId="0" applyFont="1" applyFill="1" applyAlignment="1">
      <alignment horizontal="left" vertical="top" wrapText="1"/>
    </xf>
    <xf numFmtId="0" fontId="5" fillId="4" borderId="0" xfId="0" applyFont="1" applyFill="1" applyAlignment="1">
      <alignment horizontal="left" vertical="top" wrapText="1"/>
    </xf>
    <xf numFmtId="0" fontId="7" fillId="0" borderId="1" xfId="0" applyFont="1" applyBorder="1" applyAlignment="1">
      <alignment horizontal="center" vertical="center" wrapText="1"/>
    </xf>
    <xf numFmtId="0" fontId="9" fillId="0" borderId="1" xfId="0" applyFont="1" applyBorder="1" applyAlignment="1">
      <alignment horizontal="left" vertical="center" wrapText="1"/>
    </xf>
    <xf numFmtId="166" fontId="7" fillId="0" borderId="1" xfId="1" applyFont="1" applyFill="1" applyBorder="1" applyAlignment="1">
      <alignment horizontal="center" vertical="center" wrapText="1"/>
    </xf>
    <xf numFmtId="171" fontId="10" fillId="0" borderId="16" xfId="1" applyNumberFormat="1" applyFont="1" applyFill="1" applyBorder="1" applyAlignment="1">
      <alignment horizontal="center" vertical="center" wrapText="1"/>
    </xf>
    <xf numFmtId="171" fontId="10" fillId="0" borderId="15" xfId="1" applyNumberFormat="1" applyFont="1" applyFill="1" applyBorder="1" applyAlignment="1">
      <alignment horizontal="center" vertical="center" wrapText="1"/>
    </xf>
    <xf numFmtId="0" fontId="7" fillId="2" borderId="1" xfId="0" applyFont="1" applyFill="1" applyBorder="1" applyAlignment="1">
      <alignment horizontal="center"/>
    </xf>
    <xf numFmtId="166" fontId="10" fillId="0" borderId="8" xfId="1" applyFont="1" applyFill="1" applyBorder="1" applyAlignment="1">
      <alignment horizontal="center" vertical="center" wrapText="1"/>
    </xf>
    <xf numFmtId="166" fontId="10" fillId="0" borderId="12" xfId="1" applyFont="1" applyFill="1" applyBorder="1" applyAlignment="1">
      <alignment horizontal="center" vertical="center" wrapText="1"/>
    </xf>
    <xf numFmtId="166" fontId="10" fillId="0" borderId="5" xfId="1" applyFont="1" applyFill="1" applyBorder="1" applyAlignment="1">
      <alignment horizontal="center" vertical="center" wrapText="1"/>
    </xf>
    <xf numFmtId="166" fontId="10" fillId="0" borderId="7" xfId="1" applyFont="1" applyFill="1" applyBorder="1" applyAlignment="1">
      <alignment horizontal="center" vertical="center" wrapText="1"/>
    </xf>
    <xf numFmtId="166" fontId="10" fillId="0" borderId="11" xfId="1" applyFont="1" applyFill="1" applyBorder="1" applyAlignment="1">
      <alignment horizontal="center" vertical="center" wrapText="1"/>
    </xf>
    <xf numFmtId="166" fontId="10" fillId="0" borderId="6" xfId="1" applyFont="1" applyFill="1" applyBorder="1" applyAlignment="1">
      <alignment horizontal="center" vertical="center" wrapText="1"/>
    </xf>
    <xf numFmtId="166" fontId="10" fillId="0" borderId="4" xfId="1" applyFont="1" applyFill="1" applyBorder="1" applyAlignment="1">
      <alignment horizontal="center" vertical="center" wrapText="1"/>
    </xf>
    <xf numFmtId="166" fontId="10" fillId="0" borderId="3" xfId="1" applyFont="1" applyFill="1" applyBorder="1" applyAlignment="1">
      <alignment horizontal="center" vertical="center" wrapText="1"/>
    </xf>
    <xf numFmtId="166" fontId="10" fillId="0" borderId="9" xfId="1" applyFont="1" applyFill="1" applyBorder="1" applyAlignment="1">
      <alignment horizontal="center" vertical="center" wrapText="1"/>
    </xf>
    <xf numFmtId="166" fontId="10" fillId="0" borderId="10" xfId="1"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172" fontId="2" fillId="0" borderId="0" xfId="0" applyNumberFormat="1" applyFont="1"/>
  </cellXfs>
  <cellStyles count="14">
    <cellStyle name="Moneda" xfId="1" builtinId="4"/>
    <cellStyle name="Moneda 13" xfId="12" xr:uid="{00000000-0005-0000-0000-000001000000}"/>
    <cellStyle name="Moneda 2" xfId="8" xr:uid="{00000000-0005-0000-0000-000002000000}"/>
    <cellStyle name="Moneda 3" xfId="11" xr:uid="{00000000-0005-0000-0000-000003000000}"/>
    <cellStyle name="Moneda 4" xfId="13" xr:uid="{00000000-0005-0000-0000-000004000000}"/>
    <cellStyle name="Normal" xfId="0" builtinId="0"/>
    <cellStyle name="Normal 2" xfId="5" xr:uid="{00000000-0005-0000-0000-000006000000}"/>
    <cellStyle name="Normal 2 2" xfId="7" xr:uid="{00000000-0005-0000-0000-000007000000}"/>
    <cellStyle name="Normal 2 3" xfId="10" xr:uid="{00000000-0005-0000-0000-000008000000}"/>
    <cellStyle name="Normal 2 4" xfId="3" xr:uid="{00000000-0005-0000-0000-000009000000}"/>
    <cellStyle name="Normal 3" xfId="6" xr:uid="{00000000-0005-0000-0000-00000A000000}"/>
    <cellStyle name="Normal 4" xfId="9" xr:uid="{00000000-0005-0000-0000-00000B000000}"/>
    <cellStyle name="Normal 5" xfId="4" xr:uid="{00000000-0005-0000-0000-00000C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1247775</xdr:colOff>
      <xdr:row>1</xdr:row>
      <xdr:rowOff>38100</xdr:rowOff>
    </xdr:from>
    <xdr:ext cx="2000250" cy="621366"/>
    <xdr:pic>
      <xdr:nvPicPr>
        <xdr:cNvPr id="2" name="Imagen 1">
          <a:extLst>
            <a:ext uri="{FF2B5EF4-FFF2-40B4-BE49-F238E27FC236}">
              <a16:creationId xmlns:a16="http://schemas.microsoft.com/office/drawing/2014/main" id="{BD40811A-05EB-4F9E-A501-CF178BF4CC66}"/>
            </a:ext>
          </a:extLst>
        </xdr:cNvPr>
        <xdr:cNvPicPr>
          <a:picLocks noChangeAspect="1"/>
        </xdr:cNvPicPr>
      </xdr:nvPicPr>
      <xdr:blipFill>
        <a:blip xmlns:r="http://schemas.openxmlformats.org/officeDocument/2006/relationships" r:embed="rId1"/>
        <a:stretch>
          <a:fillRect/>
        </a:stretch>
      </xdr:blipFill>
      <xdr:spPr>
        <a:xfrm>
          <a:off x="1771650" y="219075"/>
          <a:ext cx="2000250" cy="621366"/>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S81"/>
  <sheetViews>
    <sheetView showGridLines="0" tabSelected="1" topLeftCell="D14" zoomScale="70" zoomScaleNormal="70" zoomScaleSheetLayoutView="100" workbookViewId="0">
      <selection activeCell="M27" sqref="M27"/>
    </sheetView>
  </sheetViews>
  <sheetFormatPr defaultColWidth="11.42578125" defaultRowHeight="15" customHeight="1"/>
  <cols>
    <col min="1" max="1" width="7.85546875" style="1" customWidth="1"/>
    <col min="2" max="2" width="85" style="1" customWidth="1"/>
    <col min="3" max="3" width="11.42578125" style="4" customWidth="1"/>
    <col min="4" max="4" width="12.85546875" style="4" customWidth="1"/>
    <col min="5" max="5" width="23.7109375" style="4" customWidth="1"/>
    <col min="6" max="6" width="22.7109375" style="4" customWidth="1"/>
    <col min="7" max="8" width="17.85546875" style="4" customWidth="1"/>
    <col min="9" max="9" width="22.28515625" style="4" customWidth="1"/>
    <col min="10" max="10" width="20.5703125" style="3" customWidth="1"/>
    <col min="11" max="11" width="26.140625" style="2" customWidth="1"/>
    <col min="12" max="12" width="25.28515625" style="3" customWidth="1"/>
    <col min="13" max="13" width="24.7109375" style="1" customWidth="1"/>
    <col min="14" max="14" width="18" style="1" customWidth="1"/>
    <col min="15" max="15" width="21.140625" style="1" customWidth="1"/>
    <col min="16" max="16" width="20.7109375" style="1" customWidth="1"/>
    <col min="17" max="17" width="21.85546875" style="1" customWidth="1"/>
    <col min="18" max="18" width="9.140625" style="1"/>
    <col min="19" max="16384" width="11.42578125" style="1"/>
  </cols>
  <sheetData>
    <row r="2" spans="1:17" s="18" customFormat="1" ht="26.1" customHeight="1">
      <c r="A2" s="96"/>
      <c r="B2" s="97"/>
      <c r="C2" s="96" t="s">
        <v>0</v>
      </c>
      <c r="D2" s="100"/>
      <c r="E2" s="100"/>
      <c r="F2" s="100"/>
      <c r="G2" s="100"/>
      <c r="H2" s="100"/>
      <c r="I2" s="100"/>
      <c r="J2" s="100"/>
      <c r="K2" s="100"/>
      <c r="L2" s="67"/>
      <c r="M2" s="102"/>
      <c r="N2" s="102"/>
      <c r="O2" s="103"/>
    </row>
    <row r="3" spans="1:17" s="18" customFormat="1" ht="26.1" customHeight="1">
      <c r="A3" s="98"/>
      <c r="B3" s="99"/>
      <c r="C3" s="98"/>
      <c r="D3" s="101"/>
      <c r="E3" s="101"/>
      <c r="F3" s="101"/>
      <c r="G3" s="101"/>
      <c r="H3" s="101"/>
      <c r="I3" s="101"/>
      <c r="J3" s="101"/>
      <c r="K3" s="101"/>
      <c r="L3" s="66"/>
      <c r="M3" s="104"/>
      <c r="N3" s="104"/>
      <c r="O3" s="105"/>
    </row>
    <row r="4" spans="1:17" s="18" customFormat="1" ht="51.95" customHeight="1">
      <c r="A4" s="106" t="s">
        <v>1</v>
      </c>
      <c r="B4" s="107"/>
      <c r="C4" s="108" t="s">
        <v>2</v>
      </c>
      <c r="D4" s="109"/>
      <c r="E4" s="109"/>
      <c r="F4" s="109"/>
      <c r="G4" s="109"/>
      <c r="H4" s="109"/>
      <c r="I4" s="109"/>
      <c r="J4" s="109"/>
      <c r="K4" s="109"/>
      <c r="L4" s="109"/>
      <c r="M4" s="109"/>
      <c r="N4" s="109"/>
      <c r="O4" s="110"/>
    </row>
    <row r="5" spans="1:17" s="18" customFormat="1" ht="14.25" customHeight="1">
      <c r="A5" s="90" t="s">
        <v>3</v>
      </c>
      <c r="B5" s="90" t="s">
        <v>4</v>
      </c>
      <c r="C5" s="90" t="s">
        <v>5</v>
      </c>
      <c r="D5" s="90" t="s">
        <v>6</v>
      </c>
      <c r="E5" s="37" t="s">
        <v>7</v>
      </c>
      <c r="F5" s="36" t="s">
        <v>8</v>
      </c>
      <c r="G5" s="36" t="s">
        <v>9</v>
      </c>
      <c r="H5" s="36" t="s">
        <v>10</v>
      </c>
      <c r="I5" s="34" t="s">
        <v>11</v>
      </c>
      <c r="J5" s="36" t="s">
        <v>12</v>
      </c>
      <c r="K5" s="36" t="s">
        <v>13</v>
      </c>
      <c r="L5" s="93" t="s">
        <v>14</v>
      </c>
      <c r="M5" s="92" t="s">
        <v>15</v>
      </c>
      <c r="N5" s="92" t="s">
        <v>16</v>
      </c>
      <c r="O5" s="90" t="s">
        <v>17</v>
      </c>
      <c r="P5" s="90" t="s">
        <v>18</v>
      </c>
      <c r="Q5" s="90" t="s">
        <v>19</v>
      </c>
    </row>
    <row r="6" spans="1:17" s="18" customFormat="1" ht="14.25">
      <c r="A6" s="90"/>
      <c r="B6" s="90"/>
      <c r="C6" s="90"/>
      <c r="D6" s="90"/>
      <c r="E6" s="39">
        <v>46077</v>
      </c>
      <c r="F6" s="39" t="s">
        <v>20</v>
      </c>
      <c r="G6" s="39">
        <v>46077</v>
      </c>
      <c r="H6" s="39">
        <v>46086</v>
      </c>
      <c r="I6" s="39">
        <v>46097</v>
      </c>
      <c r="J6" s="39">
        <v>46097</v>
      </c>
      <c r="K6" s="39" t="s">
        <v>21</v>
      </c>
      <c r="L6" s="94"/>
      <c r="M6" s="92"/>
      <c r="N6" s="92"/>
      <c r="O6" s="90"/>
      <c r="P6" s="90"/>
      <c r="Q6" s="90"/>
    </row>
    <row r="7" spans="1:17" s="18" customFormat="1" ht="32.25" customHeight="1">
      <c r="A7" s="90"/>
      <c r="B7" s="90"/>
      <c r="C7" s="90"/>
      <c r="D7" s="90"/>
      <c r="E7" s="38" t="s">
        <v>22</v>
      </c>
      <c r="F7" s="35" t="s">
        <v>22</v>
      </c>
      <c r="G7" s="35" t="s">
        <v>22</v>
      </c>
      <c r="H7" s="35" t="s">
        <v>22</v>
      </c>
      <c r="I7" s="38" t="s">
        <v>22</v>
      </c>
      <c r="J7" s="38" t="s">
        <v>22</v>
      </c>
      <c r="K7" s="35" t="s">
        <v>22</v>
      </c>
      <c r="L7" s="35" t="s">
        <v>23</v>
      </c>
      <c r="M7" s="92"/>
      <c r="N7" s="92"/>
      <c r="O7" s="90"/>
      <c r="P7" s="90"/>
      <c r="Q7" s="90"/>
    </row>
    <row r="8" spans="1:17" s="18" customFormat="1" ht="32.25" customHeight="1">
      <c r="A8" s="21">
        <v>1</v>
      </c>
      <c r="B8" s="91" t="s">
        <v>24</v>
      </c>
      <c r="C8" s="91"/>
      <c r="D8" s="91"/>
      <c r="E8" s="91"/>
      <c r="F8" s="91"/>
      <c r="G8" s="91"/>
      <c r="H8" s="91"/>
      <c r="I8" s="91"/>
      <c r="J8" s="91"/>
      <c r="K8" s="91"/>
      <c r="L8" s="65"/>
      <c r="M8" s="19"/>
      <c r="N8" s="19"/>
      <c r="O8" s="19"/>
      <c r="P8" s="19"/>
      <c r="Q8" s="19"/>
    </row>
    <row r="9" spans="1:17">
      <c r="A9" s="21">
        <v>1</v>
      </c>
      <c r="B9" s="48" t="s">
        <v>25</v>
      </c>
      <c r="C9" s="49" t="s">
        <v>26</v>
      </c>
      <c r="D9" s="50">
        <v>2</v>
      </c>
      <c r="E9" s="72">
        <v>1071000</v>
      </c>
      <c r="F9" s="46">
        <v>4879000</v>
      </c>
      <c r="G9" s="70">
        <v>19436667</v>
      </c>
      <c r="H9" s="70">
        <v>11729822</v>
      </c>
      <c r="I9" s="46">
        <v>3975278</v>
      </c>
      <c r="J9" s="46">
        <v>4110326</v>
      </c>
      <c r="K9" s="72">
        <v>1532720</v>
      </c>
      <c r="L9" s="46">
        <v>2988497.1436800002</v>
      </c>
      <c r="M9" s="73">
        <f>AVERAGE(I9,,J9,F9,L9)</f>
        <v>3190620.2287360001</v>
      </c>
      <c r="N9" s="17">
        <f>ROUND(M9,0)</f>
        <v>3190620</v>
      </c>
      <c r="O9" s="17">
        <f>N9*D9</f>
        <v>6381240</v>
      </c>
      <c r="P9" s="44">
        <f t="shared" ref="P9:P18" si="0">STDEVA(I9:L9)</f>
        <v>1189534.3546333911</v>
      </c>
      <c r="Q9" s="44">
        <f>STDEVA(I9,J9,F9,L9)</f>
        <v>776318.69663226942</v>
      </c>
    </row>
    <row r="10" spans="1:17" ht="16.5" customHeight="1">
      <c r="A10" s="21">
        <v>2</v>
      </c>
      <c r="B10" s="48" t="s">
        <v>27</v>
      </c>
      <c r="C10" s="49" t="s">
        <v>26</v>
      </c>
      <c r="D10" s="50">
        <v>1</v>
      </c>
      <c r="E10" s="46">
        <v>440300</v>
      </c>
      <c r="F10" s="72">
        <v>297500</v>
      </c>
      <c r="G10" s="70">
        <v>1543544</v>
      </c>
      <c r="H10" s="46">
        <v>790920</v>
      </c>
      <c r="I10" s="46">
        <v>700001</v>
      </c>
      <c r="J10" s="46">
        <v>1067734</v>
      </c>
      <c r="K10" s="46">
        <v>314160</v>
      </c>
      <c r="L10" s="46">
        <v>736741.58304000006</v>
      </c>
      <c r="M10" s="73">
        <f>AVERAGE(I10,K10,E10,J10,H10,L10)</f>
        <v>674976.09717333328</v>
      </c>
      <c r="N10" s="17">
        <f t="shared" ref="N10:N36" si="1">ROUND(M10,0)</f>
        <v>674976</v>
      </c>
      <c r="O10" s="17">
        <f t="shared" ref="O10:O37" si="2">N10*D10</f>
        <v>674976</v>
      </c>
      <c r="P10" s="44">
        <f t="shared" si="0"/>
        <v>308417.41937642108</v>
      </c>
      <c r="Q10" s="44">
        <f>STDEVA(I10,K10,E10,J10,H10,L10)</f>
        <v>267358.97456611192</v>
      </c>
    </row>
    <row r="11" spans="1:17" ht="17.25" customHeight="1">
      <c r="A11" s="21">
        <v>3</v>
      </c>
      <c r="B11" s="48" t="s">
        <v>27</v>
      </c>
      <c r="C11" s="49" t="s">
        <v>26</v>
      </c>
      <c r="D11" s="50">
        <v>1</v>
      </c>
      <c r="E11" s="46"/>
      <c r="F11" s="46"/>
      <c r="G11" s="46"/>
      <c r="H11" s="46"/>
      <c r="I11" s="46">
        <v>700001</v>
      </c>
      <c r="J11" s="46">
        <v>1067734</v>
      </c>
      <c r="K11" s="70">
        <v>314160</v>
      </c>
      <c r="L11" s="46">
        <v>736741.58304000006</v>
      </c>
      <c r="M11" s="73">
        <f>AVERAGE(I11,J11,L11)</f>
        <v>834825.52767999994</v>
      </c>
      <c r="N11" s="17">
        <f t="shared" si="1"/>
        <v>834826</v>
      </c>
      <c r="O11" s="17">
        <f t="shared" si="2"/>
        <v>834826</v>
      </c>
      <c r="P11" s="44">
        <f t="shared" si="0"/>
        <v>308417.41937642108</v>
      </c>
      <c r="Q11" s="44">
        <f>STDEVA(I11,J11,L11)</f>
        <v>202539.46521445378</v>
      </c>
    </row>
    <row r="12" spans="1:17" ht="17.25" customHeight="1">
      <c r="A12" s="21">
        <v>4</v>
      </c>
      <c r="B12" s="48" t="s">
        <v>28</v>
      </c>
      <c r="C12" s="49" t="s">
        <v>26</v>
      </c>
      <c r="D12" s="50">
        <v>1</v>
      </c>
      <c r="E12" s="46">
        <v>559300</v>
      </c>
      <c r="F12" s="46">
        <v>464100</v>
      </c>
      <c r="G12" s="71">
        <v>2303649</v>
      </c>
      <c r="H12" s="46">
        <v>978900</v>
      </c>
      <c r="I12" s="46">
        <v>787603</v>
      </c>
      <c r="J12" s="46">
        <v>1351787</v>
      </c>
      <c r="K12" s="46">
        <v>1237600</v>
      </c>
      <c r="L12" s="46"/>
      <c r="M12" s="73">
        <f>AVERAGE(I12,K12,E12,J12,F12,H12)</f>
        <v>896548.33333333337</v>
      </c>
      <c r="N12" s="17">
        <f t="shared" si="1"/>
        <v>896548</v>
      </c>
      <c r="O12" s="17">
        <f t="shared" si="2"/>
        <v>896548</v>
      </c>
      <c r="P12" s="44">
        <f t="shared" si="0"/>
        <v>298283.85721043177</v>
      </c>
      <c r="Q12" s="44">
        <f>STDEVA(I12,E12,F12,H12,K12)</f>
        <v>313953.28976107266</v>
      </c>
    </row>
    <row r="13" spans="1:17" ht="17.25" customHeight="1">
      <c r="A13" s="21">
        <v>5</v>
      </c>
      <c r="B13" s="48" t="s">
        <v>29</v>
      </c>
      <c r="C13" s="49" t="s">
        <v>26</v>
      </c>
      <c r="D13" s="50">
        <v>1</v>
      </c>
      <c r="E13" s="70">
        <v>440300</v>
      </c>
      <c r="F13" s="70">
        <v>297500</v>
      </c>
      <c r="G13" s="46">
        <v>1650226</v>
      </c>
      <c r="H13" s="46">
        <v>1687716</v>
      </c>
      <c r="I13" s="46">
        <v>1279912</v>
      </c>
      <c r="J13" s="46">
        <v>1946787</v>
      </c>
      <c r="K13" s="46">
        <v>1204280</v>
      </c>
      <c r="L13" s="46">
        <v>1483506.17472</v>
      </c>
      <c r="M13" s="73">
        <f>AVERAGE(I13,J13,K13,G13,H13,L13)</f>
        <v>1542071.1957866668</v>
      </c>
      <c r="N13" s="17">
        <f t="shared" si="1"/>
        <v>1542071</v>
      </c>
      <c r="O13" s="17">
        <f t="shared" si="2"/>
        <v>1542071</v>
      </c>
      <c r="P13" s="44">
        <f t="shared" si="0"/>
        <v>333642.28321647033</v>
      </c>
      <c r="Q13" s="44">
        <f>STDEVA(I13,J13,K13,G13,H13,L13)</f>
        <v>276754.38584703428</v>
      </c>
    </row>
    <row r="14" spans="1:17" ht="17.25" customHeight="1">
      <c r="A14" s="21">
        <v>6</v>
      </c>
      <c r="B14" s="48" t="s">
        <v>30</v>
      </c>
      <c r="C14" s="49" t="s">
        <v>26</v>
      </c>
      <c r="D14" s="50">
        <v>1</v>
      </c>
      <c r="E14" s="70">
        <v>357000</v>
      </c>
      <c r="F14" s="70">
        <v>214200</v>
      </c>
      <c r="G14" s="46">
        <v>1372546</v>
      </c>
      <c r="H14" s="71">
        <v>2940654</v>
      </c>
      <c r="I14" s="71">
        <v>2967113</v>
      </c>
      <c r="J14" s="46">
        <v>1459958</v>
      </c>
      <c r="K14" s="46">
        <v>1958740</v>
      </c>
      <c r="L14" s="71">
        <v>483366.50303999998</v>
      </c>
      <c r="M14" s="73">
        <f>AVERAGE(K14,J14,G14)</f>
        <v>1597081.3333333333</v>
      </c>
      <c r="N14" s="17">
        <f t="shared" si="1"/>
        <v>1597081</v>
      </c>
      <c r="O14" s="17">
        <f t="shared" si="2"/>
        <v>1597081</v>
      </c>
      <c r="P14" s="44">
        <f t="shared" si="0"/>
        <v>1034269.8855273718</v>
      </c>
      <c r="Q14" s="44">
        <f>STDEVA(J14,K14,G14)</f>
        <v>316240.34818051523</v>
      </c>
    </row>
    <row r="15" spans="1:17" ht="17.25" customHeight="1">
      <c r="A15" s="21">
        <v>7</v>
      </c>
      <c r="B15" s="48" t="s">
        <v>31</v>
      </c>
      <c r="C15" s="49" t="s">
        <v>26</v>
      </c>
      <c r="D15" s="50">
        <v>1</v>
      </c>
      <c r="E15" s="70">
        <v>440300</v>
      </c>
      <c r="F15" s="70">
        <v>297500</v>
      </c>
      <c r="G15" s="46">
        <v>1541764</v>
      </c>
      <c r="H15" s="46">
        <v>2103462</v>
      </c>
      <c r="I15" s="46">
        <v>1036438</v>
      </c>
      <c r="J15" s="46">
        <v>1946787</v>
      </c>
      <c r="K15" s="46">
        <v>1618400</v>
      </c>
      <c r="L15" s="46">
        <v>1314995.7292800001</v>
      </c>
      <c r="M15" s="73">
        <f>AVERAGE(I15,K15,J15,G15,H15,L15)</f>
        <v>1593641.1215466668</v>
      </c>
      <c r="N15" s="17">
        <f t="shared" si="1"/>
        <v>1593641</v>
      </c>
      <c r="O15" s="17">
        <f t="shared" si="2"/>
        <v>1593641</v>
      </c>
      <c r="P15" s="44">
        <f t="shared" si="0"/>
        <v>392009.97678681067</v>
      </c>
      <c r="Q15" s="44">
        <f>STDEVA(I15,J15,K15,G15,H15,L15)</f>
        <v>393967.54959527601</v>
      </c>
    </row>
    <row r="16" spans="1:17" ht="17.25" customHeight="1">
      <c r="A16" s="21">
        <v>8</v>
      </c>
      <c r="B16" s="48" t="s">
        <v>32</v>
      </c>
      <c r="C16" s="49" t="s">
        <v>26</v>
      </c>
      <c r="D16" s="50">
        <v>1</v>
      </c>
      <c r="E16" s="46"/>
      <c r="F16" s="46"/>
      <c r="G16" s="46"/>
      <c r="H16" s="46"/>
      <c r="I16" s="46">
        <v>932408</v>
      </c>
      <c r="J16" s="46">
        <v>825688</v>
      </c>
      <c r="K16" s="46">
        <v>1309000</v>
      </c>
      <c r="L16" s="46"/>
      <c r="M16" s="73">
        <f>AVERAGE(I16,K16,J16)</f>
        <v>1022365.3333333334</v>
      </c>
      <c r="N16" s="17">
        <f t="shared" si="1"/>
        <v>1022365</v>
      </c>
      <c r="O16" s="17">
        <f t="shared" si="2"/>
        <v>1022365</v>
      </c>
      <c r="P16" s="44">
        <f t="shared" si="0"/>
        <v>253903.2565788262</v>
      </c>
      <c r="Q16" s="44">
        <f>STDEVA(I16,J16,K16,E16)</f>
        <v>253903.2565788262</v>
      </c>
    </row>
    <row r="17" spans="1:19" ht="17.25" customHeight="1">
      <c r="A17" s="21">
        <v>9</v>
      </c>
      <c r="B17" s="48" t="s">
        <v>33</v>
      </c>
      <c r="C17" s="49" t="s">
        <v>26</v>
      </c>
      <c r="D17" s="50">
        <v>1</v>
      </c>
      <c r="E17" s="46"/>
      <c r="F17" s="46"/>
      <c r="G17" s="46"/>
      <c r="H17" s="46"/>
      <c r="I17" s="46">
        <v>1461067</v>
      </c>
      <c r="J17" s="46">
        <v>1459958</v>
      </c>
      <c r="K17" s="46">
        <v>1856400</v>
      </c>
      <c r="L17" s="46">
        <v>913454.87328000006</v>
      </c>
      <c r="M17" s="73">
        <f>AVERAGE(I17,K17,J17)</f>
        <v>1592475</v>
      </c>
      <c r="N17" s="17">
        <f t="shared" si="1"/>
        <v>1592475</v>
      </c>
      <c r="O17" s="17">
        <f t="shared" si="2"/>
        <v>1592475</v>
      </c>
      <c r="P17" s="44">
        <f t="shared" si="0"/>
        <v>387421.59324872168</v>
      </c>
      <c r="Q17" s="44">
        <f>STDEVA(I17,J17,E17,F17)</f>
        <v>784.18142033588117</v>
      </c>
    </row>
    <row r="18" spans="1:19" ht="17.25" customHeight="1">
      <c r="A18" s="21">
        <v>10</v>
      </c>
      <c r="B18" s="48" t="s">
        <v>34</v>
      </c>
      <c r="C18" s="49" t="s">
        <v>26</v>
      </c>
      <c r="D18" s="50">
        <v>1</v>
      </c>
      <c r="E18" s="70">
        <v>511700</v>
      </c>
      <c r="F18" s="70">
        <v>464100</v>
      </c>
      <c r="G18" s="46">
        <v>1701581</v>
      </c>
      <c r="H18" s="71">
        <v>8414822</v>
      </c>
      <c r="I18" s="46">
        <v>1571589</v>
      </c>
      <c r="J18" s="46">
        <v>1595142</v>
      </c>
      <c r="K18" s="46">
        <v>2237200</v>
      </c>
      <c r="L18" s="46">
        <v>1213429.77984</v>
      </c>
      <c r="M18" s="73">
        <f>AVERAGE(I18,K18,J18,G18,L18)</f>
        <v>1663788.3559679999</v>
      </c>
      <c r="N18" s="17">
        <f t="shared" si="1"/>
        <v>1663788</v>
      </c>
      <c r="O18" s="17">
        <f t="shared" si="2"/>
        <v>1663788</v>
      </c>
      <c r="P18" s="44">
        <f t="shared" si="0"/>
        <v>426020.23936521559</v>
      </c>
      <c r="Q18" s="44">
        <f>STDEVA(I18,J18,K18,L18,G18)</f>
        <v>369548.74102581135</v>
      </c>
    </row>
    <row r="19" spans="1:19" ht="17.25" customHeight="1">
      <c r="A19" s="21">
        <v>11</v>
      </c>
      <c r="B19" s="48" t="s">
        <v>35</v>
      </c>
      <c r="C19" s="49" t="s">
        <v>26</v>
      </c>
      <c r="D19" s="50">
        <v>1</v>
      </c>
      <c r="E19" s="71">
        <v>714000</v>
      </c>
      <c r="F19" s="71">
        <v>606900</v>
      </c>
      <c r="G19" s="71">
        <v>4061232</v>
      </c>
      <c r="H19" s="46">
        <v>2690801</v>
      </c>
      <c r="I19" s="46">
        <v>1678546</v>
      </c>
      <c r="J19" s="71">
        <v>3298984</v>
      </c>
      <c r="K19" s="46">
        <v>1570800</v>
      </c>
      <c r="L19" s="46"/>
      <c r="M19" s="73">
        <f>AVERAGE(I19,K19,H19)</f>
        <v>1980049</v>
      </c>
      <c r="N19" s="17">
        <f t="shared" si="1"/>
        <v>1980049</v>
      </c>
      <c r="O19" s="17">
        <f t="shared" si="2"/>
        <v>1980049</v>
      </c>
      <c r="P19" s="44">
        <f>STDEVA(I19:K19)</f>
        <v>968163.93672215089</v>
      </c>
      <c r="Q19" s="44">
        <f>STDEVA(I19,K19,H19)</f>
        <v>617882.35470597481</v>
      </c>
    </row>
    <row r="20" spans="1:19" ht="17.25" customHeight="1">
      <c r="A20" s="21">
        <v>12</v>
      </c>
      <c r="B20" s="48" t="s">
        <v>36</v>
      </c>
      <c r="C20" s="49" t="s">
        <v>26</v>
      </c>
      <c r="D20" s="50">
        <v>1</v>
      </c>
      <c r="E20" s="46"/>
      <c r="F20" s="46"/>
      <c r="G20" s="46"/>
      <c r="H20" s="46"/>
      <c r="I20" s="71">
        <v>2506105</v>
      </c>
      <c r="J20" s="46">
        <v>949091</v>
      </c>
      <c r="K20" s="46">
        <v>837760</v>
      </c>
      <c r="L20" s="46">
        <v>543259.37760000001</v>
      </c>
      <c r="M20" s="73">
        <f>AVERAGE(K20,J20,L20)</f>
        <v>776703.45920000004</v>
      </c>
      <c r="N20" s="17">
        <f t="shared" si="1"/>
        <v>776703</v>
      </c>
      <c r="O20" s="17">
        <f t="shared" si="2"/>
        <v>776703</v>
      </c>
      <c r="P20" s="44">
        <f t="shared" ref="P20:P36" si="3">STDEVA(I20:L20)</f>
        <v>881488.09249334375</v>
      </c>
      <c r="Q20" s="44">
        <f>STDEVA(I20,J20,E20)</f>
        <v>1100975.1578023911</v>
      </c>
    </row>
    <row r="21" spans="1:19" ht="17.25" customHeight="1">
      <c r="A21" s="21">
        <v>13</v>
      </c>
      <c r="B21" s="48" t="s">
        <v>37</v>
      </c>
      <c r="C21" s="49" t="s">
        <v>26</v>
      </c>
      <c r="D21" s="50">
        <v>1</v>
      </c>
      <c r="E21" s="46"/>
      <c r="F21" s="46"/>
      <c r="G21" s="46"/>
      <c r="H21" s="46"/>
      <c r="I21" s="71">
        <v>2948785</v>
      </c>
      <c r="J21" s="46">
        <v>949091</v>
      </c>
      <c r="K21" s="46">
        <v>1832600</v>
      </c>
      <c r="L21" s="46">
        <v>739904.67264</v>
      </c>
      <c r="M21" s="73">
        <f>AVERAGE(K21,J21,L21)</f>
        <v>1173865.2242133333</v>
      </c>
      <c r="N21" s="17">
        <f t="shared" si="1"/>
        <v>1173865</v>
      </c>
      <c r="O21" s="17">
        <f t="shared" si="2"/>
        <v>1173865</v>
      </c>
      <c r="P21" s="44">
        <f t="shared" si="3"/>
        <v>1005904.5473075785</v>
      </c>
      <c r="Q21" s="44">
        <f>STDEVA(K21,J21,L21)</f>
        <v>579989.96414733247</v>
      </c>
    </row>
    <row r="22" spans="1:19" ht="17.25" customHeight="1">
      <c r="A22" s="21">
        <v>14</v>
      </c>
      <c r="B22" s="48" t="s">
        <v>38</v>
      </c>
      <c r="C22" s="49" t="s">
        <v>26</v>
      </c>
      <c r="D22" s="50">
        <v>1</v>
      </c>
      <c r="E22" s="46"/>
      <c r="F22" s="46"/>
      <c r="G22" s="46"/>
      <c r="H22" s="46"/>
      <c r="I22" s="46">
        <v>3477965</v>
      </c>
      <c r="J22" s="46">
        <v>949091</v>
      </c>
      <c r="K22" s="71">
        <v>9029720</v>
      </c>
      <c r="L22" s="46">
        <v>806529.32831999997</v>
      </c>
      <c r="M22" s="73">
        <f>AVERAGE(I22,J22,L22)</f>
        <v>1744528.4427733335</v>
      </c>
      <c r="N22" s="17">
        <f t="shared" si="1"/>
        <v>1744528</v>
      </c>
      <c r="O22" s="17">
        <f t="shared" si="2"/>
        <v>1744528</v>
      </c>
      <c r="P22" s="44">
        <f t="shared" si="3"/>
        <v>3843734.1818048884</v>
      </c>
      <c r="Q22" s="44">
        <f>STDEVA(I22,J22,L22)</f>
        <v>1502891.4401930126</v>
      </c>
    </row>
    <row r="23" spans="1:19" ht="17.25" customHeight="1">
      <c r="A23" s="21">
        <v>15</v>
      </c>
      <c r="B23" s="48" t="s">
        <v>39</v>
      </c>
      <c r="C23" s="49" t="s">
        <v>26</v>
      </c>
      <c r="D23" s="50">
        <v>1</v>
      </c>
      <c r="E23" s="46"/>
      <c r="F23" s="46"/>
      <c r="G23" s="46"/>
      <c r="H23" s="46"/>
      <c r="I23" s="46">
        <v>2506105</v>
      </c>
      <c r="J23" s="46">
        <v>949091</v>
      </c>
      <c r="K23" s="71">
        <v>6935320</v>
      </c>
      <c r="L23" s="46"/>
      <c r="M23" s="73">
        <f>AVERAGE(I23,J23)</f>
        <v>1727598</v>
      </c>
      <c r="N23" s="17">
        <f t="shared" si="1"/>
        <v>1727598</v>
      </c>
      <c r="O23" s="17">
        <f t="shared" si="2"/>
        <v>1727598</v>
      </c>
      <c r="P23" s="44">
        <f t="shared" si="3"/>
        <v>3105832.5709558674</v>
      </c>
      <c r="Q23" s="44">
        <f>STDEVA(I23,J23)</f>
        <v>1100975.1578023911</v>
      </c>
    </row>
    <row r="24" spans="1:19" ht="17.25" customHeight="1">
      <c r="A24" s="21">
        <v>16</v>
      </c>
      <c r="B24" s="48" t="s">
        <v>40</v>
      </c>
      <c r="C24" s="49" t="s">
        <v>26</v>
      </c>
      <c r="D24" s="50">
        <v>1</v>
      </c>
      <c r="E24" s="46"/>
      <c r="F24" s="46"/>
      <c r="G24" s="46"/>
      <c r="H24" s="46"/>
      <c r="I24" s="46">
        <v>3391465</v>
      </c>
      <c r="J24" s="46">
        <v>949091</v>
      </c>
      <c r="K24" s="71">
        <v>10338720</v>
      </c>
      <c r="L24" s="46">
        <v>857009.61504000006</v>
      </c>
      <c r="M24" s="73">
        <f>AVERAGE(I24,J24,L24)</f>
        <v>1732521.8716800001</v>
      </c>
      <c r="N24" s="17">
        <f t="shared" si="1"/>
        <v>1732522</v>
      </c>
      <c r="O24" s="17">
        <f t="shared" si="2"/>
        <v>1732522</v>
      </c>
      <c r="P24" s="44">
        <f t="shared" si="3"/>
        <v>4460282.5999089759</v>
      </c>
      <c r="Q24" s="44">
        <f>STDEVA(I24,J24,L24)</f>
        <v>1437424.4232703673</v>
      </c>
    </row>
    <row r="25" spans="1:19" ht="17.25" customHeight="1">
      <c r="A25" s="21">
        <v>17</v>
      </c>
      <c r="B25" s="48" t="s">
        <v>41</v>
      </c>
      <c r="C25" s="49" t="s">
        <v>26</v>
      </c>
      <c r="D25" s="50">
        <v>1</v>
      </c>
      <c r="E25" s="46">
        <v>392700</v>
      </c>
      <c r="F25" s="46">
        <v>214200</v>
      </c>
      <c r="G25" s="46">
        <v>1372546</v>
      </c>
      <c r="H25" s="71">
        <v>3294427</v>
      </c>
      <c r="I25" s="71">
        <v>4143977</v>
      </c>
      <c r="J25" s="46">
        <v>949091</v>
      </c>
      <c r="K25" s="46">
        <v>952000</v>
      </c>
      <c r="L25" s="46">
        <v>577912.10880000005</v>
      </c>
      <c r="M25" s="73">
        <f>AVERAGE(J25,K25,E25,F25,G25,L25)</f>
        <v>743074.85146666656</v>
      </c>
      <c r="N25" s="17">
        <f t="shared" si="1"/>
        <v>743075</v>
      </c>
      <c r="O25" s="17">
        <f t="shared" si="2"/>
        <v>743075</v>
      </c>
      <c r="P25" s="44">
        <f t="shared" si="3"/>
        <v>1668096.632684245</v>
      </c>
      <c r="Q25" s="78">
        <f>STDEVA(J25,K25,E25,F25,G25,L25)</f>
        <v>427100.96572155185</v>
      </c>
    </row>
    <row r="26" spans="1:19" ht="17.25" customHeight="1">
      <c r="A26" s="21">
        <v>18</v>
      </c>
      <c r="B26" s="48" t="s">
        <v>42</v>
      </c>
      <c r="C26" s="49" t="s">
        <v>26</v>
      </c>
      <c r="D26" s="50">
        <v>24</v>
      </c>
      <c r="E26" s="71">
        <v>1666000</v>
      </c>
      <c r="F26" s="71">
        <v>3689000</v>
      </c>
      <c r="G26" s="46">
        <v>151725</v>
      </c>
      <c r="H26" s="46">
        <v>153388</v>
      </c>
      <c r="I26" s="46">
        <v>182628</v>
      </c>
      <c r="J26" s="71">
        <v>19665530</v>
      </c>
      <c r="K26" s="46">
        <v>145180</v>
      </c>
      <c r="L26" s="46"/>
      <c r="M26" s="73">
        <f>AVERAGE(I26,K26,G26,H26)</f>
        <v>158230.25</v>
      </c>
      <c r="N26" s="17">
        <f t="shared" si="1"/>
        <v>158230</v>
      </c>
      <c r="O26" s="17">
        <f t="shared" si="2"/>
        <v>3797520</v>
      </c>
      <c r="P26" s="44">
        <f t="shared" si="3"/>
        <v>11259284.589593958</v>
      </c>
      <c r="Q26" s="44">
        <f>STDEVA(I26,G26,K26,H26)</f>
        <v>16646.57014472751</v>
      </c>
      <c r="S26" s="113"/>
    </row>
    <row r="27" spans="1:19" ht="17.25" customHeight="1">
      <c r="A27" s="21">
        <v>19</v>
      </c>
      <c r="B27" s="48" t="s">
        <v>43</v>
      </c>
      <c r="C27" s="49" t="s">
        <v>26</v>
      </c>
      <c r="D27" s="50">
        <v>20</v>
      </c>
      <c r="E27" s="71">
        <v>1071000</v>
      </c>
      <c r="F27" s="71">
        <v>2142000</v>
      </c>
      <c r="G27" s="46">
        <v>151725</v>
      </c>
      <c r="H27" s="46">
        <v>153388</v>
      </c>
      <c r="I27" s="46">
        <v>221896</v>
      </c>
      <c r="J27" s="71">
        <v>18192191</v>
      </c>
      <c r="K27" s="46">
        <v>222530</v>
      </c>
      <c r="L27" s="46"/>
      <c r="M27" s="73">
        <f>AVERAGE(I27,K27,G27,H27)</f>
        <v>187384.75</v>
      </c>
      <c r="N27" s="17">
        <f t="shared" si="1"/>
        <v>187385</v>
      </c>
      <c r="O27" s="17">
        <f t="shared" si="2"/>
        <v>3747700</v>
      </c>
      <c r="P27" s="44">
        <f t="shared" si="3"/>
        <v>10374971.640474509</v>
      </c>
      <c r="Q27" s="44">
        <f>STDEVA(I27,G27,K27,H27)</f>
        <v>40222.762024961274</v>
      </c>
    </row>
    <row r="28" spans="1:19" ht="17.25" customHeight="1">
      <c r="A28" s="21">
        <v>20</v>
      </c>
      <c r="B28" s="48" t="s">
        <v>44</v>
      </c>
      <c r="C28" s="49" t="s">
        <v>26</v>
      </c>
      <c r="D28" s="50">
        <v>6</v>
      </c>
      <c r="E28" s="46">
        <v>833000</v>
      </c>
      <c r="F28" s="71">
        <v>1666000</v>
      </c>
      <c r="G28" s="46">
        <v>178500</v>
      </c>
      <c r="H28" s="46">
        <v>153388</v>
      </c>
      <c r="I28" s="46">
        <v>670999</v>
      </c>
      <c r="J28" s="71">
        <v>9161876</v>
      </c>
      <c r="K28" s="46">
        <v>251090</v>
      </c>
      <c r="L28" s="46"/>
      <c r="M28" s="73">
        <f>AVERAGE(I28,K28,E28,G28,H28)</f>
        <v>417395.4</v>
      </c>
      <c r="N28" s="17">
        <f t="shared" si="1"/>
        <v>417395</v>
      </c>
      <c r="O28" s="17">
        <f t="shared" si="2"/>
        <v>2504370</v>
      </c>
      <c r="P28" s="44">
        <f t="shared" si="3"/>
        <v>5027813.0258129463</v>
      </c>
      <c r="Q28" s="44">
        <f>STDEVA(I28,G28,K28,E28,H28)</f>
        <v>312837.9672207323</v>
      </c>
    </row>
    <row r="29" spans="1:19" ht="17.25" customHeight="1">
      <c r="A29" s="21">
        <v>21</v>
      </c>
      <c r="B29" s="48" t="s">
        <v>45</v>
      </c>
      <c r="C29" s="49" t="s">
        <v>26</v>
      </c>
      <c r="D29" s="50">
        <v>6</v>
      </c>
      <c r="E29" s="46">
        <v>833000</v>
      </c>
      <c r="F29" s="71">
        <v>1666000</v>
      </c>
      <c r="G29" s="46">
        <v>178500</v>
      </c>
      <c r="H29" s="46">
        <v>153388</v>
      </c>
      <c r="I29" s="46">
        <v>694747</v>
      </c>
      <c r="J29" s="71">
        <v>9747832</v>
      </c>
      <c r="K29" s="71">
        <v>1570800</v>
      </c>
      <c r="L29" s="46"/>
      <c r="M29" s="73">
        <f>AVERAGE(I29,E29,G29,H29,L29)</f>
        <v>464908.75</v>
      </c>
      <c r="N29" s="17">
        <f t="shared" si="1"/>
        <v>464909</v>
      </c>
      <c r="O29" s="17">
        <f t="shared" si="2"/>
        <v>2789454</v>
      </c>
      <c r="P29" s="44">
        <f t="shared" si="3"/>
        <v>4993156.4700273843</v>
      </c>
      <c r="Q29" s="44">
        <f>STDEVA(I29,G29,H29,E29)</f>
        <v>349948.53871521837</v>
      </c>
    </row>
    <row r="30" spans="1:19" ht="18.75" customHeight="1">
      <c r="A30" s="21">
        <v>22</v>
      </c>
      <c r="B30" s="48" t="s">
        <v>46</v>
      </c>
      <c r="C30" s="49" t="s">
        <v>26</v>
      </c>
      <c r="D30" s="50">
        <v>6</v>
      </c>
      <c r="E30" s="46">
        <v>833000</v>
      </c>
      <c r="F30" s="71">
        <v>1666000</v>
      </c>
      <c r="G30" s="46">
        <v>178500</v>
      </c>
      <c r="H30" s="46">
        <v>153388</v>
      </c>
      <c r="I30" s="46">
        <v>682066</v>
      </c>
      <c r="J30" s="71">
        <v>12970828</v>
      </c>
      <c r="K30" s="46">
        <v>965090</v>
      </c>
      <c r="L30" s="46"/>
      <c r="M30" s="73">
        <f>AVERAGE(I30,K30,E30,G30,H30)</f>
        <v>562408.80000000005</v>
      </c>
      <c r="N30" s="17">
        <f t="shared" si="1"/>
        <v>562409</v>
      </c>
      <c r="O30" s="17">
        <f t="shared" si="2"/>
        <v>3374454</v>
      </c>
      <c r="P30" s="44">
        <f t="shared" si="3"/>
        <v>7014645.6194862286</v>
      </c>
      <c r="Q30" s="44">
        <f>STDEVA(I30,G30,K30,E30,H30)</f>
        <v>375624.0052941239</v>
      </c>
    </row>
    <row r="31" spans="1:19" ht="18.75" customHeight="1">
      <c r="A31" s="21">
        <v>23</v>
      </c>
      <c r="B31" s="48" t="s">
        <v>47</v>
      </c>
      <c r="C31" s="49" t="s">
        <v>26</v>
      </c>
      <c r="D31" s="50">
        <v>6</v>
      </c>
      <c r="E31" s="46">
        <v>833000</v>
      </c>
      <c r="F31" s="71">
        <v>1666000</v>
      </c>
      <c r="G31" s="46">
        <v>178500</v>
      </c>
      <c r="H31" s="46">
        <v>153388</v>
      </c>
      <c r="I31" s="46">
        <v>501305</v>
      </c>
      <c r="J31" s="71">
        <v>7579771</v>
      </c>
      <c r="K31" s="46">
        <v>722330</v>
      </c>
      <c r="L31" s="46"/>
      <c r="M31" s="73">
        <f>AVERAGE(I31,K31,E31,G31,H31)</f>
        <v>477704.6</v>
      </c>
      <c r="N31" s="17">
        <f t="shared" si="1"/>
        <v>477705</v>
      </c>
      <c r="O31" s="17">
        <f t="shared" si="2"/>
        <v>2866230</v>
      </c>
      <c r="P31" s="44">
        <f t="shared" si="3"/>
        <v>4024467.4602623307</v>
      </c>
      <c r="Q31" s="44">
        <f>STDEVA(I31,G31,K31,E31,H31)</f>
        <v>308762.86862380325</v>
      </c>
    </row>
    <row r="32" spans="1:19" ht="18.75" customHeight="1">
      <c r="A32" s="21">
        <v>24</v>
      </c>
      <c r="B32" s="48" t="s">
        <v>48</v>
      </c>
      <c r="C32" s="49" t="s">
        <v>26</v>
      </c>
      <c r="D32" s="50">
        <v>6</v>
      </c>
      <c r="E32" s="46">
        <v>833000</v>
      </c>
      <c r="F32" s="71">
        <v>1666000</v>
      </c>
      <c r="G32" s="46">
        <v>151725</v>
      </c>
      <c r="H32" s="46">
        <v>153388</v>
      </c>
      <c r="I32" s="46">
        <v>870943</v>
      </c>
      <c r="J32" s="71">
        <v>14142740</v>
      </c>
      <c r="K32" s="71">
        <v>1073380</v>
      </c>
      <c r="L32" s="46"/>
      <c r="M32" s="73">
        <f>AVERAGE(I32,K32,E32,G32,H32)</f>
        <v>616487.19999999995</v>
      </c>
      <c r="N32" s="17">
        <f t="shared" si="1"/>
        <v>616487</v>
      </c>
      <c r="O32" s="17">
        <f t="shared" si="2"/>
        <v>3698922</v>
      </c>
      <c r="P32" s="44">
        <f t="shared" si="3"/>
        <v>7604710.6799862105</v>
      </c>
      <c r="Q32" s="44">
        <f>STDEVA(I32,G32,H32,E32)</f>
        <v>404105.00311758905</v>
      </c>
    </row>
    <row r="33" spans="1:17" ht="18.75" customHeight="1">
      <c r="A33" s="21">
        <v>25</v>
      </c>
      <c r="B33" s="51" t="s">
        <v>49</v>
      </c>
      <c r="C33" s="49" t="s">
        <v>26</v>
      </c>
      <c r="D33" s="50">
        <v>3</v>
      </c>
      <c r="E33" s="71">
        <v>595000</v>
      </c>
      <c r="F33" s="71">
        <v>595000</v>
      </c>
      <c r="G33" s="71">
        <v>3272500</v>
      </c>
      <c r="H33" s="46">
        <v>1003928</v>
      </c>
      <c r="I33" s="46">
        <v>1630659</v>
      </c>
      <c r="J33" s="46">
        <v>2163129</v>
      </c>
      <c r="K33" s="46">
        <v>1454180</v>
      </c>
      <c r="L33" s="46">
        <v>1237921.2748799999</v>
      </c>
      <c r="M33" s="73">
        <f>AVERAGE(I33,J33,K33,H33,L33)</f>
        <v>1497963.4549759999</v>
      </c>
      <c r="N33" s="17">
        <f t="shared" si="1"/>
        <v>1497963</v>
      </c>
      <c r="O33" s="17">
        <f t="shared" si="2"/>
        <v>4493889</v>
      </c>
      <c r="P33" s="44">
        <f t="shared" si="3"/>
        <v>395210.69428077299</v>
      </c>
      <c r="Q33" s="44">
        <f>STDEVA(I33,J33,K33,H33,L33)</f>
        <v>439790.65107399441</v>
      </c>
    </row>
    <row r="34" spans="1:17" ht="17.25" customHeight="1">
      <c r="A34" s="21">
        <v>26</v>
      </c>
      <c r="B34" s="51" t="s">
        <v>50</v>
      </c>
      <c r="C34" s="49" t="s">
        <v>26</v>
      </c>
      <c r="D34" s="50">
        <v>3</v>
      </c>
      <c r="E34" s="46">
        <v>833000</v>
      </c>
      <c r="F34" s="46">
        <v>714000</v>
      </c>
      <c r="G34" s="71">
        <v>4760000</v>
      </c>
      <c r="H34" s="46">
        <v>1299919</v>
      </c>
      <c r="I34" s="71">
        <v>2163146</v>
      </c>
      <c r="J34" s="71">
        <v>2874392</v>
      </c>
      <c r="K34" s="46">
        <v>1915900</v>
      </c>
      <c r="L34" s="46">
        <v>1472783.9568</v>
      </c>
      <c r="M34" s="73">
        <f>AVERAGE(K34,E34,F34,H34,L34)</f>
        <v>1247120.59136</v>
      </c>
      <c r="N34" s="17">
        <f t="shared" si="1"/>
        <v>1247121</v>
      </c>
      <c r="O34" s="17">
        <f t="shared" si="2"/>
        <v>3741363</v>
      </c>
      <c r="P34" s="44">
        <f t="shared" si="3"/>
        <v>586171.5517016201</v>
      </c>
      <c r="Q34" s="44">
        <f>STDEVA(F34,H34,K34,E34,L34)</f>
        <v>489052.89923429675</v>
      </c>
    </row>
    <row r="35" spans="1:17" ht="17.25" customHeight="1">
      <c r="A35" s="21">
        <v>27</v>
      </c>
      <c r="B35" s="51" t="s">
        <v>51</v>
      </c>
      <c r="C35" s="49" t="s">
        <v>26</v>
      </c>
      <c r="D35" s="50">
        <v>3</v>
      </c>
      <c r="E35" s="46">
        <v>833000</v>
      </c>
      <c r="F35" s="46">
        <v>714000</v>
      </c>
      <c r="G35" s="46">
        <v>4760000</v>
      </c>
      <c r="H35" s="46">
        <v>1299919</v>
      </c>
      <c r="I35" s="46">
        <v>2163146</v>
      </c>
      <c r="J35" s="46">
        <v>2874392</v>
      </c>
      <c r="K35" s="46">
        <v>1915900</v>
      </c>
      <c r="L35" s="46">
        <v>1472783.9568</v>
      </c>
      <c r="M35" s="73">
        <f>AVERAGE(I35,J35,K35,E35,F35,G35,H35,L35)</f>
        <v>2004142.6196000001</v>
      </c>
      <c r="N35" s="17">
        <f t="shared" si="1"/>
        <v>2004143</v>
      </c>
      <c r="O35" s="17">
        <f t="shared" si="2"/>
        <v>6012429</v>
      </c>
      <c r="P35" s="44">
        <f t="shared" si="3"/>
        <v>586171.5517016201</v>
      </c>
      <c r="Q35" s="44">
        <f>STDEVA(I35,J35,K35,E35)</f>
        <v>846313.10498715541</v>
      </c>
    </row>
    <row r="36" spans="1:17" ht="17.25" customHeight="1">
      <c r="A36" s="21">
        <v>28</v>
      </c>
      <c r="B36" s="52" t="s">
        <v>52</v>
      </c>
      <c r="C36" s="49" t="s">
        <v>26</v>
      </c>
      <c r="D36" s="50">
        <v>1</v>
      </c>
      <c r="E36" s="46">
        <v>273700</v>
      </c>
      <c r="F36" s="46">
        <v>535500</v>
      </c>
      <c r="G36" s="46">
        <v>1041250</v>
      </c>
      <c r="H36" s="46">
        <v>476697</v>
      </c>
      <c r="I36" s="71">
        <v>55335</v>
      </c>
      <c r="J36" s="71">
        <v>2375544</v>
      </c>
      <c r="K36" s="46">
        <v>1397060</v>
      </c>
      <c r="L36" s="46"/>
      <c r="M36" s="73">
        <f>AVERAGE(K36,E36,F36,G36,H36)</f>
        <v>744841.4</v>
      </c>
      <c r="N36" s="17">
        <f t="shared" si="1"/>
        <v>744841</v>
      </c>
      <c r="O36" s="17">
        <f t="shared" si="2"/>
        <v>744841</v>
      </c>
      <c r="P36" s="44">
        <f t="shared" si="3"/>
        <v>1164833.8019907963</v>
      </c>
      <c r="Q36" s="44">
        <f>STDEVA(F36,G36,K36,E36,H36)</f>
        <v>461233.83986303525</v>
      </c>
    </row>
    <row r="37" spans="1:17" ht="47.25" customHeight="1">
      <c r="A37" s="21">
        <v>29</v>
      </c>
      <c r="B37" s="52" t="s">
        <v>53</v>
      </c>
      <c r="C37" s="49" t="s">
        <v>26</v>
      </c>
      <c r="D37" s="50">
        <v>1</v>
      </c>
      <c r="E37" s="46">
        <v>1487500</v>
      </c>
      <c r="F37" s="46">
        <v>1368500</v>
      </c>
      <c r="G37" s="46">
        <v>5474000</v>
      </c>
      <c r="H37" s="46">
        <v>0</v>
      </c>
      <c r="I37" s="71">
        <v>10259109</v>
      </c>
      <c r="J37" s="71">
        <v>40044399</v>
      </c>
      <c r="K37" s="46">
        <v>5322870</v>
      </c>
      <c r="L37" s="46"/>
      <c r="M37" s="73">
        <f>AVERAGE(K37,E37,F37,G37)</f>
        <v>3413217.5</v>
      </c>
      <c r="N37" s="59">
        <f>ROUND(M37,0)</f>
        <v>3413218</v>
      </c>
      <c r="O37" s="17">
        <f t="shared" si="2"/>
        <v>3413218</v>
      </c>
      <c r="P37" s="61">
        <f>STDEVA(I37:K37)</f>
        <v>18784366.425066803</v>
      </c>
      <c r="Q37" s="60">
        <f>STDEVA(G37,K37,E37,F37)</f>
        <v>2293676.4322571019</v>
      </c>
    </row>
    <row r="38" spans="1:17" ht="47.25" customHeight="1">
      <c r="A38" s="21"/>
      <c r="B38" s="85" t="s">
        <v>54</v>
      </c>
      <c r="C38" s="85"/>
      <c r="D38" s="85"/>
      <c r="E38" s="46">
        <f>SUM(E9*$D$9)+E10+E11+E12+E13+E14+E15+E16+E17+E18+E19+E20+E21+E22+E23+E24+E25+(E26*$D$26)+(E27*$D$27)+(E28*$D$28)+(E29*$D$29)+(E30*$D$30)+(E31*$D$31)+(E32*$D$32)+(E33*$D$33)+(E34*$D$34)+(E35*$D$35)+E36+E37</f>
        <v>100935800</v>
      </c>
      <c r="F38" s="46">
        <f t="shared" ref="F38:G38" si="4">SUM(F9*$D$9)+F10+F12+F13+F14+F15+F18+F19+F24+F25+(F26*$D$26)+(F27*$D$27)+(F28*$D$28)+(F29*$D$29)+(F30*$D$30)+(F31*$D$31)+(F32*$D$32)+(F33*$D$33)+(F34*$D$34)+(F35*$D$35)+F36+F37</f>
        <v>201943000</v>
      </c>
      <c r="G38" s="46">
        <f t="shared" si="4"/>
        <v>111183422</v>
      </c>
      <c r="H38" s="46">
        <f>SUM(H9*$D$9)+H10+H12+H13+H14+H15+H18+H19+H24+H25+(H26*$D$26)+(H27*$D$27)+(H28*$D$28)+(H29*$D$29)+(H30*$D$30)+(H31*$D$31)+(H32*$D$32)+(H33*$D$33)+(H34*$D$34)+(H35*$D$35)+H36+H37</f>
        <v>69000053</v>
      </c>
      <c r="I38" s="46">
        <f>SUM(I9*$D$9)+I10+I11+I12+I13+I14+I15+I16+I17+I18+I19+I20+I21+I22+I23+I24+I25+(I26*$D$26)+(I27*$D$27)+(I28*$D$28)+(I29*$D$29)+(I30*$D$30)+(I31*$D$31)+(I32*$D$32)+(I33*$D$33)+(I34*$D$34)+(I35*$D$35)+I36+I37</f>
        <v>97566285</v>
      </c>
      <c r="J38" s="46">
        <f t="shared" ref="J38" si="5">SUM(J9*$D$9)+J10+J11+J12+J13+J14+J15+J16+J17+J18+J19+J20+J21+J22+J23+J24+J25+(J26*$D$26)+(J27*$D$27)+(J28*$D$28)+(J29*$D$29)+(J30*$D$30)+(J31*$D$31)+(J32*$D$32)+(J33*$D$33)+(J34*$D$34)+(J35*$D$35)+J36+J37</f>
        <v>1253526261</v>
      </c>
      <c r="K38" s="46">
        <f>SUM(K9*$D$9)+K10+K11+K12+K13+K14+K15+K16+K17+K18+K19+K20+K21+K22+K23+K24+K25+(K26*$D$26)+(K27*$D$27)+(K28*$D$28)+(K29*$D$29)+(K30*$D$30)+(K31*$D$31)+(K32*$D$32)+(K33*$D$33)+(K34*$D$34)+(K35*$D$35)+K36+K37</f>
        <v>104621230</v>
      </c>
      <c r="L38" s="46"/>
      <c r="M38" s="73"/>
      <c r="N38" s="46"/>
      <c r="O38" s="46">
        <f>SUM(O9:O37)</f>
        <v>68861741</v>
      </c>
      <c r="P38" s="33"/>
      <c r="Q38" s="15"/>
    </row>
    <row r="39" spans="1:17" ht="47.25" customHeight="1">
      <c r="A39" s="21">
        <v>30</v>
      </c>
      <c r="B39" s="33" t="s">
        <v>55</v>
      </c>
      <c r="C39" s="49" t="s">
        <v>26</v>
      </c>
      <c r="D39" s="54">
        <v>1</v>
      </c>
      <c r="E39" s="46">
        <v>52326786.560000002</v>
      </c>
      <c r="F39" s="46">
        <v>52326786.560000002</v>
      </c>
      <c r="G39" s="46">
        <v>52326786.560000002</v>
      </c>
      <c r="H39" s="46">
        <v>52326786.560000002</v>
      </c>
      <c r="I39" s="46">
        <v>52326786.560000002</v>
      </c>
      <c r="J39" s="46">
        <v>52326786.560000002</v>
      </c>
      <c r="K39" s="46">
        <v>52326786.560000002</v>
      </c>
      <c r="L39" s="46"/>
      <c r="M39" s="46">
        <v>52326786.560000002</v>
      </c>
      <c r="N39" s="17">
        <f t="shared" ref="N39:O39" si="6">ROUND(M39,0)</f>
        <v>52326787</v>
      </c>
      <c r="O39" s="17">
        <f t="shared" si="6"/>
        <v>52326787</v>
      </c>
      <c r="P39" s="33"/>
      <c r="Q39" s="15"/>
    </row>
    <row r="40" spans="1:17" ht="15.75" customHeight="1">
      <c r="A40" s="95" t="s">
        <v>56</v>
      </c>
      <c r="B40" s="95"/>
      <c r="C40" s="95"/>
      <c r="D40" s="95"/>
      <c r="E40" s="55">
        <f>SUM(E38:E39)</f>
        <v>153262586.56</v>
      </c>
      <c r="F40" s="55">
        <f t="shared" ref="F40:H40" si="7">SUM(F38:F39)</f>
        <v>254269786.56</v>
      </c>
      <c r="G40" s="55">
        <f t="shared" si="7"/>
        <v>163510208.56</v>
      </c>
      <c r="H40" s="55">
        <f t="shared" si="7"/>
        <v>121326839.56</v>
      </c>
      <c r="I40" s="55">
        <f t="shared" ref="I40:K40" si="8">SUM(I38:I39)</f>
        <v>149893071.56</v>
      </c>
      <c r="J40" s="55">
        <f t="shared" si="8"/>
        <v>1305853047.5599999</v>
      </c>
      <c r="K40" s="55">
        <f t="shared" si="8"/>
        <v>156948016.56</v>
      </c>
      <c r="L40" s="46"/>
      <c r="M40" s="45"/>
      <c r="N40" s="56"/>
      <c r="O40" s="57">
        <f>SUM(O38:O39)</f>
        <v>121188528</v>
      </c>
    </row>
    <row r="41" spans="1:17" ht="16.5">
      <c r="A41" s="22"/>
      <c r="B41" s="22"/>
      <c r="C41" s="22"/>
      <c r="D41" s="22"/>
      <c r="E41" s="22"/>
      <c r="F41" s="22"/>
      <c r="G41" s="22"/>
      <c r="H41" s="22"/>
      <c r="I41" s="22"/>
      <c r="J41" s="40"/>
      <c r="K41" s="40"/>
      <c r="L41" s="40"/>
      <c r="M41" s="15"/>
      <c r="N41" s="15"/>
      <c r="O41" s="15"/>
      <c r="P41" s="9"/>
      <c r="Q41" s="9"/>
    </row>
    <row r="42" spans="1:17" ht="33" customHeight="1">
      <c r="A42" s="23">
        <v>2</v>
      </c>
      <c r="B42" s="85" t="s">
        <v>57</v>
      </c>
      <c r="C42" s="85"/>
      <c r="D42" s="85"/>
      <c r="E42" s="85"/>
      <c r="F42" s="85"/>
      <c r="G42" s="85"/>
      <c r="H42" s="85"/>
      <c r="I42" s="85"/>
      <c r="J42" s="85"/>
      <c r="K42" s="85"/>
      <c r="L42" s="35" t="s">
        <v>58</v>
      </c>
      <c r="M42" s="15"/>
      <c r="N42" s="15"/>
      <c r="O42" s="15"/>
      <c r="P42" s="9"/>
      <c r="Q42" s="9"/>
    </row>
    <row r="43" spans="1:17">
      <c r="A43" s="68">
        <v>1</v>
      </c>
      <c r="B43" s="48" t="s">
        <v>59</v>
      </c>
      <c r="C43" s="49" t="s">
        <v>26</v>
      </c>
      <c r="D43" s="50">
        <v>1</v>
      </c>
      <c r="E43" s="71">
        <v>559300</v>
      </c>
      <c r="F43" s="71">
        <v>464100</v>
      </c>
      <c r="G43" s="71">
        <v>2032917</v>
      </c>
      <c r="H43" s="80">
        <v>1106187</v>
      </c>
      <c r="I43" s="46">
        <v>690213</v>
      </c>
      <c r="J43" s="46">
        <v>1676300</v>
      </c>
      <c r="K43" s="46">
        <v>1342320</v>
      </c>
      <c r="L43" s="46">
        <v>1114664.7033600002</v>
      </c>
      <c r="M43" s="73">
        <f>AVERAGE(I43,J43,K43,H43,L43)</f>
        <v>1185936.9406720002</v>
      </c>
      <c r="N43" s="46">
        <f>ROUND(M43,0)</f>
        <v>1185937</v>
      </c>
      <c r="O43" s="46">
        <f>N43*D43</f>
        <v>1185937</v>
      </c>
      <c r="P43" s="44">
        <f t="shared" ref="P43:P68" si="9">STDEVA(I43:L43)</f>
        <v>413982.09909199248</v>
      </c>
      <c r="Q43" s="60">
        <f>STDEVA(I43,J43,K43,H43,L43)</f>
        <v>361280.22413436958</v>
      </c>
    </row>
    <row r="44" spans="1:17">
      <c r="A44" s="68">
        <v>2</v>
      </c>
      <c r="B44" s="48" t="s">
        <v>60</v>
      </c>
      <c r="C44" s="49" t="s">
        <v>26</v>
      </c>
      <c r="D44" s="50">
        <v>1</v>
      </c>
      <c r="E44" s="46">
        <v>987700</v>
      </c>
      <c r="F44" s="46">
        <v>773500</v>
      </c>
      <c r="G44" s="71">
        <v>4152108</v>
      </c>
      <c r="H44" s="81">
        <v>1531008</v>
      </c>
      <c r="I44" s="46">
        <v>1434829</v>
      </c>
      <c r="J44" s="71">
        <v>2217155</v>
      </c>
      <c r="K44" s="46">
        <v>1487500</v>
      </c>
      <c r="L44" s="46">
        <v>1445679.2553600001</v>
      </c>
      <c r="M44" s="73">
        <f>AVERAGE(I44,K44,E44,F44,H44,L44)</f>
        <v>1276702.7092266667</v>
      </c>
      <c r="N44" s="46">
        <f t="shared" ref="N44:O71" si="10">ROUND(M44,0)</f>
        <v>1276703</v>
      </c>
      <c r="O44" s="46">
        <f t="shared" ref="O44:O69" si="11">N44*D44</f>
        <v>1276703</v>
      </c>
      <c r="P44" s="44">
        <f t="shared" si="9"/>
        <v>381252.99461484764</v>
      </c>
      <c r="Q44" s="60">
        <f>STDEVA(I44,F44,K44,E44,H44,L44)</f>
        <v>316037.72186338151</v>
      </c>
    </row>
    <row r="45" spans="1:17">
      <c r="A45" s="68">
        <v>3</v>
      </c>
      <c r="B45" s="48" t="s">
        <v>61</v>
      </c>
      <c r="C45" s="49" t="s">
        <v>26</v>
      </c>
      <c r="D45" s="50">
        <v>1</v>
      </c>
      <c r="E45" s="46">
        <v>987700</v>
      </c>
      <c r="F45" s="46">
        <v>773500</v>
      </c>
      <c r="G45" s="71">
        <v>4152108</v>
      </c>
      <c r="H45" s="81">
        <v>1531008</v>
      </c>
      <c r="I45" s="46">
        <v>1434829</v>
      </c>
      <c r="J45" s="71">
        <v>2217155</v>
      </c>
      <c r="K45" s="46">
        <v>1487500</v>
      </c>
      <c r="L45" s="46">
        <v>1445681.2732800001</v>
      </c>
      <c r="M45" s="73">
        <f>AVERAGE(I45,K45,E45,F45,H45,L45)</f>
        <v>1276703.0455466667</v>
      </c>
      <c r="N45" s="46">
        <f t="shared" si="10"/>
        <v>1276703</v>
      </c>
      <c r="O45" s="46">
        <f t="shared" si="11"/>
        <v>1276703</v>
      </c>
      <c r="P45" s="44">
        <f t="shared" si="9"/>
        <v>381252.6406794964</v>
      </c>
      <c r="Q45" s="60">
        <f>STDEVA(I45,F45,K45,E45,H45,L45)</f>
        <v>316037.93764947832</v>
      </c>
    </row>
    <row r="46" spans="1:17">
      <c r="A46" s="68">
        <v>4</v>
      </c>
      <c r="B46" s="53" t="s">
        <v>62</v>
      </c>
      <c r="C46" s="49" t="s">
        <v>26</v>
      </c>
      <c r="D46" s="50">
        <v>1</v>
      </c>
      <c r="E46" s="46"/>
      <c r="F46" s="46"/>
      <c r="G46" s="46"/>
      <c r="H46" s="46"/>
      <c r="I46" s="46">
        <v>602611</v>
      </c>
      <c r="J46" s="46">
        <v>1946787</v>
      </c>
      <c r="K46" s="46">
        <v>880600</v>
      </c>
      <c r="L46" s="46"/>
      <c r="M46" s="73">
        <f>AVERAGE(I46,J46,K46)</f>
        <v>1143332.6666666667</v>
      </c>
      <c r="N46" s="46">
        <f t="shared" si="10"/>
        <v>1143333</v>
      </c>
      <c r="O46" s="46">
        <f t="shared" si="11"/>
        <v>1143333</v>
      </c>
      <c r="P46" s="44">
        <f t="shared" si="9"/>
        <v>709558.75045293698</v>
      </c>
      <c r="Q46" s="60">
        <f>STDEVA(I46,J46,K46)</f>
        <v>709558.75045293698</v>
      </c>
    </row>
    <row r="47" spans="1:17">
      <c r="A47" s="68">
        <v>5</v>
      </c>
      <c r="B47" s="53" t="s">
        <v>62</v>
      </c>
      <c r="C47" s="49" t="s">
        <v>26</v>
      </c>
      <c r="D47" s="50">
        <v>1</v>
      </c>
      <c r="E47" s="46"/>
      <c r="F47" s="46"/>
      <c r="G47" s="46"/>
      <c r="H47" s="46"/>
      <c r="I47" s="46">
        <v>602611</v>
      </c>
      <c r="J47" s="71">
        <v>1946787</v>
      </c>
      <c r="K47" s="46">
        <v>880600</v>
      </c>
      <c r="L47" s="46">
        <v>875019.55104000005</v>
      </c>
      <c r="M47" s="73">
        <f>AVERAGE(I47,K47,L47)</f>
        <v>786076.85034666676</v>
      </c>
      <c r="N47" s="46">
        <f t="shared" si="10"/>
        <v>786077</v>
      </c>
      <c r="O47" s="46">
        <f t="shared" si="11"/>
        <v>786077</v>
      </c>
      <c r="P47" s="44">
        <f t="shared" si="9"/>
        <v>594682.32043157099</v>
      </c>
      <c r="Q47" s="60">
        <f>STDEVA(I47,L47,K47)</f>
        <v>158910.58503201621</v>
      </c>
    </row>
    <row r="48" spans="1:17">
      <c r="A48" s="68">
        <v>6</v>
      </c>
      <c r="B48" s="53" t="s">
        <v>62</v>
      </c>
      <c r="C48" s="49" t="s">
        <v>26</v>
      </c>
      <c r="D48" s="50">
        <v>1</v>
      </c>
      <c r="E48" s="46"/>
      <c r="F48" s="46"/>
      <c r="G48" s="46"/>
      <c r="H48" s="46"/>
      <c r="I48" s="46">
        <v>602611</v>
      </c>
      <c r="J48" s="71">
        <v>1946787</v>
      </c>
      <c r="K48" s="46">
        <v>880600</v>
      </c>
      <c r="L48" s="46">
        <v>875019.55104000005</v>
      </c>
      <c r="M48" s="73">
        <f>AVERAGE(I48,K48,L48)</f>
        <v>786076.85034666676</v>
      </c>
      <c r="N48" s="46">
        <f t="shared" si="10"/>
        <v>786077</v>
      </c>
      <c r="O48" s="46">
        <f t="shared" si="11"/>
        <v>786077</v>
      </c>
      <c r="P48" s="44">
        <f t="shared" si="9"/>
        <v>594682.32043157099</v>
      </c>
      <c r="Q48" s="60">
        <f>STDEVA(I48,L48,K48)</f>
        <v>158910.58503201621</v>
      </c>
    </row>
    <row r="49" spans="1:17">
      <c r="A49" s="68">
        <v>7</v>
      </c>
      <c r="B49" s="51" t="s">
        <v>63</v>
      </c>
      <c r="C49" s="49" t="s">
        <v>26</v>
      </c>
      <c r="D49" s="50">
        <v>1</v>
      </c>
      <c r="E49" s="71">
        <v>392700</v>
      </c>
      <c r="F49" s="71">
        <v>297500</v>
      </c>
      <c r="G49" s="46">
        <v>1556216</v>
      </c>
      <c r="H49" s="82">
        <v>3184262</v>
      </c>
      <c r="I49" s="71">
        <v>4981673</v>
      </c>
      <c r="J49" s="46">
        <v>1919655</v>
      </c>
      <c r="K49" s="46">
        <v>1190000</v>
      </c>
      <c r="L49" s="46">
        <v>1728248.59296</v>
      </c>
      <c r="M49" s="73">
        <f>AVERAGE(J49,K49,G49,L49)</f>
        <v>1598529.89824</v>
      </c>
      <c r="N49" s="46">
        <f t="shared" si="10"/>
        <v>1598530</v>
      </c>
      <c r="O49" s="46">
        <f t="shared" si="11"/>
        <v>1598530</v>
      </c>
      <c r="P49" s="44">
        <f t="shared" si="9"/>
        <v>1712606.5203630633</v>
      </c>
      <c r="Q49" s="60">
        <f>STDEVA(G49,J49,K49,L49)</f>
        <v>310180.27794627246</v>
      </c>
    </row>
    <row r="50" spans="1:17">
      <c r="A50" s="68">
        <v>8</v>
      </c>
      <c r="B50" s="48" t="s">
        <v>64</v>
      </c>
      <c r="C50" s="49" t="s">
        <v>26</v>
      </c>
      <c r="D50" s="50">
        <v>1</v>
      </c>
      <c r="E50" s="46">
        <v>1071000</v>
      </c>
      <c r="F50" s="46">
        <v>773500</v>
      </c>
      <c r="G50" s="71">
        <v>6123185</v>
      </c>
      <c r="H50" s="83">
        <v>3829264</v>
      </c>
      <c r="I50" s="71">
        <v>4947495</v>
      </c>
      <c r="J50" s="71">
        <v>1946787</v>
      </c>
      <c r="K50" s="46">
        <v>952000</v>
      </c>
      <c r="L50" s="46"/>
      <c r="M50" s="73">
        <f>AVERAGE(K50,E50,F50)</f>
        <v>932166.66666666663</v>
      </c>
      <c r="N50" s="46">
        <f t="shared" si="10"/>
        <v>932167</v>
      </c>
      <c r="O50" s="46">
        <f t="shared" si="11"/>
        <v>932167</v>
      </c>
      <c r="P50" s="44">
        <f t="shared" si="9"/>
        <v>2079977.1622006656</v>
      </c>
      <c r="Q50" s="60">
        <f>STDEVA(F50,K50,E50)</f>
        <v>149738.38296620292</v>
      </c>
    </row>
    <row r="51" spans="1:17">
      <c r="A51" s="68">
        <v>9</v>
      </c>
      <c r="B51" s="53" t="s">
        <v>65</v>
      </c>
      <c r="C51" s="49" t="s">
        <v>26</v>
      </c>
      <c r="D51" s="50">
        <v>1</v>
      </c>
      <c r="E51" s="46"/>
      <c r="F51" s="46"/>
      <c r="G51" s="46"/>
      <c r="H51" s="46"/>
      <c r="I51" s="46">
        <v>1534453</v>
      </c>
      <c r="J51" s="71">
        <v>3298984</v>
      </c>
      <c r="K51" s="46">
        <v>2618000</v>
      </c>
      <c r="L51" s="46">
        <v>1264463.9856</v>
      </c>
      <c r="M51" s="73">
        <f>AVERAGE(I51,K51,L51)</f>
        <v>1805638.9952</v>
      </c>
      <c r="N51" s="46">
        <f t="shared" si="10"/>
        <v>1805639</v>
      </c>
      <c r="O51" s="46">
        <f t="shared" si="11"/>
        <v>1805639</v>
      </c>
      <c r="P51" s="44">
        <f t="shared" si="9"/>
        <v>948490.39964367799</v>
      </c>
      <c r="Q51" s="60">
        <f>STDEVA(I51,K51,L51)</f>
        <v>716359.76894568827</v>
      </c>
    </row>
    <row r="52" spans="1:17">
      <c r="A52" s="68">
        <v>10</v>
      </c>
      <c r="B52" s="48" t="s">
        <v>66</v>
      </c>
      <c r="C52" s="49" t="s">
        <v>26</v>
      </c>
      <c r="D52" s="50">
        <v>1</v>
      </c>
      <c r="E52" s="71">
        <v>440300</v>
      </c>
      <c r="F52" s="71">
        <v>297500</v>
      </c>
      <c r="G52" s="46">
        <v>1541764</v>
      </c>
      <c r="H52" s="80">
        <v>1263435</v>
      </c>
      <c r="I52" s="46">
        <v>1279912</v>
      </c>
      <c r="J52" s="46">
        <v>1946787</v>
      </c>
      <c r="K52" s="46">
        <v>1204280</v>
      </c>
      <c r="L52" s="46">
        <v>1445656.0492799999</v>
      </c>
      <c r="M52" s="73">
        <f>AVERAGE(I52,J52,K52,G52,H52,L52)</f>
        <v>1446972.3415466666</v>
      </c>
      <c r="N52" s="46">
        <f t="shared" si="10"/>
        <v>1446972</v>
      </c>
      <c r="O52" s="46">
        <f t="shared" si="11"/>
        <v>1446972</v>
      </c>
      <c r="P52" s="44">
        <f t="shared" si="9"/>
        <v>333994.11508104968</v>
      </c>
      <c r="Q52" s="60">
        <f>STDEVA(I52,J52,K52,G52,H52,L52)</f>
        <v>275425.69598626764</v>
      </c>
    </row>
    <row r="53" spans="1:17">
      <c r="A53" s="68">
        <v>11</v>
      </c>
      <c r="B53" s="48" t="s">
        <v>67</v>
      </c>
      <c r="C53" s="49" t="s">
        <v>26</v>
      </c>
      <c r="D53" s="50">
        <v>1</v>
      </c>
      <c r="E53" s="71">
        <v>559300</v>
      </c>
      <c r="F53" s="71">
        <v>464100</v>
      </c>
      <c r="G53" s="71">
        <v>2738825</v>
      </c>
      <c r="H53" s="81">
        <v>1075739</v>
      </c>
      <c r="I53" s="46">
        <v>1655255</v>
      </c>
      <c r="J53" s="46">
        <v>1432826</v>
      </c>
      <c r="K53" s="46">
        <v>1675520</v>
      </c>
      <c r="L53" s="46">
        <v>1344200.07648</v>
      </c>
      <c r="M53" s="73">
        <f>AVERAGE(I53,J53,K53,H53,L53)</f>
        <v>1436708.0152960001</v>
      </c>
      <c r="N53" s="46">
        <f t="shared" si="10"/>
        <v>1436708</v>
      </c>
      <c r="O53" s="46">
        <f t="shared" si="11"/>
        <v>1436708</v>
      </c>
      <c r="P53" s="44">
        <f t="shared" si="9"/>
        <v>164105.73811547656</v>
      </c>
      <c r="Q53" s="60">
        <f>STDEVA(I53,J53,K53,H53,L53)</f>
        <v>246812.3615988371</v>
      </c>
    </row>
    <row r="54" spans="1:17">
      <c r="A54" s="68">
        <v>12</v>
      </c>
      <c r="B54" s="48" t="s">
        <v>68</v>
      </c>
      <c r="C54" s="49" t="s">
        <v>26</v>
      </c>
      <c r="D54" s="50">
        <v>1</v>
      </c>
      <c r="E54" s="71">
        <v>440300</v>
      </c>
      <c r="F54" s="71">
        <v>297500</v>
      </c>
      <c r="G54" s="46">
        <v>1650226</v>
      </c>
      <c r="H54" s="81">
        <v>1203124</v>
      </c>
      <c r="I54" s="46">
        <v>963395</v>
      </c>
      <c r="J54" s="46">
        <v>1067734</v>
      </c>
      <c r="K54" s="46">
        <v>785400</v>
      </c>
      <c r="L54" s="46"/>
      <c r="M54" s="73">
        <f>AVERAGE(I54,J54,K54,G54,H54)</f>
        <v>1133975.8</v>
      </c>
      <c r="N54" s="46">
        <f t="shared" si="10"/>
        <v>1133976</v>
      </c>
      <c r="O54" s="46">
        <f t="shared" si="11"/>
        <v>1133976</v>
      </c>
      <c r="P54" s="44">
        <f t="shared" si="9"/>
        <v>142759.31639301163</v>
      </c>
      <c r="Q54" s="60">
        <f>STDEVA(I54,J54,K54,G54,H54)</f>
        <v>326453.14223667682</v>
      </c>
    </row>
    <row r="55" spans="1:17">
      <c r="A55" s="68">
        <v>13</v>
      </c>
      <c r="B55" s="48" t="s">
        <v>69</v>
      </c>
      <c r="C55" s="49" t="s">
        <v>26</v>
      </c>
      <c r="D55" s="50">
        <v>1</v>
      </c>
      <c r="E55" s="71">
        <v>440300</v>
      </c>
      <c r="F55" s="71">
        <v>297500</v>
      </c>
      <c r="G55" s="46">
        <v>1650226</v>
      </c>
      <c r="H55" s="46">
        <v>1722675</v>
      </c>
      <c r="I55" s="46">
        <v>1437063</v>
      </c>
      <c r="J55" s="46">
        <v>1067734</v>
      </c>
      <c r="K55" s="46">
        <v>692580</v>
      </c>
      <c r="L55" s="46">
        <v>1136637.83424</v>
      </c>
      <c r="M55" s="73">
        <f>AVERAGE(I55,J55,K55,G55,H55,L55)</f>
        <v>1284485.9723733333</v>
      </c>
      <c r="N55" s="46">
        <f t="shared" si="10"/>
        <v>1284486</v>
      </c>
      <c r="O55" s="46">
        <f t="shared" si="11"/>
        <v>1284486</v>
      </c>
      <c r="P55" s="44">
        <f t="shared" si="9"/>
        <v>305994.2469490263</v>
      </c>
      <c r="Q55" s="60">
        <f>STDEVA(I55,J55,K55,G55,H55,L55)</f>
        <v>391981.71148883767</v>
      </c>
    </row>
    <row r="56" spans="1:17">
      <c r="A56" s="68">
        <v>14</v>
      </c>
      <c r="B56" s="53" t="s">
        <v>70</v>
      </c>
      <c r="C56" s="49" t="s">
        <v>26</v>
      </c>
      <c r="D56" s="50">
        <v>1</v>
      </c>
      <c r="E56" s="46"/>
      <c r="F56" s="46"/>
      <c r="G56" s="46"/>
      <c r="H56" s="46"/>
      <c r="I56" s="46">
        <v>1636269</v>
      </c>
      <c r="J56" s="46">
        <v>1067734</v>
      </c>
      <c r="K56" s="46">
        <v>837760</v>
      </c>
      <c r="L56" s="46">
        <v>1215581.8915200001</v>
      </c>
      <c r="M56" s="73">
        <f>AVERAGE(I56,J56,K56,L56)</f>
        <v>1189336.22288</v>
      </c>
      <c r="N56" s="46">
        <f t="shared" si="10"/>
        <v>1189336</v>
      </c>
      <c r="O56" s="46">
        <f t="shared" si="11"/>
        <v>1189336</v>
      </c>
      <c r="P56" s="44">
        <f t="shared" si="9"/>
        <v>336070.76808835042</v>
      </c>
      <c r="Q56" s="60">
        <f>STDEVA(I56,J56,K56,L56)</f>
        <v>336070.76808835042</v>
      </c>
    </row>
    <row r="57" spans="1:17">
      <c r="A57" s="68">
        <v>15</v>
      </c>
      <c r="B57" s="48" t="s">
        <v>71</v>
      </c>
      <c r="C57" s="49" t="s">
        <v>26</v>
      </c>
      <c r="D57" s="50">
        <v>1</v>
      </c>
      <c r="E57" s="71">
        <v>416500</v>
      </c>
      <c r="F57" s="71">
        <v>297500</v>
      </c>
      <c r="G57" s="46">
        <v>1813177</v>
      </c>
      <c r="H57" s="82">
        <v>3157221</v>
      </c>
      <c r="I57" s="71">
        <v>4135739</v>
      </c>
      <c r="J57" s="71">
        <v>5462642</v>
      </c>
      <c r="K57" s="46">
        <v>2094400</v>
      </c>
      <c r="L57" s="46">
        <v>1427037.7104</v>
      </c>
      <c r="M57" s="73">
        <f>AVERAGE(K57,G57,L57)</f>
        <v>1778204.9034666668</v>
      </c>
      <c r="N57" s="46">
        <f t="shared" si="10"/>
        <v>1778205</v>
      </c>
      <c r="O57" s="46">
        <f t="shared" si="11"/>
        <v>1778205</v>
      </c>
      <c r="P57" s="44">
        <f t="shared" si="9"/>
        <v>1856100.9253044573</v>
      </c>
      <c r="Q57" s="60">
        <f>STDEVA(K57,G57,L57)</f>
        <v>335052.81978665729</v>
      </c>
    </row>
    <row r="58" spans="1:17">
      <c r="A58" s="68">
        <v>16</v>
      </c>
      <c r="B58" s="53" t="s">
        <v>72</v>
      </c>
      <c r="C58" s="49" t="s">
        <v>26</v>
      </c>
      <c r="D58" s="50">
        <v>40</v>
      </c>
      <c r="E58" s="71">
        <v>1582700</v>
      </c>
      <c r="F58" s="71">
        <v>10353000</v>
      </c>
      <c r="G58" s="46">
        <v>401625</v>
      </c>
      <c r="H58" s="81">
        <v>587190</v>
      </c>
      <c r="I58" s="46">
        <v>340642</v>
      </c>
      <c r="J58" s="46">
        <v>1074041</v>
      </c>
      <c r="K58" s="46">
        <v>354620</v>
      </c>
      <c r="L58" s="46"/>
      <c r="M58" s="73">
        <f t="shared" ref="M58:M64" si="12">AVERAGE(I58,J58,K58,G58,H58)</f>
        <v>551623.6</v>
      </c>
      <c r="N58" s="46">
        <f t="shared" si="10"/>
        <v>551624</v>
      </c>
      <c r="O58" s="46">
        <f t="shared" si="11"/>
        <v>22064960</v>
      </c>
      <c r="P58" s="44">
        <f t="shared" si="9"/>
        <v>419451.23930480087</v>
      </c>
      <c r="Q58" s="60">
        <f t="shared" ref="Q58:Q64" si="13">STDEVA(I58,J58,K58,G58,H58)</f>
        <v>308224.00238511601</v>
      </c>
    </row>
    <row r="59" spans="1:17">
      <c r="A59" s="68">
        <v>17</v>
      </c>
      <c r="B59" s="53" t="s">
        <v>72</v>
      </c>
      <c r="C59" s="49" t="s">
        <v>26</v>
      </c>
      <c r="D59" s="50">
        <v>40</v>
      </c>
      <c r="E59" s="71">
        <v>1582700</v>
      </c>
      <c r="F59" s="71">
        <v>10353000</v>
      </c>
      <c r="G59" s="46">
        <v>401625</v>
      </c>
      <c r="H59" s="81">
        <v>587190</v>
      </c>
      <c r="I59" s="46">
        <v>340642</v>
      </c>
      <c r="J59" s="46">
        <v>1074041</v>
      </c>
      <c r="K59" s="46">
        <v>354620</v>
      </c>
      <c r="L59" s="46"/>
      <c r="M59" s="73">
        <f t="shared" si="12"/>
        <v>551623.6</v>
      </c>
      <c r="N59" s="46">
        <f>ROUND(M59,0)</f>
        <v>551624</v>
      </c>
      <c r="O59" s="46">
        <f t="shared" si="11"/>
        <v>22064960</v>
      </c>
      <c r="P59" s="44">
        <f t="shared" si="9"/>
        <v>419451.23930480087</v>
      </c>
      <c r="Q59" s="60">
        <f t="shared" si="13"/>
        <v>308224.00238511601</v>
      </c>
    </row>
    <row r="60" spans="1:17">
      <c r="A60" s="68">
        <v>18</v>
      </c>
      <c r="B60" s="53" t="s">
        <v>73</v>
      </c>
      <c r="C60" s="49" t="s">
        <v>26</v>
      </c>
      <c r="D60" s="50">
        <v>20</v>
      </c>
      <c r="E60" s="71">
        <v>1035300</v>
      </c>
      <c r="F60" s="71">
        <v>3689000</v>
      </c>
      <c r="G60" s="46">
        <v>160650</v>
      </c>
      <c r="H60" s="81">
        <v>153388</v>
      </c>
      <c r="I60" s="46">
        <v>189199</v>
      </c>
      <c r="J60" s="46">
        <v>455122</v>
      </c>
      <c r="K60" s="46">
        <v>121380</v>
      </c>
      <c r="L60" s="46"/>
      <c r="M60" s="73">
        <f t="shared" si="12"/>
        <v>215947.8</v>
      </c>
      <c r="N60" s="46">
        <f t="shared" si="10"/>
        <v>215948</v>
      </c>
      <c r="O60" s="46">
        <f t="shared" si="11"/>
        <v>4318960</v>
      </c>
      <c r="P60" s="44">
        <f t="shared" si="9"/>
        <v>176398.30935225351</v>
      </c>
      <c r="Q60" s="60">
        <f t="shared" si="13"/>
        <v>135862.46750372229</v>
      </c>
    </row>
    <row r="61" spans="1:17">
      <c r="A61" s="68">
        <v>19</v>
      </c>
      <c r="B61" s="53" t="s">
        <v>73</v>
      </c>
      <c r="C61" s="49" t="s">
        <v>26</v>
      </c>
      <c r="D61" s="50">
        <v>20</v>
      </c>
      <c r="E61" s="71">
        <v>1035300</v>
      </c>
      <c r="F61" s="71">
        <v>3689000</v>
      </c>
      <c r="G61" s="46">
        <v>160650</v>
      </c>
      <c r="H61" s="81">
        <v>153388</v>
      </c>
      <c r="I61" s="46">
        <v>189199</v>
      </c>
      <c r="J61" s="46">
        <v>455122</v>
      </c>
      <c r="K61" s="46">
        <v>121380</v>
      </c>
      <c r="L61" s="46"/>
      <c r="M61" s="73">
        <f t="shared" si="12"/>
        <v>215947.8</v>
      </c>
      <c r="N61" s="46">
        <f t="shared" si="10"/>
        <v>215948</v>
      </c>
      <c r="O61" s="46">
        <f t="shared" si="11"/>
        <v>4318960</v>
      </c>
      <c r="P61" s="44">
        <f t="shared" si="9"/>
        <v>176398.30935225351</v>
      </c>
      <c r="Q61" s="60">
        <f t="shared" si="13"/>
        <v>135862.46750372229</v>
      </c>
    </row>
    <row r="62" spans="1:17">
      <c r="A62" s="68">
        <v>20</v>
      </c>
      <c r="B62" s="53" t="s">
        <v>73</v>
      </c>
      <c r="C62" s="49" t="s">
        <v>26</v>
      </c>
      <c r="D62" s="50">
        <v>20</v>
      </c>
      <c r="E62" s="71">
        <v>1035300</v>
      </c>
      <c r="F62" s="71">
        <v>3689000</v>
      </c>
      <c r="G62" s="46">
        <v>160650</v>
      </c>
      <c r="H62" s="81">
        <v>153388</v>
      </c>
      <c r="I62" s="46">
        <v>189199</v>
      </c>
      <c r="J62" s="46">
        <v>455122</v>
      </c>
      <c r="K62" s="46">
        <v>121380</v>
      </c>
      <c r="L62" s="46"/>
      <c r="M62" s="73">
        <f t="shared" si="12"/>
        <v>215947.8</v>
      </c>
      <c r="N62" s="46">
        <f t="shared" si="10"/>
        <v>215948</v>
      </c>
      <c r="O62" s="46">
        <f t="shared" si="11"/>
        <v>4318960</v>
      </c>
      <c r="P62" s="44">
        <f t="shared" si="9"/>
        <v>176398.30935225351</v>
      </c>
      <c r="Q62" s="60">
        <f t="shared" si="13"/>
        <v>135862.46750372229</v>
      </c>
    </row>
    <row r="63" spans="1:17">
      <c r="A63" s="68">
        <v>21</v>
      </c>
      <c r="B63" s="53" t="s">
        <v>74</v>
      </c>
      <c r="C63" s="49" t="s">
        <v>26</v>
      </c>
      <c r="D63" s="50">
        <v>40</v>
      </c>
      <c r="E63" s="71">
        <v>1035300</v>
      </c>
      <c r="F63" s="71">
        <v>3689000</v>
      </c>
      <c r="G63" s="46">
        <v>160650</v>
      </c>
      <c r="H63" s="81">
        <v>153388</v>
      </c>
      <c r="I63" s="46">
        <v>186154</v>
      </c>
      <c r="J63" s="46">
        <v>455122</v>
      </c>
      <c r="K63" s="46">
        <v>128520</v>
      </c>
      <c r="L63" s="46"/>
      <c r="M63" s="73">
        <f t="shared" si="12"/>
        <v>216766.8</v>
      </c>
      <c r="N63" s="46">
        <f t="shared" si="10"/>
        <v>216767</v>
      </c>
      <c r="O63" s="46">
        <f t="shared" si="11"/>
        <v>8670680</v>
      </c>
      <c r="P63" s="44">
        <f t="shared" si="9"/>
        <v>174324.56768147548</v>
      </c>
      <c r="Q63" s="60">
        <f t="shared" si="13"/>
        <v>134818.22033093299</v>
      </c>
    </row>
    <row r="64" spans="1:17">
      <c r="A64" s="68">
        <v>22</v>
      </c>
      <c r="B64" s="53" t="s">
        <v>75</v>
      </c>
      <c r="C64" s="49" t="s">
        <v>26</v>
      </c>
      <c r="D64" s="50">
        <v>20</v>
      </c>
      <c r="E64" s="71">
        <v>1035300</v>
      </c>
      <c r="F64" s="71">
        <v>3689000</v>
      </c>
      <c r="G64" s="46">
        <v>178500</v>
      </c>
      <c r="H64" s="81">
        <v>153388</v>
      </c>
      <c r="I64" s="46">
        <v>220740</v>
      </c>
      <c r="J64" s="46">
        <v>472734</v>
      </c>
      <c r="K64" s="46">
        <v>126140</v>
      </c>
      <c r="L64" s="46"/>
      <c r="M64" s="73">
        <f t="shared" si="12"/>
        <v>230300.4</v>
      </c>
      <c r="N64" s="46">
        <f t="shared" si="10"/>
        <v>230300</v>
      </c>
      <c r="O64" s="46">
        <f t="shared" si="11"/>
        <v>4606000</v>
      </c>
      <c r="P64" s="44">
        <f t="shared" si="9"/>
        <v>179154.28028750341</v>
      </c>
      <c r="Q64" s="60">
        <f t="shared" si="13"/>
        <v>139922.87098541111</v>
      </c>
    </row>
    <row r="65" spans="1:17">
      <c r="A65" s="68">
        <v>23</v>
      </c>
      <c r="B65" s="51" t="s">
        <v>76</v>
      </c>
      <c r="C65" s="49" t="s">
        <v>26</v>
      </c>
      <c r="D65" s="50">
        <v>3</v>
      </c>
      <c r="E65" s="46">
        <v>559300</v>
      </c>
      <c r="F65" s="46">
        <v>595000</v>
      </c>
      <c r="G65" s="71">
        <v>3272500</v>
      </c>
      <c r="H65" s="81">
        <v>516431</v>
      </c>
      <c r="I65" s="71">
        <v>1597458</v>
      </c>
      <c r="J65" s="46">
        <v>1000142</v>
      </c>
      <c r="K65" s="46">
        <v>825860</v>
      </c>
      <c r="L65" s="46"/>
      <c r="M65" s="73">
        <f>AVERAGE(J65,K65,E65,F65,H65)</f>
        <v>699346.6</v>
      </c>
      <c r="N65" s="46">
        <f t="shared" si="10"/>
        <v>699347</v>
      </c>
      <c r="O65" s="46">
        <f t="shared" si="11"/>
        <v>2098041</v>
      </c>
      <c r="P65" s="44">
        <f t="shared" si="9"/>
        <v>404665.31294062414</v>
      </c>
      <c r="Q65" s="60">
        <f>STDEVA(J65,K65,E65,F65,G65)</f>
        <v>1144434.3504023287</v>
      </c>
    </row>
    <row r="66" spans="1:17">
      <c r="A66" s="68">
        <v>24</v>
      </c>
      <c r="B66" s="51" t="s">
        <v>77</v>
      </c>
      <c r="C66" s="49" t="s">
        <v>26</v>
      </c>
      <c r="D66" s="50">
        <v>3</v>
      </c>
      <c r="E66" s="46">
        <v>511700</v>
      </c>
      <c r="F66" s="46">
        <v>476000</v>
      </c>
      <c r="G66" s="46">
        <v>937125</v>
      </c>
      <c r="H66" s="81">
        <v>516431</v>
      </c>
      <c r="I66" s="46">
        <v>1064973</v>
      </c>
      <c r="J66" s="46">
        <v>1270629</v>
      </c>
      <c r="K66" s="46">
        <v>825860</v>
      </c>
      <c r="L66" s="46"/>
      <c r="M66" s="73">
        <f>AVERAGE(I66,J66,K66,E66,F66,G66,H66,L66)</f>
        <v>800388.28571428568</v>
      </c>
      <c r="N66" s="46">
        <f t="shared" si="10"/>
        <v>800388</v>
      </c>
      <c r="O66" s="46">
        <f t="shared" si="11"/>
        <v>2401164</v>
      </c>
      <c r="P66" s="44">
        <f t="shared" si="9"/>
        <v>222594.13007609444</v>
      </c>
      <c r="Q66" s="60">
        <f>STDEVA(I66,J66,E66,F66)</f>
        <v>398327.4994980052</v>
      </c>
    </row>
    <row r="67" spans="1:17">
      <c r="A67" s="68">
        <v>25</v>
      </c>
      <c r="B67" s="51" t="s">
        <v>77</v>
      </c>
      <c r="C67" s="49" t="s">
        <v>26</v>
      </c>
      <c r="D67" s="50">
        <v>3</v>
      </c>
      <c r="E67" s="46">
        <v>511700</v>
      </c>
      <c r="F67" s="46">
        <v>476000</v>
      </c>
      <c r="G67" s="46">
        <v>937125</v>
      </c>
      <c r="H67" s="81">
        <v>516431</v>
      </c>
      <c r="I67" s="46">
        <v>1064973</v>
      </c>
      <c r="J67" s="46">
        <v>1270629</v>
      </c>
      <c r="K67" s="46">
        <v>825860</v>
      </c>
      <c r="L67" s="46"/>
      <c r="M67" s="73">
        <f>AVERAGE(I67,J67,K67,E67,F67,G67,H67,L67)</f>
        <v>800388.28571428568</v>
      </c>
      <c r="N67" s="46">
        <f t="shared" si="10"/>
        <v>800388</v>
      </c>
      <c r="O67" s="46">
        <f t="shared" si="11"/>
        <v>2401164</v>
      </c>
      <c r="P67" s="44">
        <f t="shared" si="9"/>
        <v>222594.13007609444</v>
      </c>
      <c r="Q67" s="60">
        <f>STDEVA(I67,J67,E67,F67)</f>
        <v>398327.4994980052</v>
      </c>
    </row>
    <row r="68" spans="1:17">
      <c r="A68" s="68">
        <v>26</v>
      </c>
      <c r="B68" s="51" t="s">
        <v>77</v>
      </c>
      <c r="C68" s="49" t="s">
        <v>26</v>
      </c>
      <c r="D68" s="50">
        <v>3</v>
      </c>
      <c r="E68" s="46">
        <v>511700</v>
      </c>
      <c r="F68" s="46">
        <v>476000</v>
      </c>
      <c r="G68" s="46">
        <v>937125</v>
      </c>
      <c r="H68" s="83">
        <v>21153216</v>
      </c>
      <c r="I68" s="46">
        <v>1064973</v>
      </c>
      <c r="J68" s="46">
        <v>1270629</v>
      </c>
      <c r="K68" s="46">
        <v>825860</v>
      </c>
      <c r="L68" s="46"/>
      <c r="M68" s="73">
        <f>AVERAGE(I68,J68,K68,E68,F68,G68)</f>
        <v>847714.5</v>
      </c>
      <c r="N68" s="46">
        <f t="shared" si="10"/>
        <v>847715</v>
      </c>
      <c r="O68" s="46">
        <f t="shared" si="11"/>
        <v>2543145</v>
      </c>
      <c r="P68" s="44">
        <f t="shared" si="9"/>
        <v>222594.13007609444</v>
      </c>
      <c r="Q68" s="60">
        <f>STDEVA(I68,J68,E68,F68)</f>
        <v>398327.4994980052</v>
      </c>
    </row>
    <row r="69" spans="1:17">
      <c r="A69" s="68">
        <v>27</v>
      </c>
      <c r="B69" s="52" t="s">
        <v>78</v>
      </c>
      <c r="C69" s="49" t="s">
        <v>26</v>
      </c>
      <c r="D69" s="50">
        <v>1</v>
      </c>
      <c r="E69" s="46">
        <v>1190000</v>
      </c>
      <c r="F69" s="46">
        <v>952000</v>
      </c>
      <c r="G69" s="46">
        <v>5474000</v>
      </c>
      <c r="H69" s="79">
        <v>0</v>
      </c>
      <c r="I69" s="46">
        <v>10624320</v>
      </c>
      <c r="J69" s="46">
        <v>1540997</v>
      </c>
      <c r="K69" s="84">
        <v>19040000</v>
      </c>
      <c r="L69" s="46"/>
      <c r="M69" s="73">
        <f>AVERAGE(I69,J69,E69,F69,G69)</f>
        <v>3956263.4</v>
      </c>
      <c r="N69" s="46">
        <f t="shared" si="10"/>
        <v>3956263</v>
      </c>
      <c r="O69" s="46">
        <f t="shared" si="11"/>
        <v>3956263</v>
      </c>
      <c r="P69" s="44"/>
      <c r="Q69" s="60"/>
    </row>
    <row r="70" spans="1:17" ht="17.25" customHeight="1">
      <c r="A70" s="22"/>
      <c r="B70" s="85" t="s">
        <v>54</v>
      </c>
      <c r="C70" s="85"/>
      <c r="D70" s="85"/>
      <c r="E70" s="46">
        <f>SUM((E43:E57))+SUM(E58*$D$58)+(E59*$D$59)+(E60*$D$60)+(E61*$D$61)+(E62*$D$62)+(E63*$D$63)+(E64*$D$64)+(E65*$D$65)+(E66*$D$66)+(E67*$D$67)+(E68*$D$68)+E69</f>
        <v>264620300</v>
      </c>
      <c r="F70" s="46">
        <f t="shared" ref="F70:H70" si="14">SUM((F43:F57))+SUM(F58*$D$58)+(F59*$D$59)+(F60*$D$60)+(F61*$D$61)+(F62*$D$62)+(F63*$D$63)+(F64*$D$64)+(F65*$D$65)+(F66*$D$66)+(F67*$D$67)+(F68*$D$68)+F69</f>
        <v>1282677200</v>
      </c>
      <c r="G70" s="46">
        <f t="shared" si="14"/>
        <v>102901377</v>
      </c>
      <c r="H70" s="46">
        <f t="shared" si="14"/>
        <v>153093210</v>
      </c>
      <c r="I70" s="46">
        <f>SUM((I43:I57))+(I58*$D$58)+(I59*$D$59)+(I60*$D$60)+(I61*$D$61)+(I62*$D$62)+(I63*$D$63)+(I64*$D$64)+(I65*$D$65)+(I66*$D$66)+(I67*$D$67)+(I68*$D$68)+I69</f>
        <v>103404669</v>
      </c>
      <c r="J70" s="46">
        <f>SUM((J43:J57))+(J58*$D$58)+(J59*$D$59)+(J60*$D$60)+(J61*$D$61)+(J62*$D$62)+(J63*$D$63)+(J64*$D$64)+(J65*$D$65)+(J66*$D$66)+(J67*$D$67)+(J68*$D$68)+J69</f>
        <v>188029098</v>
      </c>
      <c r="K70" s="46">
        <f t="shared" ref="K70:L70" si="15">SUM((K43:K57))+(K58*$D$58)+(K59*$D$59)+(K60*$D$60)+(K61*$D$61)+(K62*$D$62)+(K63*$D$63)+(K64*$D$64)+(K65*$D$65)+(K66*$D$66)+(K67*$D$67)+(K68*$D$68)+K69</f>
        <v>91275380</v>
      </c>
      <c r="L70" s="46">
        <f t="shared" si="15"/>
        <v>15317890.47456</v>
      </c>
      <c r="M70" s="46"/>
      <c r="N70" s="46"/>
      <c r="O70" s="46">
        <f>SUM(O43:O69)</f>
        <v>102824106</v>
      </c>
    </row>
    <row r="71" spans="1:17" ht="28.5">
      <c r="A71" s="22">
        <v>28</v>
      </c>
      <c r="B71" s="33" t="s">
        <v>79</v>
      </c>
      <c r="C71" s="32" t="s">
        <v>80</v>
      </c>
      <c r="D71" s="32">
        <v>1</v>
      </c>
      <c r="E71" s="46">
        <v>29480518.52</v>
      </c>
      <c r="F71" s="46">
        <v>29480518.52</v>
      </c>
      <c r="G71" s="46">
        <v>29480518.52</v>
      </c>
      <c r="H71" s="46">
        <v>29480518.52</v>
      </c>
      <c r="I71" s="46">
        <v>29480518.52</v>
      </c>
      <c r="J71" s="46">
        <v>29480518.52</v>
      </c>
      <c r="K71" s="46">
        <v>29480518.52</v>
      </c>
      <c r="L71" s="46">
        <v>29480518.52</v>
      </c>
      <c r="M71" s="46">
        <v>29480518.52</v>
      </c>
      <c r="N71" s="46">
        <f t="shared" si="10"/>
        <v>29480519</v>
      </c>
      <c r="O71" s="46">
        <f>ROUND(N71,0)</f>
        <v>29480519</v>
      </c>
    </row>
    <row r="72" spans="1:17" ht="17.25" customHeight="1">
      <c r="A72" s="86" t="s">
        <v>81</v>
      </c>
      <c r="B72" s="86"/>
      <c r="C72" s="86"/>
      <c r="D72" s="86"/>
      <c r="E72" s="28">
        <f>SUM(E70:E71)</f>
        <v>294100818.51999998</v>
      </c>
      <c r="F72" s="28">
        <f t="shared" ref="F72:I72" si="16">SUM(F70:F71)</f>
        <v>1312157718.52</v>
      </c>
      <c r="G72" s="28">
        <f t="shared" si="16"/>
        <v>132381895.52</v>
      </c>
      <c r="H72" s="28">
        <f t="shared" si="16"/>
        <v>182573728.52000001</v>
      </c>
      <c r="I72" s="28">
        <f t="shared" si="16"/>
        <v>132885187.52</v>
      </c>
      <c r="J72" s="28">
        <f t="shared" ref="J72:K72" si="17">SUM(J70:J71)</f>
        <v>217509616.52000001</v>
      </c>
      <c r="K72" s="28">
        <f t="shared" si="17"/>
        <v>120755898.52</v>
      </c>
      <c r="L72" s="28"/>
      <c r="M72" s="27"/>
      <c r="N72" s="27"/>
      <c r="O72" s="41">
        <f>SUM(O70:O71)</f>
        <v>132304625</v>
      </c>
    </row>
    <row r="73" spans="1:17" ht="16.5">
      <c r="A73" s="29"/>
      <c r="B73" s="87" t="s">
        <v>82</v>
      </c>
      <c r="C73" s="87"/>
      <c r="D73" s="87"/>
      <c r="E73" s="30">
        <f t="shared" ref="E73:J73" si="18">E72+E40</f>
        <v>447363405.07999998</v>
      </c>
      <c r="F73" s="30">
        <f t="shared" si="18"/>
        <v>1566427505.0799999</v>
      </c>
      <c r="G73" s="30">
        <f t="shared" si="18"/>
        <v>295892104.07999998</v>
      </c>
      <c r="H73" s="30">
        <f t="shared" si="18"/>
        <v>303900568.08000004</v>
      </c>
      <c r="I73" s="30">
        <f t="shared" si="18"/>
        <v>282778259.07999998</v>
      </c>
      <c r="J73" s="30">
        <f t="shared" si="18"/>
        <v>1523362664.0799999</v>
      </c>
      <c r="K73" s="30">
        <f>K72+K40</f>
        <v>277703915.07999998</v>
      </c>
      <c r="L73" s="30"/>
      <c r="M73" s="42"/>
      <c r="N73" s="29"/>
      <c r="O73" s="58">
        <f>O72+O40</f>
        <v>253493153</v>
      </c>
      <c r="P73" s="8"/>
      <c r="Q73" s="8"/>
    </row>
    <row r="74" spans="1:17" ht="16.5">
      <c r="B74" s="25"/>
      <c r="C74" s="26"/>
      <c r="D74" s="26"/>
      <c r="E74" s="26"/>
      <c r="F74" s="26"/>
      <c r="G74" s="26"/>
      <c r="H74" s="26"/>
      <c r="I74" s="26"/>
      <c r="J74" s="16"/>
      <c r="K74" s="16"/>
      <c r="L74" s="16"/>
      <c r="M74" s="24"/>
      <c r="N74" s="15"/>
      <c r="P74" s="9"/>
      <c r="Q74" s="9"/>
    </row>
    <row r="75" spans="1:17" ht="16.5">
      <c r="B75" s="25"/>
      <c r="C75" s="26"/>
      <c r="D75" s="26"/>
      <c r="E75" s="26"/>
      <c r="F75" s="26"/>
      <c r="G75" s="26"/>
      <c r="H75" s="26"/>
      <c r="I75" s="26"/>
      <c r="J75" s="16"/>
      <c r="K75" s="16"/>
      <c r="L75" s="16"/>
      <c r="M75" s="31"/>
      <c r="P75" s="8"/>
      <c r="Q75" s="9"/>
    </row>
    <row r="76" spans="1:17" ht="185.25" customHeight="1">
      <c r="B76" s="88" t="s">
        <v>83</v>
      </c>
      <c r="C76" s="89"/>
      <c r="D76" s="89"/>
      <c r="E76" s="89"/>
      <c r="F76" s="89"/>
      <c r="G76" s="89"/>
      <c r="H76" s="89"/>
      <c r="I76" s="89"/>
      <c r="J76" s="89"/>
      <c r="K76" s="89"/>
      <c r="L76" s="89"/>
      <c r="M76" s="89"/>
      <c r="N76" s="89"/>
      <c r="O76" s="89"/>
      <c r="P76" s="43"/>
      <c r="Q76" s="9"/>
    </row>
    <row r="77" spans="1:17" ht="16.5">
      <c r="B77" s="14"/>
      <c r="C77" s="14"/>
      <c r="D77" s="11"/>
      <c r="E77" s="11"/>
      <c r="F77" s="11"/>
      <c r="G77" s="11"/>
      <c r="H77" s="11"/>
      <c r="I77" s="11"/>
      <c r="J77" s="13"/>
      <c r="K77" s="12"/>
      <c r="L77" s="13"/>
    </row>
    <row r="78" spans="1:17" ht="16.5">
      <c r="B78" s="11"/>
      <c r="C78" s="11"/>
      <c r="D78" s="11"/>
      <c r="E78" s="11"/>
      <c r="F78" s="11"/>
      <c r="G78" s="11"/>
      <c r="H78" s="11"/>
      <c r="I78" s="11"/>
      <c r="J78" s="10"/>
      <c r="K78" s="20"/>
      <c r="L78" s="10"/>
    </row>
    <row r="79" spans="1:17" ht="54" customHeight="1">
      <c r="B79" s="47" t="s">
        <v>84</v>
      </c>
      <c r="C79" s="9"/>
      <c r="D79" s="9"/>
      <c r="E79" s="9"/>
      <c r="F79" s="9"/>
      <c r="G79" s="9"/>
      <c r="H79" s="9"/>
      <c r="I79" s="9"/>
      <c r="J79" s="8"/>
      <c r="K79" s="9"/>
      <c r="L79" s="8"/>
    </row>
    <row r="80" spans="1:17" ht="14.25">
      <c r="C80" s="7"/>
      <c r="D80" s="7"/>
      <c r="E80" s="7"/>
      <c r="F80" s="7"/>
      <c r="G80" s="7"/>
      <c r="H80" s="7"/>
      <c r="I80" s="7"/>
      <c r="J80" s="6"/>
      <c r="K80" s="7"/>
      <c r="L80" s="6"/>
    </row>
    <row r="81" spans="10:12" ht="14.25">
      <c r="J81" s="5"/>
      <c r="K81" s="1"/>
      <c r="L81" s="5"/>
    </row>
  </sheetData>
  <mergeCells count="24">
    <mergeCell ref="A2:B3"/>
    <mergeCell ref="C2:K3"/>
    <mergeCell ref="M2:O2"/>
    <mergeCell ref="M3:O3"/>
    <mergeCell ref="A4:B4"/>
    <mergeCell ref="C4:O4"/>
    <mergeCell ref="A40:D40"/>
    <mergeCell ref="A5:A7"/>
    <mergeCell ref="B5:B7"/>
    <mergeCell ref="C5:C7"/>
    <mergeCell ref="D5:D7"/>
    <mergeCell ref="O5:O7"/>
    <mergeCell ref="P5:P7"/>
    <mergeCell ref="Q5:Q7"/>
    <mergeCell ref="B8:K8"/>
    <mergeCell ref="B38:D38"/>
    <mergeCell ref="M5:M7"/>
    <mergeCell ref="N5:N7"/>
    <mergeCell ref="L5:L6"/>
    <mergeCell ref="B42:K42"/>
    <mergeCell ref="B70:D70"/>
    <mergeCell ref="A72:D72"/>
    <mergeCell ref="B73:D73"/>
    <mergeCell ref="B76:O76"/>
  </mergeCells>
  <pageMargins left="0.25" right="0.25" top="0.75" bottom="0.75" header="0.3" footer="0.3"/>
  <pageSetup scale="5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3:D13"/>
  <sheetViews>
    <sheetView workbookViewId="0">
      <selection activeCell="D8" sqref="D8:D10"/>
    </sheetView>
  </sheetViews>
  <sheetFormatPr defaultColWidth="11.42578125" defaultRowHeight="15"/>
  <cols>
    <col min="3" max="3" width="28.7109375" bestFit="1" customWidth="1"/>
    <col min="4" max="4" width="16.7109375" bestFit="1" customWidth="1"/>
  </cols>
  <sheetData>
    <row r="3" spans="3:4">
      <c r="C3" s="111" t="s">
        <v>85</v>
      </c>
      <c r="D3" s="112"/>
    </row>
    <row r="4" spans="3:4">
      <c r="C4" s="62" t="s">
        <v>86</v>
      </c>
      <c r="D4" s="69">
        <f>' GCO-040-PDT-002-f-016 (2)'!O38</f>
        <v>68861741</v>
      </c>
    </row>
    <row r="5" spans="3:4">
      <c r="C5" s="62" t="s">
        <v>87</v>
      </c>
      <c r="D5" s="69">
        <f>' GCO-040-PDT-002-f-016 (2)'!O39</f>
        <v>52326787</v>
      </c>
    </row>
    <row r="6" spans="3:4">
      <c r="C6" s="62" t="s">
        <v>56</v>
      </c>
      <c r="D6" s="69">
        <f>' GCO-040-PDT-002-f-016 (2)'!O40</f>
        <v>121188528</v>
      </c>
    </row>
    <row r="7" spans="3:4">
      <c r="C7" s="111" t="s">
        <v>88</v>
      </c>
      <c r="D7" s="112"/>
    </row>
    <row r="8" spans="3:4">
      <c r="C8" s="62" t="s">
        <v>86</v>
      </c>
      <c r="D8" s="69">
        <f>' GCO-040-PDT-002-f-016 (2)'!O70</f>
        <v>102824106</v>
      </c>
    </row>
    <row r="9" spans="3:4">
      <c r="C9" s="62" t="s">
        <v>87</v>
      </c>
      <c r="D9" s="69">
        <f>' GCO-040-PDT-002-f-016 (2)'!O71</f>
        <v>29480519</v>
      </c>
    </row>
    <row r="10" spans="3:4">
      <c r="C10" s="62" t="s">
        <v>81</v>
      </c>
      <c r="D10" s="69">
        <f>' GCO-040-PDT-002-f-016 (2)'!O72</f>
        <v>132304625</v>
      </c>
    </row>
    <row r="11" spans="3:4">
      <c r="C11" s="62" t="s">
        <v>82</v>
      </c>
      <c r="D11" s="69">
        <f>' GCO-040-PDT-002-f-016 (2)'!O73</f>
        <v>253493153</v>
      </c>
    </row>
    <row r="12" spans="3:4">
      <c r="C12" s="62" t="s">
        <v>89</v>
      </c>
      <c r="D12" s="63">
        <v>260000000</v>
      </c>
    </row>
    <row r="13" spans="3:4">
      <c r="C13" s="62" t="s">
        <v>90</v>
      </c>
      <c r="D13" s="64">
        <f>D11-D12</f>
        <v>-6506847</v>
      </c>
    </row>
  </sheetData>
  <mergeCells count="2">
    <mergeCell ref="C3:D3"/>
    <mergeCell ref="C7:D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E28"/>
  <sheetViews>
    <sheetView workbookViewId="0">
      <selection activeCell="E21" sqref="E21"/>
    </sheetView>
  </sheetViews>
  <sheetFormatPr defaultColWidth="9.140625" defaultRowHeight="15"/>
  <cols>
    <col min="3" max="3" width="14.28515625" customWidth="1"/>
    <col min="4" max="4" width="15.140625" customWidth="1"/>
    <col min="5" max="5" width="13.28515625" customWidth="1"/>
  </cols>
  <sheetData>
    <row r="1" spans="3:5">
      <c r="D1" s="76">
        <v>5.0999999999999997E-2</v>
      </c>
    </row>
    <row r="2" spans="3:5">
      <c r="C2" s="77">
        <v>1060575.3600000001</v>
      </c>
      <c r="D2" s="75">
        <f>C2*$D$1</f>
        <v>54089.343359999999</v>
      </c>
      <c r="E2" s="75">
        <f>C2+D2</f>
        <v>1114664.7033600002</v>
      </c>
    </row>
    <row r="3" spans="3:5">
      <c r="C3" s="70">
        <v>1375527.36</v>
      </c>
      <c r="D3" s="75">
        <f t="shared" ref="D3:D16" si="0">C3*$D$1</f>
        <v>70151.895359999995</v>
      </c>
      <c r="E3" s="75">
        <f t="shared" ref="E3:E15" si="1">C3+D3</f>
        <v>1445679.2553600001</v>
      </c>
    </row>
    <row r="4" spans="3:5">
      <c r="C4" s="74">
        <v>1375529.28</v>
      </c>
      <c r="D4" s="75">
        <f t="shared" si="0"/>
        <v>70151.993279999995</v>
      </c>
      <c r="E4" s="75">
        <f t="shared" si="1"/>
        <v>1445681.2732800001</v>
      </c>
    </row>
    <row r="5" spans="3:5">
      <c r="C5" s="74">
        <v>832559.04</v>
      </c>
      <c r="D5" s="75"/>
      <c r="E5" s="75"/>
    </row>
    <row r="6" spans="3:5">
      <c r="C6" s="74">
        <v>832559.04</v>
      </c>
      <c r="D6" s="75">
        <f t="shared" si="0"/>
        <v>42460.511039999998</v>
      </c>
      <c r="E6" s="75">
        <f t="shared" si="1"/>
        <v>875019.55104000005</v>
      </c>
    </row>
    <row r="7" spans="3:5">
      <c r="C7" s="74">
        <v>832559.04</v>
      </c>
      <c r="D7" s="75">
        <f t="shared" si="0"/>
        <v>42460.511039999998</v>
      </c>
      <c r="E7" s="75">
        <f t="shared" si="1"/>
        <v>875019.55104000005</v>
      </c>
    </row>
    <row r="8" spans="3:5">
      <c r="C8" s="74">
        <v>1644384.96</v>
      </c>
      <c r="D8" s="75">
        <f t="shared" si="0"/>
        <v>83863.632959999988</v>
      </c>
      <c r="E8" s="75">
        <f t="shared" si="1"/>
        <v>1728248.59296</v>
      </c>
    </row>
    <row r="9" spans="3:5">
      <c r="D9" s="75"/>
      <c r="E9" s="75"/>
    </row>
    <row r="10" spans="3:5">
      <c r="C10" s="70">
        <v>1203105.6000000001</v>
      </c>
      <c r="D10" s="75">
        <f>C10*$D$1</f>
        <v>61358.385600000001</v>
      </c>
      <c r="E10" s="75">
        <f t="shared" ref="E10:E11" si="2">C10+D10</f>
        <v>1264463.9856</v>
      </c>
    </row>
    <row r="11" spans="3:5">
      <c r="C11" s="46">
        <v>1375505.28</v>
      </c>
      <c r="D11" s="75">
        <f t="shared" si="0"/>
        <v>70150.769279999993</v>
      </c>
      <c r="E11" s="75">
        <f t="shared" si="2"/>
        <v>1445656.0492799999</v>
      </c>
    </row>
    <row r="12" spans="3:5">
      <c r="C12" s="70">
        <v>1278972.48</v>
      </c>
      <c r="D12" s="75">
        <f t="shared" si="0"/>
        <v>65227.596479999993</v>
      </c>
      <c r="E12" s="75">
        <f t="shared" ref="E12" si="3">C12+D12</f>
        <v>1344200.07648</v>
      </c>
    </row>
    <row r="13" spans="3:5">
      <c r="C13" s="3"/>
      <c r="D13" s="75"/>
      <c r="E13" s="75"/>
    </row>
    <row r="14" spans="3:5">
      <c r="C14" s="70">
        <v>1081482.24</v>
      </c>
      <c r="D14" s="75">
        <f t="shared" si="0"/>
        <v>55155.594239999999</v>
      </c>
      <c r="E14" s="75">
        <f t="shared" si="1"/>
        <v>1136637.83424</v>
      </c>
    </row>
    <row r="15" spans="3:5">
      <c r="C15" s="70">
        <v>1156595.52</v>
      </c>
      <c r="D15" s="75">
        <f t="shared" si="0"/>
        <v>58986.371520000001</v>
      </c>
      <c r="E15" s="75">
        <f t="shared" si="1"/>
        <v>1215581.8915200001</v>
      </c>
    </row>
    <row r="16" spans="3:5">
      <c r="C16" s="46">
        <v>1357790.4</v>
      </c>
      <c r="D16" s="75">
        <f t="shared" si="0"/>
        <v>69247.310399999988</v>
      </c>
      <c r="E16" s="75">
        <f t="shared" ref="E16" si="4">C16+D16</f>
        <v>1427037.7104</v>
      </c>
    </row>
    <row r="17" spans="3:5">
      <c r="C17" s="72"/>
      <c r="D17" s="75"/>
      <c r="E17" s="75"/>
    </row>
    <row r="18" spans="3:5">
      <c r="C18" s="46"/>
      <c r="D18" s="75"/>
      <c r="E18" s="75"/>
    </row>
    <row r="19" spans="3:5">
      <c r="C19" s="46"/>
      <c r="D19" s="75"/>
      <c r="E19" s="75"/>
    </row>
    <row r="20" spans="3:5">
      <c r="C20" s="71"/>
      <c r="D20" s="75"/>
      <c r="E20" s="75"/>
    </row>
    <row r="21" spans="3:5">
      <c r="C21" s="71"/>
      <c r="D21" s="75"/>
      <c r="E21" s="75"/>
    </row>
    <row r="22" spans="3:5">
      <c r="C22" s="70"/>
      <c r="D22" s="75"/>
      <c r="E22" s="75"/>
    </row>
    <row r="23" spans="3:5">
      <c r="C23" s="70"/>
      <c r="D23" s="75"/>
      <c r="E23" s="75"/>
    </row>
    <row r="24" spans="3:5">
      <c r="C24" s="70"/>
      <c r="D24" s="75"/>
      <c r="E24" s="75"/>
    </row>
    <row r="25" spans="3:5">
      <c r="C25" s="70"/>
      <c r="D25" s="75"/>
      <c r="E25" s="75"/>
    </row>
    <row r="26" spans="3:5">
      <c r="C26" s="46"/>
      <c r="D26" s="75"/>
      <c r="E26" s="75"/>
    </row>
    <row r="27" spans="3:5">
      <c r="C27" s="46"/>
      <c r="D27" s="75"/>
      <c r="E27" s="75"/>
    </row>
    <row r="28" spans="3:5">
      <c r="C28" s="46"/>
      <c r="D28" s="75"/>
      <c r="E28"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HP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Murcia</dc:creator>
  <cp:keywords/>
  <dc:description/>
  <cp:lastModifiedBy>Sandra Paola Murcia Murcia</cp:lastModifiedBy>
  <cp:revision/>
  <dcterms:created xsi:type="dcterms:W3CDTF">2025-06-03T03:43:48Z</dcterms:created>
  <dcterms:modified xsi:type="dcterms:W3CDTF">2026-05-20T16:43:00Z</dcterms:modified>
  <cp:category/>
  <cp:contentStatus/>
</cp:coreProperties>
</file>