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D:\21.AEROCIVIL 2026\4.CONTRATACION AERO 2026\4.11. Mantenimiento Monteria 26001298 H4\4.11.3. Proyecto Monteria 2026\"/>
    </mc:Choice>
  </mc:AlternateContent>
  <xr:revisionPtr revIDLastSave="0" documentId="13_ncr:1_{0C168410-A95A-45CF-A7E9-4A8D5DB58BE0}"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[0]!ERR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[0]!ERR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#REF!</definedName>
    <definedName name="_APU465">#REF!</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(Entidad)'!$I$12:$I$82</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18A200">#REF!</definedName>
    <definedName name="a2a" hidden="1">{"TAB1",#N/A,TRUE,"GENERAL";"TAB2",#N/A,TRUE,"GENERAL";"TAB3",#N/A,TRUE,"GENERAL";"TAB4",#N/A,TRUE,"GENERAL";"TAB5",#N/A,TRUE,"GENERAL"}</definedName>
    <definedName name="aa">[0]!ERR</definedName>
    <definedName name="AAA">[0]!ERR</definedName>
    <definedName name="aaaaaa">#REF!</definedName>
    <definedName name="aaaaas" hidden="1">{"TAB1",#N/A,TRUE,"GENERAL";"TAB2",#N/A,TRUE,"GENERAL";"TAB3",#N/A,TRUE,"GENERAL";"TAB4",#N/A,TRUE,"GENERAL";"TAB5",#N/A,TRUE,"GENERAL"}</definedName>
    <definedName name="AAC">#REF!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#REF!</definedName>
    <definedName name="adasd">#REF!</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#REF!</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(Entidad)'!$A$1:$M$97</definedName>
    <definedName name="_xlnm.Print_Area">#REF!</definedName>
    <definedName name="AreaLimpiar">#REF!,#REF!,#REF!,#REF!,#REF!,#REF!,#REF!,#REF!,#REF!,#REF!</definedName>
    <definedName name="Areatotal">#REF!</definedName>
    <definedName name="Aref">#REF!</definedName>
    <definedName name="armuve">[0]!ERR</definedName>
    <definedName name="ARP">#REF!</definedName>
    <definedName name="ARS">#REF!</definedName>
    <definedName name="as">[0]!ERR</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#REF!</definedName>
    <definedName name="Base">#REF!</definedName>
    <definedName name="Base_datos_IM">#REF!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#REF!,#REF!,#REF!,#REF!,#REF!,#REF!,#REF!,#REF!,#REF!,#REF!,#REF!,#REF!,#REF!,#REF!,#REF!,#REF!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cdc" hidden="1">{"via1",#N/A,TRUE,"general";"via2",#N/A,TRUE,"general";"via3",#N/A,TRUE,"general"}</definedName>
    <definedName name="CDctrl">#REF!</definedName>
    <definedName name="CDE">#REF!</definedName>
    <definedName name="cdfgrtfd" hidden="1">#REF!</definedName>
    <definedName name="ceerf" hidden="1">{"TAB1",#N/A,TRUE,"GENERAL";"TAB2",#N/A,TRUE,"GENERAL";"TAB3",#N/A,TRUE,"GENERAL";"TAB4",#N/A,TRUE,"GENERAL";"TAB5",#N/A,TRUE,"GENERAL"}</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[0]!ERR</definedName>
    <definedName name="COPIA1">#REF!</definedName>
    <definedName name="COPIA2">#REF!</definedName>
    <definedName name="copiao4">[0]!ERR</definedName>
    <definedName name="corri">[0]!ERR</definedName>
    <definedName name="COSTO_FRENTE">#REF!</definedName>
    <definedName name="costo2" hidden="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L">[0]!ERR</definedName>
    <definedName name="CUBS">#REF!</definedName>
    <definedName name="CUNET" hidden="1">{"via1",#N/A,TRUE,"general";"via2",#N/A,TRUE,"general";"via3",#N/A,TRUE,"general"}</definedName>
    <definedName name="Customize">#REF!</definedName>
    <definedName name="cv">#REF!</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#REF!</definedName>
    <definedName name="equipo">#REF!</definedName>
    <definedName name="EQUIPO1">#REF!</definedName>
    <definedName name="Equipos">#REF!</definedName>
    <definedName name="EQUIPOS1">#REF!</definedName>
    <definedName name="eqw" hidden="1">{"via1",#N/A,TRUE,"general";"via2",#N/A,TRUE,"general";"via3",#N/A,TRUE,"general"}</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E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#REF!</definedName>
    <definedName name="LINEA">#REF!</definedName>
    <definedName name="ListaCantidad">#REF!</definedName>
    <definedName name="Listado">#REF!</definedName>
    <definedName name="Listado1">#REF!</definedName>
    <definedName name="ListaItem">#REF!</definedName>
    <definedName name="ListaUn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r">#REF!</definedName>
    <definedName name="MARCO_H">#REF!</definedName>
    <definedName name="marina">#REF!</definedName>
    <definedName name="masor" hidden="1">{"via1",#N/A,TRUE,"general";"via2",#N/A,TRUE,"general";"via3",#N/A,TRUE,"general"}</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#REF!</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hidden="1">{"via1",#N/A,TRUE,"general";"via2",#N/A,TRUE,"general";"via3",#N/A,TRUE,"general"}</definedName>
    <definedName name="Nada">#REF!</definedName>
    <definedName name="Nafta_2">#REF!</definedName>
    <definedName name="Nafta2">#REF!</definedName>
    <definedName name="Nafta3">#REF!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#REF!,#REF!,#REF!,#REF!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#REF!</definedName>
    <definedName name="ObjetivoProyecto">#REF!</definedName>
    <definedName name="Obra">#REF!</definedName>
    <definedName name="obras" hidden="1">#REF!</definedName>
    <definedName name="obras1">DATE(YEAR(#REF!),MONTH(#REF!)+Payment_Number,DAY(#REF!))</definedName>
    <definedName name="obras11" hidden="1">#REF!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DATE(YEAR(Loan_Start),MONTH(Loan_Start)+Payment_Number,DAY(Loan_Start))</definedName>
    <definedName name="Payment_Date1">DATE(YEAR(#REF!),MONTH(#REF!)+Payment_Number,DAY(#REF!))</definedName>
    <definedName name="Payment_Needed">"Pago necesario"</definedName>
    <definedName name="Pb">#REF!</definedName>
    <definedName name="Pd">#REF!</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#REF!</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[0]!ERR</definedName>
    <definedName name="Proponente">#REF!</definedName>
    <definedName name="PRUEBA">#REF!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qqqqw"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#REF!</definedName>
    <definedName name="Ro">#REF!,#REF!,#REF!</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#REF!</definedName>
    <definedName name="SALID1">#REF!</definedName>
    <definedName name="SalMinimo">#REF!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#REF!</definedName>
    <definedName name="SERO">[0]!ERR</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#REF!</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0" hidden="1">'PRESUPUESTO OFICIAL (Entidad)'!$K$84</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(Entidad)'!$K$92</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(Entidad)'!$K$92</definedName>
    <definedName name="solver_pre" localSheetId="0" hidden="1">0.000001</definedName>
    <definedName name="solver_rel1" localSheetId="0" hidden="1">2</definedName>
    <definedName name="solver_rhs1" localSheetId="0" hidden="1">'PRESUPUESTO OFICIAL (Entidad)'!$K$93</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hidden="1">{"via1",#N/A,TRUE,"general";"via2",#N/A,TRUE,"general";"via3",#N/A,TRUE,"general"}</definedName>
    <definedName name="SUBSUELO">#REF!</definedName>
    <definedName name="Subtotal">#REF!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#REF!</definedName>
    <definedName name="t_1">Scheduled_Payment+Extra_Payment</definedName>
    <definedName name="t5t5" hidden="1">{"TAB1",#N/A,TRUE,"GENERAL";"TAB2",#N/A,TRUE,"GENERAL";"TAB3",#N/A,TRUE,"GENERAL";"TAB4",#N/A,TRUE,"GENERAL";"TAB5",#N/A,TRUE,"GENERAL"}</definedName>
    <definedName name="TAB_FECHA">#REF!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hidden="1">{"TAB1",#N/A,TRUE,"GENERAL";"TAB2",#N/A,TRUE,"GENERAL";"TAB3",#N/A,TRUE,"GENERAL";"TAB4",#N/A,TRUE,"GENERAL";"TAB5",#N/A,TRUE,"GENERAL"}</definedName>
    <definedName name="TrainSpec">#REF!</definedName>
    <definedName name="Transmisores">#REF!</definedName>
    <definedName name="Transporte">#REF!</definedName>
    <definedName name="TRAT">#REF!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#REF!</definedName>
    <definedName name="unj" hidden="1">#REF!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dw">#REF!</definedName>
    <definedName name="WEF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5" i="265" l="1"/>
  <c r="K44" i="265"/>
  <c r="K35" i="265"/>
  <c r="K29" i="265"/>
  <c r="K15" i="265"/>
  <c r="I23" i="265"/>
  <c r="I57" i="265"/>
  <c r="I61" i="265"/>
  <c r="I25" i="265"/>
  <c r="K25" i="265" s="1"/>
  <c r="I72" i="265"/>
  <c r="I71" i="265"/>
  <c r="K31" i="265"/>
  <c r="I30" i="265"/>
  <c r="K30" i="265" s="1"/>
  <c r="I29" i="265"/>
  <c r="I17" i="265"/>
  <c r="I16" i="265"/>
  <c r="K33" i="265" l="1"/>
  <c r="I77" i="265"/>
  <c r="K77" i="265" s="1"/>
  <c r="I76" i="265"/>
  <c r="K76" i="265" s="1"/>
  <c r="K78" i="265"/>
  <c r="K80" i="265" l="1"/>
  <c r="K21" i="265" l="1"/>
  <c r="I19" i="265"/>
  <c r="I18" i="265"/>
  <c r="K17" i="265"/>
  <c r="K40" i="265"/>
  <c r="I51" i="265"/>
  <c r="I39" i="265"/>
  <c r="I38" i="265" l="1"/>
  <c r="I35" i="265" l="1"/>
  <c r="I52" i="265" l="1"/>
  <c r="K52" i="265" s="1"/>
  <c r="K51" i="265" l="1"/>
  <c r="I50" i="265"/>
  <c r="I46" i="265" l="1"/>
  <c r="I47" i="265" s="1"/>
  <c r="I62" i="265" l="1"/>
  <c r="I66" i="265" l="1"/>
  <c r="I68" i="265" l="1"/>
  <c r="K71" i="265"/>
  <c r="K57" i="265" l="1"/>
  <c r="K61" i="265" l="1"/>
  <c r="I64" i="265"/>
  <c r="I67" i="265"/>
  <c r="I70" i="265" l="1"/>
  <c r="I63" i="265"/>
  <c r="K63" i="265" s="1"/>
  <c r="K67" i="265"/>
  <c r="I69" i="265"/>
  <c r="I65" i="265"/>
  <c r="K65" i="265" s="1"/>
  <c r="K39" i="265" l="1"/>
  <c r="K59" i="265" l="1"/>
  <c r="K50" i="265" l="1"/>
  <c r="K49" i="265"/>
  <c r="K48" i="265" l="1"/>
  <c r="K38" i="265"/>
  <c r="K47" i="265"/>
  <c r="K37" i="265"/>
  <c r="K46" i="265"/>
  <c r="K36" i="265"/>
  <c r="K24" i="265"/>
  <c r="K23" i="265"/>
  <c r="K22" i="265"/>
  <c r="K54" i="265" l="1"/>
  <c r="K42" i="265"/>
  <c r="K20" i="265" l="1"/>
  <c r="K18" i="265"/>
  <c r="K16" i="265"/>
  <c r="K19" i="265" l="1"/>
  <c r="K27" i="265" s="1"/>
  <c r="K62" i="265" l="1"/>
  <c r="K66" i="265"/>
  <c r="K68" i="265" l="1"/>
  <c r="K69" i="265"/>
  <c r="K70" i="265"/>
  <c r="K64" i="265" l="1"/>
  <c r="K72" i="265"/>
  <c r="K74" i="265" l="1"/>
  <c r="K82" i="265" s="1"/>
  <c r="K94" i="265" l="1"/>
  <c r="J91" i="265" l="1"/>
  <c r="K85" i="265"/>
  <c r="K87" i="265" s="1"/>
  <c r="J92" i="265"/>
  <c r="J93" i="265" l="1"/>
  <c r="J94" i="265" l="1"/>
</calcChain>
</file>

<file path=xl/sharedStrings.xml><?xml version="1.0" encoding="utf-8"?>
<sst xmlns="http://schemas.openxmlformats.org/spreadsheetml/2006/main" count="271" uniqueCount="175">
  <si>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</si>
  <si>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</si>
  <si>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</si>
  <si>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</si>
  <si>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</si>
  <si>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</si>
  <si>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</si>
  <si>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 xml:space="preserve">ESPECIFICACIONES </t>
  </si>
  <si>
    <t>DESCRIPCION</t>
  </si>
  <si>
    <t>UND.</t>
  </si>
  <si>
    <t>CANTIDAD</t>
  </si>
  <si>
    <t>VALOR UNITARIO</t>
  </si>
  <si>
    <t xml:space="preserve">VALOR TOTAL                                </t>
  </si>
  <si>
    <t>GENERAL</t>
  </si>
  <si>
    <t>PARTICULAR</t>
  </si>
  <si>
    <t xml:space="preserve">SUBTOTAL OBRAS </t>
  </si>
  <si>
    <t>VALOR TOTAL</t>
  </si>
  <si>
    <t>PORCENTAJE</t>
  </si>
  <si>
    <t>ADMINISTRACION</t>
  </si>
  <si>
    <t xml:space="preserve">IMPREVISTO
</t>
  </si>
  <si>
    <t>TOTAL A.I.U</t>
  </si>
  <si>
    <t>UTILIDAD</t>
  </si>
  <si>
    <t>Formulario 1 - Propuesta económica  - Documento tipo de selección abreviada de menor cuantía - versión 2</t>
  </si>
  <si>
    <t>m2</t>
  </si>
  <si>
    <t>un</t>
  </si>
  <si>
    <t>2.1</t>
  </si>
  <si>
    <t>2.2</t>
  </si>
  <si>
    <t>2.3</t>
  </si>
  <si>
    <t>1.1</t>
  </si>
  <si>
    <t>1.2</t>
  </si>
  <si>
    <t>1.3</t>
  </si>
  <si>
    <t>1.4</t>
  </si>
  <si>
    <t>14.1.18</t>
  </si>
  <si>
    <t>m</t>
  </si>
  <si>
    <t>1.5</t>
  </si>
  <si>
    <t>1.6</t>
  </si>
  <si>
    <t>12.1.89</t>
  </si>
  <si>
    <t>1.7</t>
  </si>
  <si>
    <t>1.8</t>
  </si>
  <si>
    <t>1.9</t>
  </si>
  <si>
    <t>3.1</t>
  </si>
  <si>
    <t>3.2</t>
  </si>
  <si>
    <t>1.2.27</t>
  </si>
  <si>
    <t>DESCAPOTE. y limpieza, incluye poda malezas, recolección, cargue, descargue y disposición de material, con espesor hasta 20 cm</t>
  </si>
  <si>
    <t>1.3.4</t>
  </si>
  <si>
    <t>m3</t>
  </si>
  <si>
    <t>3.1.3</t>
  </si>
  <si>
    <t>kg</t>
  </si>
  <si>
    <t>2.1.13</t>
  </si>
  <si>
    <t>2.2.8</t>
  </si>
  <si>
    <t>5.1</t>
  </si>
  <si>
    <r>
      <rPr>
        <b/>
        <sz val="9"/>
        <rFont val="Arial"/>
        <family val="2"/>
      </rPr>
      <t xml:space="preserve">NOTA 1: </t>
    </r>
    <r>
      <rPr>
        <sz val="9"/>
        <rFont val="Arial"/>
        <family val="2"/>
      </rPr>
      <t xml:space="preserve"> Se debe tener en cuenta que el PRECIO UNITARIO incluye el valor de A.I.U. </t>
    </r>
  </si>
  <si>
    <r>
      <rPr>
        <b/>
        <sz val="9"/>
        <rFont val="Arial"/>
        <family val="2"/>
      </rPr>
      <t>NOTA 2:</t>
    </r>
    <r>
      <rPr>
        <sz val="9"/>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</si>
  <si>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9"/>
        <rFont val="Arial"/>
        <family val="2"/>
      </rPr>
      <t>NOTA 3:</t>
    </r>
    <r>
      <rPr>
        <sz val="9"/>
        <rFont val="Arial"/>
        <family val="2"/>
      </rPr>
      <t xml:space="preserve"> El A.I.U y su discriminación deben estar en porcentaje (%). </t>
    </r>
  </si>
  <si>
    <t>.</t>
  </si>
  <si>
    <t>4.1</t>
  </si>
  <si>
    <t>4.2</t>
  </si>
  <si>
    <t>4.3</t>
  </si>
  <si>
    <t>4.4</t>
  </si>
  <si>
    <t>4.5</t>
  </si>
  <si>
    <t>4.6</t>
  </si>
  <si>
    <t>4.7</t>
  </si>
  <si>
    <t>4.8</t>
  </si>
  <si>
    <t>4.9</t>
  </si>
  <si>
    <t>7.1.24</t>
  </si>
  <si>
    <t>PUERTA EN ALUMINIO anonizado o crudo y vidrio polarizado y cerradura fina doble macho tipo, Incluye recursos, instalación, pulida en filetes y piso por incrustación al mismo y aseo</t>
  </si>
  <si>
    <t>LT - AIM</t>
  </si>
  <si>
    <t>LT - TORRE DE CONTROL</t>
  </si>
  <si>
    <t>Subtotal LT - AIM</t>
  </si>
  <si>
    <t>Subtotal LT - SOPORTE TECNICO</t>
  </si>
  <si>
    <t>Subtotal LT - TORRE DE CONTROL</t>
  </si>
  <si>
    <t>LT - ADMINISTRACIÓN</t>
  </si>
  <si>
    <t>Subtotal LT - ADMINISTRACIÓN</t>
  </si>
  <si>
    <t>1.10</t>
  </si>
  <si>
    <t>1.11</t>
  </si>
  <si>
    <t>1.2.34</t>
  </si>
  <si>
    <t>2.4.2</t>
  </si>
  <si>
    <t>FILETES Y DILATACIONES, en mortero, estuco y pintura, en sitios donde se desmonte la puerta o ventana</t>
  </si>
  <si>
    <t>ml</t>
  </si>
  <si>
    <r>
      <t xml:space="preserve">PINTURA GENERAL, interior o exterior con pintura de primera calidad, sobre columnas, muro, </t>
    </r>
    <r>
      <rPr>
        <b/>
        <sz val="9"/>
        <rFont val="Arial"/>
        <family val="2"/>
      </rPr>
      <t xml:space="preserve">cielos (vinilo negro o a preferencia de directivas del aeropuerto), </t>
    </r>
    <r>
      <rPr>
        <sz val="9"/>
        <rFont val="Arial"/>
        <family val="2"/>
      </rPr>
      <t>bordillos, muros de antepecho,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t>
    </r>
  </si>
  <si>
    <t>15.2.9</t>
  </si>
  <si>
    <t>3.3</t>
  </si>
  <si>
    <t>3.4</t>
  </si>
  <si>
    <t>3.5</t>
  </si>
  <si>
    <r>
      <t xml:space="preserve">PINTURA GENERAL, interior o exterior con pintura de primera calidad, sobre columnas, muro, </t>
    </r>
    <r>
      <rPr>
        <b/>
        <sz val="9"/>
        <rFont val="Arial"/>
        <family val="2"/>
      </rPr>
      <t xml:space="preserve">cielos (vinilo en cielo falso de fibra mineral, poron o yeso), </t>
    </r>
    <r>
      <rPr>
        <sz val="9"/>
        <rFont val="Arial"/>
        <family val="2"/>
      </rPr>
      <t>bordillos, muros de antepecho,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 retirar placas y volver a acomodarlas</t>
    </r>
  </si>
  <si>
    <t>LT - VOR</t>
  </si>
  <si>
    <t>Subtotal LT - VOR</t>
  </si>
  <si>
    <t>5.1.1</t>
  </si>
  <si>
    <t>CONCRETO COLUMNAS 3000 PSI o 21 MPA. con altura maxima a 4,00 m., acabado a la vista, aristas en chaflán, 0,25 x 0,25 m,incluye encofrado y desencofrado, diseño arqutectonico y estructural</t>
  </si>
  <si>
    <t>7.1.58</t>
  </si>
  <si>
    <t>LADO AIRE - CERRAMIENTO PERIMETRAL VOR - ALS</t>
  </si>
  <si>
    <t>Subtotal LADO AIRE - CERRAMIENTO PERIMETRAL VOR - ALS:</t>
  </si>
  <si>
    <t>HIERRO DE REFUERZO de 60000 PSI, incluye suministro, figurado y colocación, anclaje en cimentación existente, diseño arquitectonico y estructural</t>
  </si>
  <si>
    <t xml:space="preserve"> </t>
  </si>
  <si>
    <t>EXCAVACION MANUAL en material común de 0 - 2 m. de profundidad, sección obligada y afines de talud.  Incluye retiro de sobrantes</t>
  </si>
  <si>
    <t>CONCRETO 3000 PSI o 21 MPA. Viga de antepecho cerramiento, 0,20 x 0,30 m. Incluye encofrado y desencofrado, concreto a la vista, sujeto a diseño arquitectonico y estructural de la entidad</t>
  </si>
  <si>
    <t>CONCRETO CICLOPEO. Viga de cimentación, 60 % de concreto y 40 % P  RAJON, 17.24 Mpa (2500 PSI) (BASICO)incluye encofrado y desencofrado, sujeto a diseño arquitectonico y estructural de la entidad</t>
  </si>
  <si>
    <t>CONCRETO SIMPLE. Cimiento pie amigo concreto 3000 PSI. Sujeto a diseño arquitectonico y estructural de la entidad</t>
  </si>
  <si>
    <t>CERRAMIENTO PROVISIONAL. Utilizando la malla en mal estado que se retire, Incluye madera redonda común, cada 3,0 metros, empotrados en el terreno, Incluye manipulación, almabre de aseguramiento, mano de obra, instalación de manera que les permita realizar las actividades del cerramiento en mejoramiento. (La recolección, transporte y disposición final se paga con el item de DESMONTE DE CERRAMIENTO)</t>
  </si>
  <si>
    <t>1.2.48</t>
  </si>
  <si>
    <t>DESMONTE CERRAMIENTO. en malla eslabonada con altura de 2,5 m. erigida en postes de concreto u otro, incluye, retiro malla, postes de cualquier material y a cualquier distancia, alambre de pua, demolición mortero en punta diamante y viga de antepecho, recolección, transporte y disposición final de residuos</t>
  </si>
  <si>
    <t>1.1.21</t>
  </si>
  <si>
    <t>2.1.8</t>
  </si>
  <si>
    <t>2.1.7</t>
  </si>
  <si>
    <t>MORTERO PISA MALLA. Punta diamante en mortero 1:4, para anclar la malla al muro de antepecho, incluye alambrones 1/8" de 0,10 m, embebidos en el concreto de la viga de antepecho, cada 0,50 m., para amarre de la malla y confinamiento del mortero</t>
  </si>
  <si>
    <t>2.4.6.1</t>
  </si>
  <si>
    <t>CERRAMIENTO TIPO. Para seguridad perimetral, en malla galvanizada eslabonada y recubierta en pvc  Cal. 8, malla 2" de 2,0 m de altura, soportado en poste galvanizado de cerramiento 2" calibre 14 (1,9 mm.), colocados cada 2,5 m por 3.00 m. de largo con empotramiento de 0,50 m. en la mamposteria  o muro de antepecho y viga de cimentación, incluye tuberia (Poste, Pie de apoyo y pie de amigo). Cuatro hilos de alambre de pua, tapon superior galvanizado en tubo y accesorios, con aseguramiento de la malla en los postes con platina de fijación de 1/2" x 1/8" x  2,00 de altura, instalada sobre el poste galvanizado de 2” y entre tejida con la malla eslabonada y la fijación se hará utilizando puntos de soldadura entre ojo de malla que garanticen una óptima estabilidad; con tensor superior e inferior, en ángulo metálico 3/4" x 1/8 soldados a los postes verticales y el inferior anclado a la viga de antepecho, ángulos en los que se fijará la malla con varilla lisa ¼” trenzada en los ojos de la malla y soldada la varilla al Angulo, punto a punto entre cada ojo de malla; tratamiento en areas de soldadura con pintura anticorrosiva que aplique y acabado semejante a la tuberia galvanizada, puede ser pintura super aluminio. (según plano en archivo CERRAMIENTOTIPO)</t>
  </si>
  <si>
    <t>13.9.2</t>
  </si>
  <si>
    <t>PUERTA REJA MALLA ESLABONADA. Fabricación e instalación  puerta reja de entrada, dimensiones aproximadas 4,00 m. de ancho y 2,00 m de alto, tubos de pibote en tuberia galv de agua 2", las alas de la puerta van en marco de tubo de cerramiento 2" galvanizada y el de soporte en bisagras en tubo galv de agua 2", internamente la malla va enmarcada en angulo 1" x 1/8" en 2 secciones, malla galvanizada recubierta en pvc calibre 8 ojo 5, incluye 3 pasadores o picaportes, un candado de 2" tipo Yale para intemperie, anticorrosivo y pintura verde o del color del cerramiento, donde lo requiera, y concertina en la parte superior. Un picaporte en cada puerta en varilla 3/4" lisa con 0,50 m. de longitud, que entre en tubo galvanizado y este empotrado en el terreno con mol de concreto de 0,30 de diametro por 0,30 de profundidad, con ojo y sujetador superior para dos posiciones de aseguramiento y el picaporte en el medio tambien en varilla 3/4" liso con oreja para asegurar con el candado</t>
  </si>
  <si>
    <t>6.1</t>
  </si>
  <si>
    <t>6.2</t>
  </si>
  <si>
    <t>6.3</t>
  </si>
  <si>
    <t>6.4</t>
  </si>
  <si>
    <t>6.5</t>
  </si>
  <si>
    <t>6.6</t>
  </si>
  <si>
    <t>6.7</t>
  </si>
  <si>
    <t>6.8</t>
  </si>
  <si>
    <t>6.9</t>
  </si>
  <si>
    <t>6.10</t>
  </si>
  <si>
    <t>6.11</t>
  </si>
  <si>
    <t>6.12</t>
  </si>
  <si>
    <t>IVA</t>
  </si>
  <si>
    <t>15.2.8</t>
  </si>
  <si>
    <t>8,1,2</t>
  </si>
  <si>
    <t>PERFORACIONES EN CIELO RASO EN LAMINA DE FIBROCEMENTO DE 12mm. PARA LUMINARIA. Incluye merjorar perforación en cielo raso en driwall o fibrocemento o yeso existente de rejilla del sistema de aire acondicionado, filetear, mejorar acabado, repintar y reinstalar rejilla de dimensiones aproximadas a 0,3 x 0,30</t>
  </si>
  <si>
    <t>MANTENIMIENTO DESAGUES 2" a 6" O APARATOS SANITARIOS., incluye manejo rejilla, sondear red sanitaria, reinstalar o cambiar rejilla o rejilla sifón por abasto metalico cuello de ganzo con llave de control y/o accesorios de sanitario, lo que aplique, hasta dejarlo en correcto funcionamiento sin fugas. En especial cambio llave terminal por alta gama y manguera de abasto metalica cuello de ganzo</t>
  </si>
  <si>
    <t>1.2.21</t>
  </si>
  <si>
    <t>DEMOLICION DE ENCHAPE PISO (PISO, INC RETIRO  ACARREO LIBRE 10km), Cerámico u otro y mortero de pega, incluye movimiento mobiliario sanitario y divisiones, para su reintalación</t>
  </si>
  <si>
    <t>15.1.3</t>
  </si>
  <si>
    <t>SUMINISTRO E INSTALACION CERÁMICA FORMATO 30CM X 60CM o mayor</t>
  </si>
  <si>
    <t>7.1.14</t>
  </si>
  <si>
    <t>7.1.15</t>
  </si>
  <si>
    <t>MESON MUEBLE INFERIOR COCINA. Meson 0,60m. de ancho, en marmol sintético o similar con lavaplatos y estufa electrica 2 puestos empotrada y, mueble inferior en melamina a dos niveles, instalado, incluye accesorios hidrosanitarios, abasto con llave de control en manguera flexible metalica y desagues con sifón. Este caso con estufa empotrada, eléctrica</t>
  </si>
  <si>
    <t>ALACENA. Mueble superior cocina, construído en melamina, incluye recurso e instalación, mueble similar al inferior de meson cocina. A este mueble instalarle el extractor pero no lo incluye, previa desinstalación</t>
  </si>
  <si>
    <t>FILETES Y DILATACIONES, en mortero, estuco y pintura, en sitios donde se desmonte la puerta o ventana. Este caso asegurar puerta metalica y de aluminio para evitar que se suelte</t>
  </si>
  <si>
    <r>
      <t xml:space="preserve">PINTURA GENERAL, interior o exterior con pintura de primera calidad, sobre columnas, </t>
    </r>
    <r>
      <rPr>
        <b/>
        <sz val="9"/>
        <rFont val="Arial"/>
        <family val="2"/>
      </rPr>
      <t xml:space="preserve">muro, cielos (vinilo en cielo falso de fibra mineral, poron o yeso), </t>
    </r>
    <r>
      <rPr>
        <sz val="9"/>
        <rFont val="Arial"/>
        <family val="2"/>
      </rPr>
      <t>bordillos, muros de antepecho,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 retirar placas y volver a acomodarlas</t>
    </r>
  </si>
  <si>
    <t>15.3.19</t>
  </si>
  <si>
    <t>X</t>
  </si>
  <si>
    <t>cm²</t>
  </si>
  <si>
    <t>SEÑALETICA ACRILICA. Avisos en letras acrilicas corte laser, 3 mm de espesor, planos, incluye instalación. Presentar diseño a apobación según imagen corporativa. Aviso oficina grupo de atención al usuario</t>
  </si>
  <si>
    <t>SUMINISTRO E INSTALACION SELLO DE JUNTAS. Ventanas, puertas y griestas. Tipo industrial para terminados, de uso en interiores y exteriores, alta resistencia a los agentes atmosféricos. Incluye limpieza de lo existente y preparación de la superficie de adherencia</t>
  </si>
  <si>
    <t>2.4.26</t>
  </si>
  <si>
    <t>GUARDAESCOBA en granito pulido (incl. dilatación) o baldosa en grano pulido</t>
  </si>
  <si>
    <t>15.16 EC</t>
  </si>
  <si>
    <t>9.12.2 CIC</t>
  </si>
  <si>
    <t>MANTENIMIENTO SALIDAS ELECTRICAS. Incluye incremento de cables eléctricos,  verificar y o corregir empalmes,  cambio aparato de salida control o toma y/o de iluminación maximo panel led 60 x 60 hasta su correcto funcionamiento</t>
  </si>
  <si>
    <t>SUMINISTRO E INSTALACION CIELORRASO. Plano driwall antihumedad, o yeso o superboard, según el existente de 1/2, instalación mano de obra, retiro de placas deterioradas, pintura de las nuevas</t>
  </si>
  <si>
    <t>8.1.10</t>
  </si>
  <si>
    <t>3.6</t>
  </si>
  <si>
    <t>19.01 EC</t>
  </si>
  <si>
    <t>BUERLETE PARA PUERTA. En caucho, suministro, accesorios de fijación e instalación</t>
  </si>
  <si>
    <t>DESMONTE Y  RETIRO DE PUERTAS, VENTANAS (INC   MARCOS, DESALOJO Y BOTADA DE ESCOMBROS). Salon descanso controlades</t>
  </si>
  <si>
    <t>LAMINA ADHESIVO CONTROL SOLAR. Suministor e instalación papel o película adhesiva control solar UV 99, tipo IR 80 %, retirar peviamente el anterior deteriorado</t>
  </si>
  <si>
    <t>DIVISIÓN BAÑO VIDRIO TEMPLADO. Incluye suministro, accesorios e instalación, propuesta de alternativas 2 o 3 cuerpos</t>
  </si>
  <si>
    <t>18.09 EC</t>
  </si>
  <si>
    <t>20.52 EC</t>
  </si>
  <si>
    <t>PINTURA IMPERMEABILIZANTE, losa techo y antepechos, adecuada para aplicar sobre superficie impermeabilizante existente</t>
  </si>
  <si>
    <t>PROTECTOR DE PISO PVC TRANSPARENTE. 3 mm. de espesor, para proteger la alfombra de las ruedas de sillas de oficina, tipo industrial, suministro e instalación</t>
  </si>
  <si>
    <t>VOR</t>
  </si>
  <si>
    <t>PINTURA EPOXICA. Reflectiva, pisos y muros</t>
  </si>
  <si>
    <t>LT - GLIDE</t>
  </si>
  <si>
    <t>7.1</t>
  </si>
  <si>
    <t>7.2</t>
  </si>
  <si>
    <t>7.3</t>
  </si>
  <si>
    <t>7.1.24.1</t>
  </si>
  <si>
    <t>CERRADURA  PARA PUERTA. Suministro e instalación para puerta metálica existente, previo desmonte de la existente. Gama alta</t>
  </si>
  <si>
    <t>7.55</t>
  </si>
  <si>
    <t>PANEL ACUSTICO, antiruido y decorativo en cara interna de muros de cerramiento de edificación, incluye paneles antiruido y su estructura de soporte o adhesivo, elementos de fijación a muro y conformación de filetes y permitan la pintura similar a la de muros existentes y movimientos de mobiliario para la ejecución de la actividad</t>
  </si>
  <si>
    <t>LT - ALS SUBTERRANEO</t>
  </si>
  <si>
    <t>PINTURA IMPERMEABILIZANTE, losa techo y antepechos, adecuada para aplicar sobre superficie impermeabilizante existente. Tipo corona impermeable</t>
  </si>
  <si>
    <t>PINTURA EPOXICA. Dieléctrica pisos</t>
  </si>
  <si>
    <t>13.2.2 CIC</t>
  </si>
  <si>
    <t>63200C1492 REALIZAR MANTENIMIENTO DE LA INFRAESTRUCTURA AEROPORTUARIA DE LAS AREAS A CARGO DE LA AEROCIVIL DE LA TORRE Y AREAS ADMINISTRATIVAS EN EL AEROPUERTO DE MONTERÍA</t>
  </si>
  <si>
    <t>Nro.</t>
  </si>
  <si>
    <t>VIDRIO LAMINADO DE SEGURIDAD CON CONTROL SOLAR Y BAJA EMISIVIDAD (Low-E). Mínimo espesor 4+4 o capacidad de marco existente, vidrio laminado co PVB acústico mas tratamiento antireflejo, puede estar instalado con doble acristalamiento (DVH) para mayor aislamiento. Acogerse a la norma técnica RAC 160 de la Aerocivil, NFPA 415 - Protección contra incendio, Norma  INTECO - Vidrio de seguridad, ASTM C1172-19 Especificación estándar vidrio plano arquitectónico laminado, Incluye desmonte del existente en mal estado, limpieza, perfiles pisavidrio, sellante de humedad, materiales, equipos, mano de obra y demas hasta su correcta instalación y funcionamiento en las ventanas inclinadas de la torre de control, piso superior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</si>
</sst>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240A]\ * #,##0.00_-;\-[$$-240A]\ * #,##0.00_-;_-[$$-240A]\ * &quot;-&quot;??_-;_-@_-"/>
  </numFmts>
  <fonts count="4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9"/>
      <name val="Arial Narrow"/>
      <family val="2"/>
    </font>
    <font>
      <b/>
      <sz val="9"/>
      <color rgb="FF595959"/>
      <name val="Arial"/>
      <family val="2"/>
    </font>
    <font>
      <sz val="9"/>
      <color rgb="FF595959"/>
      <name val="Arial"/>
      <family val="2"/>
    </font>
    <font>
      <sz val="9"/>
      <name val="Arial"/>
      <family val="2"/>
    </font>
    <font>
      <b/>
      <sz val="9"/>
      <name val="Arial"/>
      <family val="2"/>
    </font>
    <font>
      <sz val="10"/>
      <name val="Arial Narrow"/>
      <family val="2"/>
    </font>
    <font>
      <b/>
      <sz val="9"/>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3" tint="0.79998168889431442"/>
        <bgColor indexed="64"/>
      </patternFill>
    </fill>
  </fills>
  <borders count="7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5">
      <alignment horizontal="right"/>
    </xf>
    <xf numFmtId="187" fontId="6" fillId="0" borderId="45">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5">
      <alignment horizontal="right"/>
    </xf>
    <xf numFmtId="190" fontId="4" fillId="0" borderId="0">
      <protection locked="0"/>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48">
      <protection locked="0"/>
    </xf>
    <xf numFmtId="170" fontId="4" fillId="0" borderId="0" applyFont="0" applyFill="0" applyBorder="0" applyAlignment="0" applyProtection="0"/>
    <xf numFmtId="0" fontId="4" fillId="0" borderId="0"/>
  </cellStyleXfs>
  <cellXfs count="196">
    <xf numFmtId="0" fontId="0" fillId="0" borderId="0" xfId="0"/>
    <xf numFmtId="0" fontId="38" fillId="0" borderId="0" xfId="0" applyFont="1" applyAlignment="1">
      <alignment horizontal="left"/>
    </xf>
    <xf numFmtId="0" fontId="39" fillId="0" borderId="0" xfId="0" applyFont="1" applyAlignment="1">
      <alignment horizontal="left"/>
    </xf>
    <xf numFmtId="0" fontId="40" fillId="0" borderId="0" xfId="89" applyFont="1"/>
    <xf numFmtId="0" fontId="40" fillId="0" borderId="35" xfId="89" applyFont="1" applyBorder="1"/>
    <xf numFmtId="0" fontId="40" fillId="0" borderId="36" xfId="89" applyFont="1" applyBorder="1"/>
    <xf numFmtId="0" fontId="38" fillId="0" borderId="62" xfId="0" applyFont="1" applyBorder="1" applyAlignment="1">
      <alignment horizontal="left"/>
    </xf>
    <xf numFmtId="0" fontId="40" fillId="0" borderId="62" xfId="0" applyFont="1" applyBorder="1" applyAlignment="1">
      <alignment horizontal="left"/>
    </xf>
    <xf numFmtId="0" fontId="40" fillId="25" borderId="35" xfId="89" applyFont="1" applyFill="1" applyBorder="1"/>
    <xf numFmtId="0" fontId="40" fillId="25" borderId="36" xfId="89" applyFont="1" applyFill="1" applyBorder="1"/>
    <xf numFmtId="0" fontId="40" fillId="25" borderId="0" xfId="89" applyFont="1" applyFill="1"/>
    <xf numFmtId="0" fontId="41" fillId="0" borderId="19" xfId="126" applyFont="1" applyBorder="1" applyAlignment="1">
      <alignment horizontal="center" vertical="center" wrapText="1"/>
    </xf>
    <xf numFmtId="0" fontId="41" fillId="24" borderId="38" xfId="73" applyFont="1" applyFill="1" applyBorder="1" applyAlignment="1">
      <alignment horizontal="center" vertical="center"/>
    </xf>
    <xf numFmtId="0" fontId="41" fillId="24" borderId="40" xfId="73" applyFont="1" applyFill="1" applyBorder="1" applyAlignment="1">
      <alignment vertical="center"/>
    </xf>
    <xf numFmtId="0" fontId="41" fillId="24" borderId="67" xfId="73" applyFont="1" applyFill="1" applyBorder="1" applyAlignment="1">
      <alignment vertical="center"/>
    </xf>
    <xf numFmtId="0" fontId="41" fillId="24" borderId="41" xfId="73" applyFont="1" applyFill="1" applyBorder="1" applyAlignment="1">
      <alignment vertical="center"/>
    </xf>
    <xf numFmtId="0" fontId="40" fillId="0" borderId="28" xfId="74" applyFont="1" applyBorder="1" applyAlignment="1">
      <alignment horizontal="center" vertical="center"/>
    </xf>
    <xf numFmtId="0" fontId="40" fillId="0" borderId="28" xfId="74" applyFont="1" applyBorder="1" applyAlignment="1">
      <alignment horizontal="left" vertical="center" wrapText="1"/>
    </xf>
    <xf numFmtId="4" fontId="40" fillId="0" borderId="28" xfId="39" applyNumberFormat="1" applyFont="1" applyBorder="1" applyAlignment="1">
      <alignment vertical="center" wrapText="1"/>
    </xf>
    <xf numFmtId="166" fontId="40" fillId="0" borderId="28" xfId="62" applyNumberFormat="1" applyFont="1" applyBorder="1" applyAlignment="1">
      <alignment horizontal="right" vertical="center" wrapText="1"/>
    </xf>
    <xf numFmtId="166" fontId="40" fillId="0" borderId="34" xfId="62" applyNumberFormat="1" applyFont="1" applyBorder="1" applyAlignment="1">
      <alignment horizontal="right" vertical="center" wrapText="1"/>
    </xf>
    <xf numFmtId="0" fontId="40" fillId="0" borderId="46"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6" fontId="40" fillId="0" borderId="18" xfId="62" applyNumberFormat="1" applyFont="1" applyBorder="1" applyAlignment="1">
      <alignment horizontal="right" vertical="center" wrapText="1"/>
    </xf>
    <xf numFmtId="166" fontId="40" fillId="0" borderId="29" xfId="62" applyNumberFormat="1" applyFont="1" applyBorder="1" applyAlignment="1">
      <alignment horizontal="right" vertical="center" wrapText="1"/>
    </xf>
    <xf numFmtId="0" fontId="37" fillId="0" borderId="35" xfId="89" applyFont="1" applyBorder="1"/>
    <xf numFmtId="0" fontId="37" fillId="0" borderId="36" xfId="89" applyFont="1" applyBorder="1"/>
    <xf numFmtId="0" fontId="37" fillId="0" borderId="0" xfId="89" applyFont="1"/>
    <xf numFmtId="0" fontId="41" fillId="0" borderId="13" xfId="73" applyFont="1" applyBorder="1" applyAlignment="1">
      <alignment horizontal="left" vertical="center"/>
    </xf>
    <xf numFmtId="4" fontId="40" fillId="0" borderId="19" xfId="39" applyNumberFormat="1" applyFont="1" applyBorder="1" applyAlignment="1">
      <alignment vertical="center" wrapText="1"/>
    </xf>
    <xf numFmtId="175" fontId="41" fillId="0" borderId="37" xfId="39" applyNumberFormat="1" applyFont="1" applyBorder="1" applyAlignment="1">
      <alignment horizontal="right" vertical="center"/>
    </xf>
    <xf numFmtId="0" fontId="40" fillId="0" borderId="18" xfId="89" applyFont="1" applyBorder="1" applyAlignment="1">
      <alignment horizontal="center" vertical="center"/>
    </xf>
    <xf numFmtId="0" fontId="40" fillId="0" borderId="18" xfId="135" applyFont="1" applyBorder="1" applyAlignment="1">
      <alignment horizontal="center" vertical="center"/>
    </xf>
    <xf numFmtId="0" fontId="40" fillId="0" borderId="18" xfId="135" applyFont="1" applyBorder="1" applyAlignment="1">
      <alignment horizontal="left" vertical="center" wrapText="1"/>
    </xf>
    <xf numFmtId="0" fontId="40" fillId="0" borderId="18" xfId="74"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4" fontId="40" fillId="0" borderId="18" xfId="39" applyNumberFormat="1" applyFont="1" applyFill="1" applyBorder="1" applyAlignment="1">
      <alignment vertical="center" wrapText="1"/>
    </xf>
    <xf numFmtId="0" fontId="40" fillId="0" borderId="11" xfId="73" applyFont="1" applyBorder="1" applyAlignment="1">
      <alignment horizontal="left" vertical="center"/>
    </xf>
    <xf numFmtId="2" fontId="40" fillId="0" borderId="0" xfId="73" applyNumberFormat="1" applyFont="1" applyAlignment="1">
      <alignment horizontal="center" vertical="center"/>
    </xf>
    <xf numFmtId="0" fontId="40" fillId="0" borderId="0" xfId="73" applyFont="1" applyAlignment="1">
      <alignment horizontal="left" vertical="center" wrapText="1"/>
    </xf>
    <xf numFmtId="0" fontId="40" fillId="0" borderId="0" xfId="73" applyFont="1" applyAlignment="1">
      <alignment horizontal="center" vertical="center"/>
    </xf>
    <xf numFmtId="4" fontId="40" fillId="0" borderId="0" xfId="39" applyNumberFormat="1" applyFont="1" applyBorder="1" applyAlignment="1">
      <alignment vertical="center" wrapText="1"/>
    </xf>
    <xf numFmtId="166" fontId="40" fillId="0" borderId="0" xfId="62" applyNumberFormat="1" applyFont="1" applyBorder="1" applyAlignment="1">
      <alignment horizontal="right" vertical="center" wrapText="1"/>
    </xf>
    <xf numFmtId="175" fontId="41" fillId="0" borderId="12" xfId="39" applyNumberFormat="1" applyFont="1" applyBorder="1" applyAlignment="1">
      <alignment horizontal="right" vertical="center"/>
    </xf>
    <xf numFmtId="0" fontId="40" fillId="0" borderId="35" xfId="90" applyFont="1" applyBorder="1"/>
    <xf numFmtId="186" fontId="41" fillId="24" borderId="41" xfId="73" applyNumberFormat="1" applyFont="1" applyFill="1" applyBorder="1" applyAlignment="1">
      <alignment vertical="center"/>
    </xf>
    <xf numFmtId="0" fontId="40" fillId="0" borderId="36" xfId="90" applyFont="1" applyBorder="1"/>
    <xf numFmtId="0" fontId="40" fillId="0" borderId="0" xfId="90" applyFont="1"/>
    <xf numFmtId="49" fontId="41" fillId="0" borderId="0" xfId="131" applyNumberFormat="1" applyFont="1" applyAlignment="1">
      <alignment horizontal="right" vertical="center"/>
    </xf>
    <xf numFmtId="185" fontId="41"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0" fillId="0" borderId="33" xfId="128" applyFont="1" applyBorder="1" applyAlignment="1">
      <alignment horizontal="left" vertical="center"/>
    </xf>
    <xf numFmtId="179" fontId="40" fillId="0" borderId="16" xfId="129" applyNumberFormat="1" applyFont="1" applyBorder="1" applyAlignment="1">
      <alignment horizontal="center" vertical="center"/>
    </xf>
    <xf numFmtId="0" fontId="41" fillId="0" borderId="16" xfId="128" applyFont="1" applyBorder="1" applyAlignment="1">
      <alignment vertical="center"/>
    </xf>
    <xf numFmtId="0" fontId="41" fillId="0" borderId="17" xfId="128" applyFont="1" applyBorder="1" applyAlignment="1">
      <alignment horizontal="right" vertical="center"/>
    </xf>
    <xf numFmtId="180" fontId="40" fillId="0" borderId="34" xfId="129" applyNumberFormat="1" applyFont="1" applyBorder="1" applyAlignment="1">
      <alignment vertical="center"/>
    </xf>
    <xf numFmtId="0" fontId="40" fillId="0" borderId="0" xfId="126" applyFont="1" applyAlignment="1">
      <alignment horizontal="center" vertical="center"/>
    </xf>
    <xf numFmtId="0" fontId="41" fillId="0" borderId="20" xfId="128" applyFont="1" applyBorder="1" applyAlignment="1">
      <alignment horizontal="left" vertical="center"/>
    </xf>
    <xf numFmtId="9" fontId="40" fillId="0" borderId="21" xfId="129" applyNumberFormat="1" applyFont="1" applyBorder="1" applyAlignment="1">
      <alignment horizontal="center" vertical="center"/>
    </xf>
    <xf numFmtId="180" fontId="40" fillId="0" borderId="21" xfId="129" applyNumberFormat="1" applyFont="1" applyBorder="1" applyAlignment="1">
      <alignment vertical="center"/>
    </xf>
    <xf numFmtId="0" fontId="40" fillId="0" borderId="22" xfId="128" applyFont="1" applyBorder="1" applyAlignment="1">
      <alignment vertical="center"/>
    </xf>
    <xf numFmtId="186" fontId="41" fillId="24" borderId="15" xfId="135" applyNumberFormat="1" applyFont="1" applyFill="1" applyBorder="1" applyAlignment="1">
      <alignment vertical="center"/>
    </xf>
    <xf numFmtId="0" fontId="40" fillId="0" borderId="0" xfId="128" applyFont="1" applyAlignment="1">
      <alignment horizontal="center" vertical="center" wrapText="1"/>
    </xf>
    <xf numFmtId="0" fontId="40" fillId="0" borderId="20" xfId="128" applyFont="1" applyBorder="1" applyAlignment="1">
      <alignment horizontal="left" vertical="center" wrapText="1"/>
    </xf>
    <xf numFmtId="0" fontId="40" fillId="0" borderId="22" xfId="128" applyFont="1" applyBorder="1" applyAlignment="1">
      <alignment horizontal="right" vertical="center"/>
    </xf>
    <xf numFmtId="180" fontId="41" fillId="0" borderId="29" xfId="129" applyNumberFormat="1" applyFont="1" applyBorder="1" applyAlignment="1">
      <alignment vertical="center"/>
    </xf>
    <xf numFmtId="0" fontId="41" fillId="0" borderId="26" xfId="128" applyFont="1" applyBorder="1" applyAlignment="1">
      <alignment horizontal="left" vertical="center"/>
    </xf>
    <xf numFmtId="9" fontId="40" fillId="0" borderId="30" xfId="129" applyNumberFormat="1" applyFont="1" applyBorder="1" applyAlignment="1">
      <alignment horizontal="center" vertical="center"/>
    </xf>
    <xf numFmtId="180" fontId="41" fillId="0" borderId="30" xfId="129" applyNumberFormat="1" applyFont="1" applyBorder="1" applyAlignment="1">
      <alignment vertical="center"/>
    </xf>
    <xf numFmtId="0" fontId="40" fillId="0" borderId="27" xfId="128" applyFont="1" applyBorder="1" applyAlignment="1">
      <alignment vertical="center"/>
    </xf>
    <xf numFmtId="186" fontId="41" fillId="24" borderId="41" xfId="135" applyNumberFormat="1" applyFont="1" applyFill="1" applyBorder="1" applyAlignment="1">
      <alignment vertical="center"/>
    </xf>
    <xf numFmtId="2" fontId="40" fillId="0" borderId="0" xfId="128" applyNumberFormat="1" applyFont="1"/>
    <xf numFmtId="180" fontId="40" fillId="0" borderId="0" xfId="129" applyNumberFormat="1" applyFont="1" applyBorder="1"/>
    <xf numFmtId="39" fontId="41" fillId="0" borderId="0" xfId="129" applyNumberFormat="1" applyFont="1" applyBorder="1" applyAlignment="1">
      <alignment vertical="center"/>
    </xf>
    <xf numFmtId="0" fontId="41" fillId="0" borderId="33" xfId="79" applyFont="1" applyBorder="1" applyAlignment="1">
      <alignment vertical="center"/>
    </xf>
    <xf numFmtId="0" fontId="40" fillId="0" borderId="16" xfId="79" applyFont="1" applyBorder="1" applyAlignment="1">
      <alignment vertical="center"/>
    </xf>
    <xf numFmtId="0" fontId="40" fillId="0" borderId="25" xfId="79" applyFont="1" applyBorder="1" applyAlignment="1">
      <alignment vertical="center"/>
    </xf>
    <xf numFmtId="181" fontId="40" fillId="0" borderId="36" xfId="90" applyNumberFormat="1" applyFont="1" applyBorder="1"/>
    <xf numFmtId="185" fontId="41" fillId="26" borderId="43" xfId="60" applyNumberFormat="1" applyFont="1" applyFill="1" applyBorder="1" applyAlignment="1">
      <alignment horizontal="center" vertical="center"/>
    </xf>
    <xf numFmtId="183" fontId="40" fillId="0" borderId="36" xfId="90" applyNumberFormat="1" applyFont="1" applyBorder="1"/>
    <xf numFmtId="185" fontId="41" fillId="26" borderId="18" xfId="60" applyNumberFormat="1" applyFont="1" applyFill="1" applyBorder="1" applyAlignment="1">
      <alignment horizontal="center" vertical="center"/>
    </xf>
    <xf numFmtId="9" fontId="40" fillId="27" borderId="29" xfId="95" applyFont="1" applyFill="1" applyBorder="1" applyAlignment="1">
      <alignment horizontal="center" vertical="center"/>
    </xf>
    <xf numFmtId="0" fontId="40" fillId="0" borderId="59" xfId="90" applyFont="1" applyBorder="1"/>
    <xf numFmtId="0" fontId="40" fillId="0" borderId="60" xfId="89" applyFont="1" applyBorder="1"/>
    <xf numFmtId="0" fontId="40" fillId="0" borderId="60" xfId="89" applyFont="1" applyBorder="1" applyAlignment="1">
      <alignment horizontal="center"/>
    </xf>
    <xf numFmtId="184" fontId="40" fillId="0" borderId="60" xfId="34" applyNumberFormat="1" applyFont="1" applyBorder="1"/>
    <xf numFmtId="0" fontId="40" fillId="0" borderId="61" xfId="89" applyFont="1" applyBorder="1"/>
    <xf numFmtId="0" fontId="40" fillId="0" borderId="0" xfId="89" applyFont="1" applyAlignment="1">
      <alignment horizontal="center"/>
    </xf>
    <xf numFmtId="0" fontId="41" fillId="24" borderId="53" xfId="73" applyFont="1" applyFill="1" applyBorder="1" applyAlignment="1">
      <alignment horizontal="center" vertical="center"/>
    </xf>
    <xf numFmtId="0" fontId="41" fillId="24" borderId="52" xfId="73" applyFont="1" applyFill="1" applyBorder="1" applyAlignment="1">
      <alignment horizontal="center" vertical="center"/>
    </xf>
    <xf numFmtId="0" fontId="41" fillId="24" borderId="52" xfId="73" applyFont="1" applyFill="1" applyBorder="1" applyAlignment="1">
      <alignment vertical="center"/>
    </xf>
    <xf numFmtId="0" fontId="41" fillId="24" borderId="56" xfId="73" applyFont="1" applyFill="1" applyBorder="1" applyAlignment="1">
      <alignment vertical="center"/>
    </xf>
    <xf numFmtId="0" fontId="41" fillId="24" borderId="51" xfId="73" applyFont="1" applyFill="1" applyBorder="1" applyAlignment="1">
      <alignment vertical="center"/>
    </xf>
    <xf numFmtId="0" fontId="41" fillId="24" borderId="13" xfId="73" applyFont="1" applyFill="1" applyBorder="1" applyAlignment="1">
      <alignment horizontal="center" vertical="center"/>
    </xf>
    <xf numFmtId="0" fontId="41" fillId="24" borderId="14" xfId="73" applyFont="1" applyFill="1" applyBorder="1" applyAlignment="1">
      <alignment vertical="center"/>
    </xf>
    <xf numFmtId="0" fontId="41" fillId="24" borderId="68" xfId="73" applyFont="1" applyFill="1" applyBorder="1" applyAlignment="1">
      <alignment vertical="center"/>
    </xf>
    <xf numFmtId="0" fontId="41" fillId="24" borderId="15" xfId="73" applyFont="1" applyFill="1" applyBorder="1" applyAlignment="1">
      <alignment vertical="center"/>
    </xf>
    <xf numFmtId="0" fontId="40" fillId="0" borderId="32" xfId="73" applyFont="1" applyBorder="1" applyAlignment="1">
      <alignment horizontal="center" vertical="center"/>
    </xf>
    <xf numFmtId="0" fontId="41" fillId="0" borderId="44" xfId="73" applyFont="1" applyBorder="1" applyAlignment="1">
      <alignment horizontal="left" vertical="center"/>
    </xf>
    <xf numFmtId="175" fontId="41" fillId="0" borderId="39" xfId="39" applyNumberFormat="1" applyFont="1" applyBorder="1" applyAlignment="1">
      <alignment horizontal="right" vertical="center"/>
    </xf>
    <xf numFmtId="0" fontId="40" fillId="0" borderId="70" xfId="74" applyFont="1" applyBorder="1" applyAlignment="1">
      <alignment horizontal="center" vertical="center"/>
    </xf>
    <xf numFmtId="0" fontId="40" fillId="0" borderId="70" xfId="74" applyFont="1" applyBorder="1" applyAlignment="1">
      <alignment horizontal="left" vertical="center" wrapText="1"/>
    </xf>
    <xf numFmtId="4" fontId="40" fillId="0" borderId="70" xfId="39" applyNumberFormat="1" applyFont="1" applyBorder="1" applyAlignment="1">
      <alignment vertical="center" wrapText="1"/>
    </xf>
    <xf numFmtId="166" fontId="40" fillId="0" borderId="70" xfId="62" applyNumberFormat="1" applyFont="1" applyBorder="1" applyAlignment="1">
      <alignment horizontal="right" vertical="center" wrapText="1"/>
    </xf>
    <xf numFmtId="0" fontId="41" fillId="0" borderId="69" xfId="73" applyFont="1" applyBorder="1" applyAlignment="1">
      <alignment horizontal="left" vertical="center"/>
    </xf>
    <xf numFmtId="175" fontId="41" fillId="0" borderId="71" xfId="39" applyNumberFormat="1" applyFont="1" applyBorder="1" applyAlignment="1">
      <alignment horizontal="right" vertical="center"/>
    </xf>
    <xf numFmtId="0" fontId="40" fillId="0" borderId="19" xfId="89" applyFont="1" applyBorder="1"/>
    <xf numFmtId="0" fontId="40" fillId="0" borderId="19" xfId="89" applyFont="1" applyBorder="1" applyAlignment="1">
      <alignment horizontal="center"/>
    </xf>
    <xf numFmtId="0" fontId="41" fillId="0" borderId="18" xfId="74" applyFont="1" applyBorder="1" applyAlignment="1">
      <alignment horizontal="left" vertical="center" wrapText="1"/>
    </xf>
    <xf numFmtId="0" fontId="40" fillId="0" borderId="32" xfId="74" applyFont="1" applyBorder="1" applyAlignment="1">
      <alignment horizontal="center" vertical="center"/>
    </xf>
    <xf numFmtId="203" fontId="40" fillId="0" borderId="0" xfId="90" applyNumberFormat="1" applyFont="1"/>
    <xf numFmtId="166" fontId="40" fillId="0" borderId="18" xfId="62" applyNumberFormat="1" applyFont="1" applyFill="1" applyBorder="1" applyAlignment="1">
      <alignment horizontal="right" vertical="center" wrapText="1"/>
    </xf>
    <xf numFmtId="166" fontId="40" fillId="0" borderId="43" xfId="62" applyNumberFormat="1" applyFont="1" applyFill="1" applyBorder="1" applyAlignment="1">
      <alignment horizontal="right" vertical="center" wrapText="1"/>
    </xf>
    <xf numFmtId="0" fontId="40" fillId="0" borderId="46" xfId="135" applyFont="1" applyBorder="1" applyAlignment="1">
      <alignment horizontal="center" vertical="center"/>
    </xf>
    <xf numFmtId="166" fontId="40" fillId="0" borderId="43" xfId="62" applyNumberFormat="1" applyFont="1" applyBorder="1" applyAlignment="1">
      <alignment horizontal="right" vertical="center" wrapText="1"/>
    </xf>
    <xf numFmtId="184" fontId="40" fillId="0" borderId="0" xfId="34" applyNumberFormat="1" applyFont="1"/>
    <xf numFmtId="186" fontId="40" fillId="0" borderId="0" xfId="89" applyNumberFormat="1" applyFont="1"/>
    <xf numFmtId="203" fontId="40" fillId="0" borderId="0" xfId="89" applyNumberFormat="1" applyFont="1"/>
    <xf numFmtId="0" fontId="42" fillId="0" borderId="0" xfId="89" applyFont="1"/>
    <xf numFmtId="0" fontId="42" fillId="0" borderId="35" xfId="89" applyFont="1" applyBorder="1"/>
    <xf numFmtId="0" fontId="42" fillId="0" borderId="18" xfId="135" applyFont="1" applyBorder="1" applyAlignment="1">
      <alignment horizontal="center" vertical="center"/>
    </xf>
    <xf numFmtId="0" fontId="42" fillId="0" borderId="18" xfId="135" applyFont="1" applyBorder="1" applyAlignment="1">
      <alignment horizontal="left" vertical="center" wrapText="1"/>
    </xf>
    <xf numFmtId="4" fontId="42" fillId="0" borderId="18" xfId="255" applyNumberFormat="1" applyFont="1" applyBorder="1" applyAlignment="1">
      <alignment vertical="center" wrapText="1"/>
    </xf>
    <xf numFmtId="166" fontId="42" fillId="0" borderId="18" xfId="62" applyNumberFormat="1" applyFont="1" applyBorder="1" applyAlignment="1">
      <alignment horizontal="right" vertical="center" wrapText="1"/>
    </xf>
    <xf numFmtId="166" fontId="42" fillId="0" borderId="29" xfId="62" applyNumberFormat="1" applyFont="1" applyBorder="1" applyAlignment="1">
      <alignment horizontal="right" vertical="center" wrapText="1"/>
    </xf>
    <xf numFmtId="0" fontId="42" fillId="0" borderId="36" xfId="89" applyFont="1" applyBorder="1"/>
    <xf numFmtId="0" fontId="4" fillId="0" borderId="0" xfId="89" applyFont="1"/>
    <xf numFmtId="0" fontId="4" fillId="0" borderId="35" xfId="89" applyFont="1" applyBorder="1"/>
    <xf numFmtId="0" fontId="4" fillId="0" borderId="18" xfId="89" applyFont="1" applyBorder="1" applyAlignment="1">
      <alignment horizontal="center" vertical="center"/>
    </xf>
    <xf numFmtId="0" fontId="4" fillId="0" borderId="18" xfId="135" applyBorder="1" applyAlignment="1">
      <alignment horizontal="center" vertical="center"/>
    </xf>
    <xf numFmtId="0" fontId="4" fillId="0" borderId="18" xfId="135" applyBorder="1" applyAlignment="1">
      <alignment horizontal="left" vertical="center" wrapText="1"/>
    </xf>
    <xf numFmtId="4" fontId="4" fillId="0" borderId="18" xfId="255" applyNumberFormat="1" applyFont="1" applyBorder="1" applyAlignment="1">
      <alignment vertical="center" wrapText="1"/>
    </xf>
    <xf numFmtId="166" fontId="4" fillId="0" borderId="18" xfId="62" applyNumberFormat="1" applyFont="1" applyBorder="1" applyAlignment="1">
      <alignment horizontal="right" vertical="center" wrapText="1"/>
    </xf>
    <xf numFmtId="166" fontId="4" fillId="0" borderId="29" xfId="62" applyNumberFormat="1" applyFont="1" applyBorder="1" applyAlignment="1">
      <alignment horizontal="right" vertical="center" wrapText="1"/>
    </xf>
    <xf numFmtId="0" fontId="4" fillId="0" borderId="36" xfId="89" applyFont="1" applyBorder="1"/>
    <xf numFmtId="0" fontId="40" fillId="28" borderId="31" xfId="73" applyFont="1" applyFill="1" applyBorder="1" applyAlignment="1">
      <alignment horizontal="center" vertical="center"/>
    </xf>
    <xf numFmtId="0" fontId="40" fillId="28" borderId="32" xfId="73" applyFont="1" applyFill="1" applyBorder="1" applyAlignment="1">
      <alignment horizontal="center" vertical="center"/>
    </xf>
    <xf numFmtId="0" fontId="40" fillId="28" borderId="46" xfId="135" applyFont="1" applyFill="1" applyBorder="1" applyAlignment="1">
      <alignment horizontal="center" vertical="center"/>
    </xf>
    <xf numFmtId="0" fontId="40" fillId="28" borderId="32" xfId="74" applyFont="1" applyFill="1" applyBorder="1" applyAlignment="1">
      <alignment horizontal="center" vertical="center"/>
    </xf>
    <xf numFmtId="0" fontId="4" fillId="28" borderId="32" xfId="135" applyFill="1" applyBorder="1" applyAlignment="1">
      <alignment horizontal="center" vertical="center"/>
    </xf>
    <xf numFmtId="0" fontId="42" fillId="28" borderId="32" xfId="135" applyFont="1" applyFill="1" applyBorder="1" applyAlignment="1">
      <alignment horizontal="center" vertical="center"/>
    </xf>
    <xf numFmtId="0" fontId="40" fillId="26" borderId="32" xfId="130" applyFont="1" applyFill="1" applyBorder="1" applyAlignment="1">
      <alignment vertical="center" wrapText="1"/>
    </xf>
    <xf numFmtId="0" fontId="40" fillId="26" borderId="18" xfId="130" applyFont="1" applyFill="1" applyBorder="1" applyAlignment="1">
      <alignment vertical="center" wrapText="1"/>
    </xf>
    <xf numFmtId="0" fontId="41" fillId="24" borderId="13" xfId="73" applyFont="1" applyFill="1" applyBorder="1" applyAlignment="1">
      <alignment horizontal="left" vertical="center"/>
    </xf>
    <xf numFmtId="0" fontId="41" fillId="24" borderId="14" xfId="73" applyFont="1" applyFill="1" applyBorder="1" applyAlignment="1">
      <alignment horizontal="left" vertical="center"/>
    </xf>
    <xf numFmtId="0" fontId="41" fillId="24" borderId="15" xfId="73" applyFont="1" applyFill="1" applyBorder="1" applyAlignment="1">
      <alignment horizontal="left" vertical="center"/>
    </xf>
    <xf numFmtId="0" fontId="41" fillId="24" borderId="38" xfId="73" applyFont="1" applyFill="1" applyBorder="1" applyAlignment="1">
      <alignment horizontal="right" vertical="center"/>
    </xf>
    <xf numFmtId="0" fontId="41" fillId="24" borderId="40" xfId="73" applyFont="1" applyFill="1" applyBorder="1" applyAlignment="1">
      <alignment horizontal="right" vertical="center"/>
    </xf>
    <xf numFmtId="0" fontId="41" fillId="24" borderId="47" xfId="73" applyFont="1" applyFill="1" applyBorder="1" applyAlignment="1">
      <alignment horizontal="right" vertical="center"/>
    </xf>
    <xf numFmtId="0" fontId="40" fillId="25" borderId="19" xfId="130" applyFont="1" applyFill="1" applyBorder="1" applyAlignment="1">
      <alignment horizontal="center" vertical="center" wrapText="1"/>
    </xf>
    <xf numFmtId="0" fontId="40" fillId="25" borderId="39" xfId="130" applyFont="1" applyFill="1" applyBorder="1" applyAlignment="1">
      <alignment horizontal="center" vertical="center" wrapText="1"/>
    </xf>
    <xf numFmtId="3" fontId="41" fillId="26" borderId="18" xfId="130" applyNumberFormat="1" applyFont="1" applyFill="1" applyBorder="1" applyAlignment="1">
      <alignment horizontal="left" vertical="center"/>
    </xf>
    <xf numFmtId="3" fontId="41" fillId="26" borderId="24" xfId="130" applyNumberFormat="1" applyFont="1" applyFill="1" applyBorder="1" applyAlignment="1">
      <alignment horizontal="center" vertical="center" wrapText="1"/>
    </xf>
    <xf numFmtId="0" fontId="40" fillId="0" borderId="54" xfId="0" applyFont="1" applyBorder="1" applyAlignment="1">
      <alignment horizontal="center" vertical="center" wrapText="1"/>
    </xf>
    <xf numFmtId="0" fontId="40" fillId="0" borderId="49" xfId="0" applyFont="1" applyBorder="1" applyAlignment="1">
      <alignment horizontal="center" vertical="center" wrapText="1"/>
    </xf>
    <xf numFmtId="0" fontId="40" fillId="0" borderId="55"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2"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3" xfId="0" applyFont="1" applyBorder="1" applyAlignment="1">
      <alignment horizontal="center" vertical="center" wrapText="1"/>
    </xf>
    <xf numFmtId="0" fontId="41" fillId="0" borderId="53" xfId="130" applyFont="1" applyBorder="1" applyAlignment="1">
      <alignment horizontal="center"/>
    </xf>
    <xf numFmtId="0" fontId="41" fillId="0" borderId="52" xfId="130" applyFont="1" applyBorder="1" applyAlignment="1">
      <alignment horizontal="center"/>
    </xf>
    <xf numFmtId="0" fontId="41" fillId="0" borderId="51" xfId="130" applyFont="1" applyBorder="1" applyAlignment="1">
      <alignment horizontal="center"/>
    </xf>
    <xf numFmtId="0" fontId="38" fillId="0" borderId="63" xfId="0" applyFont="1" applyBorder="1" applyAlignment="1">
      <alignment horizontal="center" wrapText="1"/>
    </xf>
    <xf numFmtId="0" fontId="38" fillId="0" borderId="64" xfId="0" applyFont="1" applyBorder="1" applyAlignment="1">
      <alignment horizontal="center" wrapText="1"/>
    </xf>
    <xf numFmtId="0" fontId="38" fillId="0" borderId="65" xfId="0" applyFont="1" applyBorder="1" applyAlignment="1">
      <alignment horizontal="center" wrapText="1"/>
    </xf>
    <xf numFmtId="0" fontId="40" fillId="0" borderId="66" xfId="89" applyFont="1" applyBorder="1" applyAlignment="1">
      <alignment horizontal="center"/>
    </xf>
    <xf numFmtId="0" fontId="40" fillId="0" borderId="57" xfId="89" applyFont="1" applyBorder="1" applyAlignment="1">
      <alignment horizontal="center"/>
    </xf>
    <xf numFmtId="0" fontId="40" fillId="0" borderId="58" xfId="89" applyFont="1" applyBorder="1" applyAlignment="1">
      <alignment horizontal="center"/>
    </xf>
    <xf numFmtId="0" fontId="40" fillId="0" borderId="11" xfId="130" applyFont="1" applyBorder="1" applyAlignment="1">
      <alignment horizontal="center"/>
    </xf>
    <xf numFmtId="0" fontId="40" fillId="0" borderId="0" xfId="130" applyFont="1" applyAlignment="1">
      <alignment horizontal="center"/>
    </xf>
    <xf numFmtId="0" fontId="40" fillId="0" borderId="12" xfId="130" applyFont="1" applyBorder="1" applyAlignment="1">
      <alignment horizontal="center"/>
    </xf>
    <xf numFmtId="0" fontId="41" fillId="25" borderId="28" xfId="73" applyFont="1" applyFill="1" applyBorder="1" applyAlignment="1">
      <alignment horizontal="center" vertical="center" wrapText="1"/>
    </xf>
    <xf numFmtId="0" fontId="41" fillId="25" borderId="19" xfId="73" applyFont="1" applyFill="1" applyBorder="1" applyAlignment="1">
      <alignment horizontal="center" vertical="center" wrapText="1"/>
    </xf>
    <xf numFmtId="4" fontId="41" fillId="25" borderId="28" xfId="73" applyNumberFormat="1" applyFont="1" applyFill="1" applyBorder="1" applyAlignment="1">
      <alignment horizontal="center" vertical="center" wrapText="1"/>
    </xf>
    <xf numFmtId="4" fontId="41" fillId="25" borderId="19" xfId="73" applyNumberFormat="1" applyFont="1" applyFill="1" applyBorder="1" applyAlignment="1">
      <alignment horizontal="center" vertical="center" wrapText="1"/>
    </xf>
    <xf numFmtId="4" fontId="41" fillId="25" borderId="34" xfId="73" applyNumberFormat="1" applyFont="1" applyFill="1" applyBorder="1" applyAlignment="1">
      <alignment horizontal="center" vertical="center" wrapText="1"/>
    </xf>
    <xf numFmtId="4" fontId="41" fillId="25" borderId="39" xfId="73" applyNumberFormat="1" applyFont="1" applyFill="1" applyBorder="1" applyAlignment="1">
      <alignment horizontal="center" vertical="center" wrapText="1"/>
    </xf>
    <xf numFmtId="0" fontId="41" fillId="25" borderId="31" xfId="73" applyFont="1" applyFill="1" applyBorder="1" applyAlignment="1">
      <alignment horizontal="center" vertical="center" wrapText="1"/>
    </xf>
    <xf numFmtId="0" fontId="41" fillId="25" borderId="44" xfId="73" applyFont="1" applyFill="1" applyBorder="1" applyAlignment="1">
      <alignment horizontal="center" vertical="center" wrapText="1"/>
    </xf>
    <xf numFmtId="0" fontId="41" fillId="0" borderId="28" xfId="126" applyFont="1" applyBorder="1" applyAlignment="1">
      <alignment horizontal="center" vertical="center" wrapText="1"/>
    </xf>
    <xf numFmtId="0" fontId="43" fillId="27" borderId="31" xfId="89" applyFont="1" applyFill="1" applyBorder="1" applyAlignment="1">
      <alignment horizontal="center" vertical="center" wrapText="1"/>
    </xf>
    <xf numFmtId="0" fontId="43" fillId="27" borderId="28" xfId="89" applyFont="1" applyFill="1" applyBorder="1" applyAlignment="1">
      <alignment horizontal="center" vertical="center" wrapText="1"/>
    </xf>
    <xf numFmtId="0" fontId="43" fillId="27" borderId="34" xfId="89" applyFont="1" applyFill="1" applyBorder="1" applyAlignment="1">
      <alignment horizontal="center" vertical="center" wrapText="1"/>
    </xf>
    <xf numFmtId="0" fontId="43" fillId="27" borderId="32" xfId="89" applyFont="1" applyFill="1" applyBorder="1" applyAlignment="1">
      <alignment horizontal="center" vertical="center" wrapText="1"/>
    </xf>
    <xf numFmtId="0" fontId="43" fillId="27" borderId="18" xfId="89" applyFont="1" applyFill="1" applyBorder="1" applyAlignment="1">
      <alignment horizontal="center" vertical="center" wrapText="1"/>
    </xf>
    <xf numFmtId="0" fontId="43" fillId="27" borderId="29" xfId="89" applyFont="1" applyFill="1" applyBorder="1" applyAlignment="1">
      <alignment horizontal="center" vertical="center" wrapText="1"/>
    </xf>
    <xf numFmtId="0" fontId="40" fillId="26" borderId="20" xfId="89" applyFont="1" applyFill="1" applyBorder="1" applyAlignment="1">
      <alignment horizontal="center" wrapText="1"/>
    </xf>
    <xf numFmtId="0" fontId="40" fillId="26" borderId="21" xfId="89" applyFont="1" applyFill="1" applyBorder="1" applyAlignment="1">
      <alignment horizontal="center" wrapText="1"/>
    </xf>
    <xf numFmtId="0" fontId="40" fillId="26" borderId="50" xfId="89" applyFont="1" applyFill="1" applyBorder="1" applyAlignment="1">
      <alignment horizont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6" xfId="255" xr:uid="{480639D8-B216-45C1-999A-7D8B8AE19965}"/>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2 2" xfId="256" xr:uid="{EB9F941E-5F0B-4754-9F33-655C960735BE}"/>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100"/>
  <sheetViews>
    <sheetView showGridLines="0" tabSelected="1" view="pageBreakPreview" topLeftCell="A12" zoomScale="78" zoomScaleNormal="55" zoomScaleSheetLayoutView="78" zoomScalePageLayoutView="70" workbookViewId="0">
      <pane ySplit="2" topLeftCell="A77" activePane="bottomLeft" state="frozen"/>
      <selection activeCell="A12" sqref="A12"/>
      <selection pane="bottomLeft" activeCell="K91" sqref="K91"/>
    </sheetView>
  </sheetViews>
  <sheetFormatPr baseColWidth="10" defaultColWidth="11.42578125" defaultRowHeight="12" x14ac:dyDescent="0.2"/>
  <cols>
    <col min="1" max="1" width="2.28515625" style="3" customWidth="1"/>
    <col min="2" max="2" width="2.5703125" style="3" customWidth="1"/>
    <col min="3" max="3" width="7.7109375" style="3" customWidth="1"/>
    <col min="4" max="4" width="8" style="3" customWidth="1"/>
    <col min="5" max="5" width="7" style="91" customWidth="1"/>
    <col min="6" max="6" width="8.28515625" style="3" customWidth="1"/>
    <col min="7" max="7" width="73.5703125" style="3" customWidth="1"/>
    <col min="8" max="8" width="7.140625" style="3" customWidth="1"/>
    <col min="9" max="9" width="10.28515625" style="3" customWidth="1"/>
    <col min="10" max="10" width="17.42578125" style="3" customWidth="1"/>
    <col min="11" max="11" width="18.5703125" style="3" customWidth="1"/>
    <col min="12" max="13" width="4.42578125" style="3" customWidth="1"/>
    <col min="14" max="14" width="6.42578125" style="3" customWidth="1"/>
    <col min="15" max="15" width="20.7109375" style="3" customWidth="1"/>
    <col min="16" max="16384" width="11.42578125" style="3"/>
  </cols>
  <sheetData>
    <row r="1" spans="2:12" ht="12.75" thickBot="1" x14ac:dyDescent="0.25">
      <c r="B1" s="1"/>
      <c r="C1" s="2"/>
      <c r="D1" s="1"/>
      <c r="E1" s="2"/>
    </row>
    <row r="2" spans="2:12" ht="12.75" thickTop="1" x14ac:dyDescent="0.2">
      <c r="B2" s="172"/>
      <c r="C2" s="173"/>
      <c r="D2" s="173"/>
      <c r="E2" s="173"/>
      <c r="F2" s="173"/>
      <c r="G2" s="173"/>
      <c r="H2" s="173"/>
      <c r="I2" s="173"/>
      <c r="J2" s="173"/>
      <c r="K2" s="173"/>
      <c r="L2" s="174"/>
    </row>
    <row r="3" spans="2:12" ht="38.25" customHeight="1" x14ac:dyDescent="0.2">
      <c r="B3" s="4"/>
      <c r="C3" s="169" t="s">
        <v>22</v>
      </c>
      <c r="D3" s="170"/>
      <c r="E3" s="170"/>
      <c r="F3" s="171"/>
      <c r="L3" s="5"/>
    </row>
    <row r="4" spans="2:12" x14ac:dyDescent="0.2">
      <c r="B4" s="4"/>
      <c r="C4" s="6" t="s">
        <v>0</v>
      </c>
      <c r="D4" s="7" t="s">
        <v>1</v>
      </c>
      <c r="E4" s="6" t="s">
        <v>2</v>
      </c>
      <c r="F4" s="7">
        <v>2</v>
      </c>
      <c r="L4" s="5"/>
    </row>
    <row r="5" spans="2:12" ht="12.75" thickBot="1" x14ac:dyDescent="0.25">
      <c r="B5" s="4"/>
      <c r="C5" s="1"/>
      <c r="D5" s="2"/>
      <c r="E5" s="1"/>
      <c r="F5" s="2"/>
      <c r="L5" s="5"/>
    </row>
    <row r="6" spans="2:12" ht="31.5" customHeight="1" x14ac:dyDescent="0.2">
      <c r="B6" s="4"/>
      <c r="C6" s="166" t="s">
        <v>3</v>
      </c>
      <c r="D6" s="167"/>
      <c r="E6" s="167"/>
      <c r="F6" s="167"/>
      <c r="G6" s="167"/>
      <c r="H6" s="167"/>
      <c r="I6" s="167"/>
      <c r="J6" s="167"/>
      <c r="K6" s="168"/>
      <c r="L6" s="5"/>
    </row>
    <row r="7" spans="2:12" ht="12.75" thickBot="1" x14ac:dyDescent="0.25">
      <c r="B7" s="4"/>
      <c r="C7" s="175" t="s">
        <v>4</v>
      </c>
      <c r="D7" s="176"/>
      <c r="E7" s="176"/>
      <c r="F7" s="176"/>
      <c r="G7" s="176"/>
      <c r="H7" s="176"/>
      <c r="I7" s="176"/>
      <c r="J7" s="176"/>
      <c r="K7" s="177"/>
      <c r="L7" s="5"/>
    </row>
    <row r="8" spans="2:12" s="10" customFormat="1" x14ac:dyDescent="0.2">
      <c r="B8" s="8"/>
      <c r="C8" s="187" t="s">
        <v>172</v>
      </c>
      <c r="D8" s="188"/>
      <c r="E8" s="188"/>
      <c r="F8" s="188"/>
      <c r="G8" s="188"/>
      <c r="H8" s="188"/>
      <c r="I8" s="188"/>
      <c r="J8" s="188"/>
      <c r="K8" s="189"/>
      <c r="L8" s="9"/>
    </row>
    <row r="9" spans="2:12" ht="27" customHeight="1" x14ac:dyDescent="0.2">
      <c r="B9" s="4"/>
      <c r="C9" s="190"/>
      <c r="D9" s="191"/>
      <c r="E9" s="191"/>
      <c r="F9" s="191"/>
      <c r="G9" s="191"/>
      <c r="H9" s="191"/>
      <c r="I9" s="191"/>
      <c r="J9" s="191"/>
      <c r="K9" s="192"/>
      <c r="L9" s="5"/>
    </row>
    <row r="10" spans="2:12" ht="34.5" customHeight="1" x14ac:dyDescent="0.2">
      <c r="B10" s="4"/>
      <c r="C10" s="193" t="s">
        <v>5</v>
      </c>
      <c r="D10" s="194"/>
      <c r="E10" s="194"/>
      <c r="F10" s="194"/>
      <c r="G10" s="194"/>
      <c r="H10" s="194"/>
      <c r="I10" s="194"/>
      <c r="J10" s="194"/>
      <c r="K10" s="195"/>
      <c r="L10" s="5"/>
    </row>
    <row r="11" spans="2:12" ht="30" customHeight="1" thickBot="1" x14ac:dyDescent="0.25">
      <c r="B11" s="4"/>
      <c r="C11" s="147"/>
      <c r="D11" s="148"/>
      <c r="E11" s="148"/>
      <c r="F11" s="148"/>
      <c r="G11" s="148"/>
      <c r="H11" s="148"/>
      <c r="I11" s="148"/>
      <c r="J11" s="148"/>
      <c r="K11" s="149"/>
      <c r="L11" s="5"/>
    </row>
    <row r="12" spans="2:12" ht="30" customHeight="1" x14ac:dyDescent="0.2">
      <c r="B12" s="4"/>
      <c r="C12" s="178" t="s">
        <v>6</v>
      </c>
      <c r="D12" s="178" t="s">
        <v>173</v>
      </c>
      <c r="E12" s="186" t="s">
        <v>7</v>
      </c>
      <c r="F12" s="186"/>
      <c r="G12" s="184" t="s">
        <v>8</v>
      </c>
      <c r="H12" s="178" t="s">
        <v>9</v>
      </c>
      <c r="I12" s="178" t="s">
        <v>10</v>
      </c>
      <c r="J12" s="180" t="s">
        <v>11</v>
      </c>
      <c r="K12" s="182" t="s">
        <v>12</v>
      </c>
      <c r="L12" s="5"/>
    </row>
    <row r="13" spans="2:12" ht="30" customHeight="1" thickBot="1" x14ac:dyDescent="0.25">
      <c r="B13" s="4"/>
      <c r="C13" s="179"/>
      <c r="D13" s="179"/>
      <c r="E13" s="11" t="s">
        <v>13</v>
      </c>
      <c r="F13" s="11" t="s">
        <v>14</v>
      </c>
      <c r="G13" s="185"/>
      <c r="H13" s="179"/>
      <c r="I13" s="179"/>
      <c r="J13" s="181"/>
      <c r="K13" s="183"/>
      <c r="L13" s="5"/>
    </row>
    <row r="14" spans="2:12" ht="26.1" customHeight="1" thickBot="1" x14ac:dyDescent="0.25">
      <c r="B14" s="4"/>
      <c r="C14" s="92">
        <v>1</v>
      </c>
      <c r="D14" s="93"/>
      <c r="E14" s="94"/>
      <c r="F14" s="94"/>
      <c r="G14" s="95" t="s">
        <v>67</v>
      </c>
      <c r="H14" s="94"/>
      <c r="I14" s="94"/>
      <c r="J14" s="94"/>
      <c r="K14" s="96"/>
      <c r="L14" s="5"/>
    </row>
    <row r="15" spans="2:12" ht="32.25" customHeight="1" x14ac:dyDescent="0.2">
      <c r="B15" s="4"/>
      <c r="C15" s="139" t="s">
        <v>28</v>
      </c>
      <c r="D15" s="16" t="s">
        <v>75</v>
      </c>
      <c r="E15" s="16" t="s">
        <v>137</v>
      </c>
      <c r="F15" s="16"/>
      <c r="G15" s="17" t="s">
        <v>151</v>
      </c>
      <c r="H15" s="16" t="s">
        <v>24</v>
      </c>
      <c r="I15" s="18">
        <v>2</v>
      </c>
      <c r="J15" s="19">
        <v>33293</v>
      </c>
      <c r="K15" s="20">
        <f>ROUND((I15*J15),0)</f>
        <v>66586</v>
      </c>
      <c r="L15" s="5"/>
    </row>
    <row r="16" spans="2:12" ht="33" customHeight="1" x14ac:dyDescent="0.2">
      <c r="B16" s="4"/>
      <c r="C16" s="140" t="s">
        <v>29</v>
      </c>
      <c r="D16" s="22" t="s">
        <v>64</v>
      </c>
      <c r="E16" s="22" t="s">
        <v>137</v>
      </c>
      <c r="F16" s="22"/>
      <c r="G16" s="23" t="s">
        <v>65</v>
      </c>
      <c r="H16" s="22" t="s">
        <v>23</v>
      </c>
      <c r="I16" s="24">
        <f>1*2.1*2</f>
        <v>4.2</v>
      </c>
      <c r="J16" s="25">
        <v>1206741</v>
      </c>
      <c r="K16" s="26">
        <f>ROUND((I16*J16),0)</f>
        <v>5068312</v>
      </c>
      <c r="L16" s="5"/>
    </row>
    <row r="17" spans="2:12" ht="28.5" customHeight="1" x14ac:dyDescent="0.2">
      <c r="B17" s="4"/>
      <c r="C17" s="141" t="s">
        <v>30</v>
      </c>
      <c r="D17" s="34" t="s">
        <v>76</v>
      </c>
      <c r="E17" s="34" t="s">
        <v>137</v>
      </c>
      <c r="F17" s="34"/>
      <c r="G17" s="35" t="s">
        <v>77</v>
      </c>
      <c r="H17" s="34" t="s">
        <v>78</v>
      </c>
      <c r="I17" s="24">
        <f>5.2*2</f>
        <v>10.4</v>
      </c>
      <c r="J17" s="25">
        <v>20209</v>
      </c>
      <c r="K17" s="26">
        <f t="shared" ref="K17" si="0">ROUND((I17*J17),0)</f>
        <v>210174</v>
      </c>
      <c r="L17" s="5"/>
    </row>
    <row r="18" spans="2:12" ht="30.75" customHeight="1" x14ac:dyDescent="0.2">
      <c r="B18" s="4"/>
      <c r="C18" s="140" t="s">
        <v>31</v>
      </c>
      <c r="D18" s="22" t="s">
        <v>80</v>
      </c>
      <c r="E18" s="22" t="s">
        <v>137</v>
      </c>
      <c r="F18" s="22"/>
      <c r="G18" s="23" t="s">
        <v>152</v>
      </c>
      <c r="H18" s="22" t="s">
        <v>23</v>
      </c>
      <c r="I18" s="24">
        <f>+(0.3*2.2)+(0.5*0.8)</f>
        <v>1.06</v>
      </c>
      <c r="J18" s="25">
        <v>149983</v>
      </c>
      <c r="K18" s="26">
        <f>ROUND((I18*J18),0)</f>
        <v>158982</v>
      </c>
      <c r="L18" s="5"/>
    </row>
    <row r="19" spans="2:12" ht="106.5" customHeight="1" x14ac:dyDescent="0.2">
      <c r="B19" s="4"/>
      <c r="C19" s="140" t="s">
        <v>34</v>
      </c>
      <c r="D19" s="22" t="s">
        <v>122</v>
      </c>
      <c r="E19" s="22" t="s">
        <v>137</v>
      </c>
      <c r="F19" s="22"/>
      <c r="G19" s="23" t="s">
        <v>174</v>
      </c>
      <c r="H19" s="22" t="s">
        <v>23</v>
      </c>
      <c r="I19" s="24">
        <f>+(4.1*2.55*5)-8.37</f>
        <v>43.904999999999994</v>
      </c>
      <c r="J19" s="25">
        <v>1076656</v>
      </c>
      <c r="K19" s="26">
        <f>ROUND((I19*J19),0)</f>
        <v>47270582</v>
      </c>
      <c r="L19" s="5"/>
    </row>
    <row r="20" spans="2:12" ht="23.25" customHeight="1" x14ac:dyDescent="0.2">
      <c r="B20" s="4"/>
      <c r="C20" s="140" t="s">
        <v>35</v>
      </c>
      <c r="D20" s="22" t="s">
        <v>154</v>
      </c>
      <c r="E20" s="22" t="s">
        <v>137</v>
      </c>
      <c r="F20" s="22"/>
      <c r="G20" s="23" t="s">
        <v>153</v>
      </c>
      <c r="H20" s="22" t="s">
        <v>23</v>
      </c>
      <c r="I20" s="24">
        <v>1.8</v>
      </c>
      <c r="J20" s="25">
        <v>863352</v>
      </c>
      <c r="K20" s="26">
        <f>ROUND((I20*J20),0)</f>
        <v>1554034</v>
      </c>
      <c r="L20" s="5"/>
    </row>
    <row r="21" spans="2:12" ht="36" customHeight="1" x14ac:dyDescent="0.2">
      <c r="B21" s="4"/>
      <c r="C21" s="141" t="s">
        <v>37</v>
      </c>
      <c r="D21" s="34" t="s">
        <v>144</v>
      </c>
      <c r="E21" s="34" t="s">
        <v>137</v>
      </c>
      <c r="F21" s="34"/>
      <c r="G21" s="35" t="s">
        <v>145</v>
      </c>
      <c r="H21" s="34" t="s">
        <v>24</v>
      </c>
      <c r="I21" s="24">
        <v>2</v>
      </c>
      <c r="J21" s="25">
        <v>164296</v>
      </c>
      <c r="K21" s="26">
        <f t="shared" ref="K21" si="1">ROUND((I21*J21),0)</f>
        <v>328592</v>
      </c>
      <c r="L21" s="5"/>
    </row>
    <row r="22" spans="2:12" ht="30.95" customHeight="1" x14ac:dyDescent="0.2">
      <c r="B22" s="4"/>
      <c r="C22" s="141" t="s">
        <v>38</v>
      </c>
      <c r="D22" s="34" t="s">
        <v>155</v>
      </c>
      <c r="E22" s="34" t="s">
        <v>137</v>
      </c>
      <c r="F22" s="34"/>
      <c r="G22" s="35" t="s">
        <v>156</v>
      </c>
      <c r="H22" s="34" t="s">
        <v>23</v>
      </c>
      <c r="I22" s="24">
        <v>54</v>
      </c>
      <c r="J22" s="25">
        <v>35629</v>
      </c>
      <c r="K22" s="26">
        <f t="shared" ref="K22" si="2">ROUND((I22*J22),0)</f>
        <v>1923966</v>
      </c>
      <c r="L22" s="5"/>
    </row>
    <row r="23" spans="2:12" s="29" customFormat="1" ht="84.75" customHeight="1" x14ac:dyDescent="0.25">
      <c r="B23" s="27"/>
      <c r="C23" s="140" t="s">
        <v>39</v>
      </c>
      <c r="D23" s="22" t="s">
        <v>32</v>
      </c>
      <c r="E23" s="22" t="s">
        <v>137</v>
      </c>
      <c r="F23" s="22"/>
      <c r="G23" s="23" t="s">
        <v>79</v>
      </c>
      <c r="H23" s="22" t="s">
        <v>23</v>
      </c>
      <c r="I23" s="24">
        <f>76+54+25</f>
        <v>155</v>
      </c>
      <c r="J23" s="25">
        <v>22369</v>
      </c>
      <c r="K23" s="26">
        <f t="shared" ref="K23" si="3">ROUND((I23*J23),0)</f>
        <v>3467195</v>
      </c>
      <c r="L23" s="28"/>
    </row>
    <row r="24" spans="2:12" ht="25.5" customHeight="1" x14ac:dyDescent="0.2">
      <c r="B24" s="4"/>
      <c r="C24" s="141" t="s">
        <v>73</v>
      </c>
      <c r="D24" s="34" t="s">
        <v>89</v>
      </c>
      <c r="E24" s="34" t="s">
        <v>137</v>
      </c>
      <c r="F24" s="34"/>
      <c r="G24" s="35" t="s">
        <v>157</v>
      </c>
      <c r="H24" s="34" t="s">
        <v>23</v>
      </c>
      <c r="I24" s="24">
        <v>20</v>
      </c>
      <c r="J24" s="25">
        <v>378514</v>
      </c>
      <c r="K24" s="26">
        <f t="shared" ref="K24:K25" si="4">ROUND((I24*J24),0)</f>
        <v>7570280</v>
      </c>
      <c r="L24" s="5"/>
    </row>
    <row r="25" spans="2:12" s="130" customFormat="1" ht="52.5" customHeight="1" x14ac:dyDescent="0.2">
      <c r="B25" s="131"/>
      <c r="C25" s="143" t="s">
        <v>74</v>
      </c>
      <c r="D25" s="132" t="s">
        <v>166</v>
      </c>
      <c r="E25" s="133" t="s">
        <v>137</v>
      </c>
      <c r="F25" s="133"/>
      <c r="G25" s="134" t="s">
        <v>167</v>
      </c>
      <c r="H25" s="133" t="s">
        <v>23</v>
      </c>
      <c r="I25" s="135">
        <f>+((3.6+5.2+1)*3.4)</f>
        <v>33.32</v>
      </c>
      <c r="J25" s="136">
        <v>340395</v>
      </c>
      <c r="K25" s="137">
        <f t="shared" si="4"/>
        <v>11341961</v>
      </c>
      <c r="L25" s="138"/>
    </row>
    <row r="26" spans="2:12" ht="22.5" customHeight="1" x14ac:dyDescent="0.2">
      <c r="B26" s="4"/>
      <c r="C26" s="101"/>
      <c r="D26" s="22"/>
      <c r="E26" s="22"/>
      <c r="F26" s="22"/>
      <c r="G26" s="23"/>
      <c r="H26" s="22"/>
      <c r="I26" s="24"/>
      <c r="J26" s="25"/>
      <c r="K26" s="26"/>
      <c r="L26" s="5"/>
    </row>
    <row r="27" spans="2:12" ht="30" customHeight="1" thickBot="1" x14ac:dyDescent="0.25">
      <c r="B27" s="4"/>
      <c r="C27" s="108" t="s">
        <v>70</v>
      </c>
      <c r="D27" s="104"/>
      <c r="E27" s="104"/>
      <c r="F27" s="104"/>
      <c r="G27" s="105"/>
      <c r="H27" s="104"/>
      <c r="I27" s="106"/>
      <c r="J27" s="107"/>
      <c r="K27" s="109">
        <f>+SUM(K15:K26)</f>
        <v>78960664</v>
      </c>
      <c r="L27" s="5"/>
    </row>
    <row r="28" spans="2:12" ht="30" customHeight="1" x14ac:dyDescent="0.2">
      <c r="B28" s="4"/>
      <c r="C28" s="92">
        <v>2</v>
      </c>
      <c r="D28" s="93"/>
      <c r="E28" s="94"/>
      <c r="F28" s="94"/>
      <c r="G28" s="94" t="s">
        <v>168</v>
      </c>
      <c r="H28" s="94"/>
      <c r="I28" s="94"/>
      <c r="J28" s="94"/>
      <c r="K28" s="96"/>
      <c r="L28" s="5"/>
    </row>
    <row r="29" spans="2:12" ht="30.95" customHeight="1" x14ac:dyDescent="0.2">
      <c r="B29" s="4"/>
      <c r="C29" s="141" t="s">
        <v>25</v>
      </c>
      <c r="D29" s="34" t="s">
        <v>155</v>
      </c>
      <c r="E29" s="34" t="s">
        <v>137</v>
      </c>
      <c r="F29" s="34"/>
      <c r="G29" s="35" t="s">
        <v>169</v>
      </c>
      <c r="H29" s="34" t="s">
        <v>23</v>
      </c>
      <c r="I29" s="24">
        <f>+(20*3.2)+(4*6)</f>
        <v>88</v>
      </c>
      <c r="J29" s="25">
        <v>35629</v>
      </c>
      <c r="K29" s="26">
        <f>ROUND((I29*J29),0)</f>
        <v>3135352</v>
      </c>
      <c r="L29" s="5"/>
    </row>
    <row r="30" spans="2:12" ht="20.25" customHeight="1" x14ac:dyDescent="0.2">
      <c r="B30" s="4"/>
      <c r="C30" s="142" t="s">
        <v>26</v>
      </c>
      <c r="D30" s="33" t="s">
        <v>44</v>
      </c>
      <c r="E30" s="22" t="s">
        <v>137</v>
      </c>
      <c r="F30" s="22"/>
      <c r="G30" s="23" t="s">
        <v>170</v>
      </c>
      <c r="H30" s="22" t="s">
        <v>23</v>
      </c>
      <c r="I30" s="24">
        <f>6*4</f>
        <v>24</v>
      </c>
      <c r="J30" s="25">
        <v>46843</v>
      </c>
      <c r="K30" s="26">
        <f>ROUND((I30*J30),0)</f>
        <v>1124232</v>
      </c>
      <c r="L30" s="5"/>
    </row>
    <row r="31" spans="2:12" ht="39.75" customHeight="1" x14ac:dyDescent="0.2">
      <c r="B31" s="4"/>
      <c r="C31" s="141" t="s">
        <v>27</v>
      </c>
      <c r="D31" s="34" t="s">
        <v>144</v>
      </c>
      <c r="E31" s="34" t="s">
        <v>137</v>
      </c>
      <c r="F31" s="34"/>
      <c r="G31" s="35" t="s">
        <v>145</v>
      </c>
      <c r="H31" s="34" t="s">
        <v>24</v>
      </c>
      <c r="I31" s="24">
        <v>2</v>
      </c>
      <c r="J31" s="25">
        <v>164296</v>
      </c>
      <c r="K31" s="26">
        <f t="shared" ref="K31" si="5">ROUND((I31*J31),0)</f>
        <v>328592</v>
      </c>
      <c r="L31" s="5"/>
    </row>
    <row r="32" spans="2:12" ht="20.25" customHeight="1" x14ac:dyDescent="0.2">
      <c r="B32" s="4"/>
      <c r="C32" s="101"/>
      <c r="D32" s="22"/>
      <c r="E32" s="22"/>
      <c r="F32" s="22"/>
      <c r="G32" s="36"/>
      <c r="H32" s="22"/>
      <c r="I32" s="24"/>
      <c r="J32" s="25"/>
      <c r="K32" s="26"/>
      <c r="L32" s="5"/>
    </row>
    <row r="33" spans="2:12" ht="30" customHeight="1" thickBot="1" x14ac:dyDescent="0.25">
      <c r="B33" s="4"/>
      <c r="C33" s="102" t="s">
        <v>69</v>
      </c>
      <c r="D33" s="110"/>
      <c r="E33" s="111"/>
      <c r="F33" s="110"/>
      <c r="G33" s="110"/>
      <c r="H33" s="110"/>
      <c r="I33" s="31"/>
      <c r="J33" s="110"/>
      <c r="K33" s="103">
        <f>+ROUND((SUM(K29:K32)),0)</f>
        <v>4588176</v>
      </c>
      <c r="L33" s="5"/>
    </row>
    <row r="34" spans="2:12" ht="23.45" customHeight="1" thickBot="1" x14ac:dyDescent="0.25">
      <c r="B34" s="4"/>
      <c r="C34" s="97">
        <v>3</v>
      </c>
      <c r="D34" s="97"/>
      <c r="E34" s="98"/>
      <c r="F34" s="98"/>
      <c r="G34" s="99" t="s">
        <v>66</v>
      </c>
      <c r="H34" s="98"/>
      <c r="I34" s="98"/>
      <c r="J34" s="98"/>
      <c r="K34" s="100"/>
      <c r="L34" s="5"/>
    </row>
    <row r="35" spans="2:12" ht="40.5" customHeight="1" x14ac:dyDescent="0.2">
      <c r="B35" s="4"/>
      <c r="C35" s="140" t="s">
        <v>40</v>
      </c>
      <c r="D35" s="22" t="s">
        <v>141</v>
      </c>
      <c r="E35" s="22" t="s">
        <v>137</v>
      </c>
      <c r="F35" s="22"/>
      <c r="G35" s="23" t="s">
        <v>140</v>
      </c>
      <c r="H35" s="22" t="s">
        <v>23</v>
      </c>
      <c r="I35" s="24">
        <f>1.4*4</f>
        <v>5.6</v>
      </c>
      <c r="J35" s="25">
        <v>39279</v>
      </c>
      <c r="K35" s="26">
        <f>ROUND((I35*J35),0)</f>
        <v>219962</v>
      </c>
      <c r="L35" s="5"/>
    </row>
    <row r="36" spans="2:12" ht="23.25" customHeight="1" x14ac:dyDescent="0.2">
      <c r="B36" s="4"/>
      <c r="C36" s="141" t="s">
        <v>41</v>
      </c>
      <c r="D36" s="34" t="s">
        <v>143</v>
      </c>
      <c r="E36" s="34" t="s">
        <v>137</v>
      </c>
      <c r="F36" s="34"/>
      <c r="G36" s="35" t="s">
        <v>142</v>
      </c>
      <c r="H36" s="34" t="s">
        <v>23</v>
      </c>
      <c r="I36" s="24">
        <v>1</v>
      </c>
      <c r="J36" s="25">
        <v>62021</v>
      </c>
      <c r="K36" s="26">
        <f t="shared" ref="K36:K39" si="6">ROUND((I36*J36),0)</f>
        <v>62021</v>
      </c>
      <c r="L36" s="5"/>
    </row>
    <row r="37" spans="2:12" ht="37.5" customHeight="1" x14ac:dyDescent="0.2">
      <c r="B37" s="4"/>
      <c r="C37" s="141" t="s">
        <v>81</v>
      </c>
      <c r="D37" s="34" t="s">
        <v>144</v>
      </c>
      <c r="E37" s="34" t="s">
        <v>137</v>
      </c>
      <c r="F37" s="34"/>
      <c r="G37" s="35" t="s">
        <v>145</v>
      </c>
      <c r="H37" s="34" t="s">
        <v>24</v>
      </c>
      <c r="I37" s="24">
        <v>3</v>
      </c>
      <c r="J37" s="25">
        <v>164296</v>
      </c>
      <c r="K37" s="26">
        <f t="shared" si="6"/>
        <v>492888</v>
      </c>
      <c r="L37" s="5"/>
    </row>
    <row r="38" spans="2:12" ht="37.5" customHeight="1" x14ac:dyDescent="0.2">
      <c r="B38" s="4"/>
      <c r="C38" s="141" t="s">
        <v>82</v>
      </c>
      <c r="D38" s="34" t="s">
        <v>147</v>
      </c>
      <c r="E38" s="34" t="s">
        <v>137</v>
      </c>
      <c r="F38" s="34"/>
      <c r="G38" s="35" t="s">
        <v>146</v>
      </c>
      <c r="H38" s="34" t="s">
        <v>23</v>
      </c>
      <c r="I38" s="24">
        <f>2*1.52</f>
        <v>3.04</v>
      </c>
      <c r="J38" s="25">
        <v>170961</v>
      </c>
      <c r="K38" s="26">
        <f t="shared" si="6"/>
        <v>519721</v>
      </c>
      <c r="L38" s="5"/>
    </row>
    <row r="39" spans="2:12" s="29" customFormat="1" ht="83.25" customHeight="1" x14ac:dyDescent="0.25">
      <c r="B39" s="27"/>
      <c r="C39" s="140" t="s">
        <v>83</v>
      </c>
      <c r="D39" s="22" t="s">
        <v>32</v>
      </c>
      <c r="E39" s="22" t="s">
        <v>137</v>
      </c>
      <c r="F39" s="22"/>
      <c r="G39" s="23" t="s">
        <v>84</v>
      </c>
      <c r="H39" s="22" t="s">
        <v>23</v>
      </c>
      <c r="I39" s="24">
        <f>56.02*2</f>
        <v>112.04</v>
      </c>
      <c r="J39" s="25">
        <v>22369</v>
      </c>
      <c r="K39" s="26">
        <f t="shared" si="6"/>
        <v>2506223</v>
      </c>
      <c r="L39" s="28"/>
    </row>
    <row r="40" spans="2:12" s="29" customFormat="1" ht="21.75" customHeight="1" x14ac:dyDescent="0.25">
      <c r="B40" s="27"/>
      <c r="C40" s="140" t="s">
        <v>148</v>
      </c>
      <c r="D40" s="22" t="s">
        <v>149</v>
      </c>
      <c r="E40" s="22" t="s">
        <v>137</v>
      </c>
      <c r="F40" s="22"/>
      <c r="G40" s="23" t="s">
        <v>150</v>
      </c>
      <c r="H40" s="22" t="s">
        <v>23</v>
      </c>
      <c r="I40" s="24">
        <v>1</v>
      </c>
      <c r="J40" s="25">
        <v>58735</v>
      </c>
      <c r="K40" s="26">
        <f t="shared" ref="K40" si="7">ROUND((I40*J40),0)</f>
        <v>58735</v>
      </c>
      <c r="L40" s="28"/>
    </row>
    <row r="41" spans="2:12" ht="20.25" customHeight="1" x14ac:dyDescent="0.2">
      <c r="B41" s="4"/>
      <c r="C41" s="21"/>
      <c r="D41" s="22"/>
      <c r="E41" s="22"/>
      <c r="F41" s="22"/>
      <c r="G41" s="36"/>
      <c r="H41" s="22"/>
      <c r="I41" s="24"/>
      <c r="J41" s="25"/>
      <c r="K41" s="26"/>
      <c r="L41" s="5"/>
    </row>
    <row r="42" spans="2:12" ht="30" customHeight="1" thickBot="1" x14ac:dyDescent="0.25">
      <c r="B42" s="4"/>
      <c r="C42" s="30" t="s">
        <v>68</v>
      </c>
      <c r="D42" s="37"/>
      <c r="E42" s="38"/>
      <c r="F42" s="37"/>
      <c r="G42" s="37"/>
      <c r="H42" s="37"/>
      <c r="I42" s="31"/>
      <c r="J42" s="37"/>
      <c r="K42" s="32">
        <f>+ROUND((SUM(K35:K41)),0)</f>
        <v>3859550</v>
      </c>
      <c r="L42" s="5"/>
    </row>
    <row r="43" spans="2:12" ht="30" customHeight="1" thickBot="1" x14ac:dyDescent="0.25">
      <c r="B43" s="4"/>
      <c r="C43" s="97">
        <v>4</v>
      </c>
      <c r="D43" s="97"/>
      <c r="E43" s="98"/>
      <c r="F43" s="98"/>
      <c r="G43" s="99" t="s">
        <v>71</v>
      </c>
      <c r="H43" s="98"/>
      <c r="I43" s="98"/>
      <c r="J43" s="98"/>
      <c r="K43" s="100"/>
      <c r="L43" s="5"/>
    </row>
    <row r="44" spans="2:12" ht="54.75" customHeight="1" x14ac:dyDescent="0.2">
      <c r="B44" s="4"/>
      <c r="C44" s="101" t="s">
        <v>55</v>
      </c>
      <c r="D44" s="22" t="s">
        <v>123</v>
      </c>
      <c r="E44" s="22" t="s">
        <v>137</v>
      </c>
      <c r="F44" s="22"/>
      <c r="G44" s="23" t="s">
        <v>124</v>
      </c>
      <c r="H44" s="22" t="s">
        <v>24</v>
      </c>
      <c r="I44" s="24">
        <v>2</v>
      </c>
      <c r="J44" s="25">
        <v>110741</v>
      </c>
      <c r="K44" s="26">
        <f>ROUND((I44*J44),0)</f>
        <v>221482</v>
      </c>
      <c r="L44" s="5"/>
    </row>
    <row r="45" spans="2:12" ht="62.25" customHeight="1" x14ac:dyDescent="0.2">
      <c r="B45" s="4"/>
      <c r="C45" s="140" t="s">
        <v>56</v>
      </c>
      <c r="D45" s="22" t="s">
        <v>36</v>
      </c>
      <c r="E45" s="22" t="s">
        <v>137</v>
      </c>
      <c r="F45" s="22"/>
      <c r="G45" s="23" t="s">
        <v>125</v>
      </c>
      <c r="H45" s="22" t="s">
        <v>24</v>
      </c>
      <c r="I45" s="24">
        <v>2</v>
      </c>
      <c r="J45" s="25">
        <v>198417</v>
      </c>
      <c r="K45" s="26">
        <f>ROUND((I45*J45),0)</f>
        <v>396834</v>
      </c>
      <c r="L45" s="5"/>
    </row>
    <row r="46" spans="2:12" ht="32.25" customHeight="1" x14ac:dyDescent="0.2">
      <c r="B46" s="4"/>
      <c r="C46" s="141" t="s">
        <v>57</v>
      </c>
      <c r="D46" s="34" t="s">
        <v>126</v>
      </c>
      <c r="E46" s="34" t="s">
        <v>137</v>
      </c>
      <c r="F46" s="34"/>
      <c r="G46" s="35" t="s">
        <v>127</v>
      </c>
      <c r="H46" s="34" t="s">
        <v>23</v>
      </c>
      <c r="I46" s="24">
        <f>+ROUND(((4.45*2.45)+(0.75*2.45)+(2.55*1.55)+(2.13*2.45)),2)</f>
        <v>21.91</v>
      </c>
      <c r="J46" s="25">
        <v>21524</v>
      </c>
      <c r="K46" s="26">
        <f t="shared" ref="K46:K52" si="8">ROUND((I46*J46),0)</f>
        <v>471591</v>
      </c>
      <c r="L46" s="5"/>
    </row>
    <row r="47" spans="2:12" ht="21" customHeight="1" x14ac:dyDescent="0.2">
      <c r="B47" s="4"/>
      <c r="C47" s="117" t="s">
        <v>58</v>
      </c>
      <c r="D47" s="34" t="s">
        <v>128</v>
      </c>
      <c r="E47" s="34" t="s">
        <v>137</v>
      </c>
      <c r="F47" s="34"/>
      <c r="G47" s="35" t="s">
        <v>129</v>
      </c>
      <c r="H47" s="34" t="s">
        <v>23</v>
      </c>
      <c r="I47" s="24">
        <f>+I46</f>
        <v>21.91</v>
      </c>
      <c r="J47" s="25">
        <v>96520</v>
      </c>
      <c r="K47" s="26">
        <f t="shared" si="8"/>
        <v>2114753</v>
      </c>
      <c r="L47" s="5"/>
    </row>
    <row r="48" spans="2:12" ht="51.75" customHeight="1" x14ac:dyDescent="0.2">
      <c r="B48" s="4"/>
      <c r="C48" s="141" t="s">
        <v>59</v>
      </c>
      <c r="D48" s="34" t="s">
        <v>130</v>
      </c>
      <c r="E48" s="34" t="s">
        <v>137</v>
      </c>
      <c r="F48" s="34"/>
      <c r="G48" s="35" t="s">
        <v>132</v>
      </c>
      <c r="H48" s="34" t="s">
        <v>33</v>
      </c>
      <c r="I48" s="24">
        <v>1.2</v>
      </c>
      <c r="J48" s="25">
        <v>1860047</v>
      </c>
      <c r="K48" s="26">
        <f t="shared" si="8"/>
        <v>2232056</v>
      </c>
      <c r="L48" s="5"/>
    </row>
    <row r="49" spans="2:12" ht="36" customHeight="1" x14ac:dyDescent="0.2">
      <c r="B49" s="4"/>
      <c r="C49" s="141" t="s">
        <v>60</v>
      </c>
      <c r="D49" s="34" t="s">
        <v>131</v>
      </c>
      <c r="E49" s="34" t="s">
        <v>137</v>
      </c>
      <c r="F49" s="34"/>
      <c r="G49" s="35" t="s">
        <v>133</v>
      </c>
      <c r="H49" s="34" t="s">
        <v>33</v>
      </c>
      <c r="I49" s="39">
        <v>1.6</v>
      </c>
      <c r="J49" s="115">
        <v>747171</v>
      </c>
      <c r="K49" s="116">
        <f t="shared" si="8"/>
        <v>1195474</v>
      </c>
      <c r="L49" s="5"/>
    </row>
    <row r="50" spans="2:12" ht="33" customHeight="1" x14ac:dyDescent="0.2">
      <c r="B50" s="4"/>
      <c r="C50" s="141" t="s">
        <v>61</v>
      </c>
      <c r="D50" s="34" t="s">
        <v>76</v>
      </c>
      <c r="E50" s="34" t="s">
        <v>137</v>
      </c>
      <c r="F50" s="34"/>
      <c r="G50" s="35" t="s">
        <v>134</v>
      </c>
      <c r="H50" s="34" t="s">
        <v>78</v>
      </c>
      <c r="I50" s="24">
        <f>+(1.1+2.1+2.1)*2</f>
        <v>10.600000000000001</v>
      </c>
      <c r="J50" s="25">
        <v>20308</v>
      </c>
      <c r="K50" s="26">
        <f t="shared" si="8"/>
        <v>215265</v>
      </c>
      <c r="L50" s="5"/>
    </row>
    <row r="51" spans="2:12" s="29" customFormat="1" ht="87" customHeight="1" x14ac:dyDescent="0.25">
      <c r="B51" s="27"/>
      <c r="C51" s="140" t="s">
        <v>62</v>
      </c>
      <c r="D51" s="22" t="s">
        <v>32</v>
      </c>
      <c r="E51" s="22" t="s">
        <v>137</v>
      </c>
      <c r="F51" s="22"/>
      <c r="G51" s="23" t="s">
        <v>135</v>
      </c>
      <c r="H51" s="22" t="s">
        <v>23</v>
      </c>
      <c r="I51" s="24">
        <f>117.63+49.59</f>
        <v>167.22</v>
      </c>
      <c r="J51" s="25">
        <v>22369</v>
      </c>
      <c r="K51" s="26">
        <f t="shared" si="8"/>
        <v>3740544</v>
      </c>
      <c r="L51" s="28"/>
    </row>
    <row r="52" spans="2:12" s="122" customFormat="1" ht="42" customHeight="1" x14ac:dyDescent="0.2">
      <c r="B52" s="123"/>
      <c r="C52" s="144" t="s">
        <v>63</v>
      </c>
      <c r="D52" s="124" t="s">
        <v>136</v>
      </c>
      <c r="E52" s="124" t="s">
        <v>137</v>
      </c>
      <c r="F52" s="124" t="s">
        <v>137</v>
      </c>
      <c r="G52" s="125" t="s">
        <v>139</v>
      </c>
      <c r="H52" s="124" t="s">
        <v>138</v>
      </c>
      <c r="I52" s="126">
        <f>+ROUND((55*35),2)</f>
        <v>1925</v>
      </c>
      <c r="J52" s="127">
        <v>120</v>
      </c>
      <c r="K52" s="128">
        <f t="shared" si="8"/>
        <v>231000</v>
      </c>
      <c r="L52" s="129"/>
    </row>
    <row r="53" spans="2:12" ht="20.25" customHeight="1" x14ac:dyDescent="0.2">
      <c r="B53" s="4"/>
      <c r="C53" s="21"/>
      <c r="D53" s="22"/>
      <c r="E53" s="22"/>
      <c r="F53" s="22"/>
      <c r="G53" s="36"/>
      <c r="H53" s="22"/>
      <c r="I53" s="24"/>
      <c r="J53" s="25"/>
      <c r="K53" s="26"/>
      <c r="L53" s="5"/>
    </row>
    <row r="54" spans="2:12" ht="30" customHeight="1" thickBot="1" x14ac:dyDescent="0.25">
      <c r="B54" s="4"/>
      <c r="C54" s="30" t="s">
        <v>72</v>
      </c>
      <c r="D54" s="37"/>
      <c r="E54" s="38"/>
      <c r="F54" s="37"/>
      <c r="G54" s="37"/>
      <c r="H54" s="37"/>
      <c r="I54" s="31"/>
      <c r="J54" s="37"/>
      <c r="K54" s="32">
        <f>+ROUND((SUM(K44:K53)),0)</f>
        <v>10818999</v>
      </c>
      <c r="L54" s="5"/>
    </row>
    <row r="55" spans="2:12" ht="30" customHeight="1" thickBot="1" x14ac:dyDescent="0.25">
      <c r="B55" s="4"/>
      <c r="C55" s="97">
        <v>5</v>
      </c>
      <c r="D55" s="97"/>
      <c r="E55" s="98"/>
      <c r="F55" s="98"/>
      <c r="G55" s="99" t="s">
        <v>85</v>
      </c>
      <c r="H55" s="98"/>
      <c r="I55" s="98"/>
      <c r="J55" s="98"/>
      <c r="K55" s="100"/>
      <c r="L55" s="5"/>
    </row>
    <row r="56" spans="2:12" ht="18.75" customHeight="1" x14ac:dyDescent="0.2">
      <c r="B56" s="4"/>
      <c r="C56" s="113" t="s">
        <v>50</v>
      </c>
      <c r="D56" s="33"/>
      <c r="E56" s="22"/>
      <c r="F56" s="22"/>
      <c r="G56" s="112" t="s">
        <v>158</v>
      </c>
      <c r="H56" s="22"/>
      <c r="I56" s="24"/>
      <c r="J56" s="25"/>
      <c r="K56" s="26"/>
      <c r="L56" s="5"/>
    </row>
    <row r="57" spans="2:12" ht="26.25" customHeight="1" x14ac:dyDescent="0.2">
      <c r="B57" s="4"/>
      <c r="C57" s="142" t="s">
        <v>87</v>
      </c>
      <c r="D57" s="33" t="s">
        <v>44</v>
      </c>
      <c r="E57" s="22" t="s">
        <v>137</v>
      </c>
      <c r="F57" s="22"/>
      <c r="G57" s="23" t="s">
        <v>159</v>
      </c>
      <c r="H57" s="22" t="s">
        <v>23</v>
      </c>
      <c r="I57" s="24">
        <f>+(21.8*0.5)+(4.4*6.5)+20</f>
        <v>59.5</v>
      </c>
      <c r="J57" s="25">
        <v>46843</v>
      </c>
      <c r="K57" s="26">
        <f>ROUND((I57*J57),0)</f>
        <v>2787159</v>
      </c>
      <c r="L57" s="5"/>
    </row>
    <row r="58" spans="2:12" ht="20.25" customHeight="1" x14ac:dyDescent="0.2">
      <c r="B58" s="4"/>
      <c r="C58" s="21"/>
      <c r="D58" s="22"/>
      <c r="E58" s="22"/>
      <c r="F58" s="22"/>
      <c r="G58" s="36"/>
      <c r="H58" s="22"/>
      <c r="I58" s="24"/>
      <c r="J58" s="25"/>
      <c r="K58" s="26"/>
      <c r="L58" s="5"/>
    </row>
    <row r="59" spans="2:12" ht="30" customHeight="1" thickBot="1" x14ac:dyDescent="0.25">
      <c r="B59" s="4"/>
      <c r="C59" s="30" t="s">
        <v>86</v>
      </c>
      <c r="D59" s="37"/>
      <c r="E59" s="38"/>
      <c r="F59" s="37"/>
      <c r="G59" s="37"/>
      <c r="H59" s="37"/>
      <c r="I59" s="31"/>
      <c r="J59" s="37"/>
      <c r="K59" s="32">
        <f>+ROUND((SUM(K56:K58)),0)</f>
        <v>2787159</v>
      </c>
      <c r="L59" s="5"/>
    </row>
    <row r="60" spans="2:12" ht="30" customHeight="1" thickBot="1" x14ac:dyDescent="0.25">
      <c r="B60" s="4"/>
      <c r="C60" s="12">
        <v>6</v>
      </c>
      <c r="D60" s="12"/>
      <c r="E60" s="13"/>
      <c r="F60" s="13"/>
      <c r="G60" s="14" t="s">
        <v>90</v>
      </c>
      <c r="H60" s="13"/>
      <c r="I60" s="13"/>
      <c r="J60" s="13"/>
      <c r="K60" s="15"/>
      <c r="L60" s="5"/>
    </row>
    <row r="61" spans="2:12" ht="31.5" customHeight="1" x14ac:dyDescent="0.2">
      <c r="B61" s="4" t="s">
        <v>54</v>
      </c>
      <c r="C61" s="142" t="s">
        <v>109</v>
      </c>
      <c r="D61" s="33" t="s">
        <v>42</v>
      </c>
      <c r="E61" s="22" t="s">
        <v>137</v>
      </c>
      <c r="F61" s="22"/>
      <c r="G61" s="23" t="s">
        <v>43</v>
      </c>
      <c r="H61" s="22" t="s">
        <v>23</v>
      </c>
      <c r="I61" s="24">
        <f>ROUND((837.5*2),2)</f>
        <v>1675</v>
      </c>
      <c r="J61" s="25">
        <v>20533</v>
      </c>
      <c r="K61" s="26">
        <f>ROUND((I61*J61),0)</f>
        <v>34392775</v>
      </c>
      <c r="L61" s="5"/>
    </row>
    <row r="62" spans="2:12" ht="52.5" customHeight="1" x14ac:dyDescent="0.2">
      <c r="B62" s="4"/>
      <c r="C62" s="141" t="s">
        <v>110</v>
      </c>
      <c r="D62" s="34" t="s">
        <v>99</v>
      </c>
      <c r="E62" s="34" t="s">
        <v>137</v>
      </c>
      <c r="F62" s="34"/>
      <c r="G62" s="35" t="s">
        <v>100</v>
      </c>
      <c r="H62" s="34" t="s">
        <v>33</v>
      </c>
      <c r="I62" s="24">
        <f>ROUND((I61/2),2)</f>
        <v>837.5</v>
      </c>
      <c r="J62" s="25">
        <v>51910</v>
      </c>
      <c r="K62" s="118">
        <f t="shared" ref="K62:K71" si="9">ROUND((I62*J62),0)</f>
        <v>43474625</v>
      </c>
      <c r="L62" s="5"/>
    </row>
    <row r="63" spans="2:12" ht="63" customHeight="1" x14ac:dyDescent="0.2">
      <c r="B63" s="4"/>
      <c r="C63" s="141" t="s">
        <v>111</v>
      </c>
      <c r="D63" s="34" t="s">
        <v>101</v>
      </c>
      <c r="E63" s="34" t="s">
        <v>137</v>
      </c>
      <c r="F63" s="34"/>
      <c r="G63" s="35" t="s">
        <v>98</v>
      </c>
      <c r="H63" s="34" t="s">
        <v>33</v>
      </c>
      <c r="I63" s="24">
        <f>ROUND((I61/2),2)</f>
        <v>837.5</v>
      </c>
      <c r="J63" s="25">
        <v>18521</v>
      </c>
      <c r="K63" s="118">
        <f t="shared" ref="K63" si="10">ROUND((I63*J63),0)</f>
        <v>15511338</v>
      </c>
      <c r="L63" s="5"/>
    </row>
    <row r="64" spans="2:12" ht="31.5" customHeight="1" x14ac:dyDescent="0.2">
      <c r="B64" s="4"/>
      <c r="C64" s="142" t="s">
        <v>112</v>
      </c>
      <c r="D64" s="33" t="s">
        <v>44</v>
      </c>
      <c r="E64" s="22" t="s">
        <v>137</v>
      </c>
      <c r="F64" s="22"/>
      <c r="G64" s="23" t="s">
        <v>94</v>
      </c>
      <c r="H64" s="22" t="s">
        <v>45</v>
      </c>
      <c r="I64" s="24">
        <f>ROUND((((((I61/2)*0.3*0.4)))+(1*1*1*8)),2)</f>
        <v>108.5</v>
      </c>
      <c r="J64" s="25">
        <v>81685</v>
      </c>
      <c r="K64" s="26">
        <f t="shared" si="9"/>
        <v>8862823</v>
      </c>
      <c r="L64" s="5"/>
    </row>
    <row r="65" spans="2:12" ht="38.25" customHeight="1" x14ac:dyDescent="0.2">
      <c r="B65" s="4"/>
      <c r="C65" s="142" t="s">
        <v>113</v>
      </c>
      <c r="D65" s="33" t="s">
        <v>102</v>
      </c>
      <c r="E65" s="22" t="s">
        <v>137</v>
      </c>
      <c r="F65" s="22"/>
      <c r="G65" s="23" t="s">
        <v>96</v>
      </c>
      <c r="H65" s="22" t="s">
        <v>45</v>
      </c>
      <c r="I65" s="24">
        <f>ROUND(((I61/2)*0.3*0.4),2)</f>
        <v>100.5</v>
      </c>
      <c r="J65" s="25">
        <v>741728</v>
      </c>
      <c r="K65" s="26">
        <f t="shared" si="9"/>
        <v>74543664</v>
      </c>
      <c r="L65" s="5"/>
    </row>
    <row r="66" spans="2:12" ht="27.6" customHeight="1" x14ac:dyDescent="0.2">
      <c r="B66" s="4"/>
      <c r="C66" s="142" t="s">
        <v>114</v>
      </c>
      <c r="D66" s="33" t="s">
        <v>46</v>
      </c>
      <c r="E66" s="22" t="s">
        <v>137</v>
      </c>
      <c r="F66" s="22"/>
      <c r="G66" s="23" t="s">
        <v>92</v>
      </c>
      <c r="H66" s="22" t="s">
        <v>47</v>
      </c>
      <c r="I66" s="39">
        <f>ROUND((((I61/2)*4*0.56*1.1)+((((I61/2)/0.2)+1)*0.95*0.26)+(5*2*1*8*1)+(3.5*4*8*1)+(((3.5/0.2)+1)*0.96*0.56)),2)</f>
        <v>3300.11</v>
      </c>
      <c r="J66" s="25">
        <v>8192</v>
      </c>
      <c r="K66" s="26">
        <f t="shared" si="9"/>
        <v>27034501</v>
      </c>
      <c r="L66" s="5"/>
    </row>
    <row r="67" spans="2:12" ht="33.75" customHeight="1" x14ac:dyDescent="0.2">
      <c r="B67" s="4"/>
      <c r="C67" s="142" t="s">
        <v>115</v>
      </c>
      <c r="D67" s="33" t="s">
        <v>103</v>
      </c>
      <c r="E67" s="22" t="s">
        <v>137</v>
      </c>
      <c r="F67" s="22" t="s">
        <v>93</v>
      </c>
      <c r="G67" s="23" t="s">
        <v>97</v>
      </c>
      <c r="H67" s="22" t="s">
        <v>45</v>
      </c>
      <c r="I67" s="39">
        <f>ROUND((((((+I61/2)/50)+1)*0.4*0.3)+(1*1*0.2)),2)</f>
        <v>2.33</v>
      </c>
      <c r="J67" s="25">
        <v>1222346</v>
      </c>
      <c r="K67" s="26">
        <f t="shared" ref="K67" si="11">ROUND(J67*I67,0)</f>
        <v>2848066</v>
      </c>
      <c r="L67" s="5"/>
    </row>
    <row r="68" spans="2:12" ht="37.5" customHeight="1" x14ac:dyDescent="0.2">
      <c r="B68" s="4"/>
      <c r="C68" s="142" t="s">
        <v>116</v>
      </c>
      <c r="D68" s="33" t="s">
        <v>48</v>
      </c>
      <c r="E68" s="22" t="s">
        <v>137</v>
      </c>
      <c r="F68" s="22"/>
      <c r="G68" s="23" t="s">
        <v>95</v>
      </c>
      <c r="H68" s="22" t="s">
        <v>45</v>
      </c>
      <c r="I68" s="39">
        <f>ROUND(((I61/2)*0.3*0.2),2)</f>
        <v>50.25</v>
      </c>
      <c r="J68" s="25">
        <v>1259243</v>
      </c>
      <c r="K68" s="26">
        <f t="shared" si="9"/>
        <v>63276961</v>
      </c>
      <c r="L68" s="5"/>
    </row>
    <row r="69" spans="2:12" ht="168" customHeight="1" x14ac:dyDescent="0.2">
      <c r="B69" s="4"/>
      <c r="C69" s="142" t="s">
        <v>117</v>
      </c>
      <c r="D69" s="33" t="s">
        <v>171</v>
      </c>
      <c r="E69" s="22"/>
      <c r="F69" s="22" t="s">
        <v>137</v>
      </c>
      <c r="G69" s="23" t="s">
        <v>106</v>
      </c>
      <c r="H69" s="22" t="s">
        <v>33</v>
      </c>
      <c r="I69" s="24">
        <f>ROUND((I61/2),2)</f>
        <v>837.5</v>
      </c>
      <c r="J69" s="25">
        <v>381580</v>
      </c>
      <c r="K69" s="26">
        <f t="shared" si="9"/>
        <v>319573250</v>
      </c>
      <c r="L69" s="5"/>
    </row>
    <row r="70" spans="2:12" ht="42.75" customHeight="1" x14ac:dyDescent="0.2">
      <c r="B70" s="4"/>
      <c r="C70" s="142" t="s">
        <v>118</v>
      </c>
      <c r="D70" s="33" t="s">
        <v>105</v>
      </c>
      <c r="E70" s="22" t="s">
        <v>137</v>
      </c>
      <c r="F70" s="22"/>
      <c r="G70" s="23" t="s">
        <v>104</v>
      </c>
      <c r="H70" s="22" t="s">
        <v>33</v>
      </c>
      <c r="I70" s="24">
        <f>ROUND((I61/2),2)</f>
        <v>837.5</v>
      </c>
      <c r="J70" s="25">
        <v>25162</v>
      </c>
      <c r="K70" s="26">
        <f t="shared" si="9"/>
        <v>21073175</v>
      </c>
      <c r="L70" s="5"/>
    </row>
    <row r="71" spans="2:12" ht="43.5" customHeight="1" x14ac:dyDescent="0.2">
      <c r="B71" s="4"/>
      <c r="C71" s="142" t="s">
        <v>119</v>
      </c>
      <c r="D71" s="33" t="s">
        <v>49</v>
      </c>
      <c r="E71" s="22" t="s">
        <v>137</v>
      </c>
      <c r="F71" s="22"/>
      <c r="G71" s="23" t="s">
        <v>88</v>
      </c>
      <c r="H71" s="22" t="s">
        <v>45</v>
      </c>
      <c r="I71" s="24">
        <f>ROUND(((3.2*4)*0.25*0.25),2)</f>
        <v>0.8</v>
      </c>
      <c r="J71" s="25">
        <v>1647754</v>
      </c>
      <c r="K71" s="26">
        <f t="shared" si="9"/>
        <v>1318203</v>
      </c>
      <c r="L71" s="5"/>
    </row>
    <row r="72" spans="2:12" ht="129" customHeight="1" x14ac:dyDescent="0.2">
      <c r="B72" s="4"/>
      <c r="C72" s="142" t="s">
        <v>120</v>
      </c>
      <c r="D72" s="33" t="s">
        <v>107</v>
      </c>
      <c r="E72" s="22" t="s">
        <v>137</v>
      </c>
      <c r="F72" s="22"/>
      <c r="G72" s="23" t="s">
        <v>108</v>
      </c>
      <c r="H72" s="22" t="s">
        <v>23</v>
      </c>
      <c r="I72" s="24">
        <f>+(4*2)*2</f>
        <v>16</v>
      </c>
      <c r="J72" s="25">
        <v>563530</v>
      </c>
      <c r="K72" s="26">
        <f t="shared" ref="K72" si="12">ROUND((I72*J72),0)</f>
        <v>9016480</v>
      </c>
      <c r="L72" s="5"/>
    </row>
    <row r="73" spans="2:12" ht="20.25" customHeight="1" x14ac:dyDescent="0.2">
      <c r="B73" s="4"/>
      <c r="C73" s="21"/>
      <c r="D73" s="22"/>
      <c r="E73" s="22"/>
      <c r="F73" s="22"/>
      <c r="G73" s="36"/>
      <c r="H73" s="22"/>
      <c r="I73" s="24"/>
      <c r="J73" s="25"/>
      <c r="K73" s="26"/>
      <c r="L73" s="5"/>
    </row>
    <row r="74" spans="2:12" ht="30" customHeight="1" thickBot="1" x14ac:dyDescent="0.25">
      <c r="B74" s="4"/>
      <c r="C74" s="30" t="s">
        <v>91</v>
      </c>
      <c r="D74" s="37"/>
      <c r="E74" s="38"/>
      <c r="F74" s="37"/>
      <c r="G74" s="37"/>
      <c r="H74" s="37"/>
      <c r="I74" s="31"/>
      <c r="J74" s="37"/>
      <c r="K74" s="32">
        <f>+ROUND((SUM(K61:K73)),0)</f>
        <v>620925861</v>
      </c>
      <c r="L74" s="5"/>
    </row>
    <row r="75" spans="2:12" ht="30" customHeight="1" thickBot="1" x14ac:dyDescent="0.25">
      <c r="B75" s="4"/>
      <c r="C75" s="97">
        <v>7</v>
      </c>
      <c r="D75" s="97"/>
      <c r="E75" s="98"/>
      <c r="F75" s="98"/>
      <c r="G75" s="99" t="s">
        <v>160</v>
      </c>
      <c r="H75" s="98"/>
      <c r="I75" s="98"/>
      <c r="J75" s="98"/>
      <c r="K75" s="100"/>
      <c r="L75" s="5"/>
    </row>
    <row r="76" spans="2:12" ht="30.95" customHeight="1" x14ac:dyDescent="0.2">
      <c r="B76" s="4"/>
      <c r="C76" s="141" t="s">
        <v>161</v>
      </c>
      <c r="D76" s="34" t="s">
        <v>155</v>
      </c>
      <c r="E76" s="34"/>
      <c r="F76" s="34"/>
      <c r="G76" s="35" t="s">
        <v>156</v>
      </c>
      <c r="H76" s="34" t="s">
        <v>23</v>
      </c>
      <c r="I76" s="24">
        <f>16.5*2.5</f>
        <v>41.25</v>
      </c>
      <c r="J76" s="25">
        <v>35629</v>
      </c>
      <c r="K76" s="26">
        <f t="shared" ref="K76" si="13">ROUND((I76*J76),0)</f>
        <v>1469696</v>
      </c>
      <c r="L76" s="5"/>
    </row>
    <row r="77" spans="2:12" ht="21.75" customHeight="1" x14ac:dyDescent="0.2">
      <c r="B77" s="4"/>
      <c r="C77" s="142" t="s">
        <v>162</v>
      </c>
      <c r="D77" s="33" t="s">
        <v>44</v>
      </c>
      <c r="E77" s="22"/>
      <c r="F77" s="22"/>
      <c r="G77" s="23" t="s">
        <v>159</v>
      </c>
      <c r="H77" s="22" t="s">
        <v>23</v>
      </c>
      <c r="I77" s="24">
        <f>(16.5*2.5)+(5.1*6.6)+(5.1*3.15)+(6.6*4.5)</f>
        <v>120.675</v>
      </c>
      <c r="J77" s="25">
        <v>46843</v>
      </c>
      <c r="K77" s="26">
        <f>ROUND((I77*J77),0)</f>
        <v>5652779</v>
      </c>
      <c r="L77" s="5"/>
    </row>
    <row r="78" spans="2:12" ht="30" customHeight="1" x14ac:dyDescent="0.2">
      <c r="B78" s="4"/>
      <c r="C78" s="113" t="s">
        <v>163</v>
      </c>
      <c r="D78" s="33" t="s">
        <v>164</v>
      </c>
      <c r="E78" s="22"/>
      <c r="F78" s="22"/>
      <c r="G78" s="23" t="s">
        <v>165</v>
      </c>
      <c r="H78" s="22" t="s">
        <v>24</v>
      </c>
      <c r="I78" s="24">
        <v>1</v>
      </c>
      <c r="J78" s="25">
        <v>334605</v>
      </c>
      <c r="K78" s="26">
        <f t="shared" ref="K78" si="14">ROUND((I78*J78),0)</f>
        <v>334605</v>
      </c>
      <c r="L78" s="5"/>
    </row>
    <row r="79" spans="2:12" ht="20.25" customHeight="1" x14ac:dyDescent="0.2">
      <c r="B79" s="4"/>
      <c r="C79" s="21"/>
      <c r="D79" s="22"/>
      <c r="E79" s="22"/>
      <c r="F79" s="22"/>
      <c r="G79" s="36"/>
      <c r="H79" s="22"/>
      <c r="I79" s="24"/>
      <c r="J79" s="25"/>
      <c r="K79" s="26"/>
      <c r="L79" s="5"/>
    </row>
    <row r="80" spans="2:12" ht="30" customHeight="1" thickBot="1" x14ac:dyDescent="0.25">
      <c r="B80" s="4"/>
      <c r="C80" s="30" t="s">
        <v>86</v>
      </c>
      <c r="D80" s="37"/>
      <c r="E80" s="38"/>
      <c r="F80" s="37"/>
      <c r="G80" s="37"/>
      <c r="H80" s="37"/>
      <c r="I80" s="31"/>
      <c r="J80" s="37"/>
      <c r="K80" s="32">
        <f>+ROUND((SUM(K76:K79)),0)</f>
        <v>7457080</v>
      </c>
      <c r="L80" s="5"/>
    </row>
    <row r="81" spans="2:15" ht="18.75" customHeight="1" thickBot="1" x14ac:dyDescent="0.25">
      <c r="B81" s="4"/>
      <c r="C81" s="40"/>
      <c r="D81" s="41"/>
      <c r="E81" s="41"/>
      <c r="F81" s="41"/>
      <c r="G81" s="42"/>
      <c r="H81" s="43"/>
      <c r="I81" s="44"/>
      <c r="J81" s="45"/>
      <c r="K81" s="46"/>
      <c r="L81" s="5"/>
    </row>
    <row r="82" spans="2:15" s="50" customFormat="1" ht="27.75" customHeight="1" thickBot="1" x14ac:dyDescent="0.25">
      <c r="B82" s="47"/>
      <c r="C82" s="150" t="s">
        <v>15</v>
      </c>
      <c r="D82" s="151"/>
      <c r="E82" s="151"/>
      <c r="F82" s="151"/>
      <c r="G82" s="151"/>
      <c r="H82" s="151"/>
      <c r="I82" s="151"/>
      <c r="J82" s="152"/>
      <c r="K82" s="48">
        <f>+K27+K33+K42+K54+K59+K74+K80</f>
        <v>729397489</v>
      </c>
      <c r="L82" s="49"/>
    </row>
    <row r="83" spans="2:15" s="50" customFormat="1" ht="12.75" thickBot="1" x14ac:dyDescent="0.25">
      <c r="B83" s="47"/>
      <c r="C83" s="51"/>
      <c r="D83" s="51"/>
      <c r="E83" s="51"/>
      <c r="F83" s="51"/>
      <c r="G83" s="51"/>
      <c r="H83" s="51"/>
      <c r="I83" s="51"/>
      <c r="J83" s="51"/>
      <c r="K83" s="52"/>
      <c r="L83" s="49"/>
    </row>
    <row r="84" spans="2:15" s="50" customFormat="1" ht="17.25" customHeight="1" x14ac:dyDescent="0.2">
      <c r="B84" s="47"/>
      <c r="C84" s="53"/>
      <c r="D84" s="54"/>
      <c r="E84" s="53"/>
      <c r="F84" s="53"/>
      <c r="G84" s="55"/>
      <c r="H84" s="56"/>
      <c r="I84" s="57"/>
      <c r="J84" s="58"/>
      <c r="K84" s="59"/>
      <c r="L84" s="49"/>
    </row>
    <row r="85" spans="2:15" s="50" customFormat="1" ht="30" customHeight="1" thickBot="1" x14ac:dyDescent="0.25">
      <c r="B85" s="47"/>
      <c r="C85" s="53"/>
      <c r="D85" s="60"/>
      <c r="E85" s="60"/>
      <c r="F85" s="60"/>
      <c r="G85" s="61" t="s">
        <v>121</v>
      </c>
      <c r="H85" s="62"/>
      <c r="I85" s="63"/>
      <c r="J85" s="64"/>
      <c r="K85" s="65">
        <f>ROUND(+((K82/(K94+1))*K93)*0.19,0)</f>
        <v>5499426</v>
      </c>
      <c r="L85" s="49"/>
    </row>
    <row r="86" spans="2:15" s="50" customFormat="1" ht="16.5" customHeight="1" thickBot="1" x14ac:dyDescent="0.25">
      <c r="B86" s="47"/>
      <c r="C86" s="53"/>
      <c r="D86" s="54"/>
      <c r="E86" s="53"/>
      <c r="F86" s="66"/>
      <c r="G86" s="67"/>
      <c r="H86" s="62"/>
      <c r="I86" s="63"/>
      <c r="J86" s="68"/>
      <c r="K86" s="69"/>
      <c r="L86" s="49"/>
    </row>
    <row r="87" spans="2:15" s="50" customFormat="1" ht="30" customHeight="1" thickBot="1" x14ac:dyDescent="0.25">
      <c r="B87" s="47"/>
      <c r="C87" s="53"/>
      <c r="D87" s="54"/>
      <c r="E87" s="53"/>
      <c r="F87" s="53"/>
      <c r="G87" s="70" t="s">
        <v>16</v>
      </c>
      <c r="H87" s="71"/>
      <c r="I87" s="72"/>
      <c r="J87" s="73"/>
      <c r="K87" s="74">
        <f>SUM(K82:K86)</f>
        <v>734896915</v>
      </c>
      <c r="L87" s="49"/>
      <c r="O87" s="120"/>
    </row>
    <row r="88" spans="2:15" s="50" customFormat="1" ht="12.75" thickBot="1" x14ac:dyDescent="0.25">
      <c r="B88" s="47"/>
      <c r="C88" s="53"/>
      <c r="D88" s="54"/>
      <c r="E88" s="54"/>
      <c r="F88" s="54"/>
      <c r="G88" s="53"/>
      <c r="H88" s="53"/>
      <c r="I88" s="75"/>
      <c r="J88" s="76"/>
      <c r="K88" s="77"/>
      <c r="L88" s="49"/>
      <c r="O88" s="114"/>
    </row>
    <row r="89" spans="2:15" s="50" customFormat="1" x14ac:dyDescent="0.2">
      <c r="B89" s="47"/>
      <c r="C89" s="78"/>
      <c r="D89" s="79"/>
      <c r="E89" s="79"/>
      <c r="F89" s="79"/>
      <c r="G89" s="79"/>
      <c r="H89" s="79"/>
      <c r="I89" s="79"/>
      <c r="J89" s="79"/>
      <c r="K89" s="80"/>
      <c r="L89" s="81"/>
      <c r="O89" s="3"/>
    </row>
    <row r="90" spans="2:15" s="50" customFormat="1" ht="36.75" customHeight="1" x14ac:dyDescent="0.2">
      <c r="B90" s="47"/>
      <c r="C90" s="145" t="s">
        <v>51</v>
      </c>
      <c r="D90" s="146"/>
      <c r="E90" s="146"/>
      <c r="F90" s="146"/>
      <c r="G90" s="146"/>
      <c r="H90" s="156" t="s">
        <v>8</v>
      </c>
      <c r="I90" s="156"/>
      <c r="J90" s="156"/>
      <c r="K90" s="82" t="s">
        <v>17</v>
      </c>
      <c r="L90" s="83"/>
      <c r="O90" s="121"/>
    </row>
    <row r="91" spans="2:15" s="50" customFormat="1" ht="32.25" customHeight="1" x14ac:dyDescent="0.2">
      <c r="B91" s="47"/>
      <c r="C91" s="145" t="s">
        <v>52</v>
      </c>
      <c r="D91" s="146"/>
      <c r="E91" s="146"/>
      <c r="F91" s="146"/>
      <c r="G91" s="146"/>
      <c r="H91" s="155" t="s">
        <v>18</v>
      </c>
      <c r="I91" s="155"/>
      <c r="J91" s="84">
        <f>ROUND(+(((K$82/(K$94+1))*K91)),0)</f>
        <v>115777379</v>
      </c>
      <c r="K91" s="85">
        <v>0.2</v>
      </c>
      <c r="L91" s="83"/>
    </row>
    <row r="92" spans="2:15" s="50" customFormat="1" ht="29.25" customHeight="1" x14ac:dyDescent="0.2">
      <c r="B92" s="47"/>
      <c r="C92" s="145" t="s">
        <v>53</v>
      </c>
      <c r="D92" s="146"/>
      <c r="E92" s="146"/>
      <c r="F92" s="146"/>
      <c r="G92" s="146"/>
      <c r="H92" s="155" t="s">
        <v>19</v>
      </c>
      <c r="I92" s="155"/>
      <c r="J92" s="84">
        <f>ROUND(+(((K$82/(K$94+1))*K92)),0)</f>
        <v>5788869</v>
      </c>
      <c r="K92" s="85">
        <v>0.01</v>
      </c>
      <c r="L92" s="83"/>
    </row>
    <row r="93" spans="2:15" s="50" customFormat="1" ht="25.5" customHeight="1" x14ac:dyDescent="0.2">
      <c r="B93" s="47"/>
      <c r="C93" s="157"/>
      <c r="D93" s="158"/>
      <c r="E93" s="158"/>
      <c r="F93" s="158"/>
      <c r="G93" s="159"/>
      <c r="H93" s="155" t="s">
        <v>21</v>
      </c>
      <c r="I93" s="155"/>
      <c r="J93" s="84">
        <f>ROUND(+(((K$82/(K$94+1))*K93)),0)</f>
        <v>28944345</v>
      </c>
      <c r="K93" s="85">
        <v>0.05</v>
      </c>
      <c r="L93" s="49"/>
    </row>
    <row r="94" spans="2:15" ht="39" customHeight="1" x14ac:dyDescent="0.2">
      <c r="B94" s="4"/>
      <c r="C94" s="160"/>
      <c r="D94" s="161"/>
      <c r="E94" s="161"/>
      <c r="F94" s="161"/>
      <c r="G94" s="162"/>
      <c r="H94" s="155" t="s">
        <v>20</v>
      </c>
      <c r="I94" s="155"/>
      <c r="J94" s="84">
        <f>SUM(J91:J93)</f>
        <v>150510593</v>
      </c>
      <c r="K94" s="85">
        <f>+K91+K92+K93</f>
        <v>0.26</v>
      </c>
      <c r="L94" s="5"/>
    </row>
    <row r="95" spans="2:15" ht="14.25" customHeight="1" thickBot="1" x14ac:dyDescent="0.25">
      <c r="B95" s="4"/>
      <c r="C95" s="163"/>
      <c r="D95" s="164"/>
      <c r="E95" s="164"/>
      <c r="F95" s="164"/>
      <c r="G95" s="165"/>
      <c r="H95" s="153"/>
      <c r="I95" s="153"/>
      <c r="J95" s="153"/>
      <c r="K95" s="154"/>
      <c r="L95" s="5"/>
    </row>
    <row r="96" spans="2:15" ht="12.75" thickBot="1" x14ac:dyDescent="0.25">
      <c r="B96" s="86"/>
      <c r="C96" s="87"/>
      <c r="D96" s="87"/>
      <c r="E96" s="88"/>
      <c r="F96" s="87"/>
      <c r="G96" s="89"/>
      <c r="H96" s="87"/>
      <c r="I96" s="87"/>
      <c r="J96" s="87"/>
      <c r="K96" s="87"/>
      <c r="L96" s="90"/>
    </row>
    <row r="97" spans="11:11" ht="12.75" thickTop="1" x14ac:dyDescent="0.2"/>
    <row r="100" spans="11:11" x14ac:dyDescent="0.2">
      <c r="K100" s="119"/>
    </row>
  </sheetData>
  <mergeCells count="26">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91:G91"/>
    <mergeCell ref="C11:K11"/>
    <mergeCell ref="C82:J82"/>
    <mergeCell ref="H95:K95"/>
    <mergeCell ref="C92:G92"/>
    <mergeCell ref="H92:I92"/>
    <mergeCell ref="H93:I93"/>
    <mergeCell ref="H94:I94"/>
    <mergeCell ref="C90:G90"/>
    <mergeCell ref="H90:J90"/>
    <mergeCell ref="H91:I91"/>
    <mergeCell ref="C93:G95"/>
  </mergeCells>
  <pageMargins left="0.11811023622047245" right="0.11811023622047245" top="0.15748031496062992" bottom="0.15748031496062992" header="0.31496062992125984" footer="0.31496062992125984"/>
  <pageSetup scale="44"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infopath/2007/PartnerControls"/>
    <ds:schemaRef ds:uri="9d85dbaf-23eb-4e57-a637-93dcacc8b1a1"/>
    <ds:schemaRef ds:uri="http://www.w3.org/XML/1998/namespace"/>
    <ds:schemaRef ds:uri="http://purl.org/dc/elements/1.1/"/>
    <ds:schemaRef ds:uri="http://purl.org/dc/dcmitype/"/>
    <ds:schemaRef ds:uri="http://schemas.microsoft.com/office/2006/documentManagement/types"/>
    <ds:schemaRef ds:uri="http://purl.org/dc/terms/"/>
    <ds:schemaRef ds:uri="http://schemas.openxmlformats.org/package/2006/metadata/core-properties"/>
    <ds:schemaRef ds:uri="a6cb9e4b-f1d1-4245-83ec-6cad768d538a"/>
    <ds:schemaRef ds:uri="http://schemas.microsoft.com/office/2006/metadata/properties"/>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OFICIAL (Entidad)</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Ruben Dario Lopez Giraldo</cp:lastModifiedBy>
  <cp:revision/>
  <cp:lastPrinted>2020-02-14T22:15:33Z</cp:lastPrinted>
  <dcterms:created xsi:type="dcterms:W3CDTF">2006-06-27T16:47:25Z</dcterms:created>
  <dcterms:modified xsi:type="dcterms:W3CDTF">2026-08-12T01:56:20Z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