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17"/>
  <workbookPr/>
  <mc:AlternateContent xmlns:mc="http://schemas.openxmlformats.org/markup-compatibility/2006">
    <mc:Choice Requires="x15">
      <x15ac:absPath xmlns:x15ac="http://schemas.microsoft.com/office/spreadsheetml/2010/11/ac" url="https://educacionbogota-my.sharepoint.com/personal/lgerena_educacionbogota_gov_co/Documents/ESTUDIOS DE MERCADO Y DEL SECTOR/NIDOS 2026/VERSIÓN ACTUALIZADA FORMATO/"/>
    </mc:Choice>
  </mc:AlternateContent>
  <xr:revisionPtr revIDLastSave="518" documentId="8_{D6452962-008C-4EA0-8178-D558D5CAB27F}" xr6:coauthVersionLast="47" xr6:coauthVersionMax="47" xr10:uidLastSave="{2AAFB12D-6905-4618-81A0-2D6CB14590B7}"/>
  <bookViews>
    <workbookView xWindow="-110" yWindow="-110" windowWidth="19420" windowHeight="10300" xr2:uid="{851AB25A-D9EA-4A23-A06F-99A2A4A61E8D}"/>
  </bookViews>
  <sheets>
    <sheet name="Hoja1" sheetId="1" r:id="rId1"/>
    <sheet name="Hoja2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Q7" i="1" l="1"/>
  <c r="U7" i="1" s="1"/>
  <c r="Y7" i="1" s="1"/>
  <c r="R7" i="1"/>
  <c r="Q8" i="1"/>
  <c r="R8" i="1"/>
  <c r="Q9" i="1"/>
  <c r="R9" i="1"/>
  <c r="Q10" i="1"/>
  <c r="R10" i="1"/>
  <c r="Q11" i="1"/>
  <c r="R11" i="1"/>
  <c r="Q12" i="1"/>
  <c r="R12" i="1"/>
  <c r="R6" i="1"/>
  <c r="Q6" i="1"/>
  <c r="U6" i="1" s="1"/>
  <c r="Y6" i="1" s="1"/>
  <c r="Y8" i="1"/>
  <c r="Y9" i="1"/>
  <c r="U8" i="1"/>
  <c r="U9" i="1"/>
  <c r="U10" i="1"/>
  <c r="Y10" i="1" s="1"/>
  <c r="U11" i="1"/>
  <c r="Y11" i="1" s="1"/>
  <c r="U12" i="1"/>
  <c r="Y12" i="1" s="1"/>
  <c r="AB16" i="1"/>
  <c r="F3" i="2"/>
  <c r="F4" i="2"/>
  <c r="F5" i="2"/>
  <c r="F6" i="2"/>
  <c r="F7" i="2"/>
  <c r="F8" i="2"/>
  <c r="F2" i="2"/>
  <c r="D3" i="2"/>
  <c r="D5" i="2"/>
  <c r="D6" i="2"/>
  <c r="D8" i="2"/>
  <c r="D2" i="2"/>
  <c r="D6" i="1"/>
  <c r="F6" i="1"/>
  <c r="O7" i="1"/>
  <c r="P7" i="1"/>
  <c r="O8" i="1"/>
  <c r="P8" i="1"/>
  <c r="O9" i="1"/>
  <c r="P9" i="1"/>
  <c r="O10" i="1"/>
  <c r="P10" i="1"/>
  <c r="O11" i="1"/>
  <c r="P11" i="1"/>
  <c r="O12" i="1"/>
  <c r="P12" i="1"/>
  <c r="P6" i="1"/>
  <c r="O6" i="1"/>
  <c r="F10" i="1"/>
  <c r="F9" i="1"/>
  <c r="F8" i="1"/>
  <c r="D10" i="1"/>
  <c r="D9" i="1"/>
  <c r="D8" i="1"/>
  <c r="D7" i="1"/>
  <c r="D12" i="1"/>
  <c r="F12" i="1"/>
  <c r="F11" i="1"/>
  <c r="F7" i="1"/>
  <c r="D11" i="1"/>
  <c r="AA7" i="1"/>
  <c r="AB7" i="1" s="1"/>
  <c r="AA8" i="1"/>
  <c r="AB8" i="1" s="1"/>
  <c r="AA9" i="1"/>
  <c r="AB9" i="1" s="1"/>
  <c r="AA10" i="1"/>
  <c r="AB10" i="1" s="1"/>
  <c r="AA11" i="1"/>
  <c r="AB11" i="1" s="1"/>
  <c r="AA12" i="1"/>
  <c r="AB12" i="1" s="1"/>
  <c r="AA6" i="1"/>
  <c r="AB6" i="1" s="1"/>
  <c r="N7" i="1"/>
  <c r="N8" i="1"/>
  <c r="N9" i="1"/>
  <c r="N10" i="1"/>
  <c r="N11" i="1"/>
  <c r="N12" i="1"/>
  <c r="N6" i="1"/>
  <c r="M7" i="1"/>
  <c r="M8" i="1"/>
  <c r="M9" i="1"/>
  <c r="M10" i="1"/>
  <c r="M11" i="1"/>
  <c r="M12" i="1"/>
  <c r="M6" i="1"/>
  <c r="AB13" i="1" l="1"/>
  <c r="T7" i="1"/>
  <c r="S6" i="1"/>
  <c r="S11" i="1"/>
  <c r="S10" i="1"/>
  <c r="S12" i="1"/>
  <c r="S7" i="1"/>
  <c r="S9" i="1"/>
  <c r="S8" i="1"/>
  <c r="T6" i="1"/>
  <c r="T12" i="1"/>
  <c r="T11" i="1"/>
  <c r="T10" i="1"/>
  <c r="T9" i="1"/>
  <c r="T8" i="1"/>
  <c r="Y13" i="1" l="1"/>
  <c r="Y16" i="1" s="1"/>
</calcChain>
</file>

<file path=xl/sharedStrings.xml><?xml version="1.0" encoding="utf-8"?>
<sst xmlns="http://schemas.openxmlformats.org/spreadsheetml/2006/main" count="62" uniqueCount="48">
  <si>
    <t>AJUSTE IPC 2025 (CIERRE 2024)</t>
  </si>
  <si>
    <t>AJUSTE IPC 2026 (CIERRE 2025)</t>
  </si>
  <si>
    <t>Item</t>
  </si>
  <si>
    <t>PERFIL SEGÚN ANEXO TÉCNICO</t>
  </si>
  <si>
    <t>VALOR 2024</t>
  </si>
  <si>
    <t>INDEXACIÓN 2024 A 2026</t>
  </si>
  <si>
    <t>HONORARIOS 
Valor 2025 y 2026
(I Semestre)</t>
  </si>
  <si>
    <t>INDEXACIÓN  2025 A 2026</t>
  </si>
  <si>
    <t>VALOR PISO IDARTES
SEGÚN RESOLUCIÓN 1307 DE 2024</t>
  </si>
  <si>
    <t>VALOR TECHO IDARTES SEGÚN RESOLUCIÓN 1307 DE 2024</t>
  </si>
  <si>
    <t>VALOR PISO SED
SEGÚN RESOLUCIÓN 698 DE 2026</t>
  </si>
  <si>
    <t>VALOR TECHO SED SEGÚN RESOLUCIÓN 698 DE 2026</t>
  </si>
  <si>
    <t>VALOR PISO IDPC
SEGÚN RESOLUCIÓN 1 DE 2026</t>
  </si>
  <si>
    <t>VALOR TECHO IDPC SEGÚN RESOLUCIÓN 1 DE 2026</t>
  </si>
  <si>
    <t>VALOR PISO IDARTES
SEGÚN RESOLUCIÓN 1307 DE 2024
INDEXADO</t>
  </si>
  <si>
    <t>VALOR TECHO IDARTES SEGÚN RESOLUCIÓN 1307 DE 2024
INDEXADO</t>
  </si>
  <si>
    <t>VALOR PISO SED
SEGÚN RESOLUCIÓN 2063 DE 2024
NO APLICA INDEXACIÓN</t>
  </si>
  <si>
    <t>VALOR TECHO SED SEGÚN RESOLUCIÓN 2063 DE 2024
NO APLICA INDEXACIÓN</t>
  </si>
  <si>
    <t>VALOR PISO IDPC
SEGÚN RESOLUCIÓN 1 DE 2026
NO APLICA INDEXACIÓN</t>
  </si>
  <si>
    <t>VALOR TECHO IDPC SEGÚN RESOLUCIÓN 1 DE 2026
NO APLICA INDEXACIÓN</t>
  </si>
  <si>
    <t>VALOR MINIMO SEGÚN TABLAS DE HONORARIOS</t>
  </si>
  <si>
    <t>VALOR MÁXIMO SEGÚN TABLAS DE HONORARIOS</t>
  </si>
  <si>
    <t>MEDIANA</t>
  </si>
  <si>
    <t>Cantidad de personas x rol</t>
  </si>
  <si>
    <t>DURACIÓN CONTRATO 
(días)</t>
  </si>
  <si>
    <t>MESES</t>
  </si>
  <si>
    <t>VALOR ESTIMADO MEDIANA</t>
  </si>
  <si>
    <t>% ajuste propuesto honorarios</t>
  </si>
  <si>
    <t>Valor honorarios ajustados</t>
  </si>
  <si>
    <t>Valor presupuesto estimado con honorarios ajustados a disponibilidad presupuestal</t>
  </si>
  <si>
    <t xml:space="preserve">Artistas formadores </t>
  </si>
  <si>
    <t>Título profesional con experiencia de 10 meses en atención directa con niños y niñas de primera infancia o 10 meses en procesos de acompañamiento a maestras y maestros.
Tres años de formación superior, técnico o tecnólogo con experiencia de 24 meses o más en atención directa con niñas y niños o en procesos de acompañamiento a maestras y maestros de educación inicial.</t>
  </si>
  <si>
    <t>Artistas formadores rurales</t>
  </si>
  <si>
    <t>Acompañantes artistíco pedagógicos (rurales urbanos)</t>
  </si>
  <si>
    <t>Título profesional y posgrado con experiencia profesional y/o relacionada y/o docente de 36 meses o más.</t>
  </si>
  <si>
    <t>Gestores Territoriales (rurales urbanos)</t>
  </si>
  <si>
    <t>Profesional Administrativo</t>
  </si>
  <si>
    <t>Apoyo Gestion documental</t>
  </si>
  <si>
    <t>Coordinador</t>
  </si>
  <si>
    <t>Título profesional y posgrado con experiencia profesional o relacionada de 60 meses o más.</t>
  </si>
  <si>
    <t>Nota: Los perfiles de artistas rurales y apoyo gestión documental no estaban contemplados en 2024, sin embargo, se homologan con los perfiles similares referenciados en el convenio.</t>
  </si>
  <si>
    <t>PRESUPUESTO DISPONIBLE</t>
  </si>
  <si>
    <t>DIFERENCIA SEGÚN MEDIDA DE TENDENCIA</t>
  </si>
  <si>
    <t>ROL</t>
  </si>
  <si>
    <t>% VARIACIÓN REAL
2024 - 2025</t>
  </si>
  <si>
    <t>HONORARIOS INDIVIDUALES DETERMINADOS EN LA PROPUESTA 2026 II SEMESTRE</t>
  </si>
  <si>
    <t>% VARIACIÓN 
2025 - 2026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</si>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</sst>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&quot;$&quot;#,##0;[Red]&quot;$&quot;\-#,##0"/>
    <numFmt numFmtId="165" formatCode="&quot;$&quot;#,##0.00;[Red]&quot;$&quot;\-#,##0.00"/>
    <numFmt numFmtId="166" formatCode="_ &quot;$&quot;* #,##0_ ;_ &quot;$&quot;* \-#,##0_ ;_ &quot;$&quot;* &quot;-&quot;_ ;_ @_ "/>
    <numFmt numFmtId="167" formatCode="_ * #,##0_ ;_ * \-#,##0_ ;_ * &quot;-&quot;_ ;_ @_ "/>
    <numFmt numFmtId="168" formatCode="_ &quot;$&quot;* #,##0.00_ ;_ &quot;$&quot;* \-#,##0.00_ ;_ &quot;$&quot;* &quot;-&quot;??_ ;_ @_ "/>
    <numFmt numFmtId="169" formatCode="_ * #,##0.00_ ;_ * \-#,##0.00_ ;_ * &quot;-&quot;_ ;_ @_ "/>
    <numFmt numFmtId="170" formatCode="_ &quot;$&quot;* #,##0.0_ ;_ &quot;$&quot;* \-#,##0.0_ ;_ &quot;$&quot;* &quot;-&quot;_ ;_ @_ "/>
    <numFmt numFmtId="171" formatCode="_ &quot;$&quot;* #,##0.00_ ;_ &quot;$&quot;* \-#,##0.00_ ;_ &quot;$&quot;* &quot;-&quot;_ ;_ @_ "/>
  </numFmts>
  <fonts count="7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8"/>
      <color theme="1"/>
      <name val="Arial"/>
    </font>
    <font>
      <sz val="8"/>
      <color theme="1"/>
      <name val="Arial"/>
    </font>
    <font>
      <b/>
      <sz val="8"/>
      <color rgb="FFFF0000"/>
      <name val="Arial"/>
    </font>
    <font>
      <sz val="8"/>
      <color rgb="FFFF0000"/>
      <name val="Arial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 tint="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166" fontId="0" fillId="0" borderId="1" xfId="2" applyFont="1" applyBorder="1" applyAlignment="1">
      <alignment vertical="center"/>
    </xf>
    <xf numFmtId="166" fontId="0" fillId="5" borderId="1" xfId="2" applyFont="1" applyFill="1" applyBorder="1" applyAlignment="1">
      <alignment vertical="center"/>
    </xf>
    <xf numFmtId="10" fontId="0" fillId="0" borderId="1" xfId="3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0" fontId="4" fillId="0" borderId="1" xfId="0" applyNumberFormat="1" applyFont="1" applyBorder="1" applyAlignment="1">
      <alignment vertical="center"/>
    </xf>
    <xf numFmtId="0" fontId="4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166" fontId="4" fillId="0" borderId="1" xfId="2" applyFont="1" applyBorder="1" applyAlignment="1">
      <alignment vertical="center"/>
    </xf>
    <xf numFmtId="164" fontId="4" fillId="0" borderId="1" xfId="2" applyNumberFormat="1" applyFont="1" applyBorder="1" applyAlignment="1">
      <alignment vertical="center"/>
    </xf>
    <xf numFmtId="165" fontId="4" fillId="0" borderId="1" xfId="2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9" fontId="4" fillId="0" borderId="1" xfId="1" applyNumberFormat="1" applyFont="1" applyBorder="1" applyAlignment="1">
      <alignment horizontal="center" vertical="center"/>
    </xf>
    <xf numFmtId="171" fontId="4" fillId="0" borderId="1" xfId="2" applyNumberFormat="1" applyFont="1" applyBorder="1" applyAlignment="1">
      <alignment vertical="center"/>
    </xf>
    <xf numFmtId="10" fontId="4" fillId="0" borderId="1" xfId="0" applyNumberFormat="1" applyFont="1" applyBorder="1" applyAlignment="1">
      <alignment horizontal="center" vertical="center"/>
    </xf>
    <xf numFmtId="168" fontId="4" fillId="0" borderId="1" xfId="0" applyNumberFormat="1" applyFont="1" applyBorder="1" applyAlignment="1">
      <alignment vertical="center"/>
    </xf>
    <xf numFmtId="170" fontId="4" fillId="0" borderId="1" xfId="2" applyNumberFormat="1" applyFont="1" applyBorder="1" applyAlignment="1">
      <alignment vertical="center"/>
    </xf>
    <xf numFmtId="171" fontId="4" fillId="0" borderId="1" xfId="0" applyNumberFormat="1" applyFont="1" applyBorder="1" applyAlignment="1">
      <alignment vertical="center"/>
    </xf>
    <xf numFmtId="166" fontId="4" fillId="0" borderId="3" xfId="0" applyNumberFormat="1" applyFont="1" applyBorder="1" applyAlignment="1">
      <alignment vertical="center"/>
    </xf>
    <xf numFmtId="0" fontId="3" fillId="3" borderId="0" xfId="0" applyFont="1" applyFill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166" fontId="4" fillId="0" borderId="0" xfId="2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166" fontId="6" fillId="0" borderId="1" xfId="0" applyNumberFormat="1" applyFont="1" applyBorder="1" applyAlignment="1">
      <alignment vertical="center"/>
    </xf>
    <xf numFmtId="166" fontId="4" fillId="0" borderId="0" xfId="0" applyNumberFormat="1" applyFont="1" applyAlignment="1">
      <alignment vertical="center"/>
    </xf>
    <xf numFmtId="166" fontId="4" fillId="4" borderId="1" xfId="0" applyNumberFormat="1" applyFont="1" applyFill="1" applyBorder="1" applyAlignment="1">
      <alignment vertical="center"/>
    </xf>
  </cellXfs>
  <cellStyles count="4">
    <cellStyle name="Millares [0]" xfId="1" builtinId="6"/>
    <cellStyle name="Moneda [0]" xfId="2" builtinId="7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2CC34-2121-4A6E-B343-9A48FDA4712A}">
  <dimension ref="A2:AB16"/>
  <sheetViews>
    <sheetView tabSelected="1" topLeftCell="B4" workbookViewId="0">
      <selection activeCell="L5" sqref="G1:L1048576"/>
    </sheetView>
  </sheetViews>
  <sheetFormatPr defaultColWidth="10.85546875" defaultRowHeight="11.25"/>
  <cols>
    <col min="1" max="1" width="21.7109375" style="9" customWidth="1"/>
    <col min="2" max="2" width="60.140625" style="9" customWidth="1"/>
    <col min="3" max="3" width="13.28515625" style="9" hidden="1" customWidth="1"/>
    <col min="4" max="4" width="12.140625" style="9" customWidth="1"/>
    <col min="5" max="5" width="14.85546875" style="9" hidden="1" customWidth="1"/>
    <col min="6" max="6" width="12.42578125" style="9" customWidth="1"/>
    <col min="7" max="7" width="16.42578125" style="9" hidden="1" customWidth="1"/>
    <col min="8" max="8" width="18.28515625" style="9" hidden="1" customWidth="1"/>
    <col min="9" max="9" width="19.42578125" style="9" hidden="1" customWidth="1"/>
    <col min="10" max="10" width="20.42578125" style="9" hidden="1" customWidth="1"/>
    <col min="11" max="12" width="21" style="9" hidden="1" customWidth="1"/>
    <col min="13" max="13" width="21.140625" style="9" customWidth="1"/>
    <col min="14" max="14" width="20.5703125" style="9" customWidth="1"/>
    <col min="15" max="15" width="18.28515625" style="9" bestFit="1" customWidth="1"/>
    <col min="16" max="16" width="20.85546875" style="9" bestFit="1" customWidth="1"/>
    <col min="17" max="18" width="20.85546875" style="9" customWidth="1"/>
    <col min="19" max="19" width="19.5703125" style="9" bestFit="1" customWidth="1"/>
    <col min="20" max="20" width="20" style="9" bestFit="1" customWidth="1"/>
    <col min="21" max="21" width="15" style="9" bestFit="1" customWidth="1"/>
    <col min="22" max="22" width="12.28515625" style="9" bestFit="1" customWidth="1"/>
    <col min="23" max="23" width="10" style="9" bestFit="1" customWidth="1"/>
    <col min="24" max="24" width="6.5703125" style="9" bestFit="1" customWidth="1"/>
    <col min="25" max="25" width="18.28515625" style="9" customWidth="1"/>
    <col min="26" max="26" width="13.7109375" style="9" customWidth="1"/>
    <col min="27" max="27" width="15.42578125" style="9" customWidth="1"/>
    <col min="28" max="28" width="20.85546875" style="9" customWidth="1"/>
    <col min="29" max="16384" width="10.85546875" style="9"/>
  </cols>
  <sheetData>
    <row r="2" spans="1:28">
      <c r="A2" s="7" t="s">
        <v>0</v>
      </c>
      <c r="B2" s="7"/>
      <c r="C2" s="8">
        <v>5.0999999999999997E-2</v>
      </c>
    </row>
    <row r="3" spans="1:28">
      <c r="A3" s="7" t="s">
        <v>1</v>
      </c>
      <c r="B3" s="7"/>
      <c r="C3" s="8">
        <v>5.8400000000000001E-2</v>
      </c>
    </row>
    <row r="5" spans="1:28" s="12" customFormat="1" ht="60.75">
      <c r="A5" s="10" t="s">
        <v>2</v>
      </c>
      <c r="B5" s="10" t="s">
        <v>3</v>
      </c>
      <c r="C5" s="10" t="s">
        <v>4</v>
      </c>
      <c r="D5" s="10" t="s">
        <v>5</v>
      </c>
      <c r="E5" s="10" t="s">
        <v>6</v>
      </c>
      <c r="F5" s="10" t="s">
        <v>7</v>
      </c>
      <c r="G5" s="10" t="s">
        <v>8</v>
      </c>
      <c r="H5" s="10" t="s">
        <v>9</v>
      </c>
      <c r="I5" s="10" t="s">
        <v>10</v>
      </c>
      <c r="J5" s="10" t="s">
        <v>11</v>
      </c>
      <c r="K5" s="10" t="s">
        <v>12</v>
      </c>
      <c r="L5" s="10" t="s">
        <v>13</v>
      </c>
      <c r="M5" s="10" t="s">
        <v>14</v>
      </c>
      <c r="N5" s="10" t="s">
        <v>15</v>
      </c>
      <c r="O5" s="10" t="s">
        <v>16</v>
      </c>
      <c r="P5" s="10" t="s">
        <v>17</v>
      </c>
      <c r="Q5" s="10" t="s">
        <v>18</v>
      </c>
      <c r="R5" s="10" t="s">
        <v>19</v>
      </c>
      <c r="S5" s="10" t="s">
        <v>20</v>
      </c>
      <c r="T5" s="10" t="s">
        <v>21</v>
      </c>
      <c r="U5" s="10" t="s">
        <v>22</v>
      </c>
      <c r="V5" s="10" t="s">
        <v>23</v>
      </c>
      <c r="W5" s="10" t="s">
        <v>24</v>
      </c>
      <c r="X5" s="10" t="s">
        <v>25</v>
      </c>
      <c r="Y5" s="11" t="s">
        <v>26</v>
      </c>
      <c r="Z5" s="11" t="s">
        <v>27</v>
      </c>
      <c r="AA5" s="11" t="s">
        <v>28</v>
      </c>
      <c r="AB5" s="11" t="s">
        <v>29</v>
      </c>
    </row>
    <row r="6" spans="1:28" ht="71.25">
      <c r="A6" s="13" t="s">
        <v>30</v>
      </c>
      <c r="B6" s="14" t="s">
        <v>31</v>
      </c>
      <c r="C6" s="15">
        <v>2998000</v>
      </c>
      <c r="D6" s="15">
        <f>C6*(1+$C$2)*($C$3+1)</f>
        <v>3334910.4432000001</v>
      </c>
      <c r="E6" s="15">
        <v>3510000</v>
      </c>
      <c r="F6" s="15">
        <f>E6*(1+$C$3)</f>
        <v>3714984</v>
      </c>
      <c r="G6" s="16">
        <v>3095583</v>
      </c>
      <c r="H6" s="16">
        <v>3939440</v>
      </c>
      <c r="I6" s="16">
        <v>4193000</v>
      </c>
      <c r="J6" s="16">
        <v>4447000</v>
      </c>
      <c r="K6" s="16">
        <v>4597454</v>
      </c>
      <c r="L6" s="16">
        <v>4597454</v>
      </c>
      <c r="M6" s="16">
        <f>G6*(1+$C$2)*(1+$C$3)</f>
        <v>3443459.6646071998</v>
      </c>
      <c r="N6" s="16">
        <f>H6*(1+$C$2)*(1+$C$3)</f>
        <v>4382147.9640960004</v>
      </c>
      <c r="O6" s="16">
        <f>I6</f>
        <v>4193000</v>
      </c>
      <c r="P6" s="16">
        <f>J6</f>
        <v>4447000</v>
      </c>
      <c r="Q6" s="16">
        <f>K6</f>
        <v>4597454</v>
      </c>
      <c r="R6" s="16">
        <f>L6</f>
        <v>4597454</v>
      </c>
      <c r="S6" s="16">
        <f>MIN(M6:P6)</f>
        <v>3443459.6646071998</v>
      </c>
      <c r="T6" s="16">
        <f>MAX(M6:P6)</f>
        <v>4447000</v>
      </c>
      <c r="U6" s="17">
        <f>ROUND(MEDIAN(M6:R6,D6,F6),0)</f>
        <v>4287574</v>
      </c>
      <c r="V6" s="18">
        <v>18</v>
      </c>
      <c r="W6" s="18">
        <v>120</v>
      </c>
      <c r="X6" s="19">
        <v>4</v>
      </c>
      <c r="Y6" s="20">
        <f>ROUND(V6*X6*U6,0)</f>
        <v>308705328</v>
      </c>
      <c r="Z6" s="21">
        <v>2.564102564102555E-2</v>
      </c>
      <c r="AA6" s="22">
        <f>E6*(1+Z6)</f>
        <v>3599999.9999999995</v>
      </c>
      <c r="AB6" s="23">
        <f>AA6*V6*X6</f>
        <v>259199999.99999997</v>
      </c>
    </row>
    <row r="7" spans="1:28" ht="71.25">
      <c r="A7" s="13" t="s">
        <v>32</v>
      </c>
      <c r="B7" s="14" t="s">
        <v>31</v>
      </c>
      <c r="C7" s="15">
        <v>2998000</v>
      </c>
      <c r="D7" s="15">
        <f>C7*(1+$C$2)*($C$3+1)</f>
        <v>3334910.4432000001</v>
      </c>
      <c r="E7" s="15">
        <v>3510000</v>
      </c>
      <c r="F7" s="15">
        <f t="shared" ref="F7:F12" si="0">E7*(1+$C$3)</f>
        <v>3714984</v>
      </c>
      <c r="G7" s="16">
        <v>3095583</v>
      </c>
      <c r="H7" s="16">
        <v>3939440</v>
      </c>
      <c r="I7" s="16">
        <v>4193000</v>
      </c>
      <c r="J7" s="16">
        <v>4447000</v>
      </c>
      <c r="K7" s="16">
        <v>4597454</v>
      </c>
      <c r="L7" s="16">
        <v>4597454</v>
      </c>
      <c r="M7" s="16">
        <f t="shared" ref="M7:M12" si="1">G7*(1+$C$2)*(1+$C$3)</f>
        <v>3443459.6646071998</v>
      </c>
      <c r="N7" s="16">
        <f t="shared" ref="N7:N12" si="2">H7*(1+$C$2)*(1+$C$3)</f>
        <v>4382147.9640960004</v>
      </c>
      <c r="O7" s="16">
        <f t="shared" ref="O7:O12" si="3">I7</f>
        <v>4193000</v>
      </c>
      <c r="P7" s="16">
        <f t="shared" ref="P7:P12" si="4">J7</f>
        <v>4447000</v>
      </c>
      <c r="Q7" s="16">
        <f t="shared" ref="Q7:Q12" si="5">K7</f>
        <v>4597454</v>
      </c>
      <c r="R7" s="16">
        <f t="shared" ref="R7:R12" si="6">L7</f>
        <v>4597454</v>
      </c>
      <c r="S7" s="16">
        <f t="shared" ref="S7:S12" si="7">MIN(M7:P7)</f>
        <v>3443459.6646071998</v>
      </c>
      <c r="T7" s="16">
        <f t="shared" ref="T7:T12" si="8">MAX(M7:P7)</f>
        <v>4447000</v>
      </c>
      <c r="U7" s="17">
        <f t="shared" ref="U7:U12" si="9">ROUND(MEDIAN(M7:R7,D7,F7),0)</f>
        <v>4287574</v>
      </c>
      <c r="V7" s="18">
        <v>6</v>
      </c>
      <c r="W7" s="18">
        <v>120</v>
      </c>
      <c r="X7" s="19">
        <v>4</v>
      </c>
      <c r="Y7" s="20">
        <f t="shared" ref="Y7:Y12" si="10">ROUND(V7*X7*U7,0)</f>
        <v>102901776</v>
      </c>
      <c r="Z7" s="21">
        <v>0.11111111111111116</v>
      </c>
      <c r="AA7" s="22">
        <f>E7*(1+Z7)</f>
        <v>3900000</v>
      </c>
      <c r="AB7" s="23">
        <f>AA7*V7*X7</f>
        <v>93600000</v>
      </c>
    </row>
    <row r="8" spans="1:28" ht="30.75">
      <c r="A8" s="14" t="s">
        <v>33</v>
      </c>
      <c r="B8" s="14" t="s">
        <v>34</v>
      </c>
      <c r="C8" s="15">
        <v>5312000</v>
      </c>
      <c r="D8" s="15">
        <f>C8*(1+$C$2)*($C$3+1)</f>
        <v>5908954.0608000001</v>
      </c>
      <c r="E8" s="15">
        <v>5484000</v>
      </c>
      <c r="F8" s="15">
        <f t="shared" si="0"/>
        <v>5804265.5999999996</v>
      </c>
      <c r="G8" s="16">
        <v>4392135</v>
      </c>
      <c r="H8" s="16">
        <v>6458879</v>
      </c>
      <c r="I8" s="16">
        <v>7003000</v>
      </c>
      <c r="J8" s="16">
        <v>7639000</v>
      </c>
      <c r="K8" s="16">
        <v>7229077</v>
      </c>
      <c r="L8" s="16">
        <v>10389842</v>
      </c>
      <c r="M8" s="16">
        <f t="shared" si="1"/>
        <v>4885716.1038839994</v>
      </c>
      <c r="N8" s="16">
        <f t="shared" si="2"/>
        <v>7184717.4878136003</v>
      </c>
      <c r="O8" s="16">
        <f t="shared" si="3"/>
        <v>7003000</v>
      </c>
      <c r="P8" s="16">
        <f t="shared" si="4"/>
        <v>7639000</v>
      </c>
      <c r="Q8" s="16">
        <f t="shared" si="5"/>
        <v>7229077</v>
      </c>
      <c r="R8" s="16">
        <f t="shared" si="6"/>
        <v>10389842</v>
      </c>
      <c r="S8" s="16">
        <f t="shared" si="7"/>
        <v>4885716.1038839994</v>
      </c>
      <c r="T8" s="16">
        <f t="shared" si="8"/>
        <v>7639000</v>
      </c>
      <c r="U8" s="17">
        <f t="shared" si="9"/>
        <v>7093859</v>
      </c>
      <c r="V8" s="18">
        <v>3</v>
      </c>
      <c r="W8" s="18">
        <v>134</v>
      </c>
      <c r="X8" s="19">
        <v>4.4666666666666668</v>
      </c>
      <c r="Y8" s="20">
        <f t="shared" si="10"/>
        <v>95057711</v>
      </c>
      <c r="Z8" s="21">
        <v>9.4091903719912384E-2</v>
      </c>
      <c r="AA8" s="22">
        <f>E8*(1+Z8)</f>
        <v>5999999.9999999991</v>
      </c>
      <c r="AB8" s="23">
        <f>AA8*V8*X8</f>
        <v>80399999.999999985</v>
      </c>
    </row>
    <row r="9" spans="1:28" ht="20.25">
      <c r="A9" s="14" t="s">
        <v>35</v>
      </c>
      <c r="B9" s="14" t="s">
        <v>34</v>
      </c>
      <c r="C9" s="15">
        <v>5312000</v>
      </c>
      <c r="D9" s="15">
        <f>C9*(1+$C$2)*($C$3+1)</f>
        <v>5908954.0608000001</v>
      </c>
      <c r="E9" s="15">
        <v>5484000</v>
      </c>
      <c r="F9" s="15">
        <f t="shared" si="0"/>
        <v>5804265.5999999996</v>
      </c>
      <c r="G9" s="16">
        <v>4392135</v>
      </c>
      <c r="H9" s="16">
        <v>6458879</v>
      </c>
      <c r="I9" s="16">
        <v>7003000</v>
      </c>
      <c r="J9" s="16">
        <v>7639000</v>
      </c>
      <c r="K9" s="16">
        <v>7229077</v>
      </c>
      <c r="L9" s="16">
        <v>10389842</v>
      </c>
      <c r="M9" s="16">
        <f t="shared" si="1"/>
        <v>4885716.1038839994</v>
      </c>
      <c r="N9" s="16">
        <f t="shared" si="2"/>
        <v>7184717.4878136003</v>
      </c>
      <c r="O9" s="16">
        <f t="shared" si="3"/>
        <v>7003000</v>
      </c>
      <c r="P9" s="16">
        <f t="shared" si="4"/>
        <v>7639000</v>
      </c>
      <c r="Q9" s="16">
        <f t="shared" si="5"/>
        <v>7229077</v>
      </c>
      <c r="R9" s="16">
        <f t="shared" si="6"/>
        <v>10389842</v>
      </c>
      <c r="S9" s="16">
        <f t="shared" si="7"/>
        <v>4885716.1038839994</v>
      </c>
      <c r="T9" s="16">
        <f t="shared" si="8"/>
        <v>7639000</v>
      </c>
      <c r="U9" s="17">
        <f t="shared" si="9"/>
        <v>7093859</v>
      </c>
      <c r="V9" s="18">
        <v>2</v>
      </c>
      <c r="W9" s="18">
        <v>134</v>
      </c>
      <c r="X9" s="19">
        <v>4.4666666666666668</v>
      </c>
      <c r="Y9" s="20">
        <f t="shared" si="10"/>
        <v>63371807</v>
      </c>
      <c r="Z9" s="21">
        <v>9.4091903719912384E-2</v>
      </c>
      <c r="AA9" s="22">
        <f>E9*(1+Z9)</f>
        <v>5999999.9999999991</v>
      </c>
      <c r="AB9" s="23">
        <f>AA9*V9*X9</f>
        <v>53599999.999999993</v>
      </c>
    </row>
    <row r="10" spans="1:28" ht="20.25">
      <c r="A10" s="13" t="s">
        <v>36</v>
      </c>
      <c r="B10" s="14" t="s">
        <v>34</v>
      </c>
      <c r="C10" s="15">
        <v>1803400</v>
      </c>
      <c r="D10" s="15">
        <f>C10*(1+$C$2)*($C$3+1)</f>
        <v>2006063.2065599998</v>
      </c>
      <c r="E10" s="15">
        <v>5484000</v>
      </c>
      <c r="F10" s="15">
        <f t="shared" si="0"/>
        <v>5804265.5999999996</v>
      </c>
      <c r="G10" s="16">
        <v>4392135</v>
      </c>
      <c r="H10" s="16">
        <v>6458879</v>
      </c>
      <c r="I10" s="16">
        <v>7003000</v>
      </c>
      <c r="J10" s="16">
        <v>7639000</v>
      </c>
      <c r="K10" s="16">
        <v>7229077</v>
      </c>
      <c r="L10" s="16">
        <v>10389842</v>
      </c>
      <c r="M10" s="16">
        <f t="shared" si="1"/>
        <v>4885716.1038839994</v>
      </c>
      <c r="N10" s="16">
        <f t="shared" si="2"/>
        <v>7184717.4878136003</v>
      </c>
      <c r="O10" s="16">
        <f t="shared" si="3"/>
        <v>7003000</v>
      </c>
      <c r="P10" s="16">
        <f t="shared" si="4"/>
        <v>7639000</v>
      </c>
      <c r="Q10" s="16">
        <f t="shared" si="5"/>
        <v>7229077</v>
      </c>
      <c r="R10" s="16">
        <f t="shared" si="6"/>
        <v>10389842</v>
      </c>
      <c r="S10" s="16">
        <f t="shared" si="7"/>
        <v>4885716.1038839994</v>
      </c>
      <c r="T10" s="16">
        <f t="shared" si="8"/>
        <v>7639000</v>
      </c>
      <c r="U10" s="17">
        <f t="shared" si="9"/>
        <v>7093859</v>
      </c>
      <c r="V10" s="18">
        <v>1</v>
      </c>
      <c r="W10" s="18">
        <v>150</v>
      </c>
      <c r="X10" s="19">
        <v>5</v>
      </c>
      <c r="Y10" s="20">
        <f t="shared" si="10"/>
        <v>35469295</v>
      </c>
      <c r="Z10" s="21">
        <v>2.1334792122538193E-2</v>
      </c>
      <c r="AA10" s="22">
        <f>E10*(1+Z10)</f>
        <v>5600999.9999999991</v>
      </c>
      <c r="AB10" s="23">
        <f>AA10*V10*X10</f>
        <v>28004999.999999996</v>
      </c>
    </row>
    <row r="11" spans="1:28" ht="20.25">
      <c r="A11" s="13" t="s">
        <v>37</v>
      </c>
      <c r="B11" s="14" t="s">
        <v>34</v>
      </c>
      <c r="C11" s="15">
        <v>1803400</v>
      </c>
      <c r="D11" s="15">
        <f t="shared" ref="D11" si="11">C11*(1+$C$2)*($C$3+1)</f>
        <v>2006063.2065599998</v>
      </c>
      <c r="E11" s="15">
        <v>5484000</v>
      </c>
      <c r="F11" s="15">
        <f t="shared" si="0"/>
        <v>5804265.5999999996</v>
      </c>
      <c r="G11" s="16">
        <v>4392135</v>
      </c>
      <c r="H11" s="16">
        <v>6458879</v>
      </c>
      <c r="I11" s="16">
        <v>7003000</v>
      </c>
      <c r="J11" s="16">
        <v>7639000</v>
      </c>
      <c r="K11" s="16">
        <v>7229077</v>
      </c>
      <c r="L11" s="16">
        <v>10389842</v>
      </c>
      <c r="M11" s="16">
        <f t="shared" si="1"/>
        <v>4885716.1038839994</v>
      </c>
      <c r="N11" s="16">
        <f t="shared" si="2"/>
        <v>7184717.4878136003</v>
      </c>
      <c r="O11" s="16">
        <f t="shared" si="3"/>
        <v>7003000</v>
      </c>
      <c r="P11" s="16">
        <f t="shared" si="4"/>
        <v>7639000</v>
      </c>
      <c r="Q11" s="16">
        <f t="shared" si="5"/>
        <v>7229077</v>
      </c>
      <c r="R11" s="16">
        <f t="shared" si="6"/>
        <v>10389842</v>
      </c>
      <c r="S11" s="16">
        <f t="shared" si="7"/>
        <v>4885716.1038839994</v>
      </c>
      <c r="T11" s="16">
        <f t="shared" si="8"/>
        <v>7639000</v>
      </c>
      <c r="U11" s="17">
        <f t="shared" si="9"/>
        <v>7093859</v>
      </c>
      <c r="V11" s="18">
        <v>1</v>
      </c>
      <c r="W11" s="18">
        <v>121</v>
      </c>
      <c r="X11" s="19">
        <v>4.0333333333333332</v>
      </c>
      <c r="Y11" s="20">
        <f t="shared" si="10"/>
        <v>28611898</v>
      </c>
      <c r="Z11" s="21">
        <v>0</v>
      </c>
      <c r="AA11" s="22">
        <f>E11*(1+Z11)</f>
        <v>5484000</v>
      </c>
      <c r="AB11" s="23">
        <f>AA11*V11*X11</f>
        <v>22118800</v>
      </c>
    </row>
    <row r="12" spans="1:28" ht="20.25">
      <c r="A12" s="13" t="s">
        <v>38</v>
      </c>
      <c r="B12" s="14" t="s">
        <v>39</v>
      </c>
      <c r="C12" s="15">
        <v>7295000</v>
      </c>
      <c r="D12" s="15">
        <f>C12*(1+$C$2)*($C$3+1)</f>
        <v>8114800.4279999994</v>
      </c>
      <c r="E12" s="15">
        <v>7531000</v>
      </c>
      <c r="F12" s="15">
        <f t="shared" si="0"/>
        <v>7970810.4000000004</v>
      </c>
      <c r="G12" s="16">
        <v>6545880</v>
      </c>
      <c r="H12" s="16">
        <v>9286914</v>
      </c>
      <c r="I12" s="16">
        <v>9072000</v>
      </c>
      <c r="J12" s="16">
        <v>9709000</v>
      </c>
      <c r="K12" s="16">
        <v>7886266</v>
      </c>
      <c r="L12" s="16">
        <v>10840485</v>
      </c>
      <c r="M12" s="16">
        <f t="shared" si="1"/>
        <v>7281495.5209919997</v>
      </c>
      <c r="N12" s="16">
        <f t="shared" si="2"/>
        <v>10330562.5362576</v>
      </c>
      <c r="O12" s="16">
        <f t="shared" si="3"/>
        <v>9072000</v>
      </c>
      <c r="P12" s="16">
        <f t="shared" si="4"/>
        <v>9709000</v>
      </c>
      <c r="Q12" s="16">
        <f t="shared" si="5"/>
        <v>7886266</v>
      </c>
      <c r="R12" s="16">
        <f t="shared" si="6"/>
        <v>10840485</v>
      </c>
      <c r="S12" s="16">
        <f t="shared" si="7"/>
        <v>7281495.5209919997</v>
      </c>
      <c r="T12" s="16">
        <f t="shared" si="8"/>
        <v>10330562.5362576</v>
      </c>
      <c r="U12" s="17">
        <f t="shared" si="9"/>
        <v>8593400</v>
      </c>
      <c r="V12" s="18">
        <v>1</v>
      </c>
      <c r="W12" s="18">
        <v>160</v>
      </c>
      <c r="X12" s="19">
        <v>5.333333333333333</v>
      </c>
      <c r="Y12" s="20">
        <f t="shared" si="10"/>
        <v>45831467</v>
      </c>
      <c r="Z12" s="21">
        <v>2.6556898154295183E-4</v>
      </c>
      <c r="AA12" s="22">
        <f>E12*(1+Z12)</f>
        <v>7533000</v>
      </c>
      <c r="AB12" s="23">
        <f>AA12*V12*X12</f>
        <v>40176000</v>
      </c>
    </row>
    <row r="13" spans="1:28">
      <c r="Y13" s="24">
        <f>SUM(Y6:Y12)</f>
        <v>679949282</v>
      </c>
      <c r="AB13" s="25">
        <f>SUM(AB6:AB12)</f>
        <v>577099800</v>
      </c>
    </row>
    <row r="14" spans="1:28">
      <c r="A14" s="9" t="s">
        <v>40</v>
      </c>
    </row>
    <row r="15" spans="1:28" ht="33.950000000000003" customHeight="1">
      <c r="W15" s="26" t="s">
        <v>41</v>
      </c>
      <c r="X15" s="27"/>
      <c r="Y15" s="28">
        <v>577099800</v>
      </c>
    </row>
    <row r="16" spans="1:28" ht="42" customHeight="1">
      <c r="W16" s="29" t="s">
        <v>42</v>
      </c>
      <c r="X16" s="29"/>
      <c r="Y16" s="30">
        <f>Y15-Y13</f>
        <v>-102849482</v>
      </c>
      <c r="Z16" s="31"/>
      <c r="AB16" s="32">
        <f>Y15-AB13</f>
        <v>0</v>
      </c>
    </row>
  </sheetData>
  <mergeCells count="4">
    <mergeCell ref="A2:B2"/>
    <mergeCell ref="A3:B3"/>
    <mergeCell ref="W15:X15"/>
    <mergeCell ref="W16:X1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839E19-6622-41D0-9535-01E2A090D4D7}">
  <dimension ref="A1:F8"/>
  <sheetViews>
    <sheetView workbookViewId="0">
      <selection activeCell="A2" sqref="A2"/>
    </sheetView>
  </sheetViews>
  <sheetFormatPr defaultColWidth="11.42578125" defaultRowHeight="14.45"/>
  <cols>
    <col min="1" max="1" width="22.85546875" bestFit="1" customWidth="1"/>
    <col min="2" max="2" width="19.42578125" customWidth="1"/>
    <col min="3" max="3" width="23" customWidth="1"/>
    <col min="5" max="5" width="20.28515625" customWidth="1"/>
    <col min="6" max="6" width="12.5703125" customWidth="1"/>
  </cols>
  <sheetData>
    <row r="1" spans="1:6" ht="72.599999999999994">
      <c r="A1" s="1" t="s">
        <v>43</v>
      </c>
      <c r="B1" s="1" t="s">
        <v>4</v>
      </c>
      <c r="C1" s="1" t="s">
        <v>6</v>
      </c>
      <c r="D1" s="1" t="s">
        <v>44</v>
      </c>
      <c r="E1" s="1" t="s">
        <v>45</v>
      </c>
      <c r="F1" s="1" t="s">
        <v>46</v>
      </c>
    </row>
    <row r="2" spans="1:6">
      <c r="A2" s="2" t="s">
        <v>30</v>
      </c>
      <c r="B2" s="4">
        <v>2998000</v>
      </c>
      <c r="C2" s="4">
        <v>3510000</v>
      </c>
      <c r="D2" s="6">
        <f>(C2/B2)-1</f>
        <v>0.17078052034689795</v>
      </c>
      <c r="E2" s="4">
        <v>3599999.9999999995</v>
      </c>
      <c r="F2" s="6">
        <f>(E2/C2)-1</f>
        <v>2.564102564102555E-2</v>
      </c>
    </row>
    <row r="3" spans="1:6">
      <c r="A3" s="2" t="s">
        <v>32</v>
      </c>
      <c r="B3" s="4">
        <v>2998000</v>
      </c>
      <c r="C3" s="4">
        <v>3510000</v>
      </c>
      <c r="D3" s="6">
        <f t="shared" ref="D3:D8" si="0">(C3/B3)-1</f>
        <v>0.17078052034689795</v>
      </c>
      <c r="E3" s="4">
        <v>3900000</v>
      </c>
      <c r="F3" s="6">
        <f t="shared" ref="F3:F8" si="1">(E3/C3)-1</f>
        <v>0.11111111111111116</v>
      </c>
    </row>
    <row r="4" spans="1:6" ht="43.5">
      <c r="A4" s="3" t="s">
        <v>33</v>
      </c>
      <c r="B4" s="5"/>
      <c r="C4" s="4">
        <v>5484000</v>
      </c>
      <c r="D4" s="6" t="s">
        <v>47</v>
      </c>
      <c r="E4" s="4">
        <v>5999999.9999999991</v>
      </c>
      <c r="F4" s="6">
        <f t="shared" si="1"/>
        <v>9.4091903719912384E-2</v>
      </c>
    </row>
    <row r="5" spans="1:6" ht="29.1">
      <c r="A5" s="3" t="s">
        <v>35</v>
      </c>
      <c r="B5" s="4">
        <v>5312000</v>
      </c>
      <c r="C5" s="4">
        <v>5484000</v>
      </c>
      <c r="D5" s="6">
        <f t="shared" si="0"/>
        <v>3.2379518072289226E-2</v>
      </c>
      <c r="E5" s="4">
        <v>5999999.9999999991</v>
      </c>
      <c r="F5" s="6">
        <f t="shared" si="1"/>
        <v>9.4091903719912384E-2</v>
      </c>
    </row>
    <row r="6" spans="1:6">
      <c r="A6" s="2" t="s">
        <v>36</v>
      </c>
      <c r="B6" s="4">
        <v>1803400</v>
      </c>
      <c r="C6" s="4">
        <v>5484000</v>
      </c>
      <c r="D6" s="6">
        <f t="shared" si="0"/>
        <v>2.040922701563713</v>
      </c>
      <c r="E6" s="4">
        <v>5600999.9999999991</v>
      </c>
      <c r="F6" s="6">
        <f t="shared" si="1"/>
        <v>2.1334792122538193E-2</v>
      </c>
    </row>
    <row r="7" spans="1:6">
      <c r="A7" s="2" t="s">
        <v>37</v>
      </c>
      <c r="B7" s="5"/>
      <c r="C7" s="4">
        <v>5484000</v>
      </c>
      <c r="D7" s="6" t="s">
        <v>47</v>
      </c>
      <c r="E7" s="4">
        <v>5484000</v>
      </c>
      <c r="F7" s="6">
        <f t="shared" si="1"/>
        <v>0</v>
      </c>
    </row>
    <row r="8" spans="1:6">
      <c r="A8" s="2" t="s">
        <v>38</v>
      </c>
      <c r="B8" s="4">
        <v>7295000</v>
      </c>
      <c r="C8" s="4">
        <v>7531000</v>
      </c>
      <c r="D8" s="6">
        <f t="shared" si="0"/>
        <v>3.2350925291295463E-2</v>
      </c>
      <c r="E8" s="4">
        <v>7533000</v>
      </c>
      <c r="F8" s="6">
        <f t="shared" si="1"/>
        <v>2.6556898154295183E-4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 ALEJANDRO GERENA AVELLANEDA</dc:creator>
  <cp:keywords/>
  <dc:description/>
  <cp:lastModifiedBy>NELSON GIOVANNI PARRA ARAUJO</cp:lastModifiedBy>
  <cp:revision/>
  <dcterms:created xsi:type="dcterms:W3CDTF">2026-06-26T15:26:48Z</dcterms:created>
  <dcterms:modified xsi:type="dcterms:W3CDTF">2026-07-24T12:26:20Z</dcterms:modified>
  <cp:category/>
  <cp:contentStatus/>
</cp:coreProperties>
</file>