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f0bdc686152255fb/Escritorio/MÍNIMA CUANTÍA- META 283/"/>
    </mc:Choice>
  </mc:AlternateContent>
  <xr:revisionPtr revIDLastSave="0" documentId="8_{C25FCD34-7444-4A7B-9261-CA92508B9A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C. DE ENERGIAS Y MINERIA" sheetId="64" r:id="rId1"/>
  </sheets>
  <definedNames>
    <definedName name="_xlnm.Print_Area" localSheetId="0">'SEC. DE ENERGIAS Y MINERIA'!$A$1:$E$7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" i="64" l="1"/>
  <c r="O3" i="64"/>
  <c r="H3" i="64"/>
  <c r="Q3" i="64" s="1"/>
  <c r="E7" i="64" l="1"/>
  <c r="E8" i="64" s="1"/>
  <c r="F7" i="64"/>
  <c r="G7" i="64"/>
  <c r="P4" i="64"/>
  <c r="P5" i="64"/>
  <c r="P6" i="64"/>
  <c r="O4" i="64"/>
  <c r="O5" i="64"/>
  <c r="O6" i="64"/>
  <c r="L4" i="64"/>
  <c r="L5" i="64"/>
  <c r="L6" i="64"/>
  <c r="L3" i="64"/>
  <c r="H4" i="64"/>
  <c r="Q4" i="64" s="1"/>
  <c r="H5" i="64"/>
  <c r="Q5" i="64" s="1"/>
  <c r="H6" i="64"/>
  <c r="Q6" i="64" s="1"/>
  <c r="G8" i="64" l="1"/>
  <c r="G9" i="64"/>
  <c r="O7" i="64"/>
  <c r="N3" i="64"/>
  <c r="M3" i="64"/>
  <c r="I4" i="64"/>
  <c r="H7" i="64"/>
  <c r="Q7" i="64" s="1"/>
  <c r="J4" i="64"/>
  <c r="I5" i="64"/>
  <c r="J5" i="64"/>
  <c r="I6" i="64"/>
  <c r="J6" i="64"/>
  <c r="E9" i="64"/>
  <c r="I3" i="64"/>
  <c r="F8" i="64"/>
  <c r="F9" i="64" s="1"/>
  <c r="K3" i="64"/>
  <c r="J3" i="64"/>
  <c r="K6" i="64"/>
  <c r="K5" i="64"/>
  <c r="K4" i="64"/>
  <c r="H8" i="64" l="1"/>
  <c r="Q8" i="64" s="1"/>
  <c r="H9" i="64"/>
  <c r="Q9" i="64" s="1"/>
  <c r="P7" i="64"/>
  <c r="P8" i="64" s="1"/>
  <c r="P9" i="64" s="1"/>
  <c r="O8" i="64"/>
  <c r="O9" i="64" s="1"/>
  <c r="N4" i="64"/>
  <c r="M4" i="64"/>
  <c r="M6" i="64"/>
  <c r="N6" i="64"/>
  <c r="N5" i="64"/>
  <c r="M5" i="64"/>
</calcChain>
</file>

<file path=xl/sharedStrings.xml><?xml version="1.0" encoding="utf-8"?>
<sst xmlns="http://schemas.openxmlformats.org/spreadsheetml/2006/main" count="35" uniqueCount="30">
  <si>
    <t>PROMEDIO SIMPLE</t>
  </si>
  <si>
    <t>DESVIACION ESTANDAR</t>
  </si>
  <si>
    <t>LIMITE INFERIOR</t>
  </si>
  <si>
    <t>LIMITE SUPERIOR</t>
  </si>
  <si>
    <t>UNIDAD DE MEDIDA</t>
  </si>
  <si>
    <t>CANTIDAD APROXIMADA</t>
  </si>
  <si>
    <t>UNIDAD</t>
  </si>
  <si>
    <t xml:space="preserve">SUBTOTAL </t>
  </si>
  <si>
    <t>VALOR UNITARIO SIN IVA</t>
  </si>
  <si>
    <t>OFERTA ECONOMICA SECRETARIA DE ENERGIAS Y MINERIA</t>
  </si>
  <si>
    <t>ANÁLISIS VALOR TECHO</t>
  </si>
  <si>
    <t>MEDIANA</t>
  </si>
  <si>
    <t>MEDIA GEOMETRICA</t>
  </si>
  <si>
    <t xml:space="preserve">ANALISIS DE VARIACION DE LAS COTIZACIONES VS PROMEDIO </t>
  </si>
  <si>
    <t xml:space="preserve">IVA 19% </t>
  </si>
  <si>
    <t xml:space="preserve">VALOR TOTAL </t>
  </si>
  <si>
    <t>FASE</t>
  </si>
  <si>
    <t>ACTIVIDAD / ENTREGABLE FASE</t>
  </si>
  <si>
    <t>Plan de trabajo aprobado y Actas y registro fotográfico</t>
  </si>
  <si>
    <t>FASE 1</t>
  </si>
  <si>
    <t>FASE 2</t>
  </si>
  <si>
    <t>FASE 3</t>
  </si>
  <si>
    <t>FASE 4</t>
  </si>
  <si>
    <t>Documento que contenga un informe diagnóstico y recomendaciones a planos y especificaciones técnicas del horno, soportado o acompañado de concepto técnico de revisión por parte de los profesionales, actas de socialización y certificados de apropiación de diseños y planos.</t>
  </si>
  <si>
    <t>Informe de avance que contenga: a) Seguimiento y ejecución del programa de acompañamiento y asistencia técnica soportado con listados de asistencia, memorias y evidencia fotográfica y descripción de la metodología de apropiación del conocimiento. b)Informe de seguimiento de la obra con reportes técnicos de la obra constructiva del horno, informando de alertas o afectaciones que se puedan presentar durante la construcción.</t>
  </si>
  <si>
    <t>INNOVA CONSULTORIA Y CONSTRUCCIONES S.A.S.</t>
  </si>
  <si>
    <t>DISTRIBUIDORA ESAC S.A.S.</t>
  </si>
  <si>
    <t>ING. ALEXIS GERNEY VIGOYA GUTIERREZ</t>
  </si>
  <si>
    <t>Informe final para el cual frente al horno se detallen los resultados obtenidos al término 
de ejecución del contrato, recomendaciones orientadas a garantizar la sostenibilidad, 
mantenimiento y operatividad del sistema, así como una posible replicabilidad y las 
lecciones aprendidas identificando fortalezas, dificultades, ajustes realizados y aspectos 
de mejora. El informe final debe contener un Manual técnico de operación y 
mantenimiento del horno que contenga un protocolo de monitoreo y seguimiento 
operativo.</t>
  </si>
  <si>
    <t xml:space="preserve">VALOR TECCHO ESTIMADO  SIN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</si>
</sst>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_-;\-* #,##0.00_-;_-* \-??_-;_-@_-"/>
    <numFmt numFmtId="165" formatCode="_-* #,##0_-;\-* #,##0_-;_-* \-??_-;_-@_-"/>
    <numFmt numFmtId="166" formatCode="_-&quot;$ &quot;* #,##0_-;&quot;-$ &quot;* #,##0_-;_-&quot;$ &quot;* \-_-;_-@_-"/>
    <numFmt numFmtId="167" formatCode="_-* #,##0_-;\-* #,##0_-;_-* &quot;-&quot;??_-;_-@_-"/>
    <numFmt numFmtId="168" formatCode="_-&quot;$&quot;* #,##0.00_-;\-&quot;$&quot;* #,##0.00_-;_-&quot;$&quot;* &quot;-&quot;??_-;_-@_-"/>
    <numFmt numFmtId="169" formatCode="[$$-240A]#,###.00;[Red]\([$$-240A]#,###.00\)"/>
    <numFmt numFmtId="170" formatCode="&quot;$&quot;\ #,##0.0;[Red]\-&quot;$&quot;\ 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2" fillId="0" borderId="0"/>
    <xf numFmtId="164" fontId="2" fillId="0" borderId="0" applyBorder="0" applyProtection="0"/>
    <xf numFmtId="166" fontId="2" fillId="0" borderId="0" applyBorder="0" applyProtection="0"/>
    <xf numFmtId="43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167" fontId="5" fillId="4" borderId="1" xfId="6" applyNumberFormat="1" applyFont="1" applyFill="1" applyBorder="1" applyAlignment="1">
      <alignment horizontal="center" vertical="center" wrapText="1"/>
    </xf>
    <xf numFmtId="0" fontId="6" fillId="0" borderId="0" xfId="3" applyFont="1" applyAlignment="1" applyProtection="1">
      <alignment vertical="center" wrapText="1"/>
      <protection locked="0"/>
    </xf>
    <xf numFmtId="165" fontId="3" fillId="8" borderId="1" xfId="4" applyNumberFormat="1" applyFont="1" applyFill="1" applyBorder="1" applyAlignment="1" applyProtection="1">
      <alignment horizontal="center" vertical="center" wrapText="1"/>
    </xf>
    <xf numFmtId="165" fontId="3" fillId="10" borderId="1" xfId="4" applyNumberFormat="1" applyFont="1" applyFill="1" applyBorder="1" applyAlignment="1" applyProtection="1">
      <alignment horizontal="center" vertical="center" wrapText="1"/>
    </xf>
    <xf numFmtId="165" fontId="3" fillId="12" borderId="1" xfId="4" applyNumberFormat="1" applyFont="1" applyFill="1" applyBorder="1" applyAlignment="1" applyProtection="1">
      <alignment horizontal="center" vertical="center" wrapText="1"/>
    </xf>
    <xf numFmtId="165" fontId="3" fillId="6" borderId="1" xfId="4" applyNumberFormat="1" applyFont="1" applyFill="1" applyBorder="1" applyAlignment="1" applyProtection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3" fontId="6" fillId="3" borderId="1" xfId="3" applyNumberFormat="1" applyFont="1" applyFill="1" applyBorder="1" applyAlignment="1">
      <alignment vertical="center" wrapText="1"/>
    </xf>
    <xf numFmtId="6" fontId="6" fillId="0" borderId="1" xfId="3" applyNumberFormat="1" applyFont="1" applyBorder="1" applyAlignment="1" applyProtection="1">
      <alignment horizontal="center" vertical="center"/>
      <protection locked="0"/>
    </xf>
    <xf numFmtId="0" fontId="6" fillId="0" borderId="1" xfId="3" applyFont="1" applyBorder="1" applyAlignment="1" applyProtection="1">
      <alignment horizontal="center" vertical="center"/>
      <protection locked="0"/>
    </xf>
    <xf numFmtId="10" fontId="6" fillId="0" borderId="1" xfId="8" applyNumberFormat="1" applyFont="1" applyBorder="1" applyAlignment="1" applyProtection="1">
      <alignment vertical="center"/>
      <protection locked="0"/>
    </xf>
    <xf numFmtId="0" fontId="6" fillId="0" borderId="0" xfId="3" applyFont="1" applyProtection="1">
      <protection locked="0"/>
    </xf>
    <xf numFmtId="169" fontId="6" fillId="0" borderId="0" xfId="3" applyNumberFormat="1" applyFont="1" applyProtection="1">
      <protection locked="0"/>
    </xf>
    <xf numFmtId="0" fontId="4" fillId="9" borderId="1" xfId="3" applyFont="1" applyFill="1" applyBorder="1" applyAlignment="1">
      <alignment horizontal="center" vertical="center" wrapText="1"/>
    </xf>
    <xf numFmtId="0" fontId="4" fillId="11" borderId="1" xfId="3" applyFont="1" applyFill="1" applyBorder="1" applyAlignment="1">
      <alignment horizontal="center" vertical="center" wrapText="1"/>
    </xf>
    <xf numFmtId="0" fontId="4" fillId="5" borderId="1" xfId="3" applyFont="1" applyFill="1" applyBorder="1" applyAlignment="1">
      <alignment horizontal="center" vertical="center" wrapText="1"/>
    </xf>
    <xf numFmtId="6" fontId="6" fillId="0" borderId="1" xfId="3" applyNumberFormat="1" applyFont="1" applyBorder="1" applyAlignment="1" applyProtection="1">
      <alignment vertical="center"/>
      <protection locked="0"/>
    </xf>
    <xf numFmtId="6" fontId="6" fillId="0" borderId="1" xfId="9" applyNumberFormat="1" applyFont="1" applyBorder="1" applyAlignment="1" applyProtection="1">
      <alignment vertical="center"/>
      <protection locked="0"/>
    </xf>
    <xf numFmtId="6" fontId="4" fillId="0" borderId="1" xfId="3" applyNumberFormat="1" applyFont="1" applyBorder="1" applyAlignment="1" applyProtection="1">
      <alignment vertical="center"/>
      <protection locked="0"/>
    </xf>
    <xf numFmtId="6" fontId="7" fillId="0" borderId="1" xfId="3" applyNumberFormat="1" applyFont="1" applyBorder="1" applyAlignment="1" applyProtection="1">
      <alignment vertical="center"/>
      <protection locked="0"/>
    </xf>
    <xf numFmtId="6" fontId="4" fillId="13" borderId="1" xfId="3" applyNumberFormat="1" applyFont="1" applyFill="1" applyBorder="1" applyAlignment="1" applyProtection="1">
      <alignment horizontal="center" vertical="center"/>
      <protection locked="0"/>
    </xf>
    <xf numFmtId="44" fontId="6" fillId="0" borderId="0" xfId="9" applyFont="1" applyProtection="1">
      <protection locked="0"/>
    </xf>
    <xf numFmtId="170" fontId="6" fillId="0" borderId="1" xfId="3" applyNumberFormat="1" applyFont="1" applyBorder="1" applyAlignment="1" applyProtection="1">
      <alignment vertical="center"/>
      <protection locked="0"/>
    </xf>
    <xf numFmtId="170" fontId="4" fillId="0" borderId="1" xfId="3" applyNumberFormat="1" applyFont="1" applyBorder="1" applyAlignment="1" applyProtection="1">
      <alignment vertical="center"/>
      <protection locked="0"/>
    </xf>
    <xf numFmtId="0" fontId="3" fillId="2" borderId="1" xfId="3" applyFont="1" applyFill="1" applyBorder="1" applyAlignment="1">
      <alignment horizontal="center" vertical="center" wrapText="1"/>
    </xf>
    <xf numFmtId="0" fontId="3" fillId="7" borderId="1" xfId="3" applyFont="1" applyFill="1" applyBorder="1" applyAlignment="1">
      <alignment horizontal="center" vertical="center" wrapText="1"/>
    </xf>
    <xf numFmtId="167" fontId="5" fillId="4" borderId="1" xfId="6" applyNumberFormat="1" applyFont="1" applyFill="1" applyBorder="1" applyAlignment="1">
      <alignment horizontal="center" vertical="center" wrapText="1"/>
    </xf>
    <xf numFmtId="8" fontId="6" fillId="7" borderId="2" xfId="3" applyNumberFormat="1" applyFont="1" applyFill="1" applyBorder="1" applyAlignment="1" applyProtection="1">
      <alignment horizontal="center" vertical="center"/>
      <protection locked="0"/>
    </xf>
    <xf numFmtId="8" fontId="6" fillId="7" borderId="3" xfId="3" applyNumberFormat="1" applyFont="1" applyFill="1" applyBorder="1" applyAlignment="1" applyProtection="1">
      <alignment horizontal="center" vertical="center"/>
      <protection locked="0"/>
    </xf>
    <xf numFmtId="8" fontId="6" fillId="7" borderId="4" xfId="3" applyNumberFormat="1" applyFont="1" applyFill="1" applyBorder="1" applyAlignment="1" applyProtection="1">
      <alignment horizontal="center" vertical="center"/>
      <protection locked="0"/>
    </xf>
  </cellXfs>
  <cellStyles count="10">
    <cellStyle name="Excel Built-in Currency [0]" xfId="5" xr:uid="{143EDC97-490A-4F51-A91B-BB8474630D9A}"/>
    <cellStyle name="Millares" xfId="6" builtinId="3"/>
    <cellStyle name="Millares 2" xfId="1" xr:uid="{00000000-0005-0000-0000-000001000000}"/>
    <cellStyle name="Millares 3" xfId="4" xr:uid="{3B43E407-2EC9-4859-8E6D-A84FABCF5CCF}"/>
    <cellStyle name="Moneda" xfId="9" builtinId="4"/>
    <cellStyle name="Moneda 2" xfId="7" xr:uid="{E4E08452-5684-4AFE-BD0B-F0C2C92449BF}"/>
    <cellStyle name="Normal" xfId="0" builtinId="0"/>
    <cellStyle name="Normal 2" xfId="3" xr:uid="{C32C6ECE-5529-4F45-B45E-FD4A04CBA4E0}"/>
    <cellStyle name="Normal 3" xfId="2" xr:uid="{00000000-0005-0000-0000-000004000000}"/>
    <cellStyle name="Porcentaje" xfId="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4AEA7-F954-407B-AEE3-DDE7EDE093C4}">
  <dimension ref="A1:R77"/>
  <sheetViews>
    <sheetView tabSelected="1" topLeftCell="C1" zoomScale="80" zoomScaleNormal="80" workbookViewId="0">
      <selection activeCell="N20" sqref="N20"/>
    </sheetView>
  </sheetViews>
  <sheetFormatPr baseColWidth="10" defaultColWidth="11.42578125" defaultRowHeight="12.75" x14ac:dyDescent="0.2"/>
  <cols>
    <col min="1" max="1" width="28.85546875" style="12" customWidth="1"/>
    <col min="2" max="2" width="89.28515625" style="2" customWidth="1"/>
    <col min="3" max="3" width="13.85546875" style="12" customWidth="1"/>
    <col min="4" max="4" width="14.7109375" style="12" customWidth="1"/>
    <col min="5" max="7" width="17.85546875" style="12" customWidth="1"/>
    <col min="8" max="8" width="15.85546875" style="12" customWidth="1"/>
    <col min="9" max="9" width="6.42578125" style="12" bestFit="1" customWidth="1"/>
    <col min="10" max="11" width="7.42578125" style="12" bestFit="1" customWidth="1"/>
    <col min="12" max="12" width="14.7109375" style="12" customWidth="1"/>
    <col min="13" max="13" width="15" style="12" bestFit="1" customWidth="1"/>
    <col min="14" max="14" width="15.5703125" style="12" bestFit="1" customWidth="1"/>
    <col min="15" max="15" width="13.42578125" style="12" bestFit="1" customWidth="1"/>
    <col min="16" max="16" width="18.7109375" style="12" bestFit="1" customWidth="1"/>
    <col min="17" max="17" width="15" style="12" bestFit="1" customWidth="1"/>
    <col min="18" max="18" width="16" style="12" bestFit="1" customWidth="1"/>
    <col min="19" max="16384" width="11.42578125" style="12"/>
  </cols>
  <sheetData>
    <row r="1" spans="1:18" s="2" customFormat="1" ht="36.75" customHeight="1" x14ac:dyDescent="0.25">
      <c r="A1" s="26" t="s">
        <v>9</v>
      </c>
      <c r="B1" s="26"/>
      <c r="C1" s="26"/>
      <c r="D1" s="26"/>
      <c r="E1" s="14" t="s">
        <v>25</v>
      </c>
      <c r="F1" s="15" t="s">
        <v>26</v>
      </c>
      <c r="G1" s="16" t="s">
        <v>27</v>
      </c>
      <c r="H1" s="27" t="s">
        <v>10</v>
      </c>
      <c r="I1" s="27"/>
      <c r="J1" s="27"/>
      <c r="K1" s="27"/>
      <c r="L1" s="27"/>
      <c r="M1" s="27"/>
      <c r="N1" s="27"/>
      <c r="O1" s="27"/>
      <c r="P1" s="27"/>
      <c r="Q1" s="27"/>
    </row>
    <row r="2" spans="1:18" s="2" customFormat="1" ht="46.5" customHeight="1" x14ac:dyDescent="0.25">
      <c r="A2" s="3" t="s">
        <v>16</v>
      </c>
      <c r="B2" s="3" t="s">
        <v>17</v>
      </c>
      <c r="C2" s="3" t="s">
        <v>4</v>
      </c>
      <c r="D2" s="3" t="s">
        <v>5</v>
      </c>
      <c r="E2" s="4" t="s">
        <v>8</v>
      </c>
      <c r="F2" s="5" t="s">
        <v>8</v>
      </c>
      <c r="G2" s="6" t="s">
        <v>8</v>
      </c>
      <c r="H2" s="1" t="s">
        <v>0</v>
      </c>
      <c r="I2" s="27" t="s">
        <v>13</v>
      </c>
      <c r="J2" s="27"/>
      <c r="K2" s="27"/>
      <c r="L2" s="1" t="s">
        <v>1</v>
      </c>
      <c r="M2" s="1" t="s">
        <v>2</v>
      </c>
      <c r="N2" s="1" t="s">
        <v>3</v>
      </c>
      <c r="O2" s="1" t="s">
        <v>11</v>
      </c>
      <c r="P2" s="1" t="s">
        <v>12</v>
      </c>
      <c r="Q2" s="1" t="s">
        <v>29</v>
      </c>
    </row>
    <row r="3" spans="1:18" ht="24" customHeight="1" x14ac:dyDescent="0.2">
      <c r="A3" s="7" t="s">
        <v>19</v>
      </c>
      <c r="B3" s="8" t="s">
        <v>18</v>
      </c>
      <c r="C3" s="9" t="s">
        <v>6</v>
      </c>
      <c r="D3" s="10">
        <v>1</v>
      </c>
      <c r="E3" s="17">
        <v>50000000</v>
      </c>
      <c r="F3" s="20">
        <v>42800000</v>
      </c>
      <c r="G3" s="17">
        <v>49071800</v>
      </c>
      <c r="H3" s="23">
        <f>ROUND(AVERAGE(E3,F3,G3),0)</f>
        <v>47290600</v>
      </c>
      <c r="I3" s="11">
        <f>ABS(E3-H3)/H3</f>
        <v>5.7292569770736677E-2</v>
      </c>
      <c r="J3" s="11">
        <f t="shared" ref="J3:J6" si="0">ABS(F3-H3)/H3</f>
        <v>9.4957560276249409E-2</v>
      </c>
      <c r="K3" s="11">
        <f t="shared" ref="K3:K6" si="1">ABS(G3-H3)/H3</f>
        <v>3.7664990505512724E-2</v>
      </c>
      <c r="L3" s="17">
        <f>ROUND(STDEV(E3,F3,G3),0)</f>
        <v>3916568</v>
      </c>
      <c r="M3" s="17">
        <f>+H3-L3</f>
        <v>43374032</v>
      </c>
      <c r="N3" s="17">
        <f>+H3+L3</f>
        <v>51207168</v>
      </c>
      <c r="O3" s="17">
        <f>ROUND(MEDIAN(E3,F3,G3),0)</f>
        <v>49071800</v>
      </c>
      <c r="P3" s="17">
        <f>ROUND(GEOMEAN(E3,F3,G3),0)</f>
        <v>47178984</v>
      </c>
      <c r="Q3" s="9">
        <f>+H3</f>
        <v>47290600</v>
      </c>
      <c r="R3" s="22"/>
    </row>
    <row r="4" spans="1:18" ht="45.75" customHeight="1" x14ac:dyDescent="0.2">
      <c r="A4" s="7" t="s">
        <v>20</v>
      </c>
      <c r="B4" s="8" t="s">
        <v>23</v>
      </c>
      <c r="C4" s="9" t="s">
        <v>6</v>
      </c>
      <c r="D4" s="10">
        <v>1</v>
      </c>
      <c r="E4" s="17">
        <v>32000000</v>
      </c>
      <c r="F4" s="20">
        <v>37950000</v>
      </c>
      <c r="G4" s="17">
        <v>33698000</v>
      </c>
      <c r="H4" s="23">
        <f>ROUND(AVERAGE(E4,F4,G4),0)</f>
        <v>34549333</v>
      </c>
      <c r="I4" s="11">
        <f>ABS(E4-H4)/H4</f>
        <v>7.3788197300364664E-2</v>
      </c>
      <c r="J4" s="11">
        <f t="shared" si="0"/>
        <v>9.8429309764098777E-2</v>
      </c>
      <c r="K4" s="11">
        <f t="shared" si="1"/>
        <v>2.4641083519615269E-2</v>
      </c>
      <c r="L4" s="17">
        <f>ROUND(STDEV(E4,F4,G4),0)</f>
        <v>3064996</v>
      </c>
      <c r="M4" s="17">
        <f t="shared" ref="M4:M6" si="2">+H4-L4</f>
        <v>31484337</v>
      </c>
      <c r="N4" s="17">
        <f t="shared" ref="N4:N6" si="3">+H4+L4</f>
        <v>37614329</v>
      </c>
      <c r="O4" s="17">
        <f>ROUND(MEDIAN(E4,F4,G4),0)</f>
        <v>33698000</v>
      </c>
      <c r="P4" s="17">
        <f>ROUND(GEOMEAN(E4,F4,G4),0)</f>
        <v>34460531</v>
      </c>
      <c r="Q4" s="9">
        <f t="shared" ref="Q4:Q9" si="4">+H4</f>
        <v>34549333</v>
      </c>
      <c r="R4" s="22"/>
    </row>
    <row r="5" spans="1:18" ht="70.5" customHeight="1" x14ac:dyDescent="0.2">
      <c r="A5" s="7" t="s">
        <v>21</v>
      </c>
      <c r="B5" s="8" t="s">
        <v>24</v>
      </c>
      <c r="C5" s="9" t="s">
        <v>6</v>
      </c>
      <c r="D5" s="10">
        <v>1</v>
      </c>
      <c r="E5" s="17">
        <v>36000000</v>
      </c>
      <c r="F5" s="17">
        <v>35250000</v>
      </c>
      <c r="G5" s="20">
        <v>34298500</v>
      </c>
      <c r="H5" s="23">
        <f>ROUND(AVERAGE(E5,F5,G5),0)</f>
        <v>35182833</v>
      </c>
      <c r="I5" s="11">
        <f>ABS(E5-H5)/H5</f>
        <v>2.3226299030552771E-2</v>
      </c>
      <c r="J5" s="11">
        <f t="shared" si="0"/>
        <v>1.9090844674162538E-3</v>
      </c>
      <c r="K5" s="11">
        <f t="shared" si="1"/>
        <v>2.5135355075016273E-2</v>
      </c>
      <c r="L5" s="17">
        <f>ROUND(STDEV(E5,F5,G5),0)</f>
        <v>852736</v>
      </c>
      <c r="M5" s="17">
        <f t="shared" si="2"/>
        <v>34330097</v>
      </c>
      <c r="N5" s="17">
        <f t="shared" si="3"/>
        <v>36035569</v>
      </c>
      <c r="O5" s="17">
        <f>ROUND(MEDIAN(E5,F5,G5),0)</f>
        <v>35250000</v>
      </c>
      <c r="P5" s="17">
        <f>ROUND(GEOMEAN(E5,F5,G5),0)</f>
        <v>35175930</v>
      </c>
      <c r="Q5" s="9">
        <f t="shared" si="4"/>
        <v>35182833</v>
      </c>
      <c r="R5" s="22"/>
    </row>
    <row r="6" spans="1:18" ht="98.25" customHeight="1" x14ac:dyDescent="0.2">
      <c r="A6" s="7" t="s">
        <v>22</v>
      </c>
      <c r="B6" s="8" t="s">
        <v>28</v>
      </c>
      <c r="C6" s="9" t="s">
        <v>6</v>
      </c>
      <c r="D6" s="10">
        <v>1</v>
      </c>
      <c r="E6" s="17">
        <v>16200000</v>
      </c>
      <c r="F6" s="20">
        <v>24458000</v>
      </c>
      <c r="G6" s="17">
        <v>18500000</v>
      </c>
      <c r="H6" s="23">
        <f>ROUND(AVERAGE(E6,F6,G6),0)</f>
        <v>19719333</v>
      </c>
      <c r="I6" s="11">
        <f>ABS(E6-H6)/H6</f>
        <v>0.17847119879764695</v>
      </c>
      <c r="J6" s="11">
        <f t="shared" si="0"/>
        <v>0.24030564319797226</v>
      </c>
      <c r="K6" s="11">
        <f t="shared" si="1"/>
        <v>6.1834393688670913E-2</v>
      </c>
      <c r="L6" s="17">
        <f>ROUND(STDEV(E6,F6,G6),0)</f>
        <v>4261892</v>
      </c>
      <c r="M6" s="17">
        <f t="shared" si="2"/>
        <v>15457441</v>
      </c>
      <c r="N6" s="17">
        <f t="shared" si="3"/>
        <v>23981225</v>
      </c>
      <c r="O6" s="17">
        <f>ROUND(MEDIAN(E6,F6,G6),0)</f>
        <v>18500000</v>
      </c>
      <c r="P6" s="17">
        <f>ROUND(GEOMEAN(E6,F6,G6),0)</f>
        <v>19425367</v>
      </c>
      <c r="Q6" s="9">
        <f t="shared" si="4"/>
        <v>19719333</v>
      </c>
      <c r="R6" s="22"/>
    </row>
    <row r="7" spans="1:18" ht="22.5" customHeight="1" x14ac:dyDescent="0.2">
      <c r="A7" s="25" t="s">
        <v>7</v>
      </c>
      <c r="B7" s="25"/>
      <c r="C7" s="25"/>
      <c r="D7" s="25"/>
      <c r="E7" s="17">
        <f>SUM(E3:E6)</f>
        <v>134200000</v>
      </c>
      <c r="F7" s="17">
        <f>SUM(F3:F6)</f>
        <v>140458000</v>
      </c>
      <c r="G7" s="17">
        <f>SUM(G3:G6)</f>
        <v>135568300</v>
      </c>
      <c r="H7" s="23">
        <f>SUM(H3:H6)</f>
        <v>136742099</v>
      </c>
      <c r="I7" s="28"/>
      <c r="J7" s="29"/>
      <c r="K7" s="29"/>
      <c r="L7" s="29"/>
      <c r="M7" s="29"/>
      <c r="N7" s="30"/>
      <c r="O7" s="17">
        <f>SUM(O3:O6)</f>
        <v>136519800</v>
      </c>
      <c r="P7" s="17">
        <f>SUM(P3:P6)</f>
        <v>136240812</v>
      </c>
      <c r="Q7" s="9">
        <f t="shared" si="4"/>
        <v>136742099</v>
      </c>
    </row>
    <row r="8" spans="1:18" ht="22.5" customHeight="1" x14ac:dyDescent="0.2">
      <c r="A8" s="25" t="s">
        <v>14</v>
      </c>
      <c r="B8" s="25"/>
      <c r="C8" s="25"/>
      <c r="D8" s="25"/>
      <c r="E8" s="17">
        <f>ROUND(+E7*19%,0)</f>
        <v>25498000</v>
      </c>
      <c r="F8" s="17">
        <f t="shared" ref="F8:G8" si="5">ROUND(+F7*19%,0)</f>
        <v>26687020</v>
      </c>
      <c r="G8" s="17">
        <f t="shared" si="5"/>
        <v>25757977</v>
      </c>
      <c r="H8" s="23">
        <f>ROUND(+H7*19%,0)</f>
        <v>25980999</v>
      </c>
      <c r="I8" s="28"/>
      <c r="J8" s="29"/>
      <c r="K8" s="29"/>
      <c r="L8" s="29"/>
      <c r="M8" s="29"/>
      <c r="N8" s="30"/>
      <c r="O8" s="18">
        <f>ROUND(+O7*19%,0)</f>
        <v>25938762</v>
      </c>
      <c r="P8" s="18">
        <f>ROUND(+P7*19%,0)</f>
        <v>25885754</v>
      </c>
      <c r="Q8" s="9">
        <f t="shared" si="4"/>
        <v>25980999</v>
      </c>
    </row>
    <row r="9" spans="1:18" ht="22.5" customHeight="1" x14ac:dyDescent="0.2">
      <c r="A9" s="25" t="s">
        <v>15</v>
      </c>
      <c r="B9" s="25"/>
      <c r="C9" s="25"/>
      <c r="D9" s="25"/>
      <c r="E9" s="19">
        <f>+E7+E8</f>
        <v>159698000</v>
      </c>
      <c r="F9" s="19">
        <f t="shared" ref="F9" si="6">+F7+F8</f>
        <v>167145020</v>
      </c>
      <c r="G9" s="19">
        <f>+G7+G8</f>
        <v>161326277</v>
      </c>
      <c r="H9" s="24">
        <f>+H7+H8</f>
        <v>162723098</v>
      </c>
      <c r="I9" s="28"/>
      <c r="J9" s="29"/>
      <c r="K9" s="29"/>
      <c r="L9" s="29"/>
      <c r="M9" s="29"/>
      <c r="N9" s="30"/>
      <c r="O9" s="19">
        <f>+O7+O8</f>
        <v>162458562</v>
      </c>
      <c r="P9" s="19">
        <f>+P7+P8</f>
        <v>162126566</v>
      </c>
      <c r="Q9" s="21">
        <f t="shared" si="4"/>
        <v>162723098</v>
      </c>
    </row>
    <row r="10" spans="1:18" x14ac:dyDescent="0.2">
      <c r="A10" s="2"/>
      <c r="E10" s="13"/>
    </row>
    <row r="11" spans="1:18" x14ac:dyDescent="0.2">
      <c r="A11" s="2"/>
    </row>
    <row r="12" spans="1:18" x14ac:dyDescent="0.2">
      <c r="A12" s="2"/>
    </row>
    <row r="13" spans="1:18" x14ac:dyDescent="0.2">
      <c r="A13" s="2"/>
    </row>
    <row r="14" spans="1:18" x14ac:dyDescent="0.2">
      <c r="A14" s="2"/>
    </row>
    <row r="15" spans="1:18" x14ac:dyDescent="0.2">
      <c r="A15" s="2"/>
    </row>
    <row r="16" spans="1:18" x14ac:dyDescent="0.2">
      <c r="A16" s="2"/>
    </row>
    <row r="17" spans="1:1" x14ac:dyDescent="0.2">
      <c r="A17" s="2"/>
    </row>
    <row r="18" spans="1:1" x14ac:dyDescent="0.2">
      <c r="A18" s="2"/>
    </row>
    <row r="19" spans="1:1" x14ac:dyDescent="0.2">
      <c r="A19" s="2"/>
    </row>
    <row r="20" spans="1:1" x14ac:dyDescent="0.2">
      <c r="A20" s="2"/>
    </row>
    <row r="21" spans="1:1" x14ac:dyDescent="0.2">
      <c r="A21" s="2"/>
    </row>
    <row r="22" spans="1:1" x14ac:dyDescent="0.2">
      <c r="A22" s="2"/>
    </row>
    <row r="23" spans="1:1" x14ac:dyDescent="0.2">
      <c r="A23" s="2"/>
    </row>
    <row r="24" spans="1:1" x14ac:dyDescent="0.2">
      <c r="A24" s="2"/>
    </row>
    <row r="25" spans="1:1" x14ac:dyDescent="0.2">
      <c r="A25" s="2"/>
    </row>
    <row r="26" spans="1:1" x14ac:dyDescent="0.2">
      <c r="A26" s="2"/>
    </row>
    <row r="27" spans="1:1" x14ac:dyDescent="0.2">
      <c r="A27" s="2"/>
    </row>
    <row r="28" spans="1:1" x14ac:dyDescent="0.2">
      <c r="A28" s="2"/>
    </row>
    <row r="29" spans="1:1" x14ac:dyDescent="0.2">
      <c r="A29" s="2"/>
    </row>
    <row r="30" spans="1:1" x14ac:dyDescent="0.2">
      <c r="A30" s="2"/>
    </row>
    <row r="31" spans="1:1" x14ac:dyDescent="0.2">
      <c r="A31" s="2"/>
    </row>
    <row r="32" spans="1:1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</sheetData>
  <mergeCells count="9">
    <mergeCell ref="A7:D7"/>
    <mergeCell ref="A1:D1"/>
    <mergeCell ref="A8:D8"/>
    <mergeCell ref="A9:D9"/>
    <mergeCell ref="I2:K2"/>
    <mergeCell ref="H1:Q1"/>
    <mergeCell ref="I7:N7"/>
    <mergeCell ref="I8:N8"/>
    <mergeCell ref="I9:N9"/>
  </mergeCells>
  <printOptions horizontalCentered="1"/>
  <pageMargins left="0.31496062992125984" right="0.31496062992125984" top="0.35433070866141736" bottom="0.35433070866141736" header="0.31496062992125984" footer="0.31496062992125984"/>
  <pageSetup scale="83" orientation="portrait" horizontalDpi="4294967294" verticalDpi="4294967294" r:id="rId1"/>
  <ignoredErrors>
    <ignoredError sqref="M4 N4 M5 N5 M6 N6 E7:E9 F7:F9 G7:G8 H4:H6 I3:K3 L3:L6 M3 O4:O6 P4:P6 O9:P9 I4:I6 K4:K6 P7 O8:P8 H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SEC. DE ENERGIAS Y MINERIA</vt:lpstr>
      <vt:lpstr>'SEC. DE ENERGIAS Y MINERIA'!Área_de_impresión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Jimenez Bolivar, Jorge Armando</dc:creator>
  <cp:keywords/>
  <dc:description/>
  <cp:lastModifiedBy>NINA PAOLA GUARIN CASTRO</cp:lastModifiedBy>
  <cp:revision/>
  <cp:lastPrinted>2025-12-19T15:19:06Z</cp:lastPrinted>
  <dcterms:created xsi:type="dcterms:W3CDTF">2017-06-28T20:54:08Z</dcterms:created>
  <dcterms:modified xsi:type="dcterms:W3CDTF">2026-08-12T21:07:01Z</dcterms:modified>
  <cp:category/>
  <cp:contentStatus/>
</cp:coreProperties>
</file>