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mc:AlternateContent xmlns:mc="http://schemas.openxmlformats.org/markup-compatibility/2006">
    <mc:Choice Requires="x15">
      <x15ac:absPath xmlns:x15ac="http://schemas.microsoft.com/office/spreadsheetml/2010/11/ac" url="E:\ALCALDÍA DE NEIVA\7. NEIVA 2026\LICITACIÓN PÚBLICA\4. DEMOLICIÓN ESTÁDIO MNSDRLPOP007-2026\1. PROYECTO DE PLIEGO\"/>
    </mc:Choice>
  </mc:AlternateContent>
  <xr:revisionPtr revIDLastSave="0" documentId="8_{BBF6DD99-6017-4B25-87D3-5327C0F1763A}" xr6:coauthVersionLast="47" xr6:coauthVersionMax="47" xr10:uidLastSave="{00000000-0000-0000-0000-000000000000}"/>
  <bookViews>
    <workbookView xWindow="-108" yWindow="-108" windowWidth="23256" windowHeight="12456" xr2:uid="{00000000-000D-0000-FFFF-FFFF00000000}"/>
  </bookViews>
  <sheets>
    <sheet name="PROPUESTA ECONÓMICA (Proponente" sheetId="24" r:id="rId1"/>
    <sheet name="PRESUPUESTO OFICIAL (Entidad)" sheetId="23" r:id="rId2"/>
    <sheet name="APUS" sheetId="10" r:id="rId3"/>
    <sheet name="PPTO_OBRA_GENERAL" sheetId="3" state="hidden" r:id="rId4"/>
    <sheet name="RESUMEN" sheetId="2" state="hidden" r:id="rId5"/>
    <sheet name="PPTO_PLANES" sheetId="19" r:id="rId6"/>
    <sheet name="CUADRILLA" sheetId="22" state="hidden" r:id="rId7"/>
    <sheet name="MEMORIA_IMPLOSION" sheetId="21" r:id="rId8"/>
    <sheet name="AIU" sheetId="7" r:id="rId9"/>
    <sheet name="FACTOR PRESTACIONAL" sheetId="9"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PR1" localSheetId="1">[1]PRECIOS!$A:$E</definedName>
    <definedName name="_____PR1" localSheetId="0">[1]PRECIOS!$A:$E</definedName>
    <definedName name="_____PR1">#REF!</definedName>
    <definedName name="____PR1" localSheetId="1">[2]PRECIOS!$A:$E</definedName>
    <definedName name="____PR1" localSheetId="0">[2]PRECIOS!$A:$E</definedName>
    <definedName name="____PR1">#REF!</definedName>
    <definedName name="___PR1" localSheetId="1">[3]PRECIOS!$A:$E</definedName>
    <definedName name="___PR1" localSheetId="0">[3]PRECIOS!$A:$E</definedName>
    <definedName name="___PR1">#REF!</definedName>
    <definedName name="__PR1" localSheetId="1">[4]PRECIOS!$A:$E</definedName>
    <definedName name="__PR1" localSheetId="0">[4]PRECIOS!$A:$E</definedName>
    <definedName name="__PR1">#REF!</definedName>
    <definedName name="_xlnm._FilterDatabase" localSheetId="7" hidden="1">MEMORIA_IMPLOSION!$A$8:$XEX$620</definedName>
    <definedName name="_xlnm._FilterDatabase" localSheetId="3" hidden="1">PPTO_OBRA_GENERAL!$A$5:$H$50</definedName>
    <definedName name="_PR1" localSheetId="1">[5]PRECIOS!$A:$E</definedName>
    <definedName name="_PR1" localSheetId="0">[5]PRECIOS!$A:$E</definedName>
    <definedName name="_PR1">#REF!</definedName>
    <definedName name="A" localSheetId="1">[5]PRECIOS!$J$62</definedName>
    <definedName name="A" localSheetId="0">[5]PRECIOS!$J$62</definedName>
    <definedName name="A">#REF!</definedName>
    <definedName name="APB" localSheetId="1">[5]PRECIOS!$G$71:$J$153</definedName>
    <definedName name="APB" localSheetId="0">[5]PRECIOS!$G$71:$J$153</definedName>
    <definedName name="APB">#REF!</definedName>
    <definedName name="_xlnm.Print_Area" localSheetId="8">AIU!$A$1:$I$62</definedName>
    <definedName name="_xlnm.Print_Area" localSheetId="2">APUS!$A$1:$J$1154</definedName>
    <definedName name="_xlnm.Print_Area" localSheetId="9">'FACTOR PRESTACIONAL'!$A$1:$E$49</definedName>
    <definedName name="_xlnm.Print_Area" localSheetId="7">MEMORIA_IMPLOSION!$A$1:$Q$630</definedName>
    <definedName name="_xlnm.Print_Area" localSheetId="3">PPTO_OBRA_GENERAL!$A$1:$H$50</definedName>
    <definedName name="_xlnm.Print_Area" localSheetId="5">PPTO_PLANES!$A$1:$H$43</definedName>
    <definedName name="_xlnm.Print_Area" localSheetId="1">'PRESUPUESTO OFICIAL (Entidad)'!$A$1:$M$86</definedName>
    <definedName name="_xlnm.Print_Area" localSheetId="0">'PROPUESTA ECONÓMICA (Proponente'!$A$1:$M$86</definedName>
    <definedName name="_xlnm.Print_Area" localSheetId="4">RESUMEN!$A$1:$E$46</definedName>
    <definedName name="AY" localSheetId="1">[6]Hoja1!$G$6</definedName>
    <definedName name="AY" localSheetId="0">[6]Hoja1!$G$6</definedName>
    <definedName name="AY">#REF!</definedName>
    <definedName name="AYU" localSheetId="1">[6]Hoja1!$F$6</definedName>
    <definedName name="AYU" localSheetId="0">[6]Hoja1!$F$6</definedName>
    <definedName name="AYU">#REF!</definedName>
    <definedName name="BDLICITACION" localSheetId="1">[7]BD!$1:$1048576</definedName>
    <definedName name="BDLICITACION" localSheetId="0">[7]BD!$1:$1048576</definedName>
    <definedName name="BDLICITACION">#REF!</definedName>
    <definedName name="bustos" localSheetId="1">[6]Hoja1!$G$10</definedName>
    <definedName name="bustos" localSheetId="0">[6]Hoja1!$G$10</definedName>
    <definedName name="bustos">#REF!</definedName>
    <definedName name="CA" localSheetId="1">[5]PRECIOS!$J$64</definedName>
    <definedName name="CA" localSheetId="0">[5]PRECIOS!$J$64</definedName>
    <definedName name="CA">#REF!</definedName>
    <definedName name="CANTIDADES" localSheetId="1">'[7]CANTIDADES DE OBRA'!$D$9:$G$33</definedName>
    <definedName name="CANTIDADES" localSheetId="0">'[7]CANTIDADES DE OBRA'!$D$9:$G$33</definedName>
    <definedName name="CANTIDADES">#REF!</definedName>
    <definedName name="CO" localSheetId="1">[3]PRECIOS!$J$61</definedName>
    <definedName name="CO" localSheetId="0">[3]PRECIOS!$J$61</definedName>
    <definedName name="CO">#REF!</definedName>
    <definedName name="diego" localSheetId="1">[6]Hoja1!$G$5</definedName>
    <definedName name="diego" localSheetId="0">[6]Hoja1!$G$5</definedName>
    <definedName name="diego">#REF!</definedName>
    <definedName name="DSAGASG">#REF!</definedName>
    <definedName name="ed">#REF!</definedName>
    <definedName name="EQUI" localSheetId="1">[8]EQUIPO!$B$2:$B$36</definedName>
    <definedName name="EQUI" localSheetId="0">[8]EQUIPO!$B$2:$B$36</definedName>
    <definedName name="EQUI">#REF!</definedName>
    <definedName name="EQUIPO_1" localSheetId="1">[8]EQUIPO!$B$2:$D$36</definedName>
    <definedName name="EQUIPO_1" localSheetId="0">[8]EQUIPO!$B$2:$D$36</definedName>
    <definedName name="EQUIPO_1">#REF!</definedName>
    <definedName name="ETAPA1">#REF!</definedName>
    <definedName name="ETAPA2">#REF!</definedName>
    <definedName name="ETAPA3">#REF!</definedName>
    <definedName name="ETAPA4">#REF!</definedName>
    <definedName name="HM" localSheetId="1">[6]Hoja1!$G$8</definedName>
    <definedName name="HM" localSheetId="0">[6]Hoja1!$G$8</definedName>
    <definedName name="HM">#REF!</definedName>
    <definedName name="hora_maestro_obra">#REF!</definedName>
    <definedName name="I" localSheetId="1">[6]Hoja1!$G$2</definedName>
    <definedName name="I" localSheetId="0">[6]Hoja1!$G$2</definedName>
    <definedName name="I">#REF!</definedName>
    <definedName name="ID_PRESUPUESTO" localSheetId="5">PPTO_PLANES!$A$6:$A$33</definedName>
    <definedName name="ID_PRESUPUESTO">PPTO_OBRA_GENERAL!$A$6:$A$50</definedName>
    <definedName name="inf">#REF!</definedName>
    <definedName name="M.O.">#REF!</definedName>
    <definedName name="MAQ" localSheetId="1">[5]PRECIOS!$G$2:$J$54</definedName>
    <definedName name="MAQ" localSheetId="0">[5]PRECIOS!$G$2:$J$54</definedName>
    <definedName name="MAQ">#REF!</definedName>
    <definedName name="MAT" localSheetId="1">[6]Hoja1!$A$1:$D$221</definedName>
    <definedName name="MAT" localSheetId="0">[6]Hoja1!$A$1:$D$221</definedName>
    <definedName name="MAT">#REF!</definedName>
    <definedName name="MATER" localSheetId="1">[8]MATERIAL!$B$3:$B$580</definedName>
    <definedName name="MATER" localSheetId="0">[8]MATERIAL!$B$3:$B$580</definedName>
    <definedName name="MATER">#REF!</definedName>
    <definedName name="MATERIALES" localSheetId="1">[8]MATERIAL!$B$2:$D$580</definedName>
    <definedName name="MATERIALES" localSheetId="0">[8]MATERIAL!$B$2:$D$580</definedName>
    <definedName name="MATERIALES">#REF!</definedName>
    <definedName name="MEMO" localSheetId="1">'[9]L PRECIOS'!$A$5:$D$267</definedName>
    <definedName name="MEMO" localSheetId="0">'[9]L PRECIOS'!$A$5:$D$267</definedName>
    <definedName name="MEMO">#REF!</definedName>
    <definedName name="MI" localSheetId="1">'[10]ANALISIS RESUMIDOS'!$C$183,'[10]ANALISIS RESUMIDOS'!$C$186,'[10]ANALISIS RESUMIDOS'!$C$181,'[10]ANALISIS RESUMIDOS'!$C$179,'[10]ANALISIS RESUMIDOS'!$C$178,'[10]ANALISIS RESUMIDOS'!$C$39,'[10]ANALISIS RESUMIDOS'!$C$40</definedName>
    <definedName name="MI" localSheetId="0">'[10]ANALISIS RESUMIDOS'!$C$183,'[10]ANALISIS RESUMIDOS'!$C$186,'[10]ANALISIS RESUMIDOS'!$C$181,'[10]ANALISIS RESUMIDOS'!$C$179,'[10]ANALISIS RESUMIDOS'!$C$178,'[10]ANALISIS RESUMIDOS'!$C$39,'[10]ANALISIS RESUMIDOS'!$C$40</definedName>
    <definedName name="MI">#REF!,#REF!,#REF!,#REF!,#REF!,#REF!,#REF!</definedName>
    <definedName name="ML" localSheetId="1">'[10]ANALISIS RESUMIDOS'!$C$183,'[10]ANALISIS RESUMIDOS'!$C$186,'[10]ANALISIS RESUMIDOS'!$C$181,'[10]ANALISIS RESUMIDOS'!$C$179,'[10]ANALISIS RESUMIDOS'!$C$178,'[10]ANALISIS RESUMIDOS'!$C$39,'[10]ANALISIS RESUMIDOS'!$C$40</definedName>
    <definedName name="ML" localSheetId="0">'[10]ANALISIS RESUMIDOS'!$C$183,'[10]ANALISIS RESUMIDOS'!$C$186,'[10]ANALISIS RESUMIDOS'!$C$181,'[10]ANALISIS RESUMIDOS'!$C$179,'[10]ANALISIS RESUMIDOS'!$C$178,'[10]ANALISIS RESUMIDOS'!$C$39,'[10]ANALISIS RESUMIDOS'!$C$40</definedName>
    <definedName name="ML">#REF!,#REF!,#REF!,#REF!,#REF!,#REF!,#REF!</definedName>
    <definedName name="O" localSheetId="1">[11]PRECIOS!$J$61</definedName>
    <definedName name="O" localSheetId="0">[11]PRECIOS!$J$61</definedName>
    <definedName name="O">#REF!</definedName>
    <definedName name="OCCIDENTAL">MEMORIA_IMPLOSION!$B$8:$G$620</definedName>
    <definedName name="OF" localSheetId="1">[6]Hoja1!$F$5</definedName>
    <definedName name="OF" localSheetId="0">[6]Hoja1!$F$5</definedName>
    <definedName name="OF">#REF!</definedName>
    <definedName name="P" localSheetId="1">[5]PRECIOS!$I$56</definedName>
    <definedName name="P" localSheetId="0">[5]PRECIOS!$I$56</definedName>
    <definedName name="P">#REF!</definedName>
    <definedName name="RDN" localSheetId="1">[6]Hoja1!$G$7</definedName>
    <definedName name="RDN" localSheetId="0">[6]Hoja1!$G$7</definedName>
    <definedName name="RDN">#REF!</definedName>
    <definedName name="rrtewtr">#REF!</definedName>
    <definedName name="SMIN" localSheetId="1">'[12]FACTOR PRESTACIONAL'!$D$11</definedName>
    <definedName name="SMIN" localSheetId="0">'[12]FACTOR PRESTACIONAL'!$D$11</definedName>
    <definedName name="SMIN">'FACTOR PRESTACIONAL'!$D$11</definedName>
    <definedName name="SMT" localSheetId="1">'[12]FACTOR PRESTACIONAL'!$D$13</definedName>
    <definedName name="SMT" localSheetId="0">'[12]FACTOR PRESTACIONAL'!$D$13</definedName>
    <definedName name="SMT">'FACTOR PRESTACIONAL'!$D$13</definedName>
    <definedName name="T" localSheetId="1">[6]Hoja1!$G$9</definedName>
    <definedName name="T" localSheetId="0">[6]Hoja1!$G$9</definedName>
    <definedName name="T">#REF!</definedName>
    <definedName name="TOP" localSheetId="1">[11]PRECIOS!$J$63</definedName>
    <definedName name="TOP" localSheetId="0">[11]PRECIOS!$J$63</definedName>
    <definedName name="TOP">#REF!</definedName>
    <definedName name="U" localSheetId="1">[6]Hoja1!$G$3</definedName>
    <definedName name="U" localSheetId="0">[6]Hoja1!$G$3</definedName>
    <definedName name="U">#REF!</definedName>
    <definedName name="Z_5A4F7B8D_F212_49F3_93FD_382B091FC4B6_.wvu.FilterData" localSheetId="3" hidden="1">PPTO_OBRA_GENERAL!$C$5:$C$50</definedName>
    <definedName name="Z_5A4F7B8D_F212_49F3_93FD_382B091FC4B6_.wvu.FilterData" localSheetId="5" hidden="1">PPTO_PLANES!$C$5:$C$33</definedName>
    <definedName name="Z_E2FC8219_F1E0_43F3_9FAA_E60F6B74C6AB_.wvu.FilterData" localSheetId="3" hidden="1">PPTO_OBRA_GENERAL!$A$5:$H$50</definedName>
    <definedName name="Z_E2FC8219_F1E0_43F3_9FAA_E60F6B74C6AB_.wvu.FilterData" localSheetId="5" hidden="1">PPTO_PLANES!$A$5:$H$33</definedName>
  </definedNames>
  <calcPr calcId="191029"/>
  <customWorkbookViews>
    <customWorkbookView name="Filtro 2" guid="{5A4F7B8D-F212-49F3-93FD-382B091FC4B6}" maximized="1" windowWidth="0" windowHeight="0" activeSheetId="0"/>
    <customWorkbookView name="Filtro 1" guid="{E2FC8219-F1E0-43F3-9FAA-E60F6B74C6AB}" maximized="1" windowWidth="0" windowHeight="0" activeSheetId="0"/>
    <customWorkbookView name="ZP" guid="{E6B4DA2F-B875-46C8-A85B-771B6EC71FC1}" maximized="1" windowWidth="0" windowHeight="0" activeSheetId="0"/>
  </customWorkbookViews>
  <pivotCaches>
    <pivotCache cacheId="0" r:id="rId25"/>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56" i="24" l="1"/>
  <c r="D48" i="24"/>
  <c r="D47" i="24"/>
  <c r="D46" i="24"/>
  <c r="D45" i="24"/>
  <c r="D44" i="24"/>
  <c r="D41" i="24"/>
  <c r="D40" i="24"/>
  <c r="D39" i="24"/>
  <c r="D38" i="24"/>
  <c r="D37" i="24"/>
  <c r="G36" i="24"/>
  <c r="D36" i="24"/>
  <c r="D33" i="24"/>
  <c r="D32" i="24"/>
  <c r="D31" i="24"/>
  <c r="D28" i="24"/>
  <c r="D27" i="24"/>
  <c r="D26" i="24"/>
  <c r="D25" i="24"/>
  <c r="D24" i="24"/>
  <c r="D23" i="24"/>
  <c r="D22" i="24"/>
  <c r="D21" i="24"/>
  <c r="J1142" i="10"/>
  <c r="H1103" i="10"/>
  <c r="H1102" i="10"/>
  <c r="H1087" i="10"/>
  <c r="J898" i="10"/>
  <c r="J868" i="10"/>
  <c r="H859" i="10"/>
  <c r="H858" i="10"/>
  <c r="H857" i="10"/>
  <c r="H853" i="10"/>
  <c r="H852" i="10"/>
  <c r="J733" i="10"/>
  <c r="H724" i="10"/>
  <c r="H723" i="10"/>
  <c r="H719" i="10"/>
  <c r="H718" i="10"/>
  <c r="H717" i="10"/>
  <c r="H716" i="10"/>
  <c r="H591" i="10"/>
  <c r="G36" i="23" l="1"/>
  <c r="K56" i="23"/>
  <c r="I31" i="7"/>
  <c r="I30" i="7"/>
  <c r="I29" i="7"/>
  <c r="I28" i="7"/>
  <c r="H27" i="7"/>
  <c r="I27" i="7" s="1"/>
  <c r="H26" i="7"/>
  <c r="I26" i="7" s="1"/>
  <c r="H25" i="7"/>
  <c r="I25" i="7" s="1"/>
  <c r="H24" i="7"/>
  <c r="I24" i="7" s="1"/>
  <c r="H23" i="7"/>
  <c r="I23" i="7" s="1"/>
  <c r="H22" i="7"/>
  <c r="I22" i="7" s="1"/>
  <c r="H19" i="7"/>
  <c r="G19" i="7"/>
  <c r="G18" i="7"/>
  <c r="G17" i="7"/>
  <c r="G16" i="7"/>
  <c r="G15" i="7"/>
  <c r="G14" i="7"/>
  <c r="G13" i="7"/>
  <c r="G12" i="7"/>
  <c r="G11" i="7"/>
  <c r="C1048" i="10" l="1"/>
  <c r="C981" i="10"/>
  <c r="C946" i="10"/>
  <c r="C909" i="10"/>
  <c r="C874" i="10"/>
  <c r="C844" i="10"/>
  <c r="C812" i="10"/>
  <c r="C779" i="10"/>
  <c r="C747" i="10"/>
  <c r="C713" i="10"/>
  <c r="C672" i="10"/>
  <c r="C644" i="10"/>
  <c r="C503" i="10"/>
  <c r="K48" i="23"/>
  <c r="D48" i="23"/>
  <c r="K47" i="23"/>
  <c r="D47" i="23"/>
  <c r="K46" i="23"/>
  <c r="D46" i="23"/>
  <c r="K45" i="23"/>
  <c r="D45" i="23"/>
  <c r="K44" i="23"/>
  <c r="D44" i="23"/>
  <c r="D41" i="23"/>
  <c r="D40" i="23"/>
  <c r="D39" i="23"/>
  <c r="D38" i="23"/>
  <c r="D37" i="23"/>
  <c r="D36" i="23"/>
  <c r="D33" i="23"/>
  <c r="D32" i="23"/>
  <c r="D31" i="23"/>
  <c r="D28" i="23"/>
  <c r="D27" i="23"/>
  <c r="D26" i="23"/>
  <c r="D25" i="23"/>
  <c r="D24" i="23"/>
  <c r="D23" i="23"/>
  <c r="D22" i="23"/>
  <c r="D21" i="23"/>
  <c r="K49" i="23" l="1"/>
  <c r="K40" i="3"/>
  <c r="K13" i="3"/>
  <c r="K23" i="3"/>
  <c r="K28" i="3"/>
  <c r="K36" i="3"/>
  <c r="J13" i="3"/>
  <c r="J23" i="3"/>
  <c r="J28" i="3"/>
  <c r="J36" i="3"/>
  <c r="J38" i="3"/>
  <c r="K38" i="3" s="1"/>
  <c r="J39" i="3"/>
  <c r="K39" i="3" s="1"/>
  <c r="J40" i="3"/>
  <c r="I13" i="3"/>
  <c r="I23" i="3"/>
  <c r="I28" i="3"/>
  <c r="I36" i="3"/>
  <c r="I37" i="3"/>
  <c r="I38" i="3"/>
  <c r="I39" i="3"/>
  <c r="I40" i="3"/>
  <c r="C8" i="2" l="1"/>
  <c r="H1057" i="10" l="1"/>
  <c r="H1053" i="10"/>
  <c r="H1052" i="10"/>
  <c r="H1051" i="10"/>
  <c r="O49" i="7"/>
  <c r="O50" i="7"/>
  <c r="O51" i="7"/>
  <c r="H691" i="10"/>
  <c r="H690" i="10"/>
  <c r="H689" i="10"/>
  <c r="H687" i="10"/>
  <c r="H686" i="10"/>
  <c r="H685" i="10"/>
  <c r="J685" i="10" s="1"/>
  <c r="H681" i="10"/>
  <c r="H680" i="10"/>
  <c r="I917" i="10"/>
  <c r="H917" i="10"/>
  <c r="J1017" i="10"/>
  <c r="H1026" i="10" s="1"/>
  <c r="H1021" i="10"/>
  <c r="H1020" i="10"/>
  <c r="J1038" i="10"/>
  <c r="I1087" i="10"/>
  <c r="I1025" i="10"/>
  <c r="H956" i="10"/>
  <c r="H918" i="10"/>
  <c r="I857" i="10"/>
  <c r="I852" i="10"/>
  <c r="H820" i="10"/>
  <c r="I723" i="10"/>
  <c r="I788" i="10" s="1"/>
  <c r="I512" i="10"/>
  <c r="E46" i="9"/>
  <c r="E42" i="9"/>
  <c r="H1030" i="10" l="1"/>
  <c r="H1031" i="10"/>
  <c r="H1025" i="10"/>
  <c r="L25" i="21"/>
  <c r="E34" i="3"/>
  <c r="L26" i="21"/>
  <c r="L24" i="21"/>
  <c r="L21" i="21"/>
  <c r="L18" i="21"/>
  <c r="L20" i="21"/>
  <c r="E31" i="3"/>
  <c r="G620" i="21"/>
  <c r="G619" i="21"/>
  <c r="G618" i="21"/>
  <c r="G617" i="21"/>
  <c r="G616" i="21"/>
  <c r="G615" i="21"/>
  <c r="G614" i="21"/>
  <c r="G613" i="21"/>
  <c r="G612" i="21"/>
  <c r="G611" i="21"/>
  <c r="G610" i="21"/>
  <c r="G609" i="21"/>
  <c r="G608" i="21"/>
  <c r="G607" i="21"/>
  <c r="G606" i="21"/>
  <c r="G605" i="21"/>
  <c r="G604" i="21"/>
  <c r="G603" i="21"/>
  <c r="G602" i="21"/>
  <c r="G601" i="21"/>
  <c r="G600" i="21"/>
  <c r="G599" i="21"/>
  <c r="G598" i="21"/>
  <c r="G597" i="21"/>
  <c r="G596" i="21"/>
  <c r="G594" i="21"/>
  <c r="G593" i="21"/>
  <c r="G592" i="21"/>
  <c r="G591" i="21"/>
  <c r="G590" i="21"/>
  <c r="G585" i="21"/>
  <c r="G584" i="21"/>
  <c r="G580" i="21"/>
  <c r="G578" i="21"/>
  <c r="G577" i="21"/>
  <c r="G576" i="21"/>
  <c r="G575" i="21"/>
  <c r="G574" i="21"/>
  <c r="G573" i="21"/>
  <c r="G572" i="21"/>
  <c r="G571" i="21"/>
  <c r="G570" i="21"/>
  <c r="G569" i="21"/>
  <c r="G568" i="21"/>
  <c r="G567" i="21"/>
  <c r="G566" i="21"/>
  <c r="G565" i="21"/>
  <c r="G561" i="21"/>
  <c r="G559" i="21"/>
  <c r="G556" i="21"/>
  <c r="G555" i="21"/>
  <c r="G553" i="21"/>
  <c r="G551" i="21"/>
  <c r="G547" i="21"/>
  <c r="G543" i="21"/>
  <c r="G539" i="21"/>
  <c r="G535" i="21"/>
  <c r="G531" i="21"/>
  <c r="G527" i="21"/>
  <c r="G523" i="21"/>
  <c r="G519" i="21"/>
  <c r="G515" i="21"/>
  <c r="G511" i="21"/>
  <c r="G507" i="21"/>
  <c r="G503" i="21"/>
  <c r="G502" i="21"/>
  <c r="G501" i="21"/>
  <c r="G500" i="21"/>
  <c r="G499" i="21"/>
  <c r="G498" i="21"/>
  <c r="G497" i="21"/>
  <c r="G496" i="21"/>
  <c r="G495" i="21"/>
  <c r="G494" i="21"/>
  <c r="G493" i="21"/>
  <c r="G492" i="21"/>
  <c r="G491" i="21"/>
  <c r="G490" i="21"/>
  <c r="G489" i="21"/>
  <c r="G488" i="21"/>
  <c r="G487" i="21"/>
  <c r="G486" i="21"/>
  <c r="G483" i="21"/>
  <c r="G476" i="21"/>
  <c r="G471" i="21"/>
  <c r="G464" i="21"/>
  <c r="G449" i="21"/>
  <c r="G448" i="21"/>
  <c r="G447" i="21"/>
  <c r="G446" i="21"/>
  <c r="G405" i="21"/>
  <c r="G404" i="21"/>
  <c r="G403" i="21"/>
  <c r="G402" i="21"/>
  <c r="G397" i="21"/>
  <c r="G385" i="21"/>
  <c r="G378" i="21"/>
  <c r="G375" i="21"/>
  <c r="G374" i="21"/>
  <c r="G373" i="21"/>
  <c r="G372" i="21"/>
  <c r="G363" i="21"/>
  <c r="G362" i="21"/>
  <c r="G361" i="21"/>
  <c r="G329" i="21"/>
  <c r="G328" i="21"/>
  <c r="G327" i="21"/>
  <c r="G326" i="21"/>
  <c r="G325" i="21"/>
  <c r="G316" i="21"/>
  <c r="G315" i="21"/>
  <c r="G314" i="21"/>
  <c r="G282" i="21"/>
  <c r="G281" i="21"/>
  <c r="G280" i="21"/>
  <c r="G279" i="21"/>
  <c r="G278" i="21"/>
  <c r="G269" i="21"/>
  <c r="G268" i="21"/>
  <c r="G267" i="21"/>
  <c r="G235" i="21"/>
  <c r="G234" i="21"/>
  <c r="G233" i="21"/>
  <c r="G232" i="21"/>
  <c r="G231" i="21"/>
  <c r="G222" i="21"/>
  <c r="G205" i="21"/>
  <c r="G187" i="21"/>
  <c r="G186" i="21"/>
  <c r="G185" i="21"/>
  <c r="G184" i="21"/>
  <c r="G175" i="21"/>
  <c r="G174" i="21"/>
  <c r="G173" i="21"/>
  <c r="G140" i="21"/>
  <c r="G139" i="21"/>
  <c r="G138" i="21"/>
  <c r="G137" i="21"/>
  <c r="G136" i="21"/>
  <c r="G127" i="21"/>
  <c r="G126" i="21"/>
  <c r="G125" i="21"/>
  <c r="G92" i="21"/>
  <c r="G6" i="21" s="1"/>
  <c r="G91" i="21"/>
  <c r="G90" i="21"/>
  <c r="G89" i="21"/>
  <c r="G88" i="21"/>
  <c r="G78" i="21"/>
  <c r="G77" i="21"/>
  <c r="G44" i="21"/>
  <c r="G29" i="21"/>
  <c r="G27" i="21"/>
  <c r="E29" i="3"/>
  <c r="E30" i="3" s="1"/>
  <c r="L23" i="21"/>
  <c r="E33" i="3" s="1"/>
  <c r="K13" i="21"/>
  <c r="K12" i="21"/>
  <c r="K11" i="21"/>
  <c r="K10" i="21"/>
  <c r="K9" i="21"/>
  <c r="K8" i="21"/>
  <c r="K14" i="21" s="1"/>
  <c r="E14" i="3" l="1"/>
  <c r="E15" i="3" s="1"/>
  <c r="E16" i="3" s="1"/>
  <c r="E20" i="3" s="1"/>
  <c r="E7" i="3"/>
  <c r="E24" i="3"/>
  <c r="E25" i="3" s="1"/>
  <c r="E26" i="3" s="1"/>
  <c r="C26" i="2" l="1"/>
  <c r="C20" i="2"/>
  <c r="C21" i="2"/>
  <c r="B95" i="10"/>
  <c r="B68" i="10"/>
  <c r="B241" i="10"/>
  <c r="B208" i="10"/>
  <c r="B177" i="10"/>
  <c r="B433" i="10"/>
  <c r="B40" i="10"/>
  <c r="C370" i="10"/>
  <c r="B370" i="10"/>
  <c r="B337" i="10"/>
  <c r="B403" i="10"/>
  <c r="B305" i="10"/>
  <c r="B273" i="10"/>
  <c r="B151" i="10"/>
  <c r="C151" i="10"/>
  <c r="B124" i="10"/>
  <c r="C124" i="10"/>
  <c r="B12" i="10"/>
  <c r="J388" i="10"/>
  <c r="J396" i="10" s="1"/>
  <c r="J383" i="10"/>
  <c r="J385" i="10" s="1"/>
  <c r="J380" i="10"/>
  <c r="J373" i="10"/>
  <c r="J375" i="10" s="1"/>
  <c r="J406" i="10"/>
  <c r="J408" i="10" s="1"/>
  <c r="J413" i="10"/>
  <c r="J416" i="10"/>
  <c r="J418" i="10" s="1"/>
  <c r="J421" i="10"/>
  <c r="J422" i="10"/>
  <c r="J428" i="10" s="1"/>
  <c r="J397" i="10" l="1"/>
  <c r="F16" i="19" s="1"/>
  <c r="G16" i="19" s="1"/>
  <c r="J429" i="10"/>
  <c r="J15" i="10"/>
  <c r="J17" i="10" s="1"/>
  <c r="J22" i="10"/>
  <c r="J25" i="10"/>
  <c r="J27" i="10" s="1"/>
  <c r="J30" i="10"/>
  <c r="J33" i="10"/>
  <c r="J43" i="10"/>
  <c r="J45" i="10" s="1"/>
  <c r="J50" i="10"/>
  <c r="J53" i="10"/>
  <c r="J54" i="10" s="1"/>
  <c r="J57" i="10"/>
  <c r="J60" i="10" s="1"/>
  <c r="J71" i="10"/>
  <c r="J73" i="10" s="1"/>
  <c r="J78" i="10"/>
  <c r="J81" i="10"/>
  <c r="J82" i="10" s="1"/>
  <c r="J85" i="10"/>
  <c r="J88" i="10" s="1"/>
  <c r="J98" i="10"/>
  <c r="J100" i="10" s="1"/>
  <c r="J105" i="10"/>
  <c r="J108" i="10"/>
  <c r="J109" i="10" s="1"/>
  <c r="I112" i="10"/>
  <c r="J112" i="10" s="1"/>
  <c r="J113" i="10"/>
  <c r="J114" i="10"/>
  <c r="J115" i="10"/>
  <c r="J116" i="10"/>
  <c r="J127" i="10"/>
  <c r="J129" i="10" s="1"/>
  <c r="J134" i="10"/>
  <c r="J137" i="10"/>
  <c r="J138" i="10" s="1"/>
  <c r="J141" i="10"/>
  <c r="J143" i="10" s="1"/>
  <c r="J154" i="10"/>
  <c r="J156" i="10" s="1"/>
  <c r="J161" i="10"/>
  <c r="J164" i="10"/>
  <c r="J165" i="10"/>
  <c r="J168" i="10"/>
  <c r="J170" i="10" s="1"/>
  <c r="J180" i="10"/>
  <c r="J182" i="10" s="1"/>
  <c r="J187" i="10"/>
  <c r="J190" i="10"/>
  <c r="J192" i="10" s="1"/>
  <c r="J195" i="10"/>
  <c r="J196" i="10"/>
  <c r="J197" i="10"/>
  <c r="J211" i="10"/>
  <c r="J213" i="10" s="1"/>
  <c r="J218" i="10"/>
  <c r="J221" i="10"/>
  <c r="J223" i="10"/>
  <c r="J226" i="10"/>
  <c r="J227" i="10"/>
  <c r="J244" i="10"/>
  <c r="J246" i="10" s="1"/>
  <c r="J251" i="10"/>
  <c r="J254" i="10"/>
  <c r="J256" i="10" s="1"/>
  <c r="J259" i="10"/>
  <c r="J260" i="10"/>
  <c r="J261" i="10"/>
  <c r="J276" i="10"/>
  <c r="J278" i="10" s="1"/>
  <c r="J283" i="10"/>
  <c r="J286" i="10"/>
  <c r="J288" i="10"/>
  <c r="J291" i="10"/>
  <c r="J292" i="10"/>
  <c r="J293" i="10"/>
  <c r="J308" i="10"/>
  <c r="J310" i="10" s="1"/>
  <c r="J315" i="10"/>
  <c r="J318" i="10"/>
  <c r="J320" i="10" s="1"/>
  <c r="J323" i="10"/>
  <c r="J324" i="10"/>
  <c r="J325" i="10"/>
  <c r="J326" i="10"/>
  <c r="J327" i="10"/>
  <c r="J340" i="10"/>
  <c r="J342" i="10"/>
  <c r="J347" i="10"/>
  <c r="J350" i="10"/>
  <c r="J352" i="10" s="1"/>
  <c r="J355" i="10"/>
  <c r="J356" i="10"/>
  <c r="J357" i="10"/>
  <c r="J358" i="10"/>
  <c r="J359" i="10"/>
  <c r="J360" i="10"/>
  <c r="J436" i="10"/>
  <c r="J437" i="10"/>
  <c r="J441" i="10"/>
  <c r="H442" i="10"/>
  <c r="J442" i="10" s="1"/>
  <c r="J451" i="10"/>
  <c r="J454" i="10" s="1"/>
  <c r="J34" i="10" l="1"/>
  <c r="J35" i="10" s="1"/>
  <c r="J36" i="10" s="1"/>
  <c r="J399" i="10"/>
  <c r="J266" i="10"/>
  <c r="J438" i="10"/>
  <c r="J233" i="10"/>
  <c r="J234" i="10" s="1"/>
  <c r="J236" i="10" s="1"/>
  <c r="J202" i="10"/>
  <c r="J203" i="10" s="1"/>
  <c r="J443" i="10"/>
  <c r="I446" i="10" s="1"/>
  <c r="J446" i="10" s="1"/>
  <c r="J448" i="10" s="1"/>
  <c r="J117" i="10"/>
  <c r="J118" i="10" s="1"/>
  <c r="J298" i="10"/>
  <c r="J299" i="10" s="1"/>
  <c r="J267" i="10"/>
  <c r="J330" i="10"/>
  <c r="J331" i="10" s="1"/>
  <c r="J171" i="10"/>
  <c r="J363" i="10"/>
  <c r="J364" i="10" s="1"/>
  <c r="J366" i="10" s="1"/>
  <c r="J61" i="10"/>
  <c r="J89" i="10"/>
  <c r="J144" i="10"/>
  <c r="J455" i="10" l="1"/>
  <c r="J457" i="10" s="1"/>
  <c r="J269" i="10"/>
  <c r="J301" i="10"/>
  <c r="J205" i="10"/>
  <c r="J173" i="10"/>
  <c r="J332" i="10"/>
  <c r="J333" i="10" s="1"/>
  <c r="J63" i="10"/>
  <c r="J120" i="10"/>
  <c r="J91" i="10"/>
  <c r="J146" i="10"/>
  <c r="I1100" i="10" l="1"/>
  <c r="H882" i="10" l="1"/>
  <c r="H688" i="10"/>
  <c r="H756" i="10"/>
  <c r="I581" i="10"/>
  <c r="I615" i="10" s="1"/>
  <c r="D44" i="3"/>
  <c r="D45" i="3" s="1"/>
  <c r="D46" i="3" s="1"/>
  <c r="D47" i="3" s="1"/>
  <c r="D17" i="3"/>
  <c r="D18" i="3" s="1"/>
  <c r="D19" i="3" s="1"/>
  <c r="D21" i="3" s="1"/>
  <c r="D9" i="3"/>
  <c r="D10" i="3" s="1"/>
  <c r="D11" i="3" s="1"/>
  <c r="G1052" i="10"/>
  <c r="G1053" i="10" s="1"/>
  <c r="I681" i="10" l="1"/>
  <c r="I724" i="10" s="1"/>
  <c r="I756" i="10" s="1"/>
  <c r="I853" i="10" s="1"/>
  <c r="I882" i="10" s="1"/>
  <c r="I918" i="10" s="1"/>
  <c r="I956" i="10" s="1"/>
  <c r="I1026" i="10" s="1"/>
  <c r="I1057" i="10" s="1"/>
  <c r="C1013" i="10"/>
  <c r="C904" i="10"/>
  <c r="C639" i="10"/>
  <c r="J750" i="10"/>
  <c r="J752" i="10" s="1"/>
  <c r="H755" i="10"/>
  <c r="I755" i="10"/>
  <c r="J760" i="10"/>
  <c r="J762" i="10" s="1"/>
  <c r="J772" i="10"/>
  <c r="J782" i="10"/>
  <c r="J783" i="10"/>
  <c r="J784" i="10"/>
  <c r="J793" i="10"/>
  <c r="J795" i="10" s="1"/>
  <c r="J805" i="10"/>
  <c r="J815" i="10"/>
  <c r="J817" i="10" s="1"/>
  <c r="J825" i="10"/>
  <c r="J827" i="10" s="1"/>
  <c r="J830" i="10"/>
  <c r="J837" i="10" s="1"/>
  <c r="J849" i="10"/>
  <c r="J857" i="10"/>
  <c r="J858" i="10"/>
  <c r="J859" i="10"/>
  <c r="J867" i="10"/>
  <c r="J877" i="10"/>
  <c r="J878" i="10"/>
  <c r="J891" i="10"/>
  <c r="J897" i="10"/>
  <c r="J914" i="10"/>
  <c r="J927" i="10"/>
  <c r="J930" i="10"/>
  <c r="J931" i="10"/>
  <c r="J932" i="10"/>
  <c r="J933" i="10"/>
  <c r="J953" i="10"/>
  <c r="J963" i="10"/>
  <c r="J966" i="10"/>
  <c r="J967" i="10"/>
  <c r="J968" i="10"/>
  <c r="J986" i="10"/>
  <c r="J991" i="10"/>
  <c r="J994" i="10"/>
  <c r="J996" i="10" s="1"/>
  <c r="J999" i="10"/>
  <c r="J1000" i="10"/>
  <c r="J1020" i="10"/>
  <c r="J1021" i="10"/>
  <c r="J1030" i="10"/>
  <c r="J1031" i="10"/>
  <c r="J1035" i="10"/>
  <c r="J1036" i="10"/>
  <c r="J1037" i="10"/>
  <c r="J1051" i="10"/>
  <c r="J1052" i="10"/>
  <c r="J1053" i="10"/>
  <c r="J1064" i="10"/>
  <c r="J1067" i="10"/>
  <c r="J1068" i="10"/>
  <c r="J1084" i="10"/>
  <c r="J1097" i="10"/>
  <c r="J1102" i="10"/>
  <c r="J1103" i="10"/>
  <c r="J1118" i="10"/>
  <c r="J1123" i="10"/>
  <c r="J1131" i="10"/>
  <c r="I1134" i="10"/>
  <c r="J1135" i="10"/>
  <c r="I733" i="10"/>
  <c r="J740" i="10" s="1"/>
  <c r="J741" i="10" s="1"/>
  <c r="J719" i="10"/>
  <c r="I718" i="10"/>
  <c r="J718" i="10" s="1"/>
  <c r="J717" i="10"/>
  <c r="J716" i="10"/>
  <c r="J704" i="10"/>
  <c r="J692" i="10"/>
  <c r="J691" i="10"/>
  <c r="J690" i="10"/>
  <c r="J689" i="10"/>
  <c r="J688" i="10"/>
  <c r="J687" i="10"/>
  <c r="J686" i="10"/>
  <c r="J677" i="10"/>
  <c r="G662" i="10"/>
  <c r="J659" i="10"/>
  <c r="J654" i="10"/>
  <c r="J649" i="10"/>
  <c r="J483" i="10"/>
  <c r="J482" i="10"/>
  <c r="J481" i="10"/>
  <c r="J469" i="10"/>
  <c r="J470" i="10"/>
  <c r="J471" i="10"/>
  <c r="J472" i="10"/>
  <c r="J468" i="10"/>
  <c r="J488" i="10"/>
  <c r="J495" i="10" s="1"/>
  <c r="J476" i="10"/>
  <c r="J478" i="10" s="1"/>
  <c r="J625" i="10"/>
  <c r="J632" i="10" s="1"/>
  <c r="J620" i="10"/>
  <c r="J622" i="10" s="1"/>
  <c r="J615" i="10"/>
  <c r="J617" i="10" s="1"/>
  <c r="J610" i="10"/>
  <c r="J612" i="10" s="1"/>
  <c r="J591" i="10"/>
  <c r="J598" i="10" s="1"/>
  <c r="J586" i="10"/>
  <c r="J588" i="10" s="1"/>
  <c r="J581" i="10"/>
  <c r="J583" i="10" s="1"/>
  <c r="J577" i="10"/>
  <c r="J576" i="10"/>
  <c r="J575" i="10"/>
  <c r="J564" i="10"/>
  <c r="J552" i="10"/>
  <c r="J554" i="10" s="1"/>
  <c r="J549" i="10"/>
  <c r="J543" i="10"/>
  <c r="J542" i="10"/>
  <c r="J599" i="10" l="1"/>
  <c r="J1006" i="10"/>
  <c r="J1007" i="10" s="1"/>
  <c r="J1008" i="10" s="1"/>
  <c r="J1009" i="10" s="1"/>
  <c r="J33" i="23" s="1"/>
  <c r="J633" i="10"/>
  <c r="J634" i="10" s="1"/>
  <c r="J635" i="10" s="1"/>
  <c r="J18" i="23" s="1"/>
  <c r="J852" i="10"/>
  <c r="J756" i="10"/>
  <c r="J788" i="10"/>
  <c r="J790" i="10" s="1"/>
  <c r="J956" i="10"/>
  <c r="J958" i="10" s="1"/>
  <c r="J853" i="10"/>
  <c r="J1134" i="10"/>
  <c r="J1141" i="10" s="1"/>
  <c r="J1072" i="10"/>
  <c r="J1026" i="10"/>
  <c r="J917" i="10"/>
  <c r="J1101" i="10"/>
  <c r="J973" i="10"/>
  <c r="J1087" i="10"/>
  <c r="J1089" i="10" s="1"/>
  <c r="J918" i="10"/>
  <c r="J882" i="10"/>
  <c r="J884" i="10" s="1"/>
  <c r="J755" i="10"/>
  <c r="J937" i="10"/>
  <c r="J1032" i="10"/>
  <c r="J820" i="10"/>
  <c r="J822" i="10" s="1"/>
  <c r="J838" i="10" s="1"/>
  <c r="J839" i="10" s="1"/>
  <c r="J840" i="10" s="1"/>
  <c r="J26" i="23" s="1"/>
  <c r="J1100" i="10"/>
  <c r="J1025" i="10"/>
  <c r="J1057" i="10"/>
  <c r="J1059" i="10" s="1"/>
  <c r="J879" i="10"/>
  <c r="J1054" i="10"/>
  <c r="J785" i="10"/>
  <c r="J1022" i="10"/>
  <c r="J1041" i="10"/>
  <c r="J680" i="10"/>
  <c r="F7" i="19"/>
  <c r="J681" i="10"/>
  <c r="J723" i="10"/>
  <c r="J724" i="10"/>
  <c r="J485" i="10"/>
  <c r="J720" i="10"/>
  <c r="J662" i="10"/>
  <c r="J665" i="10" s="1"/>
  <c r="J666" i="10" s="1"/>
  <c r="J667" i="10" s="1"/>
  <c r="J668" i="10" s="1"/>
  <c r="J21" i="23" s="1"/>
  <c r="J694" i="10"/>
  <c r="J578" i="10"/>
  <c r="J544" i="10"/>
  <c r="J473" i="10"/>
  <c r="K21" i="23" l="1"/>
  <c r="K26" i="23"/>
  <c r="K18" i="23"/>
  <c r="K33" i="23"/>
  <c r="J600" i="10"/>
  <c r="J601" i="10" s="1"/>
  <c r="J17" i="23" s="1"/>
  <c r="J1143" i="10"/>
  <c r="J1144" i="10"/>
  <c r="J40" i="23" s="1"/>
  <c r="K40" i="23" s="1"/>
  <c r="J1073" i="10"/>
  <c r="J1074" i="10" s="1"/>
  <c r="J1075" i="10" s="1"/>
  <c r="J974" i="10"/>
  <c r="J975" i="10" s="1"/>
  <c r="J976" i="10" s="1"/>
  <c r="J32" i="23" s="1"/>
  <c r="J565" i="10"/>
  <c r="J566" i="10" s="1"/>
  <c r="J567" i="10" s="1"/>
  <c r="J16" i="23" s="1"/>
  <c r="F8" i="19"/>
  <c r="F23" i="19"/>
  <c r="F24" i="19"/>
  <c r="F29" i="19"/>
  <c r="F33" i="3"/>
  <c r="F26" i="3"/>
  <c r="F19" i="3"/>
  <c r="J757" i="10"/>
  <c r="J773" i="10" s="1"/>
  <c r="J774" i="10" s="1"/>
  <c r="J775" i="10" s="1"/>
  <c r="J24" i="23" s="1"/>
  <c r="J854" i="10"/>
  <c r="F14" i="3"/>
  <c r="F11" i="3"/>
  <c r="F10" i="3"/>
  <c r="J899" i="10"/>
  <c r="J900" i="10" s="1"/>
  <c r="J28" i="23" s="1"/>
  <c r="J919" i="10"/>
  <c r="J938" i="10" s="1"/>
  <c r="J939" i="10" s="1"/>
  <c r="J940" i="10" s="1"/>
  <c r="J31" i="23" s="1"/>
  <c r="J682" i="10"/>
  <c r="J705" i="10" s="1"/>
  <c r="J706" i="10" s="1"/>
  <c r="J707" i="10" s="1"/>
  <c r="J22" i="23" s="1"/>
  <c r="J806" i="10"/>
  <c r="J807" i="10" s="1"/>
  <c r="J808" i="10" s="1"/>
  <c r="J25" i="23" s="1"/>
  <c r="J1027" i="10"/>
  <c r="J1042" i="10" s="1"/>
  <c r="J1043" i="10" s="1"/>
  <c r="J1044" i="10" s="1"/>
  <c r="J1107" i="10"/>
  <c r="F19" i="19"/>
  <c r="F26" i="19"/>
  <c r="F9" i="19"/>
  <c r="J496" i="10"/>
  <c r="J497" i="10" s="1"/>
  <c r="J725" i="10"/>
  <c r="K31" i="23" l="1"/>
  <c r="K17" i="23"/>
  <c r="K16" i="23"/>
  <c r="K32" i="23"/>
  <c r="K34" i="23" s="1"/>
  <c r="K28" i="23"/>
  <c r="K25" i="23"/>
  <c r="K22" i="23"/>
  <c r="K24" i="23"/>
  <c r="J1108" i="10"/>
  <c r="J1109" i="10" s="1"/>
  <c r="J1110" i="10" s="1"/>
  <c r="J41" i="23" s="1"/>
  <c r="K41" i="23" s="1"/>
  <c r="G14" i="3"/>
  <c r="I14" i="3"/>
  <c r="G26" i="3"/>
  <c r="I26" i="3"/>
  <c r="J26" i="3" s="1"/>
  <c r="K26" i="3" s="1"/>
  <c r="G33" i="3"/>
  <c r="I33" i="3"/>
  <c r="J33" i="3" s="1"/>
  <c r="K33" i="3" s="1"/>
  <c r="J39" i="23"/>
  <c r="K39" i="23" s="1"/>
  <c r="J37" i="23"/>
  <c r="I19" i="3"/>
  <c r="J19" i="3" s="1"/>
  <c r="K19" i="3" s="1"/>
  <c r="G19" i="3"/>
  <c r="J36" i="23"/>
  <c r="J38" i="23"/>
  <c r="I10" i="3"/>
  <c r="J10" i="3" s="1"/>
  <c r="K10" i="3" s="1"/>
  <c r="G10" i="3"/>
  <c r="I11" i="3"/>
  <c r="J11" i="3" s="1"/>
  <c r="K11" i="3" s="1"/>
  <c r="G11" i="3"/>
  <c r="J14" i="3"/>
  <c r="K14" i="3" s="1"/>
  <c r="I860" i="10"/>
  <c r="J860" i="10" s="1"/>
  <c r="J861" i="10" s="1"/>
  <c r="J869" i="10" s="1"/>
  <c r="J870" i="10" s="1"/>
  <c r="J27" i="23" s="1"/>
  <c r="F9" i="3"/>
  <c r="I728" i="10"/>
  <c r="J728" i="10" s="1"/>
  <c r="J730" i="10" s="1"/>
  <c r="F32" i="3"/>
  <c r="F17" i="3"/>
  <c r="F34" i="3"/>
  <c r="F30" i="3"/>
  <c r="F24" i="3"/>
  <c r="F21" i="3"/>
  <c r="F25" i="3"/>
  <c r="F18" i="3"/>
  <c r="F15" i="3"/>
  <c r="F7" i="3"/>
  <c r="J498" i="10"/>
  <c r="J14" i="23" s="1"/>
  <c r="F31" i="3"/>
  <c r="F29" i="3"/>
  <c r="K38" i="23" l="1"/>
  <c r="K37" i="23"/>
  <c r="K27" i="23"/>
  <c r="K36" i="23"/>
  <c r="K14" i="23"/>
  <c r="J742" i="10"/>
  <c r="J743" i="10" s="1"/>
  <c r="J23" i="23" s="1"/>
  <c r="G21" i="3"/>
  <c r="I21" i="3"/>
  <c r="J21" i="3" s="1"/>
  <c r="K21" i="3" s="1"/>
  <c r="K42" i="23"/>
  <c r="G17" i="3"/>
  <c r="I17" i="3"/>
  <c r="J17" i="3" s="1"/>
  <c r="K17" i="3" s="1"/>
  <c r="G32" i="3"/>
  <c r="I32" i="3"/>
  <c r="J32" i="3" s="1"/>
  <c r="K32" i="3" s="1"/>
  <c r="G7" i="3"/>
  <c r="I7" i="3"/>
  <c r="J7" i="3" s="1"/>
  <c r="K7" i="3" s="1"/>
  <c r="G24" i="3"/>
  <c r="I24" i="3"/>
  <c r="J24" i="3" s="1"/>
  <c r="K24" i="3" s="1"/>
  <c r="G30" i="3"/>
  <c r="I30" i="3"/>
  <c r="J30" i="3" s="1"/>
  <c r="K30" i="3" s="1"/>
  <c r="G34" i="3"/>
  <c r="I34" i="3"/>
  <c r="J34" i="3" s="1"/>
  <c r="K34" i="3" s="1"/>
  <c r="G29" i="3"/>
  <c r="I29" i="3"/>
  <c r="J29" i="3" s="1"/>
  <c r="K29" i="3" s="1"/>
  <c r="G31" i="3"/>
  <c r="I31" i="3"/>
  <c r="J31" i="3" s="1"/>
  <c r="K31" i="3" s="1"/>
  <c r="I9" i="3"/>
  <c r="J9" i="3" s="1"/>
  <c r="K9" i="3" s="1"/>
  <c r="G9" i="3"/>
  <c r="J15" i="3"/>
  <c r="K15" i="3" s="1"/>
  <c r="G15" i="3"/>
  <c r="I15" i="3"/>
  <c r="I18" i="3"/>
  <c r="J18" i="3" s="1"/>
  <c r="K18" i="3" s="1"/>
  <c r="G18" i="3"/>
  <c r="G25" i="3"/>
  <c r="I25" i="3"/>
  <c r="J25" i="3" s="1"/>
  <c r="K25" i="3" s="1"/>
  <c r="F20" i="3"/>
  <c r="K23" i="23" l="1"/>
  <c r="K29" i="23" s="1"/>
  <c r="F16" i="3"/>
  <c r="G16" i="3" s="1"/>
  <c r="I20" i="3"/>
  <c r="J20" i="3" s="1"/>
  <c r="K20" i="3" s="1"/>
  <c r="G20" i="3"/>
  <c r="B30" i="2"/>
  <c r="B31" i="2"/>
  <c r="B27" i="2"/>
  <c r="B28" i="2"/>
  <c r="B29" i="2"/>
  <c r="C15" i="2"/>
  <c r="C14" i="2"/>
  <c r="C13" i="2"/>
  <c r="C12" i="2"/>
  <c r="I16" i="3" l="1"/>
  <c r="J16" i="3" s="1"/>
  <c r="K16" i="3" s="1"/>
  <c r="G26" i="19"/>
  <c r="F14" i="19"/>
  <c r="G14" i="19" s="1"/>
  <c r="G8" i="19"/>
  <c r="A2" i="19"/>
  <c r="I503" i="10" l="1"/>
  <c r="J503" i="10"/>
  <c r="H506" i="10"/>
  <c r="J506" i="10" s="1"/>
  <c r="J507" i="10"/>
  <c r="J508" i="10"/>
  <c r="J512" i="10"/>
  <c r="J514" i="10" s="1"/>
  <c r="I517" i="10" s="1"/>
  <c r="J517" i="10" s="1"/>
  <c r="J519" i="10" s="1"/>
  <c r="J529" i="10"/>
  <c r="J509" i="10" l="1"/>
  <c r="J530" i="10" s="1"/>
  <c r="J531" i="10" s="1"/>
  <c r="J532" i="10" s="1"/>
  <c r="J15" i="23" s="1"/>
  <c r="K15" i="23" l="1"/>
  <c r="K19" i="23" s="1"/>
  <c r="K50" i="23" s="1"/>
  <c r="F8" i="3"/>
  <c r="F20" i="19"/>
  <c r="G20" i="19" s="1"/>
  <c r="I8" i="3" l="1"/>
  <c r="J8" i="3" s="1"/>
  <c r="K8" i="3" s="1"/>
  <c r="G8" i="3"/>
  <c r="H12" i="3" s="1"/>
  <c r="I12" i="3" s="1"/>
  <c r="J12" i="3" l="1"/>
  <c r="K12" i="3" s="1"/>
  <c r="I4" i="10"/>
  <c r="D3" i="9"/>
  <c r="D4" i="9"/>
  <c r="D6" i="9"/>
  <c r="E11" i="9"/>
  <c r="E12" i="9"/>
  <c r="D13" i="9"/>
  <c r="D27" i="9" s="1"/>
  <c r="D16" i="9"/>
  <c r="D17" i="9"/>
  <c r="D18" i="9"/>
  <c r="D21" i="9"/>
  <c r="D22" i="9"/>
  <c r="D23" i="9"/>
  <c r="D24" i="9"/>
  <c r="D30" i="9"/>
  <c r="D33" i="9"/>
  <c r="D32" i="9" s="1"/>
  <c r="E32" i="9" s="1"/>
  <c r="E32" i="3" l="1"/>
  <c r="D15" i="9"/>
  <c r="E15" i="9" s="1"/>
  <c r="F15" i="19"/>
  <c r="G15" i="19" s="1"/>
  <c r="F13" i="19"/>
  <c r="G13" i="19" s="1"/>
  <c r="F12" i="19"/>
  <c r="G12" i="19" s="1"/>
  <c r="F25" i="19"/>
  <c r="G25" i="19" s="1"/>
  <c r="G9" i="19"/>
  <c r="G19" i="19"/>
  <c r="H22" i="19" s="1"/>
  <c r="E13" i="9"/>
  <c r="D20" i="9"/>
  <c r="E20" i="9" s="1"/>
  <c r="E38" i="9"/>
  <c r="D28" i="9"/>
  <c r="D29" i="9" s="1"/>
  <c r="H17" i="19" l="1"/>
  <c r="F45" i="3"/>
  <c r="G45" i="3" s="1"/>
  <c r="G23" i="19"/>
  <c r="G29" i="19"/>
  <c r="H30" i="19" s="1"/>
  <c r="G24" i="19"/>
  <c r="D26" i="9"/>
  <c r="F44" i="3" l="1"/>
  <c r="G44" i="3" s="1"/>
  <c r="F47" i="3"/>
  <c r="H27" i="19"/>
  <c r="E26" i="9"/>
  <c r="E35" i="9" s="1"/>
  <c r="E36" i="9" s="1"/>
  <c r="G47" i="3" l="1"/>
  <c r="D31" i="2" s="1"/>
  <c r="F46" i="3"/>
  <c r="G46" i="3" s="1"/>
  <c r="E37" i="9"/>
  <c r="E39" i="9"/>
  <c r="E40" i="9" s="1"/>
  <c r="D28" i="2" l="1"/>
  <c r="B40" i="7" l="1"/>
  <c r="B49" i="7" s="1"/>
  <c r="B50" i="7" s="1"/>
  <c r="B51" i="7" s="1"/>
  <c r="B52" i="7" s="1"/>
  <c r="B53" i="7" s="1"/>
  <c r="I35" i="7"/>
  <c r="I34" i="7"/>
  <c r="I33" i="7"/>
  <c r="A2" i="3"/>
  <c r="D5" i="9"/>
  <c r="I20" i="7" l="1"/>
  <c r="B41" i="7"/>
  <c r="B42" i="7" s="1"/>
  <c r="B43" i="7" s="1"/>
  <c r="B44" i="7" s="1"/>
  <c r="B45" i="7" s="1"/>
  <c r="B46" i="7" s="1"/>
  <c r="B47" i="7" s="1"/>
  <c r="H35" i="3" l="1"/>
  <c r="I16" i="7"/>
  <c r="I12" i="7"/>
  <c r="I18" i="7"/>
  <c r="I17" i="7"/>
  <c r="I13" i="7"/>
  <c r="I11" i="7"/>
  <c r="I15" i="7"/>
  <c r="I19" i="7"/>
  <c r="I14" i="7"/>
  <c r="I35" i="3" l="1"/>
  <c r="J35" i="3" s="1"/>
  <c r="K35" i="3" s="1"/>
  <c r="D15" i="2"/>
  <c r="D12" i="2"/>
  <c r="H22" i="3" l="1"/>
  <c r="I22" i="3" s="1"/>
  <c r="H27" i="3"/>
  <c r="I27" i="3" l="1"/>
  <c r="J27" i="3" s="1"/>
  <c r="K27" i="3" s="1"/>
  <c r="J22" i="3"/>
  <c r="K22" i="3" s="1"/>
  <c r="H36" i="3"/>
  <c r="D13" i="2"/>
  <c r="D14" i="2"/>
  <c r="H37" i="3" l="1"/>
  <c r="H38" i="3"/>
  <c r="H39" i="3"/>
  <c r="D17" i="2"/>
  <c r="D30" i="2"/>
  <c r="D29" i="2"/>
  <c r="D21" i="2" l="1"/>
  <c r="D20" i="2"/>
  <c r="E15" i="2"/>
  <c r="E14" i="2"/>
  <c r="E13" i="2"/>
  <c r="E12" i="2"/>
  <c r="I10" i="7" l="1"/>
  <c r="I36" i="7" s="1"/>
  <c r="G7" i="19" l="1"/>
  <c r="H10" i="19" s="1"/>
  <c r="F43" i="3" l="1"/>
  <c r="H32" i="19"/>
  <c r="G43" i="3" l="1"/>
  <c r="H48" i="3" s="1"/>
  <c r="I48" i="3" s="1"/>
  <c r="I50" i="3" s="1"/>
  <c r="D27" i="2"/>
  <c r="D33" i="2" s="1"/>
  <c r="G6" i="22" l="1"/>
  <c r="D6" i="7" l="1"/>
  <c r="E31" i="7" l="1"/>
  <c r="E29" i="7"/>
  <c r="E27" i="7"/>
  <c r="E24" i="7"/>
  <c r="E26" i="7"/>
  <c r="E28" i="7"/>
  <c r="E23" i="7"/>
  <c r="E22" i="7"/>
  <c r="E25" i="7"/>
  <c r="E13" i="7"/>
  <c r="E14" i="7"/>
  <c r="E15" i="7"/>
  <c r="E16" i="7"/>
  <c r="E19" i="7"/>
  <c r="E11" i="7"/>
  <c r="E17" i="7"/>
  <c r="E18" i="7"/>
  <c r="E12" i="7"/>
  <c r="E33" i="7"/>
  <c r="C19" i="2"/>
  <c r="D19" i="2" s="1"/>
  <c r="D23" i="2" s="1"/>
  <c r="D25" i="2" s="1"/>
  <c r="D35" i="2" s="1"/>
  <c r="F35" i="2" s="1"/>
  <c r="G35" i="2" s="1"/>
  <c r="J37" i="3"/>
  <c r="K37" i="3" s="1"/>
  <c r="N52" i="7"/>
  <c r="R52" i="7" s="1"/>
  <c r="S52" i="7" s="1"/>
  <c r="N50" i="7"/>
  <c r="R50" i="7" s="1"/>
  <c r="S50" i="7" s="1"/>
  <c r="G50" i="7" s="1"/>
  <c r="E34" i="7"/>
  <c r="N53" i="7"/>
  <c r="R53" i="7" s="1"/>
  <c r="S53" i="7" s="1"/>
  <c r="N51" i="7"/>
  <c r="R51" i="7" s="1"/>
  <c r="S51" i="7" s="1"/>
  <c r="G51" i="7" s="1"/>
  <c r="N49" i="7"/>
  <c r="R49" i="7" s="1"/>
  <c r="S49" i="7" s="1"/>
  <c r="G49" i="7" s="1"/>
  <c r="E35" i="7"/>
  <c r="H40" i="3"/>
  <c r="D39" i="2" l="1"/>
  <c r="G39" i="7"/>
  <c r="E20" i="7"/>
  <c r="E10" i="7"/>
  <c r="D7" i="7"/>
  <c r="H50" i="3"/>
  <c r="J50" i="3" s="1"/>
  <c r="I47" i="7" l="1"/>
  <c r="I45" i="7"/>
  <c r="I44" i="7"/>
  <c r="I42" i="7"/>
  <c r="I46" i="7"/>
  <c r="I43" i="7"/>
  <c r="I41" i="7"/>
  <c r="I53" i="7"/>
  <c r="I40" i="7"/>
  <c r="I52" i="7"/>
  <c r="I50" i="7"/>
  <c r="I51" i="7"/>
  <c r="I49" i="7"/>
  <c r="I39" i="7" l="1"/>
  <c r="I54" i="7" s="1"/>
  <c r="I55" i="7"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<sst xmlns="http://schemas.openxmlformats.org/spreadsheetml/2006/main" count="5433" uniqueCount="1017">
  <si>
    <t>01</t>
  </si>
  <si>
    <t>02</t>
  </si>
  <si>
    <t>03</t>
  </si>
  <si>
    <t>04</t>
  </si>
  <si>
    <t>COSTO DIRECTO</t>
  </si>
  <si>
    <t>Administración</t>
  </si>
  <si>
    <t>Imprevisto</t>
  </si>
  <si>
    <t>Utilidad</t>
  </si>
  <si>
    <t>COSTO INDIRECTO</t>
  </si>
  <si>
    <t>PROYECTO:</t>
  </si>
  <si>
    <t>DEPARTAMENTO:</t>
  </si>
  <si>
    <t>MUNICIPIO:</t>
  </si>
  <si>
    <t>FECHA:</t>
  </si>
  <si>
    <t>ELABORÓ:</t>
  </si>
  <si>
    <t>CUADRO RESUMEN</t>
  </si>
  <si>
    <t>ÍTEM</t>
  </si>
  <si>
    <t>COD APU</t>
  </si>
  <si>
    <t>ACTIVIDAD</t>
  </si>
  <si>
    <t>UN</t>
  </si>
  <si>
    <t>CANTIDAD</t>
  </si>
  <si>
    <t>PRECIO UNITARIO</t>
  </si>
  <si>
    <t>VALOR TOTAL</t>
  </si>
  <si>
    <t xml:space="preserve"> </t>
  </si>
  <si>
    <t>1.1</t>
  </si>
  <si>
    <t>m³</t>
  </si>
  <si>
    <t>m²</t>
  </si>
  <si>
    <t>MES</t>
  </si>
  <si>
    <t>TOTAL COSTO DIRECTO</t>
  </si>
  <si>
    <t>ADMINISTRACIÓN</t>
  </si>
  <si>
    <t>IMPREVISTOS</t>
  </si>
  <si>
    <t>UTILIDAD</t>
  </si>
  <si>
    <t>Un</t>
  </si>
  <si>
    <t>COSTOS DIRECTOS:</t>
  </si>
  <si>
    <t>DURACION:</t>
  </si>
  <si>
    <t>Meses</t>
  </si>
  <si>
    <t>ITEM</t>
  </si>
  <si>
    <t>DESCRIPCION</t>
  </si>
  <si>
    <t>VALOR UNITARIO</t>
  </si>
  <si>
    <t>PERSONAL ADMINISTRATIVO</t>
  </si>
  <si>
    <t>SALARIO</t>
  </si>
  <si>
    <t>SAL + PREST</t>
  </si>
  <si>
    <t>DEDICACION</t>
  </si>
  <si>
    <t>Director de Obra</t>
  </si>
  <si>
    <t>Residente de obra</t>
  </si>
  <si>
    <t>Especialista  Ambiental</t>
  </si>
  <si>
    <t>Almacenista</t>
  </si>
  <si>
    <t>Profesional SST</t>
  </si>
  <si>
    <t>DOTACION OFICINA ADMINISTRATIVA POR BLOQUE</t>
  </si>
  <si>
    <t>UNIDAD</t>
  </si>
  <si>
    <t>DURACION</t>
  </si>
  <si>
    <t>MENSUALES</t>
  </si>
  <si>
    <t>Papelería (Impresiones, planos, herramientas)</t>
  </si>
  <si>
    <t>Mensajería</t>
  </si>
  <si>
    <t>Campamento de obra</t>
  </si>
  <si>
    <t>Almacen de obra</t>
  </si>
  <si>
    <t>Servicio de vigilancia</t>
  </si>
  <si>
    <t>Internet</t>
  </si>
  <si>
    <t>Plan de telefonía</t>
  </si>
  <si>
    <t>Programas de Salud Ocupacional</t>
  </si>
  <si>
    <t>GASTOS DURANTE LA EJECUCIÓN DE LA OBRA</t>
  </si>
  <si>
    <t>Informe final de obra civil</t>
  </si>
  <si>
    <t>Planos Record</t>
  </si>
  <si>
    <t>Ensayos de laboratorio</t>
  </si>
  <si>
    <t>TOTAL ANTES DE IMPUESTOS</t>
  </si>
  <si>
    <t>INCIDENCIA</t>
  </si>
  <si>
    <t>GASTOS DE LEGALIZACIÓN</t>
  </si>
  <si>
    <t>ESTAMPILLA PRO CULTURA</t>
  </si>
  <si>
    <t>RETEFUENTE</t>
  </si>
  <si>
    <t>POLIZAS</t>
  </si>
  <si>
    <t>% ASEGURADO</t>
  </si>
  <si>
    <t>VALOR BASE</t>
  </si>
  <si>
    <t>VIGENCIA AMPARO (MESES)</t>
  </si>
  <si>
    <t>TOTAL DÍAS</t>
  </si>
  <si>
    <t>TASA</t>
  </si>
  <si>
    <t>Cumplimiento</t>
  </si>
  <si>
    <t>Amparo de Salarios y Prestaciones Sociales</t>
  </si>
  <si>
    <t>Amparo de Anticipo</t>
  </si>
  <si>
    <t>Responsabilidad Civil Contractual</t>
  </si>
  <si>
    <t>Todo Riesgo Constructor</t>
  </si>
  <si>
    <t>COSTO TOTAL ADMINISTRACION</t>
  </si>
  <si>
    <t>% DE ADMINISTRACION</t>
  </si>
  <si>
    <t>% IMPREVISTOS</t>
  </si>
  <si>
    <t>% UTILIDAD</t>
  </si>
  <si>
    <t>FACTOR PRESTACIONAL</t>
  </si>
  <si>
    <t>COSTO GLOBAL DEL SALARIO MÍNIMO</t>
  </si>
  <si>
    <t>(SMMLV)</t>
  </si>
  <si>
    <t>SALARIO MINIMO</t>
  </si>
  <si>
    <t>INFORMACIÓN BÁSICA</t>
  </si>
  <si>
    <t>VR MENSUAL</t>
  </si>
  <si>
    <t>VR. ANUAL</t>
  </si>
  <si>
    <t>Auxilio Transporte</t>
  </si>
  <si>
    <t>Smín + Aux Transporte</t>
  </si>
  <si>
    <t>APORTES</t>
  </si>
  <si>
    <t>Salud (8.5%)</t>
  </si>
  <si>
    <t>Pensión (12%)</t>
  </si>
  <si>
    <t>ARL (6.96%)</t>
  </si>
  <si>
    <t>PARAFISCALES</t>
  </si>
  <si>
    <t>CAJA DE COMPENSACION FAMILIAR (4%)</t>
  </si>
  <si>
    <t>I.C.B.F  (3%)</t>
  </si>
  <si>
    <t>SENA (2%)</t>
  </si>
  <si>
    <t>FIC (1smlv/40 Trabajadores)</t>
  </si>
  <si>
    <t>PRESTACIONES EMPRESA</t>
  </si>
  <si>
    <t>Prima de Servicios (8.33%)</t>
  </si>
  <si>
    <t>Cesantias (8.33%)</t>
  </si>
  <si>
    <t>Intereses sobre Cesantia (12% Anual)</t>
  </si>
  <si>
    <t>Vacaciones (4.17%)</t>
  </si>
  <si>
    <t>DOTACIONES</t>
  </si>
  <si>
    <t>Overol - Casco - Gafas - Botas - Guantes (5% del SMLV)</t>
  </si>
  <si>
    <t>TOTAL</t>
  </si>
  <si>
    <t>JORNAL REAL=PAGADO AL AÑO/LABORADOS</t>
  </si>
  <si>
    <t>HORA REAL=PAGADO AL AÑO/LABORADOS</t>
  </si>
  <si>
    <t>JORNAL</t>
  </si>
  <si>
    <t>Factor Prestacional</t>
  </si>
  <si>
    <t>DIAS  CALENDARIO</t>
  </si>
  <si>
    <t>DIAS NO LABORADOS</t>
  </si>
  <si>
    <t>DOMINICALES</t>
  </si>
  <si>
    <t>FESTIVOS</t>
  </si>
  <si>
    <t>VACACIONES</t>
  </si>
  <si>
    <t>DIAS LABORADOS</t>
  </si>
  <si>
    <t>Elaboración de Planes Operativos Seguros</t>
  </si>
  <si>
    <t>Plan de Prevención, Preparación y Atención de Emergencias</t>
  </si>
  <si>
    <t>Plan de Manejo Social</t>
  </si>
  <si>
    <t>Permiso para uso y manejo de explosivos (incluye la solicitud, permisos, compra, transporte escolta militar hasta obra y custodia)</t>
  </si>
  <si>
    <t>Implementación del SG-SST ( según las actividades establecidas por la legislación colombiana)</t>
  </si>
  <si>
    <t>Divulgación de procedimiento de demolición y Evacuación (incluye las reuniones necesarias con la comunidad y los diferentes organismos de control)</t>
  </si>
  <si>
    <t>Implementación del plan de manejo de trafico (incluye la instalación de todos los elementos viales indicados en el documento del PMT)</t>
  </si>
  <si>
    <t>Instalación de señalización interna de obra.</t>
  </si>
  <si>
    <t>Demolición manual de elementos no estructurales que interfieran con las actividades de perforación (incluye demolición manual y trasiego a zonas que no generen interferencia con la implosión)</t>
  </si>
  <si>
    <t>Limpieza de la edificación y retiro de basura.</t>
  </si>
  <si>
    <t>Ingeniero Experto en Demolición</t>
  </si>
  <si>
    <t>DERRIBO CONTROLADO IMPLOSIÓN</t>
  </si>
  <si>
    <t>Manejo Etológico  (Incluye la identificación, rescate antes del evento de implosión, almacenamiento temporal y reincorporación en el área de rescate  después del evento de implosión)</t>
  </si>
  <si>
    <t>Servicio Ornitológico (Incluye la identificación y el ahuyentamiento en los momentos previos a la actividad de implosión)</t>
  </si>
  <si>
    <t>Atención PQRS (incluye punto de atención y línea de comunicación)</t>
  </si>
  <si>
    <t>Volantes de información a la comunidad</t>
  </si>
  <si>
    <t>Instalación de protecciones de confinamiento de fragmentos de elementos estructurales esto incluye el suministro de mallas y geotextiles indicados en el diseño de implosión)</t>
  </si>
  <si>
    <t>Instalación de cordón detonante desde ramales de la edificación hasta el Explosor ubicado en el punto de mando unificado incluye (el cheque de continuidad de todos los detonadores y alistamiento de evento de implosión)</t>
  </si>
  <si>
    <t xml:space="preserve">Instalación de guayas para sostenimiento estructural las cuales quedan bajo el criterio del especialista de demolición </t>
  </si>
  <si>
    <t>Seguimiento de vibraciones mediante sismógrafos (Incluye la instalación, el seguimiento y el informe de onda sísmica originada por el derribo controlado del edificio)</t>
  </si>
  <si>
    <t>Inspección y aseguramiento de zona implosionada (Incluye, la verificación de la estructura con los diferentes especialistas</t>
  </si>
  <si>
    <t>Plan de manejo de Tráfico  (Incluye la elaboración del informe, el tramite y la autorización para el manejo de trafico, este debe ser asignado para la obra durante la ejecución de actividades y para el día del evento de implosión el cual deberá contemplar el cierre de vías que se encuentran dentro del perímetro sugerido por la gerencia de obra).</t>
  </si>
  <si>
    <t>Análisis y evaluación de riesgo por la ejecución de la demolición (Análisis, impactos y gestión de riesgos)</t>
  </si>
  <si>
    <t>HUILA</t>
  </si>
  <si>
    <t>NEIVA</t>
  </si>
  <si>
    <t>Transporte de RCD a zonas destinadas para disposición final de escombros</t>
  </si>
  <si>
    <t>Acomodación de escombro en lleno de camerinos para nivelación de pista atlética en costado occidental</t>
  </si>
  <si>
    <t>1</t>
  </si>
  <si>
    <t>1.2</t>
  </si>
  <si>
    <t>2</t>
  </si>
  <si>
    <t>2.1</t>
  </si>
  <si>
    <t>2.2</t>
  </si>
  <si>
    <t>DESCRIPCIÓN</t>
  </si>
  <si>
    <t>II. MATERIALES</t>
  </si>
  <si>
    <t>SUBTOTAL</t>
  </si>
  <si>
    <t>IV. MANO DE OBRA</t>
  </si>
  <si>
    <t>TRABAJADOR</t>
  </si>
  <si>
    <t>JORNAL TOTAL</t>
  </si>
  <si>
    <t>RENDIMIENTO</t>
  </si>
  <si>
    <t>V. HERRAMIENTA</t>
  </si>
  <si>
    <t>VI. OTROS</t>
  </si>
  <si>
    <t xml:space="preserve">Total Costo Directo </t>
  </si>
  <si>
    <t>CAPITULO</t>
  </si>
  <si>
    <t xml:space="preserve">Fecha:  </t>
  </si>
  <si>
    <t xml:space="preserve">Versión:  </t>
  </si>
  <si>
    <t>ANÁLISIS DE PRECIOS UNITARIOS</t>
  </si>
  <si>
    <t xml:space="preserve">ALCALDIA DE NEIVA </t>
  </si>
  <si>
    <t>DEMOLICIÓN DE TRIBUNA OCCIDENTAL ESTADIO GUILLERMO PLAZAS ALCID</t>
  </si>
  <si>
    <t>SUBCAPITULO</t>
  </si>
  <si>
    <t>Elaboración de documento y gestión documental</t>
  </si>
  <si>
    <t>Elaboración de documento PMT, Radiciación, expensas y permiso.</t>
  </si>
  <si>
    <t>Estudio de gestión del riesgo, analisis en campo, elaboración de documento e informe resumen</t>
  </si>
  <si>
    <t>Pago de expensas por permiso ante el DCCAE</t>
  </si>
  <si>
    <t>Pago de explosivos y detonadores ante INDUMIL</t>
  </si>
  <si>
    <t>Pago de escolta militar</t>
  </si>
  <si>
    <t>Elaboración de documentos, identificación de especies, rescate, y ahuyentamiento</t>
  </si>
  <si>
    <t>Elaboración de documentos,  identificación y el ahuyentamiento en los momentos previos a la actividad de implosión</t>
  </si>
  <si>
    <t>Elaboración e implementación de plan SST general de obra en linea del informe de gestión del riesgo</t>
  </si>
  <si>
    <t xml:space="preserve">Simulacros </t>
  </si>
  <si>
    <t>Implementación de los planes de operativos seguros de todas las actividades</t>
  </si>
  <si>
    <t>Implementación del Medevac para atención de emergencias</t>
  </si>
  <si>
    <t>Implementación del plan de emergencias</t>
  </si>
  <si>
    <t>Implementación de plan de rescate</t>
  </si>
  <si>
    <t>Elaboración de los planes de operativos seguros de todas las actividades</t>
  </si>
  <si>
    <t>Elaboración del plan de emergencias</t>
  </si>
  <si>
    <t>Visita y recolección de información</t>
  </si>
  <si>
    <t>Elaboración del documentos</t>
  </si>
  <si>
    <t>Reuniones con la comunidad</t>
  </si>
  <si>
    <t>VALOR</t>
  </si>
  <si>
    <t>DIAS</t>
  </si>
  <si>
    <t>Convocatoria y volanteo</t>
  </si>
  <si>
    <t>Pago espacio para la reunión</t>
  </si>
  <si>
    <t>Elaboración y presentación del proceso</t>
  </si>
  <si>
    <t>Alquiler de equipos de computo</t>
  </si>
  <si>
    <t>Dotación de oficina</t>
  </si>
  <si>
    <t>valla y afiches de identificación</t>
  </si>
  <si>
    <t>logística</t>
  </si>
  <si>
    <t>Elaboración e implementación de plan SST general de obra en línea del informe de gestión del riesgo</t>
  </si>
  <si>
    <t>Línea celular habilitada para la atención al ciudadano</t>
  </si>
  <si>
    <t>Pago de servicios públicos</t>
  </si>
  <si>
    <t>SUMINISTRO E INTALACIÓN DE SEÑALIZACIONES</t>
  </si>
  <si>
    <t>BARRERA VIAL (MALETINES)</t>
  </si>
  <si>
    <t>CONTROLADORES VIALES (ETAPA 1)</t>
  </si>
  <si>
    <t>PARE Y SIGA (ETAPA 2)</t>
  </si>
  <si>
    <t>Herramienta menor 5% MO</t>
  </si>
  <si>
    <t>Transporte Elementos</t>
  </si>
  <si>
    <t xml:space="preserve">un </t>
  </si>
  <si>
    <t>Limpieza de lote perimetral a tribuna occidental e instalación de polisombras de división de tribuna occidental del resto del estadio</t>
  </si>
  <si>
    <t>Palo rolliso de 3 metrosde altura</t>
  </si>
  <si>
    <t xml:space="preserve">Polisombra </t>
  </si>
  <si>
    <t>ROLLOS</t>
  </si>
  <si>
    <t>Puntillas y accesorios para intalación</t>
  </si>
  <si>
    <t>Ayudantes de obra</t>
  </si>
  <si>
    <t>Herramienta menor</t>
  </si>
  <si>
    <t>Derivación de linea de 1"  de line pricnipal a dos puntos centrales cercanos a tribuna occidental</t>
  </si>
  <si>
    <t>Instalación de líneas de agua de 1" y líneas eléctricas de 110v</t>
  </si>
  <si>
    <t>Señalización interna de obra (desde el punto de vista sst)</t>
  </si>
  <si>
    <t>cinta doble fas</t>
  </si>
  <si>
    <t>Movilización de señalización</t>
  </si>
  <si>
    <t>VIAJE</t>
  </si>
  <si>
    <t>Soportes</t>
  </si>
  <si>
    <t>Transporte de basuras y pago por derecho de disposición</t>
  </si>
  <si>
    <t>M3</t>
  </si>
  <si>
    <t>Bolsas de basura</t>
  </si>
  <si>
    <t>DIAS-HOMBRE</t>
  </si>
  <si>
    <t>DISEÑO E IMPRESIÓN DE VOLANTE</t>
  </si>
  <si>
    <t>DISTRIBUCIÓN DE VOLANTES</t>
  </si>
  <si>
    <t>Diseño de proceso de implosión optimo bajo las consideraciones del informe de demolición</t>
  </si>
  <si>
    <t>CUADRILLA (1Art+8Perf)</t>
  </si>
  <si>
    <t>AYUDANTE (6)</t>
  </si>
  <si>
    <t>dia</t>
  </si>
  <si>
    <t>Broca corta 0,55m x 1 1/4"</t>
  </si>
  <si>
    <t>unidad</t>
  </si>
  <si>
    <t>Broca larga 0,8m x 1 1/4"</t>
  </si>
  <si>
    <t>Sopladora</t>
  </si>
  <si>
    <t>Ferroscan</t>
  </si>
  <si>
    <t>Día</t>
  </si>
  <si>
    <t>Herramienta menor (5% MO)</t>
  </si>
  <si>
    <t>(%)mo</t>
  </si>
  <si>
    <t>Ml</t>
  </si>
  <si>
    <t>CEMENTO</t>
  </si>
  <si>
    <t>kg</t>
  </si>
  <si>
    <t>ARENA</t>
  </si>
  <si>
    <t>m3</t>
  </si>
  <si>
    <t>CUADRILLA (1Art+6Perf)</t>
  </si>
  <si>
    <t>INSTALACIÓN DE CORDON DETONANTE 3GRAMOS</t>
  </si>
  <si>
    <t>INDUGEL PLUS 26mmx250</t>
  </si>
  <si>
    <t>PROGRAMADOR</t>
  </si>
  <si>
    <t>Instalación de detonadores indicados en el diseño de implosión (Incluye la programación de los tiempos según lo indicado en el diseño de implosión)</t>
  </si>
  <si>
    <t>Instalación de explosivo y cordon detonante según lo indicado en el diseño de implosión en cuanto a tipo, cantidades y profundidad (Incluye el cierre de los huecos con mortero de pega)</t>
  </si>
  <si>
    <t>DETONADORES ELECTRONICOS</t>
  </si>
  <si>
    <t>MALLA ESLABONADA</t>
  </si>
  <si>
    <t>GEOTEXTIL PAVCO 4000</t>
  </si>
  <si>
    <t>ALAMBRE DE AMARRE</t>
  </si>
  <si>
    <t>CHEQUEO DE CONTINUIDAD EN DETONADORES Y EXPLOSIVOS</t>
  </si>
  <si>
    <t>ROTOMARTILLO</t>
  </si>
  <si>
    <t>ALMADANA</t>
  </si>
  <si>
    <t>AYUDANTES 4</t>
  </si>
  <si>
    <t>CARRETILLAS</t>
  </si>
  <si>
    <t>GUAYA DE ACERO DE 1"</t>
  </si>
  <si>
    <t>PERROS 1"</t>
  </si>
  <si>
    <t>ML</t>
  </si>
  <si>
    <t>TRANSPORTE DE EQUIPOS</t>
  </si>
  <si>
    <t>PROCESO DE IMPLOSIÓN</t>
  </si>
  <si>
    <t>M2</t>
  </si>
  <si>
    <t>REPORTE FILMICO DE LA IMPLOSIÓN</t>
  </si>
  <si>
    <t>SUMINISTRO E IRRIGACIÓN DE AGUA</t>
  </si>
  <si>
    <t xml:space="preserve">LIMPIEZA DE AREAS </t>
  </si>
  <si>
    <t>AYUDANTE (4)</t>
  </si>
  <si>
    <t>IMPLEMENTACIÓN DE SISMOGRAFOS EN LAS ZONAS MAS VULNERABLES</t>
  </si>
  <si>
    <t>PROCESAMIENTO DE DATOS, COMPARATIVO CON NORMA E INFORME DE RESULTADOS</t>
  </si>
  <si>
    <t>VIAJES</t>
  </si>
  <si>
    <t>EQUIPO PESADO PARA ESTABILIZACIÓN DE ESTRUCTURAS COLAPSADAS</t>
  </si>
  <si>
    <t>OXIGENO</t>
  </si>
  <si>
    <t>GAS</t>
  </si>
  <si>
    <t>EQUIPO DE OXICORTE</t>
  </si>
  <si>
    <t>CARROS PARA ARMADO Y TRANSPORTE DE OXICORTE</t>
  </si>
  <si>
    <t>EQUIPO DE DEMOLICIÓN</t>
  </si>
  <si>
    <t>HORAS</t>
  </si>
  <si>
    <t>EQUIPO DE EXCAVACION</t>
  </si>
  <si>
    <t>POLISOMBRA</t>
  </si>
  <si>
    <t>MADERA</t>
  </si>
  <si>
    <t>SEÑALIZACIÓN</t>
  </si>
  <si>
    <t>EQUIPO PARA TRASIEGO Y ACOPIO DE MATERIAL</t>
  </si>
  <si>
    <t>LIMPIEZA DE RCD</t>
  </si>
  <si>
    <t>TRANSPORTE DE ESCOMBRO A SITIO DE DISPOSICIÓN FINAL</t>
  </si>
  <si>
    <t>RECOLECCIÓN DE CERTIFICADOS E INFORMES DE GESTIÓN</t>
  </si>
  <si>
    <t>DISPOSICIÓN DE PVC Y OTROS</t>
  </si>
  <si>
    <t>TRANSPORTE INTERNO DE MATERIAL</t>
  </si>
  <si>
    <t>EQUIPO DE EXCAVACIÓN PARA EXTENDIDA Y ACOMODACIÓN</t>
  </si>
  <si>
    <t>Tecnico explosivista</t>
  </si>
  <si>
    <t>UND</t>
  </si>
  <si>
    <t xml:space="preserve">Costo Total </t>
  </si>
  <si>
    <t>1.3</t>
  </si>
  <si>
    <t>1.4</t>
  </si>
  <si>
    <t>1.5</t>
  </si>
  <si>
    <t>COSTO TOTAL DEMOLICION  (COSTOS DIRECTOS + COSTOS INDIRECTOS)</t>
  </si>
  <si>
    <t>subtotal</t>
  </si>
  <si>
    <t>2.3</t>
  </si>
  <si>
    <t>2.4</t>
  </si>
  <si>
    <t>2.5</t>
  </si>
  <si>
    <t>2.6</t>
  </si>
  <si>
    <t>2.7</t>
  </si>
  <si>
    <t>2.8</t>
  </si>
  <si>
    <t>3</t>
  </si>
  <si>
    <t>EJECUCIÓN DE IMPLOSIÓN CONTROLADA</t>
  </si>
  <si>
    <t>3.1</t>
  </si>
  <si>
    <t>3.2</t>
  </si>
  <si>
    <t>3.3</t>
  </si>
  <si>
    <t>4</t>
  </si>
  <si>
    <t>DEMOLICIÓN MECÁNICA POST-IMPLOSIÓN</t>
  </si>
  <si>
    <t>Plan de Manejo Ambiental</t>
  </si>
  <si>
    <t>Plan de Manejo social</t>
  </si>
  <si>
    <t>Plan de Manejo de Tráfico</t>
  </si>
  <si>
    <t>MANEJO SG-SST</t>
  </si>
  <si>
    <t xml:space="preserve">ACTIVIDADES PRELIMINARES </t>
  </si>
  <si>
    <t>Manejo SG-SST</t>
  </si>
  <si>
    <t>Plan de manejo de demolicion</t>
  </si>
  <si>
    <t>TOTAL DEMOLICION</t>
  </si>
  <si>
    <t>+FC[-1]*1.24</t>
  </si>
  <si>
    <t>COSTO TOTAL DEMOLICION</t>
  </si>
  <si>
    <t xml:space="preserve">Localizacion y replanteo </t>
  </si>
  <si>
    <t xml:space="preserve">SUBTOTAL COSTO PROYECTO </t>
  </si>
  <si>
    <t xml:space="preserve">COSTO TOTAL  PROYECTO </t>
  </si>
  <si>
    <t>Localización y replanteo</t>
  </si>
  <si>
    <t>m2</t>
  </si>
  <si>
    <t>LISTÓN 2" x 4"</t>
  </si>
  <si>
    <t>LISTÓN 1" x 2"</t>
  </si>
  <si>
    <t>PUNTILLA 1 1/2" a 3"</t>
  </si>
  <si>
    <t>DISOLVENTE</t>
  </si>
  <si>
    <t>PINTURA ESMALTE PINTULUX</t>
  </si>
  <si>
    <t>m</t>
  </si>
  <si>
    <t>Lb</t>
  </si>
  <si>
    <t>Gal</t>
  </si>
  <si>
    <t>COMISIÓN TOPOGRÁFICA</t>
  </si>
  <si>
    <t>BROCHA 2"</t>
  </si>
  <si>
    <t>EQUIPO DE TOPOGRAFÍA</t>
  </si>
  <si>
    <t>HERRAMIENTAS PARA ALBAÑIL</t>
  </si>
  <si>
    <t>hr</t>
  </si>
  <si>
    <t>4.1</t>
  </si>
  <si>
    <t>4.2</t>
  </si>
  <si>
    <t>4.4</t>
  </si>
  <si>
    <t>4.5</t>
  </si>
  <si>
    <t>4.6</t>
  </si>
  <si>
    <t>4.7</t>
  </si>
  <si>
    <t>4.1 - 4.4</t>
  </si>
  <si>
    <t>4.2 - 4.5</t>
  </si>
  <si>
    <t>4.3 -4.7</t>
  </si>
  <si>
    <t xml:space="preserve">SERVCICIOS ESPECIALIZADOS - PLANES DE MANEJO </t>
  </si>
  <si>
    <t>CAPITULO 1</t>
  </si>
  <si>
    <t>CAPITULO 2</t>
  </si>
  <si>
    <t>CAPITULO 3</t>
  </si>
  <si>
    <t>CAPITULO 4</t>
  </si>
  <si>
    <t>CANTIDADES DE DEMOLICIÓN TRIBUNA OCCIDENTAL ESTADIO GUILLERMO PLAZAS ALCID</t>
  </si>
  <si>
    <t>NIVEL</t>
  </si>
  <si>
    <t>AREA IMPLOSIÓN</t>
  </si>
  <si>
    <t>TRIBUNA</t>
  </si>
  <si>
    <t>UBICACIÓN</t>
  </si>
  <si>
    <t>AREA</t>
  </si>
  <si>
    <t>ALTERNATIVA 3</t>
  </si>
  <si>
    <t>ELEMENTO</t>
  </si>
  <si>
    <t>VOLUMEN ESTRUCTURA</t>
  </si>
  <si>
    <t>OCCIDENTAL</t>
  </si>
  <si>
    <t>PAÑOLETA NORTE</t>
  </si>
  <si>
    <t>VIGA</t>
  </si>
  <si>
    <t>ELIMINAR</t>
  </si>
  <si>
    <t>VG 515</t>
  </si>
  <si>
    <t>VG 506</t>
  </si>
  <si>
    <t>VG 511</t>
  </si>
  <si>
    <t>VG 507</t>
  </si>
  <si>
    <t>ESTRUCTURA CENTRAL</t>
  </si>
  <si>
    <t>COLUMNA</t>
  </si>
  <si>
    <t>CL 501</t>
  </si>
  <si>
    <t>CL 502</t>
  </si>
  <si>
    <t>ESCOMBRO</t>
  </si>
  <si>
    <t>CL 503</t>
  </si>
  <si>
    <t>CL 504</t>
  </si>
  <si>
    <t>M3 ESTRUCTURA</t>
  </si>
  <si>
    <t>CL 505</t>
  </si>
  <si>
    <t>CL 506</t>
  </si>
  <si>
    <t>CL 507</t>
  </si>
  <si>
    <t>CL 508</t>
  </si>
  <si>
    <t>VG 415</t>
  </si>
  <si>
    <t>Etiquetas de fila</t>
  </si>
  <si>
    <t>Suma de VOLUMEN ESTRUCTURA</t>
  </si>
  <si>
    <t>VG 406</t>
  </si>
  <si>
    <t>VG 412</t>
  </si>
  <si>
    <t>CIMENTACIÓN</t>
  </si>
  <si>
    <t>ESCALERA</t>
  </si>
  <si>
    <t>VG 408</t>
  </si>
  <si>
    <t>MURO</t>
  </si>
  <si>
    <t>PLACA</t>
  </si>
  <si>
    <t>VG 409</t>
  </si>
  <si>
    <t>RAMPA</t>
  </si>
  <si>
    <t>VG 410</t>
  </si>
  <si>
    <t>RIOSTRA</t>
  </si>
  <si>
    <t>VG 411</t>
  </si>
  <si>
    <t>VIGUETA</t>
  </si>
  <si>
    <t>VGT 29 2</t>
  </si>
  <si>
    <t>VG 413</t>
  </si>
  <si>
    <t>Total general</t>
  </si>
  <si>
    <t>CL 401</t>
  </si>
  <si>
    <t>CL 402</t>
  </si>
  <si>
    <t>CL 403</t>
  </si>
  <si>
    <t>CL 404</t>
  </si>
  <si>
    <t>CL 405</t>
  </si>
  <si>
    <t>Observaciones</t>
  </si>
  <si>
    <t>CL 406</t>
  </si>
  <si>
    <t>CL 407</t>
  </si>
  <si>
    <t>Estimación de cantidades de obra medido en elementos estructurales independientes haciendo uso del modelo 3D Anexo 3. modelo Revit con nombre MODELO ESTRUCTURAL CONSTRUIDO EGPA TRIBUNA OCCIDENTAL COMPLETOV2rvt”. La estimación de cantidades se hace tomando elementos por elemento traducido en el listado que a continuación se encuentra, anexamos a estas cantidades el modelo Revit indicado.</t>
  </si>
  <si>
    <t>CL 408</t>
  </si>
  <si>
    <t>PL3 1N</t>
  </si>
  <si>
    <t>VG 315</t>
  </si>
  <si>
    <t>VG 306</t>
  </si>
  <si>
    <t>VG 311-2</t>
  </si>
  <si>
    <t>VT 35</t>
  </si>
  <si>
    <t>VT 38</t>
  </si>
  <si>
    <t>VT 39</t>
  </si>
  <si>
    <t>VT 310</t>
  </si>
  <si>
    <t>VT 311</t>
  </si>
  <si>
    <t>VT 312</t>
  </si>
  <si>
    <t>VG 307</t>
  </si>
  <si>
    <t>VT 313</t>
  </si>
  <si>
    <t>VT 314</t>
  </si>
  <si>
    <t>VT 315</t>
  </si>
  <si>
    <t>VT 316</t>
  </si>
  <si>
    <t>VT 317</t>
  </si>
  <si>
    <t>VG 308</t>
  </si>
  <si>
    <t>VT 318</t>
  </si>
  <si>
    <t>VT 319</t>
  </si>
  <si>
    <t>VT 320</t>
  </si>
  <si>
    <t>VT 321</t>
  </si>
  <si>
    <t>VT 322</t>
  </si>
  <si>
    <t>VG 309</t>
  </si>
  <si>
    <t>VT 323</t>
  </si>
  <si>
    <t>VT 324</t>
  </si>
  <si>
    <t>VT 325</t>
  </si>
  <si>
    <t>VT 326</t>
  </si>
  <si>
    <t>VT 327</t>
  </si>
  <si>
    <t>VG 310</t>
  </si>
  <si>
    <t>VT 328</t>
  </si>
  <si>
    <t>VT 329 2</t>
  </si>
  <si>
    <t>R 34</t>
  </si>
  <si>
    <t>R 33</t>
  </si>
  <si>
    <t>VG 312</t>
  </si>
  <si>
    <t>CL 301</t>
  </si>
  <si>
    <t>CL 302</t>
  </si>
  <si>
    <t>CL 303</t>
  </si>
  <si>
    <t>CL 304</t>
  </si>
  <si>
    <t>CL 305</t>
  </si>
  <si>
    <t>CL 306</t>
  </si>
  <si>
    <t>CL 307</t>
  </si>
  <si>
    <t>CL 308</t>
  </si>
  <si>
    <t>MURO L 3 N</t>
  </si>
  <si>
    <t>MURO  F 3 N</t>
  </si>
  <si>
    <t>MURO LI 3 N</t>
  </si>
  <si>
    <t>MURO P 3 N</t>
  </si>
  <si>
    <t>PL2 1N</t>
  </si>
  <si>
    <t>VG 215</t>
  </si>
  <si>
    <t>VG 206</t>
  </si>
  <si>
    <t>VG 211</t>
  </si>
  <si>
    <t>VT 28</t>
  </si>
  <si>
    <t>VT 29</t>
  </si>
  <si>
    <t>VT 210</t>
  </si>
  <si>
    <t>VT 211</t>
  </si>
  <si>
    <t>VT 212</t>
  </si>
  <si>
    <t>VT 27</t>
  </si>
  <si>
    <t>VG 207</t>
  </si>
  <si>
    <t>VT 213</t>
  </si>
  <si>
    <t>VT 214</t>
  </si>
  <si>
    <t>VT 215</t>
  </si>
  <si>
    <t>VT 216</t>
  </si>
  <si>
    <t>VT 217</t>
  </si>
  <si>
    <t>VG 208</t>
  </si>
  <si>
    <t>VT 218</t>
  </si>
  <si>
    <t>VT 219</t>
  </si>
  <si>
    <t>VT 220</t>
  </si>
  <si>
    <t>VT 221</t>
  </si>
  <si>
    <t>VT 222</t>
  </si>
  <si>
    <t>VG 209</t>
  </si>
  <si>
    <t>VT 223</t>
  </si>
  <si>
    <t>VT 224</t>
  </si>
  <si>
    <t>VT 225</t>
  </si>
  <si>
    <t>VT 226</t>
  </si>
  <si>
    <t>VT 227</t>
  </si>
  <si>
    <t>VG 210</t>
  </si>
  <si>
    <t>VT 228</t>
  </si>
  <si>
    <t>VT 229</t>
  </si>
  <si>
    <t>R 24</t>
  </si>
  <si>
    <t>R 23</t>
  </si>
  <si>
    <t>VG 212</t>
  </si>
  <si>
    <t>CL 201</t>
  </si>
  <si>
    <t>CL 202</t>
  </si>
  <si>
    <t>CL 203</t>
  </si>
  <si>
    <t>CL 204</t>
  </si>
  <si>
    <t>CL 205</t>
  </si>
  <si>
    <t>CL 206</t>
  </si>
  <si>
    <t>CL 207</t>
  </si>
  <si>
    <t>CL 208</t>
  </si>
  <si>
    <t>MURO L 2 N</t>
  </si>
  <si>
    <t>MURO  F 2 N</t>
  </si>
  <si>
    <t>MURO LI 2 N</t>
  </si>
  <si>
    <t>MURO P 2 N</t>
  </si>
  <si>
    <t>PL1 1N</t>
  </si>
  <si>
    <t>VG 115</t>
  </si>
  <si>
    <t>VG 106</t>
  </si>
  <si>
    <t>VG 111</t>
  </si>
  <si>
    <t>VG 18</t>
  </si>
  <si>
    <t>VG 19</t>
  </si>
  <si>
    <t>VG 110</t>
  </si>
  <si>
    <t>VG 112</t>
  </si>
  <si>
    <t>VG 17</t>
  </si>
  <si>
    <t>VG 107</t>
  </si>
  <si>
    <t>VG 113</t>
  </si>
  <si>
    <t>VG 114</t>
  </si>
  <si>
    <t>VG 116</t>
  </si>
  <si>
    <t>VG 117</t>
  </si>
  <si>
    <t>VG 108</t>
  </si>
  <si>
    <t>VG 118</t>
  </si>
  <si>
    <t>VG 119</t>
  </si>
  <si>
    <t>VG 120</t>
  </si>
  <si>
    <t>VG 121</t>
  </si>
  <si>
    <t>VG 122</t>
  </si>
  <si>
    <t>VG 109</t>
  </si>
  <si>
    <t>VG 123</t>
  </si>
  <si>
    <t>VG 124</t>
  </si>
  <si>
    <t>VG 125</t>
  </si>
  <si>
    <t>VG 126</t>
  </si>
  <si>
    <t>VG 127</t>
  </si>
  <si>
    <t>VG 128</t>
  </si>
  <si>
    <t>VG 129</t>
  </si>
  <si>
    <t>R 14</t>
  </si>
  <si>
    <t>R 13</t>
  </si>
  <si>
    <t>CL 101</t>
  </si>
  <si>
    <t>CL 102</t>
  </si>
  <si>
    <t>CL 103</t>
  </si>
  <si>
    <t>CL 104</t>
  </si>
  <si>
    <t>CL 105</t>
  </si>
  <si>
    <t>CL 106</t>
  </si>
  <si>
    <t>CL 107</t>
  </si>
  <si>
    <t>CL 108</t>
  </si>
  <si>
    <t>MURO L 1 N</t>
  </si>
  <si>
    <t>MURO  F 1 N</t>
  </si>
  <si>
    <t>MURO LI 1 N</t>
  </si>
  <si>
    <t>MURO P 1 N</t>
  </si>
  <si>
    <t>PAÑOLETA SUR</t>
  </si>
  <si>
    <t>CL 601</t>
  </si>
  <si>
    <t>CL 602</t>
  </si>
  <si>
    <t>CL 603</t>
  </si>
  <si>
    <t>CL 604</t>
  </si>
  <si>
    <t>CL 605</t>
  </si>
  <si>
    <t>CL 606</t>
  </si>
  <si>
    <t>CL 608</t>
  </si>
  <si>
    <t>CL 609</t>
  </si>
  <si>
    <t>CL 610</t>
  </si>
  <si>
    <t>VG 508</t>
  </si>
  <si>
    <t>VG 509</t>
  </si>
  <si>
    <t>VG 510</t>
  </si>
  <si>
    <t>VT 529 2</t>
  </si>
  <si>
    <t>VG 512</t>
  </si>
  <si>
    <t>VG 407</t>
  </si>
  <si>
    <t>VT 429 2</t>
  </si>
  <si>
    <t>MURO L 4 S</t>
  </si>
  <si>
    <t>MURO  F 4 S</t>
  </si>
  <si>
    <t>MURO LI 4 S</t>
  </si>
  <si>
    <t>MURO P 4 S</t>
  </si>
  <si>
    <t>PL3 1 S</t>
  </si>
  <si>
    <t>VT 305</t>
  </si>
  <si>
    <t>VT 308</t>
  </si>
  <si>
    <t>VT 309</t>
  </si>
  <si>
    <t>VT 329</t>
  </si>
  <si>
    <t>VG 311</t>
  </si>
  <si>
    <t>MURO L 3 S</t>
  </si>
  <si>
    <t>MURO  F 3 S</t>
  </si>
  <si>
    <t>MURO LI 3 S</t>
  </si>
  <si>
    <t>MURO P 3 S</t>
  </si>
  <si>
    <t>PL2 1 S</t>
  </si>
  <si>
    <t>VT 205</t>
  </si>
  <si>
    <t>VT 208</t>
  </si>
  <si>
    <t>VT 209</t>
  </si>
  <si>
    <t>MURO L 2 S</t>
  </si>
  <si>
    <t>MURO  F 2 S</t>
  </si>
  <si>
    <t>MURO LI 2 S</t>
  </si>
  <si>
    <t>MURO P 2 S</t>
  </si>
  <si>
    <t>PL1 1 S</t>
  </si>
  <si>
    <t>VT 105</t>
  </si>
  <si>
    <t>VT 108</t>
  </si>
  <si>
    <t>VT 109</t>
  </si>
  <si>
    <t>VT 110</t>
  </si>
  <si>
    <t>VT 111</t>
  </si>
  <si>
    <t>VT 112</t>
  </si>
  <si>
    <t>VT 113</t>
  </si>
  <si>
    <t>VT 114</t>
  </si>
  <si>
    <t>VT 115</t>
  </si>
  <si>
    <t>VT 116</t>
  </si>
  <si>
    <t>VT 117</t>
  </si>
  <si>
    <t>VT 118</t>
  </si>
  <si>
    <t>VT 119</t>
  </si>
  <si>
    <t>VT 120</t>
  </si>
  <si>
    <t>VT 121</t>
  </si>
  <si>
    <t>VT 122</t>
  </si>
  <si>
    <t>VT 123</t>
  </si>
  <si>
    <t>VT 124</t>
  </si>
  <si>
    <t>VT 125</t>
  </si>
  <si>
    <t>VT 126</t>
  </si>
  <si>
    <t>VT 127</t>
  </si>
  <si>
    <t>VT 128</t>
  </si>
  <si>
    <t>VT 129</t>
  </si>
  <si>
    <t>p</t>
  </si>
  <si>
    <t>MURO L 1 S</t>
  </si>
  <si>
    <t>MURO  F 1 S</t>
  </si>
  <si>
    <t>MURO LI 1 S</t>
  </si>
  <si>
    <t>MURO P 1 S</t>
  </si>
  <si>
    <t>CL 701</t>
  </si>
  <si>
    <t>CL 702</t>
  </si>
  <si>
    <t>CL 703</t>
  </si>
  <si>
    <t>CL 704</t>
  </si>
  <si>
    <t>CL 705</t>
  </si>
  <si>
    <t>CL 706</t>
  </si>
  <si>
    <t>CL 707</t>
  </si>
  <si>
    <t>CL 708</t>
  </si>
  <si>
    <t>CL 709</t>
  </si>
  <si>
    <t>CL 710</t>
  </si>
  <si>
    <t>CL 711</t>
  </si>
  <si>
    <t>CL 712</t>
  </si>
  <si>
    <t>PL C 6</t>
  </si>
  <si>
    <t>VG 702</t>
  </si>
  <si>
    <t>VT 701</t>
  </si>
  <si>
    <t>VT 702</t>
  </si>
  <si>
    <t>VG 701</t>
  </si>
  <si>
    <t>VGD 1A</t>
  </si>
  <si>
    <t>VGD 1B</t>
  </si>
  <si>
    <t>VGD 1C</t>
  </si>
  <si>
    <t>VGD 1D</t>
  </si>
  <si>
    <t>VT 601 - 633</t>
  </si>
  <si>
    <t>VGD H 11</t>
  </si>
  <si>
    <t>VGD H 12</t>
  </si>
  <si>
    <t>VGD H 13</t>
  </si>
  <si>
    <t>VGD H 14</t>
  </si>
  <si>
    <t>VGD 2A</t>
  </si>
  <si>
    <t>VGD 2B</t>
  </si>
  <si>
    <t>VGD 2C</t>
  </si>
  <si>
    <t>VGD 2D</t>
  </si>
  <si>
    <t>VGD H 21</t>
  </si>
  <si>
    <t>VGD H 22</t>
  </si>
  <si>
    <t>VGD H 23</t>
  </si>
  <si>
    <t>VGD H 24</t>
  </si>
  <si>
    <t>VGD 3A</t>
  </si>
  <si>
    <t>VGD 3B</t>
  </si>
  <si>
    <t>VGD 3C</t>
  </si>
  <si>
    <t>VGD 3D</t>
  </si>
  <si>
    <t>VGD 4A</t>
  </si>
  <si>
    <t>VGD 4B</t>
  </si>
  <si>
    <t>VGD 4C</t>
  </si>
  <si>
    <t>VGD 4D</t>
  </si>
  <si>
    <t>VGD H 31</t>
  </si>
  <si>
    <t>VGD H 32</t>
  </si>
  <si>
    <t>VGD H 33</t>
  </si>
  <si>
    <t>VGD H 34</t>
  </si>
  <si>
    <t>VGD 5A</t>
  </si>
  <si>
    <t>VGD 5B</t>
  </si>
  <si>
    <t>VGD 5C</t>
  </si>
  <si>
    <t>VGD 5D</t>
  </si>
  <si>
    <t>VGD 6A</t>
  </si>
  <si>
    <t>VGD 6B</t>
  </si>
  <si>
    <t>VGD 6C</t>
  </si>
  <si>
    <t>VGD 6D</t>
  </si>
  <si>
    <t>VGD H 41</t>
  </si>
  <si>
    <t>VGD H 42</t>
  </si>
  <si>
    <t>VGD H 43</t>
  </si>
  <si>
    <t>VGD H 44</t>
  </si>
  <si>
    <t>VGD 7A</t>
  </si>
  <si>
    <t>VGD 7B</t>
  </si>
  <si>
    <t>VGD 7C</t>
  </si>
  <si>
    <t>VGD 7D</t>
  </si>
  <si>
    <t>VGD 8A</t>
  </si>
  <si>
    <t>VGD 8B</t>
  </si>
  <si>
    <t>VGD 8C</t>
  </si>
  <si>
    <t>VGD 8D</t>
  </si>
  <si>
    <t>VGD H 51</t>
  </si>
  <si>
    <t>VGD H 52</t>
  </si>
  <si>
    <t>VGD H 53</t>
  </si>
  <si>
    <t>VGD H 54</t>
  </si>
  <si>
    <t>VGD 9A</t>
  </si>
  <si>
    <t>VGD 9B</t>
  </si>
  <si>
    <t>VGD 9C</t>
  </si>
  <si>
    <t>VGD 9D</t>
  </si>
  <si>
    <t>VGD 10A</t>
  </si>
  <si>
    <t>VGD 10B</t>
  </si>
  <si>
    <t>VGD 10C</t>
  </si>
  <si>
    <t>VGD 10D</t>
  </si>
  <si>
    <t>VGD H 61</t>
  </si>
  <si>
    <t>VGD H 62</t>
  </si>
  <si>
    <t>VGD H 63</t>
  </si>
  <si>
    <t>VGD H 64</t>
  </si>
  <si>
    <t>VGD 11A</t>
  </si>
  <si>
    <t>VGD 11B</t>
  </si>
  <si>
    <t>VGD 11C</t>
  </si>
  <si>
    <t>VGD 11D</t>
  </si>
  <si>
    <t>CL 713</t>
  </si>
  <si>
    <t>CL 714</t>
  </si>
  <si>
    <t>CL 715</t>
  </si>
  <si>
    <t>CL 716</t>
  </si>
  <si>
    <t>CL 717</t>
  </si>
  <si>
    <t>CL 718</t>
  </si>
  <si>
    <t>CL 719</t>
  </si>
  <si>
    <t>CL 720</t>
  </si>
  <si>
    <t>CL 721</t>
  </si>
  <si>
    <t>CL 722</t>
  </si>
  <si>
    <t>CL 723</t>
  </si>
  <si>
    <t>CL 724</t>
  </si>
  <si>
    <t>GRADAS</t>
  </si>
  <si>
    <t>VG P2 1</t>
  </si>
  <si>
    <t>ENTRADA 1</t>
  </si>
  <si>
    <t>VG P2 2</t>
  </si>
  <si>
    <t>VG P2 3</t>
  </si>
  <si>
    <t>ENTRADA 2</t>
  </si>
  <si>
    <t>VG P2 4</t>
  </si>
  <si>
    <t>VG P2 5</t>
  </si>
  <si>
    <t>ENTRADA 3</t>
  </si>
  <si>
    <t>VG P2 6</t>
  </si>
  <si>
    <t>VG P2 7</t>
  </si>
  <si>
    <t>ENTRADA 4</t>
  </si>
  <si>
    <t>VG P2 8</t>
  </si>
  <si>
    <t>VG P2 9</t>
  </si>
  <si>
    <t>ENTRADA 5</t>
  </si>
  <si>
    <t>VG P2 10</t>
  </si>
  <si>
    <t>VG P2 11</t>
  </si>
  <si>
    <t>ENTRADA 6</t>
  </si>
  <si>
    <t>ESCALERA GRADAS 1</t>
  </si>
  <si>
    <t>VGD2 1A</t>
  </si>
  <si>
    <t>VGD2 1B</t>
  </si>
  <si>
    <t>VGD2 1C</t>
  </si>
  <si>
    <t>ESCALERA GRADAS 2</t>
  </si>
  <si>
    <t>VGD2 2A</t>
  </si>
  <si>
    <t>VGD2 2B</t>
  </si>
  <si>
    <t>VGD2 2C</t>
  </si>
  <si>
    <t>ESCALERA GRADAS 3</t>
  </si>
  <si>
    <t>VGD2 3A</t>
  </si>
  <si>
    <t>VGD2 3B</t>
  </si>
  <si>
    <t>VGD2 3C</t>
  </si>
  <si>
    <t>ESCALERA GRADAS 4</t>
  </si>
  <si>
    <t>VGD2 4A</t>
  </si>
  <si>
    <t>VGD2 4B</t>
  </si>
  <si>
    <t>VGD2 4C</t>
  </si>
  <si>
    <t>ESCALERA GRADAS 5</t>
  </si>
  <si>
    <t>VGD2 5A</t>
  </si>
  <si>
    <t>VGD2 5B</t>
  </si>
  <si>
    <t>VGD2 5C</t>
  </si>
  <si>
    <t>ESCALERA GRADAS 6</t>
  </si>
  <si>
    <t>VGD2 6A</t>
  </si>
  <si>
    <t>VGD2 6B</t>
  </si>
  <si>
    <t>VGD2 6C</t>
  </si>
  <si>
    <t>ESCALERA GRADAS 7</t>
  </si>
  <si>
    <t>VGD2 7A</t>
  </si>
  <si>
    <t>VGD2 7B</t>
  </si>
  <si>
    <t>VGD2 7C</t>
  </si>
  <si>
    <t>ESCALERA GRADAS 8</t>
  </si>
  <si>
    <t>VGD2 8A</t>
  </si>
  <si>
    <t>VGD2 8B</t>
  </si>
  <si>
    <t>VGD2 8C</t>
  </si>
  <si>
    <t>ESCALERA GRADAS 9</t>
  </si>
  <si>
    <t>VGD2 9A</t>
  </si>
  <si>
    <t>VGD2 9B</t>
  </si>
  <si>
    <t>VGD2 9C</t>
  </si>
  <si>
    <t>ESCALERA GRADAS 10</t>
  </si>
  <si>
    <t>VGD2 10A</t>
  </si>
  <si>
    <t>VGD2 10B</t>
  </si>
  <si>
    <t>VGD2 10C</t>
  </si>
  <si>
    <t>ESCALERA GRADAS 11</t>
  </si>
  <si>
    <t>VGD2 11A</t>
  </si>
  <si>
    <t>VGD2 11B</t>
  </si>
  <si>
    <t>VGD2 11C</t>
  </si>
  <si>
    <t>ESCALERA GRADAS 12</t>
  </si>
  <si>
    <t>VGD2 12A</t>
  </si>
  <si>
    <t>VGD2 12B</t>
  </si>
  <si>
    <t>VGD2 12C</t>
  </si>
  <si>
    <t>CAMERINOS</t>
  </si>
  <si>
    <t>LOSA</t>
  </si>
  <si>
    <t>VGS 1</t>
  </si>
  <si>
    <t>MRS 1</t>
  </si>
  <si>
    <t>VGS 2</t>
  </si>
  <si>
    <t>VGS 3</t>
  </si>
  <si>
    <t>VTS 1</t>
  </si>
  <si>
    <t>VGS 4</t>
  </si>
  <si>
    <t>VGS 5</t>
  </si>
  <si>
    <t>VTS 2</t>
  </si>
  <si>
    <t>VGS 6</t>
  </si>
  <si>
    <t>VTS 3</t>
  </si>
  <si>
    <t>VGS 7</t>
  </si>
  <si>
    <t>VTS 4</t>
  </si>
  <si>
    <t>VGS 006</t>
  </si>
  <si>
    <t>VGS 8</t>
  </si>
  <si>
    <t>VTS T1</t>
  </si>
  <si>
    <t>VGS 9</t>
  </si>
  <si>
    <t>VGS 10</t>
  </si>
  <si>
    <t>VGS 11</t>
  </si>
  <si>
    <t>VGS 12</t>
  </si>
  <si>
    <t>VGS 13</t>
  </si>
  <si>
    <t>VTS T2</t>
  </si>
  <si>
    <t>VGS 14</t>
  </si>
  <si>
    <t>ESCS</t>
  </si>
  <si>
    <t>RAMPAS</t>
  </si>
  <si>
    <t>CONTRAPISO SOTANO</t>
  </si>
  <si>
    <t>MUROS</t>
  </si>
  <si>
    <t>CLS</t>
  </si>
  <si>
    <t xml:space="preserve">PL 0 </t>
  </si>
  <si>
    <t>PL 1 BL1</t>
  </si>
  <si>
    <t>BL1 VG 01</t>
  </si>
  <si>
    <t>BL1 VG 02</t>
  </si>
  <si>
    <t>BL1 VG 03</t>
  </si>
  <si>
    <t xml:space="preserve">BL1 VT P1 </t>
  </si>
  <si>
    <t>BL1 VG 04</t>
  </si>
  <si>
    <t>BL1 VG 05</t>
  </si>
  <si>
    <t>BL1 VG 06</t>
  </si>
  <si>
    <t>BL1 VG 07</t>
  </si>
  <si>
    <t>BL1 VG 08</t>
  </si>
  <si>
    <t>BL1 CL P2</t>
  </si>
  <si>
    <t>BL1 CL P1</t>
  </si>
  <si>
    <t>BL2 CL P5</t>
  </si>
  <si>
    <t>BL2 VG P5</t>
  </si>
  <si>
    <t>BL2 VT P5</t>
  </si>
  <si>
    <t>BL2 PL P5</t>
  </si>
  <si>
    <t>MURO P5</t>
  </si>
  <si>
    <t>BL2 PL P4</t>
  </si>
  <si>
    <t>BL2 VG P4</t>
  </si>
  <si>
    <t>BL2 ESC P4</t>
  </si>
  <si>
    <t>BL2 VT P4</t>
  </si>
  <si>
    <t>MURO P4</t>
  </si>
  <si>
    <t>BL2 CL P4</t>
  </si>
  <si>
    <t>BL2 VG P3</t>
  </si>
  <si>
    <t>BL2 VT P3</t>
  </si>
  <si>
    <t>BL2 ESC P3</t>
  </si>
  <si>
    <t>BL2 CL P3</t>
  </si>
  <si>
    <t>BL2 PL P3</t>
  </si>
  <si>
    <t>BL2 PL P2</t>
  </si>
  <si>
    <t>BL2 VG P2</t>
  </si>
  <si>
    <t>BL2 VT P2</t>
  </si>
  <si>
    <t>BL2 ESC P2</t>
  </si>
  <si>
    <t>BL2 CL P2</t>
  </si>
  <si>
    <t>BL2 PL P1</t>
  </si>
  <si>
    <t>BL2 VG P1</t>
  </si>
  <si>
    <t>BL2 VT P1</t>
  </si>
  <si>
    <t>BL2 ESC P1</t>
  </si>
  <si>
    <t>BL2 CL P1</t>
  </si>
  <si>
    <t>BL2 PL P0</t>
  </si>
  <si>
    <t>CIMENTACIÓN TRIBUNA OCCIDENTAL</t>
  </si>
  <si>
    <t>CIMENTACIÓN CAMERINOS</t>
  </si>
  <si>
    <t>Ingeniero Residente Administrativo</t>
  </si>
  <si>
    <t>Contador Publico</t>
  </si>
  <si>
    <t>Und</t>
  </si>
  <si>
    <t>Elaboración de documentos e Informes relacionados al capitulo</t>
  </si>
  <si>
    <t>Tramite de permisos de uso y manejo de explosivos</t>
  </si>
  <si>
    <t>TRANSPORTE DE EQUIPOS TRALADOS NACIONAL E INTERNO</t>
  </si>
  <si>
    <t>COMPONENTES COMPLEMENTARIOS Y ESPECIALIZADOS</t>
  </si>
  <si>
    <t>IMPUESTO PRO DEPORTE</t>
  </si>
  <si>
    <t>ESTAMPILLA PROUSCO</t>
  </si>
  <si>
    <t>ESTAMPILLA PRO PERSONAS MAYORES</t>
  </si>
  <si>
    <t>ESTAMPILLA ICA DE INDUSTRIA Y COMERCIO</t>
  </si>
  <si>
    <t>IMPUESTO DE SEGURIDAD OBRA PUBLICA</t>
  </si>
  <si>
    <t>Servicio Transpor en Vehiculo ( Incluye conductor, combustible)</t>
  </si>
  <si>
    <t xml:space="preserve">CAPITULO DE  IMPLOSION </t>
  </si>
  <si>
    <t>Actas de vecindad</t>
  </si>
  <si>
    <t>DISPOSICIÓN FINAL DE RCD</t>
  </si>
  <si>
    <t>Perforación de elementos estructurales en las mallas de implosión según lo indicado en el diseño de implosion planteada por el contratista seleccionado (Incluye, perforación, soplado de perforación y limpieza de las perforaciones).</t>
  </si>
  <si>
    <t>5.1</t>
  </si>
  <si>
    <t>5.2</t>
  </si>
  <si>
    <t>5.3</t>
  </si>
  <si>
    <t>5.4</t>
  </si>
  <si>
    <t>5.5</t>
  </si>
  <si>
    <t>5</t>
  </si>
  <si>
    <t>Elaboración de actas de vecindad de apertura, seguimiento y cierre</t>
  </si>
  <si>
    <t>5.1.1</t>
  </si>
  <si>
    <t>5.1.2</t>
  </si>
  <si>
    <t>5.1.3</t>
  </si>
  <si>
    <t>5.2.1</t>
  </si>
  <si>
    <t>5.2.2</t>
  </si>
  <si>
    <t>5.2.3</t>
  </si>
  <si>
    <t>5.2.4</t>
  </si>
  <si>
    <t>5.2.5</t>
  </si>
  <si>
    <t>5.3.1</t>
  </si>
  <si>
    <t>5.3.2</t>
  </si>
  <si>
    <t>5.4.1</t>
  </si>
  <si>
    <t>5.4.2</t>
  </si>
  <si>
    <t>5.4.3</t>
  </si>
  <si>
    <t>5.4.4</t>
  </si>
  <si>
    <t>5.5.1</t>
  </si>
  <si>
    <t>Elaboración de Plan de Manejo Ambiental ) (Incluye la cuantificación de la cantidad de RCD por tipo que será generado, la asignación del PIN, el control en obra que deberá ser establecido, la información sobre los gestores idóneos, el reporte periódico de los informes de gestión, la apertura y cierre de PIN y las medidas de manejo ambiental).</t>
  </si>
  <si>
    <t>Evento de implosión (incluye la detonación, los profesionales de acompañamiento estructural, demolición SST Y Ambiental</t>
  </si>
  <si>
    <t>Interventoría (NO INCLUIDO)</t>
  </si>
  <si>
    <t>UNIVERSIDAD NACIONAL DE COLOMBIA SEDE MANIZALES</t>
  </si>
  <si>
    <t>PRESUPUESTO DE ACTIVIDADES DE DEMOLICIÓN Y MANEJO DE LOS RCD GENERADOS EN EL PROCESO DE DEMOLICIÓN DE TRIBUNA OCCIDENTAL DEL ESTADIO GUILLERMO PLAZAS ALCID</t>
  </si>
  <si>
    <t>ESTUDIOS TÉCNICOS Y DISEÑOS DEL PROYECTO: "REALIZAR LA REVISIÓN Y/O AJUSTE A LOS ESTUDIOS Y DISEÑOS TÉCNICOS EXISTENTES, REALIZAR ESTUDIOS GEOTÉCNICOS, PATOLOGIA ESTRUCTURAL Y VULNERABILIDAD SISMICA Y LOS DISEÑOS A NIVEL DE DETALLE (FASE III) DE LA ALTERNATIVA PARA LA PUESTA EN FUNCIONAMIENTO DEL ESTADIO DE FUTBOL GUILLERMO PLAZAS ALCID, RECUPERACIÓN DE LA PISTA ATLETICA Y EL URBANISMO DE LA VILLA OLIMPICA "</t>
  </si>
  <si>
    <t>ANALISIS DE AIU</t>
  </si>
  <si>
    <t>05</t>
  </si>
  <si>
    <t>COSTO TOTAL DE COMPONENTES COMPLEMENTARIOS Y ESPECIALIZADOS</t>
  </si>
  <si>
    <t>COSTOS TOTAL:</t>
  </si>
  <si>
    <t>TIMBRE</t>
  </si>
  <si>
    <t>COLOMBIA 2026</t>
  </si>
  <si>
    <t>AA</t>
  </si>
  <si>
    <t>BB</t>
  </si>
  <si>
    <t>CC</t>
  </si>
  <si>
    <t>DD</t>
  </si>
  <si>
    <t>EE</t>
  </si>
  <si>
    <t>FF</t>
  </si>
  <si>
    <t>GG</t>
  </si>
  <si>
    <t>A</t>
  </si>
  <si>
    <t>B</t>
  </si>
  <si>
    <t xml:space="preserve">FACTOR DE EXPANSIÓN </t>
  </si>
  <si>
    <t>C</t>
  </si>
  <si>
    <t>M3 SUELTO   (AXB)</t>
  </si>
  <si>
    <t>D</t>
  </si>
  <si>
    <t>M3 LLENO CAMERINO  (AREA EN PLANTA )* ALTURA HUECO = 1981M2x2,5M</t>
  </si>
  <si>
    <t>E</t>
  </si>
  <si>
    <t>FACTOR DE COMPACTACIÓN PROMEDIO DE ESCOMBRO</t>
  </si>
  <si>
    <t>F</t>
  </si>
  <si>
    <t>VOLUMEN DE ESCOMBRO SUELTO PARA LLENAR CAMERINOS  (DXE)</t>
  </si>
  <si>
    <t>G</t>
  </si>
  <si>
    <t>VOLUMEN TOTAL A TRANSPORTAR  (C-F)</t>
  </si>
  <si>
    <t>H</t>
  </si>
  <si>
    <t>VOLUMEN TOTAL DE ESTRUCTURA AREA DE IMPLOSION  (CC+DD+EE+FF+GG)</t>
  </si>
  <si>
    <t>I</t>
  </si>
  <si>
    <t>VOLUMEN TOTAL DE ESTRUCTURAS A DERRIBAR CON DEMOLICION MECANICA  (AA+BB)</t>
  </si>
  <si>
    <t>Demolición mecánica intensiva de elelemtos implosionados con excavadoras de 21 tonf con martillo hidráulico de 1,5 tonf o equivalente (incluye demolición total, oxicorte de aceros, excavadoras necesarias para la demolición).</t>
  </si>
  <si>
    <t>VOL ESTRUCTURA</t>
  </si>
  <si>
    <t>%MO</t>
  </si>
  <si>
    <t>Acometida  de linea principal a tablero electrico cercano al campamento de energia electrica de 110 V</t>
  </si>
  <si>
    <t>CUADRILLA  DE PERFORACIÓN (1Art+8Perf)</t>
  </si>
  <si>
    <t>OFICIAL  ARMADO DE PROTECCIONES (6)</t>
  </si>
  <si>
    <t>Rotomartillo demoledor (alquiler) 2 UND</t>
  </si>
  <si>
    <t>Rotomartillo percutor (alquiler) 8 UND</t>
  </si>
  <si>
    <t>DIA</t>
  </si>
  <si>
    <t>HERRAMIENTA MENOR (10% MO)</t>
  </si>
  <si>
    <t>DISEÑO, EVALUACIÓN Y SEGUIMIENTO</t>
  </si>
  <si>
    <t xml:space="preserve">DIA </t>
  </si>
  <si>
    <t>PROFESIONALES ESPECIALISTAS</t>
  </si>
  <si>
    <t>CUADRILLA  DEMOLICIÓN (1SUP+8OFIC)</t>
  </si>
  <si>
    <t>CUADRILLA  DEMOLICIÓN (1SUP+8OFIC) 3 CUADRILLAS</t>
  </si>
  <si>
    <t>CUADRILLA  DEMOLICIÓN (6OFIC)</t>
  </si>
  <si>
    <t>Selección y acopio de RCD de elementos implosionados (incluye separación en la fuente de material metálico y material pétreo, acopio de material según su tipología).</t>
  </si>
  <si>
    <t>Demolición mecánica intensiva de Camerinios con excavadoras de 21 tonf con martillo hidráulico de 1,5 tonf o equivalente (incluye demolición total, oxicorte de aceros, excavadoras necesarias para la demolición).</t>
  </si>
  <si>
    <t>Selección y acopio de RCD de demolición Camerinos (incluye separación en la fuente de material metálico y material pétreo, acopio de material según su tipología).</t>
  </si>
  <si>
    <t>Transporte de RCD sobrante a zonas destinadas para disposición final de escombros</t>
  </si>
  <si>
    <t>APROVECHAMIENTO DE MATERIAL ACERO</t>
  </si>
  <si>
    <t>KG/M3</t>
  </si>
  <si>
    <t>HERRAMIENTA MENOR 0,55%MO</t>
  </si>
  <si>
    <t>Desarrollo del proceso tecnico de implosión controlada para garantizar el derribamiento seguro de estructura con criterios de protección ambiental, análisis de riesgo, SST y Comunidad (Incluye, verificación  de estructura y de elementos estructurales)</t>
  </si>
  <si>
    <t>Claudia Guevara Gómez</t>
  </si>
  <si>
    <t>Representante Legal</t>
  </si>
  <si>
    <t>SDI Demoliciones</t>
  </si>
  <si>
    <t>Expertos en demoliciones</t>
  </si>
  <si>
    <t xml:space="preserve">Formulario 1 - Propuesta económica  - Licitación de obra pública de infraestructura social </t>
  </si>
  <si>
    <t>Código</t>
  </si>
  <si>
    <t>CCE-EICP-FM-116</t>
  </si>
  <si>
    <t>Versión</t>
  </si>
  <si>
    <r>
      <t>[La Entidad puede utilizar este Formulario de detalle del</t>
    </r>
    <r>
      <rPr>
        <b/>
        <u/>
        <sz val="26"/>
        <rFont val="Arial"/>
        <family val="2"/>
      </rPr>
      <t xml:space="preserve"> Presupuesto Oficial</t>
    </r>
    <r>
      <rPr>
        <sz val="26"/>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</si>
  <si>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Nº</t>
  </si>
  <si>
    <t>ÍTEM DE PAGO</t>
  </si>
  <si>
    <t xml:space="preserve">ESPECIFICACIONES </t>
  </si>
  <si>
    <t>GENERAL</t>
  </si>
  <si>
    <t>PARTICULAR</t>
  </si>
  <si>
    <t>1    Actividades preconstructivas</t>
  </si>
  <si>
    <t>1,1</t>
  </si>
  <si>
    <t>X</t>
  </si>
  <si>
    <t>1,2</t>
  </si>
  <si>
    <t>1,3</t>
  </si>
  <si>
    <t>1,4</t>
  </si>
  <si>
    <t>1,5</t>
  </si>
  <si>
    <t xml:space="preserve">2  Capitulo de Implosion </t>
  </si>
  <si>
    <t>2,1</t>
  </si>
  <si>
    <t>2,2</t>
  </si>
  <si>
    <t>2,3</t>
  </si>
  <si>
    <t>2,4</t>
  </si>
  <si>
    <t>2,5</t>
  </si>
  <si>
    <t>2,6</t>
  </si>
  <si>
    <t>2,7</t>
  </si>
  <si>
    <t>2,8</t>
  </si>
  <si>
    <t xml:space="preserve">3. Ejecucion de implosion controlada </t>
  </si>
  <si>
    <t>RED AGUAS LLUVIAS - DRENAJE</t>
  </si>
  <si>
    <t>3,1</t>
  </si>
  <si>
    <t>3,2</t>
  </si>
  <si>
    <t>3,3</t>
  </si>
  <si>
    <t xml:space="preserve">4. Demolicion mecanica post-implosion </t>
  </si>
  <si>
    <t>4,1</t>
  </si>
  <si>
    <t>4,2</t>
  </si>
  <si>
    <t>4,3</t>
  </si>
  <si>
    <t>4,4</t>
  </si>
  <si>
    <t>4,5</t>
  </si>
  <si>
    <t>4,6</t>
  </si>
  <si>
    <t xml:space="preserve">5. Componentes Complementarios y especializados </t>
  </si>
  <si>
    <t>5,1</t>
  </si>
  <si>
    <t>5,2</t>
  </si>
  <si>
    <t>5,3</t>
  </si>
  <si>
    <t>5,4</t>
  </si>
  <si>
    <t>5,5</t>
  </si>
  <si>
    <t xml:space="preserve">SUBTOTAL OBRAS </t>
  </si>
  <si>
    <t>PORCENTAJE</t>
  </si>
  <si>
    <r>
      <rPr>
        <b/>
        <sz val="24"/>
        <rFont val="Arial"/>
        <family val="2"/>
      </rPr>
      <t>NOTA 2</t>
    </r>
    <r>
      <rPr>
        <sz val="24"/>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</si>
  <si>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 =</t>
  </si>
  <si>
    <r>
      <rPr>
        <b/>
        <sz val="24"/>
        <rFont val="Arial"/>
        <family val="2"/>
      </rPr>
      <t>NOTA 3:</t>
    </r>
    <r>
      <rPr>
        <sz val="24"/>
        <rFont val="Arial"/>
        <family val="2"/>
      </rPr>
      <t xml:space="preserve"> El A.I.U y su discriminación deben estar en porcentaje (%). </t>
    </r>
  </si>
  <si>
    <t>I =</t>
  </si>
  <si>
    <t>U =</t>
  </si>
  <si>
    <t>A.I.U =</t>
  </si>
  <si>
    <t>CONTRATAR LAS ACTIVIDADES DE IMPLOSION Y DEMOLICION DE LA TRIBUNA OCCIDENTAL DEL ESTADIO DE FÚTBOL GUILLERMO PLAZAS ALCID, DE LA CIUDAD DE NEIVA DEL DEPARTAMENTTO DEL HUILA</t>
  </si>
  <si>
    <t>ACTIVIDADES PRRECONSTRUCTIVAS</t>
  </si>
  <si>
    <t>AIU 26 %</t>
  </si>
  <si>
    <t xml:space="preserve">CLAUDIA GUEVARA GOMEZ </t>
  </si>
  <si>
    <t xml:space="preserve">Equipo Consultor </t>
  </si>
  <si>
    <t>Demolición mecánica intensiva de elementos implosionados con excavadoras de 21 tonf con martillo hidráulico de 1,5 tonf o equivalente (incluye demolición total, oxicorte de aceros, excavadoras necesarias para la demolición).Incluye descuento por aprovechamiento en disposicion de Acero de refuerzo.</t>
  </si>
  <si>
    <r>
      <t xml:space="preserve">NOTA : </t>
    </r>
    <r>
      <rPr>
        <sz val="24"/>
        <rFont val="Arial"/>
        <family val="2"/>
      </rPr>
      <t>El análisis económico del Ítem 4.1 contempla el aprovechamiento de los Residuos de Construcción y Demolición (RCD), particularmente del acero de refuerzo recuperable producto de las actividades de demolición e implosión, cuyo valor de aprovechamiento fue descontado del costo total de la actividad, generando una disminución en el valor final del ítem.
Dicho análisis fue estructurado conforme a las condiciones técnicas de ejecución y al estudio de mercado realizado, considerando precios y condiciones comerciales vigentes para actividades especializadas de demolición, recuperación y aprovechamiento de materiales reciclables, en concordancia con la normativa colombiana aplicable en materia de gestión integral de RCD, especialmente la Resolución 472 de 2017 expedida por el Ministerio de Ambiente y Desarrollo Sostenible.
Así mismo, el análisis considera porcentajes estimados de materiales potencialmente aprovechables derivados de la demolición, particularmente residuos metálicos ferrosos, estimados entre el 3% y el 5% del material resultante de la demolición, los cuales pueden reincorporarse a cadenas de reciclaje y valorización conforme a las condiciones reales de recuperación del proyecto y las condiciones operativas de separación y recuperación en obra.</t>
    </r>
  </si>
  <si>
    <r>
      <rPr>
        <b/>
        <sz val="24"/>
        <rFont val="Arial"/>
        <family val="2"/>
      </rPr>
      <t xml:space="preserve">NOTA 1: </t>
    </r>
    <r>
      <rPr>
        <sz val="24"/>
        <rFont val="Arial"/>
        <family val="2"/>
      </rPr>
      <t xml:space="preserve"> Se debe tener en cuenta que el PRECIO UNITARIO incluye el valor de A.I.U. </t>
    </r>
  </si>
  <si>
    <t xml:space="preserve">Experta en Demoliciones UNAL Manizales </t>
  </si>
  <si>
    <t>Elaboración de Plan de Manejo Ambiental (Incluye la cuantificación de la cantidad de RCD por tipo que será generado, la asignación del Permiso, el control en obra que deberá ser establecido, la información sobre los gestores idóneos, el reporte periódico de los informes de gestión, la apertura y cierre de Permiso y las medidas de manejo ambiental).</t>
  </si>
  <si>
    <t>FIRMA PROPONENTE (Persona natural, representante legal persona jurpidica o forma asociativa</t>
  </si>
  <si>
    <t>Cédula de Ciudadanía</t>
  </si>
  <si>
    <t>Tarjeta Profesional</t>
  </si>
  <si>
    <t xml:space="preserve">FIRMA PROFESIONAL QUE AVALA LA PROPUESTA </t>
  </si>
  <si>
    <t xml:space="preserve">Tarjeta Profesional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</si>
</sst>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8" formatCode="&quot;$&quot;\ #,##0.00;[Red]\-&quot;$&quot;\ #,##0.00"/>
    <numFmt numFmtId="44" formatCode="_-&quot;$&quot;\ * #,##0.00_-;\-&quot;$&quot;\ * #,##0.00_-;_-&quot;$&quot;\ * &quot;-&quot;??_-;_-@_-"/>
    <numFmt numFmtId="164" formatCode="_-&quot;$&quot;* #,##0_-;\-&quot;$&quot;* #,##0_-;_-&quot;$&quot;* &quot;-&quot;_-;_-@"/>
    <numFmt numFmtId="165" formatCode="d/m/yyyy"/>
    <numFmt numFmtId="166" formatCode="_-&quot;$&quot;* #,##0_-;\-&quot;$&quot;* #,##0_-;_-&quot;$&quot;* &quot;-&quot;??_-;_-@"/>
    <numFmt numFmtId="167" formatCode="&quot;$&quot;#,##0"/>
    <numFmt numFmtId="168" formatCode="#,##0.00_);\-#,##0.00"/>
    <numFmt numFmtId="169" formatCode="[$$-240A]\ #,##0"/>
    <numFmt numFmtId="170" formatCode="0.0%"/>
    <numFmt numFmtId="171" formatCode="&quot;$&quot;#,##0.00"/>
    <numFmt numFmtId="172" formatCode="[$$-409]#,##0"/>
    <numFmt numFmtId="173" formatCode="[$$-409]#,##0.000"/>
    <numFmt numFmtId="174" formatCode="_(&quot;$&quot;\ * #,##0_);_(&quot;$&quot;\ * \(#,##0\);_(&quot;$&quot;\ * &quot;-&quot;??_);_(@_)"/>
    <numFmt numFmtId="175" formatCode="0.0"/>
    <numFmt numFmtId="176" formatCode="_-[$$-240A]\ * #,##0.00_-;\-[$$-240A]\ * #,##0.00_-;_-[$$-240A]\ * &quot;-&quot;??_-;_-@"/>
    <numFmt numFmtId="177" formatCode="_-&quot;$&quot;\ * #,##0_-;\-&quot;$&quot;\ * #,##0_-;_-&quot;$&quot;\ * &quot;-&quot;_-;_-@"/>
    <numFmt numFmtId="178" formatCode="_-* #,##0_-;\-* #,##0_-;_-* &quot;-&quot;_-;_-@"/>
    <numFmt numFmtId="179" formatCode="#,##0.000000"/>
    <numFmt numFmtId="180" formatCode="0.000"/>
    <numFmt numFmtId="181" formatCode="#,##0.00\ _$"/>
    <numFmt numFmtId="182" formatCode="#,##0\ _$"/>
    <numFmt numFmtId="183" formatCode="_-&quot;$&quot;\ * #,##0.00_-;\-&quot;$&quot;\ * #,##0.00_-;_-&quot;$&quot;\ * &quot;-&quot;??_-;_-@"/>
    <numFmt numFmtId="184" formatCode="_-&quot;$&quot;\ * #,##0_-;\-&quot;$&quot;\ * #,##0_-;_-&quot;$&quot;\ * &quot;-&quot;??_-;_-@"/>
    <numFmt numFmtId="185" formatCode="_-* #,##0_-;\-* #,##0_-;_-* &quot;-&quot;??_-;_-@"/>
    <numFmt numFmtId="186" formatCode="##,##0.00"/>
    <numFmt numFmtId="187" formatCode="#,##0.000\ _$"/>
    <numFmt numFmtId="188" formatCode="0.00000000%"/>
    <numFmt numFmtId="189" formatCode="_ &quot;$&quot;\ * #,##0.00_ ;_ &quot;$&quot;\ * \-#,##0.00_ ;_ &quot;$&quot;\ * &quot;-&quot;??_ ;_ @_ "/>
    <numFmt numFmtId="190" formatCode="_-* #,##0.00\ &quot;Pts&quot;_-;\-* #,##0.00\ &quot;Pts&quot;_-;_-* &quot;-&quot;??\ &quot;Pts&quot;_-;_-@_-"/>
    <numFmt numFmtId="191" formatCode="&quot;$&quot;\ #,##0.00"/>
    <numFmt numFmtId="192" formatCode="#,##0.00\ &quot;m²&quot;"/>
    <numFmt numFmtId="193" formatCode="#,##0.00\ &quot;m³&quot;"/>
    <numFmt numFmtId="194" formatCode="#,##0.00000"/>
    <numFmt numFmtId="195" formatCode="[$-F800]dddd\,\ mmmm\ dd\,\ yyyy"/>
    <numFmt numFmtId="196" formatCode="0.00000"/>
    <numFmt numFmtId="197" formatCode="0.000%"/>
    <numFmt numFmtId="198" formatCode="0.0000"/>
    <numFmt numFmtId="199" formatCode="_-* #,##0.0000_-;\-* #,##0.0000_-;_-* &quot;-&quot;_-;_-@"/>
    <numFmt numFmtId="200" formatCode="_-* #,##0.00000_-;\-* #,##0.00000_-;_-* &quot;-&quot;_-;_-@"/>
    <numFmt numFmtId="201" formatCode="0.0000000000000000000000%"/>
    <numFmt numFmtId="202" formatCode="_-&quot;$&quot;* #,##0.00_-;\-&quot;$&quot;* #,##0.00_-;_-&quot;$&quot;* &quot;-&quot;_-;_-@"/>
    <numFmt numFmtId="203" formatCode="&quot;$&quot;#,##0.000"/>
    <numFmt numFmtId="204" formatCode="#,##0.0"/>
    <numFmt numFmtId="205" formatCode="[$$-240A]\ #,##0.00"/>
    <numFmt numFmtId="206" formatCode="0#.00\ \L\t"/>
    <numFmt numFmtId="207" formatCode="_-[$$-240A]\ * #,##0.00_ ;_-[$$-240A]\ * \-#,##0.00\ ;_-[$$-240A]\ * &quot;-&quot;??_ ;_-@_ "/>
    <numFmt numFmtId="208" formatCode="_-&quot;$&quot;\ * #,##0.00_-;\-&quot;$&quot;\ * #,##0.00_-;_-&quot;$&quot;\ * &quot;-&quot;_-;_-@"/>
    <numFmt numFmtId="209" formatCode="_-&quot;$&quot;\ * #,##0.00000_-;\-&quot;$&quot;\ * #,##0.00000_-;_-&quot;$&quot;\ * &quot;-&quot;??_-;_-@_-"/>
    <numFmt numFmtId="210" formatCode="_-&quot;$&quot;\ * #,##0.000000_-;\-&quot;$&quot;\ * #,##0.000000_-;_-&quot;$&quot;\ * &quot;-&quot;??_-;_-@_-"/>
    <numFmt numFmtId="211" formatCode="_-* #,##0.0000_-;\-* #,##0.0000_-;_-* &quot;-&quot;??_-;_-@_-"/>
    <numFmt numFmtId="212" formatCode="_-&quot;$&quot;\ * #,##0.0000000_-;\-&quot;$&quot;\ * #,##0.0000000_-;_-&quot;$&quot;\ * &quot;-&quot;??_-;_-@_-"/>
  </numFmts>
  <fonts count="94" x14ac:knownFonts="1">
    <font>
      <sz val="10"/>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rgb="FF000000"/>
      <name val="Arial Narrow"/>
      <family val="2"/>
    </font>
    <font>
      <sz val="10"/>
      <color theme="1"/>
      <name val="Calibri"/>
      <family val="2"/>
      <scheme val="minor"/>
    </font>
    <font>
      <b/>
      <sz val="11"/>
      <color theme="1"/>
      <name val="Arial Narrow"/>
      <family val="2"/>
    </font>
    <font>
      <b/>
      <sz val="12"/>
      <color rgb="FF000000"/>
      <name val="Arial Narrow"/>
      <family val="2"/>
    </font>
    <font>
      <sz val="11"/>
      <color theme="1"/>
      <name val="Arial Narrow"/>
      <family val="2"/>
    </font>
    <font>
      <sz val="10"/>
      <color theme="1"/>
      <name val="Arial Narrow"/>
      <family val="2"/>
    </font>
    <font>
      <sz val="10"/>
      <color rgb="FF000000"/>
      <name val="Arial Narrow"/>
      <family val="2"/>
    </font>
    <font>
      <sz val="10"/>
      <name val="Calibri"/>
      <family val="2"/>
    </font>
    <font>
      <b/>
      <sz val="11"/>
      <color rgb="FF000000"/>
      <name val="Arial Narrow"/>
      <family val="2"/>
    </font>
    <font>
      <sz val="11"/>
      <color rgb="FF000000"/>
      <name val="Arial Narrow"/>
      <family val="2"/>
    </font>
    <font>
      <b/>
      <sz val="14"/>
      <color theme="0"/>
      <name val="Arial Narrow"/>
      <family val="2"/>
    </font>
    <font>
      <b/>
      <sz val="12"/>
      <color theme="0"/>
      <name val="Arial Narrow"/>
      <family val="2"/>
    </font>
    <font>
      <b/>
      <sz val="12"/>
      <color rgb="FFFFFFFF"/>
      <name val="Arial Narrow"/>
      <family val="2"/>
    </font>
    <font>
      <sz val="12"/>
      <color theme="1"/>
      <name val="Arial Narrow"/>
      <family val="2"/>
    </font>
    <font>
      <b/>
      <sz val="12"/>
      <color theme="1"/>
      <name val="Arial Narrow"/>
      <family val="2"/>
    </font>
    <font>
      <sz val="9"/>
      <color theme="1"/>
      <name val="Arial Narrow"/>
      <family val="2"/>
    </font>
    <font>
      <b/>
      <sz val="12"/>
      <color rgb="FFFF0000"/>
      <name val="Arial Narrow"/>
      <family val="2"/>
    </font>
    <font>
      <b/>
      <sz val="11"/>
      <color theme="1"/>
      <name val="Calibri"/>
      <family val="2"/>
      <scheme val="minor"/>
    </font>
    <font>
      <b/>
      <sz val="16"/>
      <color rgb="FF000000"/>
      <name val="Arial Narrow"/>
      <family val="2"/>
    </font>
    <font>
      <b/>
      <sz val="10"/>
      <color rgb="FF000000"/>
      <name val="Arial Narrow"/>
      <family val="2"/>
    </font>
    <font>
      <b/>
      <sz val="9"/>
      <color rgb="FF000000"/>
      <name val="Arial Narrow"/>
      <family val="2"/>
    </font>
    <font>
      <b/>
      <sz val="10"/>
      <color rgb="FFFFFFFF"/>
      <name val="Arial Narrow"/>
      <family val="2"/>
    </font>
    <font>
      <sz val="10"/>
      <color rgb="FFFFFFFF"/>
      <name val="Arial Narrow"/>
      <family val="2"/>
    </font>
    <font>
      <sz val="10"/>
      <color rgb="FF333333"/>
      <name val="Arial Narrow"/>
      <family val="2"/>
    </font>
    <font>
      <sz val="8"/>
      <name val="Calibri"/>
      <family val="2"/>
      <scheme val="minor"/>
    </font>
    <font>
      <sz val="10"/>
      <color rgb="FF000000"/>
      <name val="Calibri"/>
      <family val="2"/>
      <scheme val="minor"/>
    </font>
    <font>
      <b/>
      <sz val="12"/>
      <name val="Calibri"/>
      <family val="2"/>
    </font>
    <font>
      <b/>
      <sz val="16"/>
      <color theme="1"/>
      <name val="Calibri"/>
      <family val="2"/>
      <scheme val="minor"/>
    </font>
    <font>
      <sz val="11"/>
      <color rgb="FF000000"/>
      <name val="Calibri"/>
      <family val="2"/>
      <scheme val="minor"/>
    </font>
    <font>
      <b/>
      <sz val="9"/>
      <color rgb="FF000000"/>
      <name val="Arial"/>
      <family val="2"/>
    </font>
    <font>
      <sz val="10"/>
      <name val="Times New Roman"/>
      <family val="1"/>
    </font>
    <font>
      <sz val="9"/>
      <color rgb="FF000000"/>
      <name val="Arial"/>
      <family val="2"/>
    </font>
    <font>
      <sz val="10"/>
      <color rgb="FF000000"/>
      <name val="Arial"/>
      <family val="2"/>
    </font>
    <font>
      <b/>
      <i/>
      <sz val="9"/>
      <color rgb="FF000000"/>
      <name val="Arial"/>
      <family val="2"/>
    </font>
    <font>
      <b/>
      <sz val="12"/>
      <color rgb="FF000000"/>
      <name val="Arial"/>
      <family val="2"/>
    </font>
    <font>
      <sz val="12"/>
      <name val="Times New Roman"/>
      <family val="1"/>
    </font>
    <font>
      <b/>
      <sz val="14"/>
      <color rgb="FF000000"/>
      <name val="Arial"/>
      <family val="2"/>
    </font>
    <font>
      <sz val="14"/>
      <name val="Times New Roman"/>
      <family val="1"/>
    </font>
    <font>
      <b/>
      <sz val="16"/>
      <color rgb="FF000000"/>
      <name val="Calibri"/>
      <family val="2"/>
      <scheme val="minor"/>
    </font>
    <font>
      <sz val="10"/>
      <color rgb="FF000000"/>
      <name val="Calibri"/>
      <family val="2"/>
      <scheme val="minor"/>
    </font>
    <font>
      <sz val="10"/>
      <name val="Arial"/>
      <family val="2"/>
    </font>
    <font>
      <sz val="12"/>
      <name val="Arial Narrow"/>
      <family val="2"/>
    </font>
    <font>
      <sz val="10"/>
      <name val="Calibri"/>
      <family val="2"/>
      <scheme val="minor"/>
    </font>
    <font>
      <sz val="12"/>
      <color rgb="FF00B050"/>
      <name val="Arial Narrow"/>
      <family val="2"/>
    </font>
    <font>
      <sz val="10"/>
      <color rgb="FF00B050"/>
      <name val="Calibri"/>
      <family val="2"/>
      <scheme val="minor"/>
    </font>
    <font>
      <b/>
      <sz val="10"/>
      <color theme="0"/>
      <name val="Calibri"/>
      <family val="2"/>
      <scheme val="minor"/>
    </font>
    <font>
      <b/>
      <sz val="10"/>
      <color theme="1"/>
      <name val="Calibri"/>
      <family val="2"/>
      <scheme val="minor"/>
    </font>
    <font>
      <b/>
      <sz val="12"/>
      <name val="Arial Narrow"/>
      <family val="2"/>
    </font>
    <font>
      <b/>
      <sz val="9"/>
      <name val="Arial"/>
      <family val="2"/>
    </font>
    <font>
      <sz val="9"/>
      <name val="Arial"/>
      <family val="2"/>
    </font>
    <font>
      <b/>
      <sz val="16"/>
      <name val="Calibri"/>
      <family val="2"/>
      <scheme val="minor"/>
    </font>
    <font>
      <sz val="11"/>
      <name val="Aptos Narrow"/>
      <family val="2"/>
    </font>
    <font>
      <b/>
      <sz val="12"/>
      <color theme="1"/>
      <name val="Calibri"/>
      <family val="2"/>
      <scheme val="minor"/>
    </font>
    <font>
      <b/>
      <sz val="20"/>
      <color theme="1"/>
      <name val="Calibri"/>
      <family val="2"/>
      <scheme val="minor"/>
    </font>
    <font>
      <sz val="16"/>
      <color theme="1"/>
      <name val="Calibri"/>
      <family val="2"/>
      <scheme val="minor"/>
    </font>
    <font>
      <sz val="14"/>
      <color theme="1"/>
      <name val="Calibri"/>
      <family val="2"/>
      <scheme val="minor"/>
    </font>
    <font>
      <sz val="11"/>
      <name val="Arial Narrow"/>
      <family val="2"/>
    </font>
    <font>
      <sz val="11"/>
      <color rgb="FF000000"/>
      <name val="Aptos"/>
      <family val="2"/>
    </font>
    <font>
      <b/>
      <sz val="16"/>
      <color theme="0"/>
      <name val="Arial Narrow"/>
      <family val="2"/>
    </font>
    <font>
      <sz val="16"/>
      <name val="Calibri"/>
      <family val="2"/>
    </font>
    <font>
      <b/>
      <sz val="16"/>
      <color theme="0"/>
      <name val="Calibri"/>
      <family val="2"/>
      <scheme val="minor"/>
    </font>
    <font>
      <sz val="16"/>
      <color rgb="FF00B050"/>
      <name val="Calibri"/>
      <family val="2"/>
      <scheme val="minor"/>
    </font>
    <font>
      <sz val="16"/>
      <color rgb="FF00B050"/>
      <name val="Arial Narrow"/>
      <family val="2"/>
    </font>
    <font>
      <b/>
      <sz val="10"/>
      <color rgb="FF000000"/>
      <name val="Calibri"/>
      <family val="2"/>
      <scheme val="minor"/>
    </font>
    <font>
      <sz val="10"/>
      <color rgb="FF000000"/>
      <name val="Calibri"/>
      <family val="2"/>
      <scheme val="minor"/>
    </font>
    <font>
      <b/>
      <sz val="18"/>
      <color rgb="FFFFFF00"/>
      <name val="Arial Narrow"/>
      <family val="2"/>
    </font>
    <font>
      <sz val="24"/>
      <name val="Arial"/>
      <family val="2"/>
    </font>
    <font>
      <b/>
      <sz val="24"/>
      <name val="Arial"/>
      <family val="2"/>
    </font>
    <font>
      <b/>
      <sz val="10"/>
      <name val="Arial"/>
      <family val="2"/>
    </font>
    <font>
      <sz val="24"/>
      <name val="Arial Narrow"/>
      <family val="2"/>
    </font>
    <font>
      <sz val="26"/>
      <name val="Arial"/>
      <family val="2"/>
    </font>
    <font>
      <b/>
      <u/>
      <sz val="26"/>
      <name val="Arial"/>
      <family val="2"/>
    </font>
    <font>
      <b/>
      <sz val="26"/>
      <name val="Arial"/>
      <family val="2"/>
    </font>
    <font>
      <b/>
      <sz val="22"/>
      <name val="Arial"/>
      <family val="2"/>
    </font>
    <font>
      <sz val="22"/>
      <name val="Arial"/>
      <family val="2"/>
    </font>
    <font>
      <b/>
      <sz val="24"/>
      <color theme="1"/>
      <name val="Arial"/>
      <family val="2"/>
    </font>
    <font>
      <sz val="24"/>
      <color theme="1"/>
      <name val="Arial"/>
      <family val="2"/>
    </font>
    <font>
      <b/>
      <sz val="36"/>
      <color rgb="FFFF0000"/>
      <name val="Arial"/>
      <family val="2"/>
    </font>
    <font>
      <b/>
      <sz val="36"/>
      <color rgb="FFFFFF00"/>
      <name val="Arial"/>
      <family val="2"/>
    </font>
    <font>
      <sz val="8"/>
      <name val="Arial"/>
      <family val="2"/>
    </font>
    <font>
      <sz val="8"/>
      <color rgb="FF000000"/>
      <name val="Calibri"/>
      <family val="2"/>
      <scheme val="minor"/>
    </font>
    <font>
      <b/>
      <sz val="10"/>
      <color theme="1"/>
      <name val="Arial"/>
      <family val="2"/>
    </font>
    <font>
      <sz val="10"/>
      <color theme="1"/>
      <name val="Arial"/>
      <family val="2"/>
    </font>
    <font>
      <sz val="14"/>
      <name val="Arial"/>
      <family val="2"/>
    </font>
    <font>
      <b/>
      <sz val="14"/>
      <color theme="1"/>
      <name val="Arial"/>
      <family val="2"/>
    </font>
    <font>
      <sz val="14"/>
      <color theme="1"/>
      <name val="Arial"/>
      <family val="2"/>
    </font>
    <font>
      <b/>
      <sz val="20"/>
      <color theme="1"/>
      <name val="Arial"/>
      <family val="2"/>
    </font>
  </fonts>
  <fills count="25">
    <fill>
      <patternFill patternType="none"/>
    </fill>
    <fill>
      <patternFill patternType="gray125"/>
    </fill>
    <fill>
      <patternFill patternType="solid">
        <fgColor rgb="FF1E4E79"/>
        <bgColor rgb="FF1E4E79"/>
      </patternFill>
    </fill>
    <fill>
      <patternFill patternType="solid">
        <fgColor rgb="FF8EAADB"/>
        <bgColor rgb="FF8EAADB"/>
      </patternFill>
    </fill>
    <fill>
      <patternFill patternType="solid">
        <fgColor rgb="FFC0C0C0"/>
        <bgColor rgb="FFC0C0C0"/>
      </patternFill>
    </fill>
    <fill>
      <patternFill patternType="solid">
        <fgColor theme="0"/>
        <bgColor theme="0"/>
      </patternFill>
    </fill>
    <fill>
      <patternFill patternType="solid">
        <fgColor rgb="FF2E75B5"/>
        <bgColor rgb="FF2E75B5"/>
      </patternFill>
    </fill>
    <fill>
      <patternFill patternType="solid">
        <fgColor rgb="FFD8D8D8"/>
        <bgColor rgb="FFD8D8D8"/>
      </patternFill>
    </fill>
    <fill>
      <patternFill patternType="solid">
        <fgColor rgb="FFF4CCCC"/>
        <bgColor rgb="FFF4CCCC"/>
      </patternFill>
    </fill>
    <fill>
      <patternFill patternType="solid">
        <fgColor rgb="FFBFBFBF"/>
        <bgColor rgb="FFBFBFBF"/>
      </patternFill>
    </fill>
    <fill>
      <patternFill patternType="solid">
        <fgColor rgb="FFF2F2F2"/>
        <bgColor rgb="FFF2F2F2"/>
      </patternFill>
    </fill>
    <fill>
      <patternFill patternType="solid">
        <fgColor rgb="FFE06666"/>
        <bgColor rgb="FFE06666"/>
      </patternFill>
    </fill>
    <fill>
      <patternFill patternType="solid">
        <fgColor theme="0"/>
        <bgColor indexed="64"/>
      </patternFill>
    </fill>
    <fill>
      <patternFill patternType="solid">
        <fgColor rgb="FFEEECE1"/>
        <bgColor rgb="FFEEECE1"/>
      </patternFill>
    </fill>
    <fill>
      <patternFill patternType="solid">
        <fgColor theme="0"/>
        <bgColor rgb="FFBFBFBF"/>
      </patternFill>
    </fill>
    <fill>
      <patternFill patternType="solid">
        <fgColor theme="0" tint="-0.249977111117893"/>
        <bgColor indexed="64"/>
      </patternFill>
    </fill>
    <fill>
      <patternFill patternType="solid">
        <fgColor theme="0"/>
        <bgColor rgb="FF2E75B5"/>
      </patternFill>
    </fill>
    <fill>
      <patternFill patternType="solid">
        <fgColor theme="0"/>
        <bgColor rgb="FFD8D8D8"/>
      </patternFill>
    </fill>
    <fill>
      <patternFill patternType="solid">
        <fgColor theme="0" tint="-0.14999847407452621"/>
        <bgColor indexed="64"/>
      </patternFill>
    </fill>
    <fill>
      <patternFill patternType="solid">
        <fgColor theme="4" tint="0.39997558519241921"/>
        <bgColor indexed="64"/>
      </patternFill>
    </fill>
    <fill>
      <patternFill patternType="solid">
        <fgColor theme="4" tint="0.39997558519241921"/>
        <bgColor theme="0"/>
      </patternFill>
    </fill>
    <fill>
      <patternFill patternType="solid">
        <fgColor theme="0" tint="-0.249977111117893"/>
        <bgColor rgb="FFBFBFBF"/>
      </patternFill>
    </fill>
    <fill>
      <patternFill patternType="solid">
        <fgColor rgb="FFFFFF00"/>
        <bgColor indexed="64"/>
      </patternFill>
    </fill>
    <fill>
      <patternFill patternType="solid">
        <fgColor theme="0" tint="-0.499984740745262"/>
        <bgColor indexed="64"/>
      </patternFill>
    </fill>
    <fill>
      <patternFill patternType="solid">
        <fgColor theme="6" tint="0.59999389629810485"/>
        <bgColor indexed="64"/>
      </patternFill>
    </fill>
  </fills>
  <borders count="162">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top/>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right style="medium">
        <color rgb="FF000000"/>
      </right>
      <top/>
      <bottom/>
      <diagonal/>
    </border>
    <border>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style="thin">
        <color rgb="FF000000"/>
      </right>
      <top/>
      <bottom style="medium">
        <color rgb="FF000000"/>
      </bottom>
      <diagonal/>
    </border>
    <border>
      <left style="medium">
        <color rgb="FF000000"/>
      </left>
      <right/>
      <top style="thin">
        <color rgb="FF000000"/>
      </top>
      <bottom style="thin">
        <color rgb="FF000000"/>
      </bottom>
      <diagonal/>
    </border>
    <border>
      <left style="thin">
        <color rgb="FF000000"/>
      </left>
      <right/>
      <top style="medium">
        <color rgb="FF000000"/>
      </top>
      <bottom/>
      <diagonal/>
    </border>
    <border>
      <left style="thin">
        <color rgb="FF000000"/>
      </left>
      <right/>
      <top style="thin">
        <color rgb="FF000000"/>
      </top>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rgb="FF000000"/>
      </top>
      <bottom style="thin">
        <color indexed="64"/>
      </bottom>
      <diagonal/>
    </border>
    <border>
      <left/>
      <right/>
      <top style="thin">
        <color rgb="FF000000"/>
      </top>
      <bottom style="thin">
        <color indexed="64"/>
      </bottom>
      <diagonal/>
    </border>
    <border>
      <left/>
      <right style="medium">
        <color rgb="FF000000"/>
      </right>
      <top style="thin">
        <color rgb="FF000000"/>
      </top>
      <bottom style="thin">
        <color indexed="64"/>
      </bottom>
      <diagonal/>
    </border>
    <border>
      <left style="medium">
        <color rgb="FF000000"/>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diagonal/>
    </border>
    <border>
      <left style="thin">
        <color indexed="64"/>
      </left>
      <right/>
      <top/>
      <bottom style="thin">
        <color rgb="FF000000"/>
      </bottom>
      <diagonal/>
    </border>
    <border>
      <left style="thin">
        <color rgb="FF000000"/>
      </left>
      <right style="thin">
        <color indexed="64"/>
      </right>
      <top style="thin">
        <color rgb="FF000000"/>
      </top>
      <bottom style="thin">
        <color rgb="FF000000"/>
      </bottom>
      <diagonal/>
    </border>
    <border>
      <left/>
      <right style="thin">
        <color indexed="64"/>
      </right>
      <top/>
      <bottom style="thin">
        <color rgb="FF000000"/>
      </bottom>
      <diagonal/>
    </border>
    <border>
      <left style="thin">
        <color indexed="64"/>
      </left>
      <right/>
      <top style="thin">
        <color rgb="FF000000"/>
      </top>
      <bottom/>
      <diagonal/>
    </border>
    <border>
      <left style="thin">
        <color rgb="FF000000"/>
      </left>
      <right style="thin">
        <color indexed="64"/>
      </right>
      <top style="thin">
        <color rgb="FF000000"/>
      </top>
      <bottom/>
      <diagonal/>
    </border>
    <border>
      <left/>
      <right style="thin">
        <color rgb="FF000000"/>
      </right>
      <top style="thin">
        <color rgb="FF000000"/>
      </top>
      <bottom style="thin">
        <color indexed="64"/>
      </bottom>
      <diagonal/>
    </border>
    <border>
      <left/>
      <right/>
      <top/>
      <bottom style="thin">
        <color indexed="64"/>
      </bottom>
      <diagonal/>
    </border>
    <border>
      <left/>
      <right style="thin">
        <color rgb="FF000000"/>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rgb="FF000000"/>
      </left>
      <right/>
      <top style="thin">
        <color indexed="64"/>
      </top>
      <bottom style="medium">
        <color rgb="FF000000"/>
      </bottom>
      <diagonal/>
    </border>
    <border>
      <left/>
      <right/>
      <top style="thin">
        <color indexed="64"/>
      </top>
      <bottom style="medium">
        <color rgb="FF000000"/>
      </bottom>
      <diagonal/>
    </border>
    <border>
      <left style="thin">
        <color rgb="FF000000"/>
      </left>
      <right style="medium">
        <color rgb="FF000000"/>
      </right>
      <top style="thin">
        <color rgb="FF000000"/>
      </top>
      <bottom/>
      <diagonal/>
    </border>
    <border>
      <left style="thin">
        <color rgb="FF000000"/>
      </left>
      <right/>
      <top/>
      <bottom style="medium">
        <color rgb="FF000000"/>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right style="thin">
        <color rgb="FF000000"/>
      </right>
      <top style="medium">
        <color indexed="64"/>
      </top>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indexed="64"/>
      </bottom>
      <diagonal/>
    </border>
    <border>
      <left/>
      <right style="medium">
        <color indexed="64"/>
      </right>
      <top style="thin">
        <color rgb="FF000000"/>
      </top>
      <bottom style="thin">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style="thin">
        <color indexed="64"/>
      </top>
      <bottom style="thin">
        <color indexed="64"/>
      </bottom>
      <diagonal/>
    </border>
    <border>
      <left style="medium">
        <color indexed="64"/>
      </left>
      <right/>
      <top style="thin">
        <color indexed="64"/>
      </top>
      <bottom style="thin">
        <color rgb="FF000000"/>
      </bottom>
      <diagonal/>
    </border>
    <border>
      <left style="medium">
        <color rgb="FF000000"/>
      </left>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style="medium">
        <color rgb="FF000000"/>
      </right>
      <top/>
      <bottom style="thin">
        <color rgb="FF000000"/>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thin">
        <color indexed="64"/>
      </left>
      <right style="thin">
        <color rgb="FF000000"/>
      </right>
      <top style="thin">
        <color indexed="64"/>
      </top>
      <bottom/>
      <diagonal/>
    </border>
    <border>
      <left/>
      <right style="thin">
        <color rgb="FF000000"/>
      </right>
      <top style="thin">
        <color indexed="64"/>
      </top>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s>
  <cellStyleXfs count="34">
    <xf numFmtId="0" fontId="0" fillId="0" borderId="0"/>
    <xf numFmtId="44" fontId="32" fillId="0" borderId="0" applyFont="0" applyFill="0" applyBorder="0" applyAlignment="0" applyProtection="0"/>
    <xf numFmtId="9" fontId="46" fillId="0" borderId="0" applyFont="0" applyFill="0" applyBorder="0" applyAlignment="0" applyProtection="0"/>
    <xf numFmtId="0" fontId="47" fillId="0" borderId="52"/>
    <xf numFmtId="0" fontId="6" fillId="0" borderId="52"/>
    <xf numFmtId="0" fontId="6" fillId="0" borderId="52"/>
    <xf numFmtId="0" fontId="6" fillId="0" borderId="52"/>
    <xf numFmtId="189" fontId="47" fillId="0" borderId="52" applyFont="0" applyFill="0" applyBorder="0" applyAlignment="0" applyProtection="0"/>
    <xf numFmtId="0" fontId="47" fillId="0" borderId="52"/>
    <xf numFmtId="190" fontId="47" fillId="0" borderId="52" applyFont="0" applyFill="0" applyBorder="0" applyAlignment="0" applyProtection="0"/>
    <xf numFmtId="9" fontId="47" fillId="0" borderId="52" applyFont="0" applyFill="0" applyBorder="0" applyAlignment="0" applyProtection="0"/>
    <xf numFmtId="0" fontId="5" fillId="0" borderId="52"/>
    <xf numFmtId="0" fontId="71" fillId="0" borderId="52"/>
    <xf numFmtId="44" fontId="32" fillId="0" borderId="52" applyFont="0" applyFill="0" applyBorder="0" applyAlignment="0" applyProtection="0"/>
    <xf numFmtId="9" fontId="32" fillId="0" borderId="52" applyFont="0" applyFill="0" applyBorder="0" applyAlignment="0" applyProtection="0"/>
    <xf numFmtId="0" fontId="3" fillId="0" borderId="52"/>
    <xf numFmtId="0" fontId="3" fillId="0" borderId="52"/>
    <xf numFmtId="0" fontId="3" fillId="0" borderId="52"/>
    <xf numFmtId="0" fontId="3" fillId="0" borderId="52"/>
    <xf numFmtId="0" fontId="2" fillId="0" borderId="52"/>
    <xf numFmtId="0" fontId="2" fillId="0" borderId="52"/>
    <xf numFmtId="0" fontId="2" fillId="0" borderId="52"/>
    <xf numFmtId="205" fontId="47" fillId="0" borderId="52" applyFont="0" applyFill="0" applyBorder="0" applyAlignment="0" applyProtection="0"/>
    <xf numFmtId="206" fontId="47" fillId="0" borderId="52" applyFont="0" applyFill="0" applyBorder="0" applyAlignment="0" applyProtection="0"/>
    <xf numFmtId="0" fontId="32" fillId="0" borderId="52"/>
    <xf numFmtId="0" fontId="1" fillId="0" borderId="52"/>
    <xf numFmtId="0" fontId="1" fillId="0" borderId="52"/>
    <xf numFmtId="0" fontId="1" fillId="0" borderId="52"/>
    <xf numFmtId="0" fontId="1" fillId="0" borderId="52"/>
    <xf numFmtId="0" fontId="32" fillId="0" borderId="52"/>
    <xf numFmtId="0" fontId="1" fillId="0" borderId="52"/>
    <xf numFmtId="0" fontId="1" fillId="0" borderId="52"/>
    <xf numFmtId="0" fontId="1" fillId="0" borderId="52"/>
    <xf numFmtId="0" fontId="1" fillId="0" borderId="52"/>
  </cellStyleXfs>
  <cellXfs count="1133">
    <xf numFmtId="0" fontId="0" fillId="0" borderId="0" xfId="0"/>
    <xf numFmtId="0" fontId="12" fillId="0" borderId="0" xfId="0" applyFont="1"/>
    <xf numFmtId="0" fontId="11" fillId="0" borderId="0" xfId="0" applyFont="1"/>
    <xf numFmtId="0" fontId="13" fillId="0" borderId="0" xfId="0" applyFont="1"/>
    <xf numFmtId="0" fontId="7" fillId="0" borderId="0" xfId="0" applyFont="1" applyAlignment="1">
      <alignment vertical="center"/>
    </xf>
    <xf numFmtId="3" fontId="11" fillId="0" borderId="0" xfId="0" applyNumberFormat="1" applyFont="1"/>
    <xf numFmtId="0" fontId="7" fillId="5" borderId="10" xfId="0" applyFont="1" applyFill="1" applyBorder="1" applyAlignment="1">
      <alignment horizontal="left" vertical="center"/>
    </xf>
    <xf numFmtId="49" fontId="7" fillId="5" borderId="10" xfId="0" applyNumberFormat="1" applyFont="1" applyFill="1" applyBorder="1" applyAlignment="1">
      <alignment horizontal="center" vertical="center"/>
    </xf>
    <xf numFmtId="0" fontId="7" fillId="5" borderId="10" xfId="0" applyFont="1" applyFill="1" applyBorder="1" applyAlignment="1">
      <alignment horizontal="center" vertical="center"/>
    </xf>
    <xf numFmtId="167" fontId="7" fillId="5" borderId="10" xfId="0" applyNumberFormat="1" applyFont="1" applyFill="1" applyBorder="1" applyAlignment="1">
      <alignment horizontal="right" vertical="center"/>
    </xf>
    <xf numFmtId="164" fontId="7" fillId="5" borderId="10" xfId="0" applyNumberFormat="1" applyFont="1" applyFill="1" applyBorder="1" applyAlignment="1">
      <alignment horizontal="right" vertical="center"/>
    </xf>
    <xf numFmtId="3" fontId="7" fillId="0" borderId="0" xfId="0" applyNumberFormat="1" applyFont="1" applyAlignment="1">
      <alignment vertical="center"/>
    </xf>
    <xf numFmtId="0" fontId="18" fillId="2" borderId="20" xfId="0" applyFont="1" applyFill="1" applyBorder="1" applyAlignment="1">
      <alignment horizontal="center" vertical="center" wrapText="1"/>
    </xf>
    <xf numFmtId="49" fontId="18" fillId="2" borderId="21" xfId="0" applyNumberFormat="1"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8" fillId="2" borderId="22" xfId="0" applyFont="1" applyFill="1" applyBorder="1" applyAlignment="1">
      <alignment horizontal="center" vertical="center" wrapText="1"/>
    </xf>
    <xf numFmtId="168" fontId="18" fillId="2" borderId="22" xfId="0" applyNumberFormat="1" applyFont="1" applyFill="1" applyBorder="1" applyAlignment="1">
      <alignment horizontal="center" vertical="center" wrapText="1"/>
    </xf>
    <xf numFmtId="167" fontId="18" fillId="2" borderId="22" xfId="0" applyNumberFormat="1" applyFont="1" applyFill="1" applyBorder="1" applyAlignment="1">
      <alignment horizontal="center" vertical="center" wrapText="1"/>
    </xf>
    <xf numFmtId="164" fontId="18" fillId="2" borderId="22" xfId="0" applyNumberFormat="1" applyFont="1" applyFill="1" applyBorder="1" applyAlignment="1">
      <alignment horizontal="center" vertical="center" wrapText="1"/>
    </xf>
    <xf numFmtId="167" fontId="18" fillId="2" borderId="23" xfId="0" applyNumberFormat="1" applyFont="1" applyFill="1" applyBorder="1" applyAlignment="1">
      <alignment horizontal="right" vertical="center" wrapText="1"/>
    </xf>
    <xf numFmtId="49" fontId="8" fillId="0" borderId="0" xfId="0" applyNumberFormat="1" applyFont="1"/>
    <xf numFmtId="3" fontId="8" fillId="0" borderId="0" xfId="0" applyNumberFormat="1" applyFont="1"/>
    <xf numFmtId="0" fontId="8" fillId="0" borderId="0" xfId="0" applyFont="1"/>
    <xf numFmtId="0" fontId="10" fillId="0" borderId="18" xfId="0" applyFont="1" applyBorder="1" applyAlignment="1">
      <alignment horizontal="left" vertical="center"/>
    </xf>
    <xf numFmtId="49" fontId="10" fillId="0" borderId="18" xfId="0" applyNumberFormat="1" applyFont="1" applyBorder="1" applyAlignment="1">
      <alignment horizontal="center" vertical="center"/>
    </xf>
    <xf numFmtId="0" fontId="10" fillId="0" borderId="18" xfId="0" applyFont="1" applyBorder="1" applyAlignment="1">
      <alignment horizontal="left" vertical="center" wrapText="1"/>
    </xf>
    <xf numFmtId="0" fontId="10" fillId="0" borderId="18" xfId="0" applyFont="1" applyBorder="1" applyAlignment="1">
      <alignment horizontal="center" vertical="center"/>
    </xf>
    <xf numFmtId="168" fontId="21" fillId="0" borderId="18" xfId="0" applyNumberFormat="1" applyFont="1" applyBorder="1" applyAlignment="1">
      <alignment horizontal="center" vertical="center"/>
    </xf>
    <xf numFmtId="167" fontId="10" fillId="0" borderId="18" xfId="0" applyNumberFormat="1" applyFont="1" applyBorder="1" applyAlignment="1">
      <alignment horizontal="right" vertical="center"/>
    </xf>
    <xf numFmtId="164" fontId="10" fillId="0" borderId="18" xfId="0" applyNumberFormat="1" applyFont="1" applyBorder="1" applyAlignment="1">
      <alignment horizontal="right" vertical="center"/>
    </xf>
    <xf numFmtId="0" fontId="21" fillId="0" borderId="42" xfId="0" applyFont="1" applyBorder="1" applyAlignment="1">
      <alignment horizontal="center" vertical="center" wrapText="1"/>
    </xf>
    <xf numFmtId="49" fontId="21" fillId="0" borderId="11" xfId="0" applyNumberFormat="1" applyFont="1" applyBorder="1" applyAlignment="1">
      <alignment horizontal="center" vertical="center" wrapText="1"/>
    </xf>
    <xf numFmtId="167" fontId="10" fillId="0" borderId="12" xfId="0" applyNumberFormat="1" applyFont="1" applyBorder="1" applyAlignment="1">
      <alignment horizontal="right" vertical="center"/>
    </xf>
    <xf numFmtId="0" fontId="20" fillId="0" borderId="0" xfId="0" applyFont="1" applyAlignment="1">
      <alignment horizontal="center" vertical="center" wrapText="1"/>
    </xf>
    <xf numFmtId="49" fontId="20" fillId="0" borderId="0" xfId="0" applyNumberFormat="1" applyFont="1" applyAlignment="1">
      <alignment horizontal="center" vertical="center" wrapText="1"/>
    </xf>
    <xf numFmtId="0" fontId="21" fillId="0" borderId="0" xfId="0" applyFont="1" applyAlignment="1">
      <alignment horizontal="left" vertical="center" wrapText="1"/>
    </xf>
    <xf numFmtId="0" fontId="21" fillId="0" borderId="0" xfId="0" applyFont="1" applyAlignment="1">
      <alignment horizontal="center" vertical="center" wrapText="1"/>
    </xf>
    <xf numFmtId="168" fontId="21" fillId="0" borderId="0" xfId="0" applyNumberFormat="1" applyFont="1" applyAlignment="1">
      <alignment horizontal="center" vertical="center" wrapText="1"/>
    </xf>
    <xf numFmtId="0" fontId="7" fillId="5" borderId="10" xfId="0" applyFont="1" applyFill="1" applyBorder="1" applyAlignment="1">
      <alignment horizontal="right" vertical="center"/>
    </xf>
    <xf numFmtId="164" fontId="7" fillId="0" borderId="0" xfId="0" applyNumberFormat="1" applyFont="1" applyAlignment="1">
      <alignment horizontal="right" vertical="center"/>
    </xf>
    <xf numFmtId="167" fontId="7" fillId="0" borderId="0" xfId="0" applyNumberFormat="1" applyFont="1" applyAlignment="1">
      <alignment horizontal="right" vertical="center"/>
    </xf>
    <xf numFmtId="167" fontId="7" fillId="5" borderId="0" xfId="0" applyNumberFormat="1" applyFont="1" applyFill="1" applyAlignment="1">
      <alignment horizontal="right" vertical="center"/>
    </xf>
    <xf numFmtId="0" fontId="21" fillId="0" borderId="0" xfId="0" applyFont="1" applyAlignment="1">
      <alignment vertical="center" wrapText="1"/>
    </xf>
    <xf numFmtId="164" fontId="21" fillId="0" borderId="0" xfId="0" applyNumberFormat="1" applyFont="1" applyAlignment="1">
      <alignment vertical="center" wrapText="1"/>
    </xf>
    <xf numFmtId="3" fontId="21" fillId="0" borderId="0" xfId="0" applyNumberFormat="1" applyFont="1" applyAlignment="1">
      <alignment vertical="center" wrapText="1"/>
    </xf>
    <xf numFmtId="0" fontId="7" fillId="5" borderId="0" xfId="0" applyFont="1" applyFill="1" applyAlignment="1">
      <alignment horizontal="left" vertical="center"/>
    </xf>
    <xf numFmtId="49" fontId="7" fillId="5" borderId="0" xfId="0" applyNumberFormat="1" applyFont="1" applyFill="1" applyAlignment="1">
      <alignment horizontal="center" vertical="center"/>
    </xf>
    <xf numFmtId="0" fontId="7" fillId="5" borderId="0" xfId="0" applyFont="1" applyFill="1" applyAlignment="1">
      <alignment horizontal="center" vertical="center"/>
    </xf>
    <xf numFmtId="164" fontId="7" fillId="5" borderId="0" xfId="0" applyNumberFormat="1" applyFont="1" applyFill="1" applyAlignment="1">
      <alignment horizontal="right" vertical="center"/>
    </xf>
    <xf numFmtId="2" fontId="8" fillId="0" borderId="0" xfId="0" applyNumberFormat="1" applyFont="1"/>
    <xf numFmtId="172" fontId="11" fillId="5" borderId="48" xfId="0" applyNumberFormat="1" applyFont="1" applyFill="1" applyBorder="1"/>
    <xf numFmtId="172" fontId="11" fillId="5" borderId="10" xfId="0" applyNumberFormat="1" applyFont="1" applyFill="1" applyBorder="1"/>
    <xf numFmtId="172" fontId="8" fillId="0" borderId="0" xfId="0" applyNumberFormat="1" applyFont="1"/>
    <xf numFmtId="173" fontId="11" fillId="5" borderId="10" xfId="0" applyNumberFormat="1" applyFont="1" applyFill="1" applyBorder="1"/>
    <xf numFmtId="166" fontId="11" fillId="0" borderId="1" xfId="0" applyNumberFormat="1" applyFont="1" applyBorder="1" applyAlignment="1">
      <alignment horizontal="center"/>
    </xf>
    <xf numFmtId="1" fontId="11" fillId="0" borderId="30" xfId="0" applyNumberFormat="1" applyFont="1" applyBorder="1" applyAlignment="1">
      <alignment horizontal="center"/>
    </xf>
    <xf numFmtId="166" fontId="11" fillId="0" borderId="30" xfId="0" applyNumberFormat="1" applyFont="1" applyBorder="1" applyAlignment="1">
      <alignment horizontal="left"/>
    </xf>
    <xf numFmtId="2" fontId="11" fillId="5" borderId="10" xfId="0" applyNumberFormat="1" applyFont="1" applyFill="1" applyBorder="1"/>
    <xf numFmtId="166" fontId="11" fillId="5" borderId="10" xfId="0" applyNumberFormat="1" applyFont="1" applyFill="1" applyBorder="1"/>
    <xf numFmtId="2" fontId="9" fillId="0" borderId="1" xfId="0" applyNumberFormat="1" applyFont="1" applyBorder="1" applyAlignment="1">
      <alignment horizontal="center"/>
    </xf>
    <xf numFmtId="172" fontId="9" fillId="0" borderId="1" xfId="0" applyNumberFormat="1" applyFont="1" applyBorder="1" applyAlignment="1">
      <alignment horizontal="center"/>
    </xf>
    <xf numFmtId="166" fontId="9" fillId="0" borderId="1" xfId="0" applyNumberFormat="1" applyFont="1" applyBorder="1" applyAlignment="1">
      <alignment horizontal="center"/>
    </xf>
    <xf numFmtId="172" fontId="9" fillId="0" borderId="30" xfId="0" applyNumberFormat="1" applyFont="1" applyBorder="1" applyAlignment="1">
      <alignment horizontal="center"/>
    </xf>
    <xf numFmtId="166" fontId="9" fillId="0" borderId="30" xfId="0" applyNumberFormat="1" applyFont="1" applyBorder="1" applyAlignment="1">
      <alignment horizontal="center"/>
    </xf>
    <xf numFmtId="2" fontId="9" fillId="9" borderId="1" xfId="0" applyNumberFormat="1" applyFont="1" applyFill="1" applyBorder="1" applyAlignment="1">
      <alignment horizontal="center"/>
    </xf>
    <xf numFmtId="172" fontId="9" fillId="9" borderId="49" xfId="0" applyNumberFormat="1" applyFont="1" applyFill="1" applyBorder="1"/>
    <xf numFmtId="172" fontId="9" fillId="9" borderId="50" xfId="0" applyNumberFormat="1" applyFont="1" applyFill="1" applyBorder="1"/>
    <xf numFmtId="10" fontId="9" fillId="9" borderId="50" xfId="0" applyNumberFormat="1" applyFont="1" applyFill="1" applyBorder="1" applyAlignment="1">
      <alignment horizontal="center"/>
    </xf>
    <xf numFmtId="172" fontId="9" fillId="9" borderId="50" xfId="0" applyNumberFormat="1" applyFont="1" applyFill="1" applyBorder="1" applyAlignment="1">
      <alignment horizontal="center"/>
    </xf>
    <xf numFmtId="166" fontId="9" fillId="9" borderId="50" xfId="0" applyNumberFormat="1" applyFont="1" applyFill="1" applyBorder="1" applyAlignment="1">
      <alignment horizontal="center"/>
    </xf>
    <xf numFmtId="166" fontId="9" fillId="9" borderId="36" xfId="0" applyNumberFormat="1" applyFont="1" applyFill="1" applyBorder="1"/>
    <xf numFmtId="10" fontId="11" fillId="5" borderId="10" xfId="0" applyNumberFormat="1" applyFont="1" applyFill="1" applyBorder="1"/>
    <xf numFmtId="2" fontId="11" fillId="0" borderId="1" xfId="0" applyNumberFormat="1" applyFont="1" applyBorder="1" applyAlignment="1">
      <alignment horizontal="center"/>
    </xf>
    <xf numFmtId="172" fontId="11" fillId="5" borderId="49" xfId="0" applyNumberFormat="1" applyFont="1" applyFill="1" applyBorder="1"/>
    <xf numFmtId="172" fontId="11" fillId="5" borderId="36" xfId="0" applyNumberFormat="1" applyFont="1" applyFill="1" applyBorder="1"/>
    <xf numFmtId="10" fontId="11" fillId="0" borderId="1" xfId="0" applyNumberFormat="1" applyFont="1" applyBorder="1" applyAlignment="1">
      <alignment horizontal="center"/>
    </xf>
    <xf numFmtId="9" fontId="11" fillId="0" borderId="1" xfId="0" applyNumberFormat="1" applyFont="1" applyBorder="1" applyAlignment="1">
      <alignment horizontal="center"/>
    </xf>
    <xf numFmtId="166" fontId="11" fillId="0" borderId="1" xfId="0" applyNumberFormat="1" applyFont="1" applyBorder="1" applyAlignment="1">
      <alignment horizontal="right"/>
    </xf>
    <xf numFmtId="172" fontId="11" fillId="5" borderId="50" xfId="0" applyNumberFormat="1" applyFont="1" applyFill="1" applyBorder="1"/>
    <xf numFmtId="172" fontId="11" fillId="0" borderId="6" xfId="0" applyNumberFormat="1" applyFont="1" applyBorder="1"/>
    <xf numFmtId="172" fontId="11" fillId="0" borderId="7" xfId="0" applyNumberFormat="1" applyFont="1" applyBorder="1"/>
    <xf numFmtId="2" fontId="11" fillId="10" borderId="49" xfId="0" applyNumberFormat="1" applyFont="1" applyFill="1" applyBorder="1"/>
    <xf numFmtId="172" fontId="9" fillId="10" borderId="50" xfId="0" applyNumberFormat="1" applyFont="1" applyFill="1" applyBorder="1"/>
    <xf numFmtId="172" fontId="11" fillId="10" borderId="50" xfId="0" applyNumberFormat="1" applyFont="1" applyFill="1" applyBorder="1"/>
    <xf numFmtId="10" fontId="11" fillId="10" borderId="50" xfId="0" applyNumberFormat="1" applyFont="1" applyFill="1" applyBorder="1"/>
    <xf numFmtId="166" fontId="11" fillId="10" borderId="50" xfId="0" applyNumberFormat="1" applyFont="1" applyFill="1" applyBorder="1"/>
    <xf numFmtId="166" fontId="11" fillId="10" borderId="36" xfId="0" applyNumberFormat="1" applyFont="1" applyFill="1" applyBorder="1"/>
    <xf numFmtId="172" fontId="11" fillId="0" borderId="1" xfId="0" applyNumberFormat="1" applyFont="1" applyBorder="1" applyAlignment="1">
      <alignment horizontal="center"/>
    </xf>
    <xf numFmtId="1" fontId="11" fillId="0" borderId="1" xfId="0" applyNumberFormat="1" applyFont="1" applyBorder="1" applyAlignment="1">
      <alignment horizontal="center"/>
    </xf>
    <xf numFmtId="0" fontId="11" fillId="0" borderId="1" xfId="0" applyFont="1" applyBorder="1" applyAlignment="1">
      <alignment horizontal="center"/>
    </xf>
    <xf numFmtId="175" fontId="11" fillId="0" borderId="1" xfId="0" applyNumberFormat="1" applyFont="1" applyBorder="1" applyAlignment="1">
      <alignment horizontal="center"/>
    </xf>
    <xf numFmtId="175" fontId="11" fillId="5" borderId="10" xfId="0" applyNumberFormat="1" applyFont="1" applyFill="1" applyBorder="1"/>
    <xf numFmtId="166" fontId="11" fillId="5" borderId="50" xfId="0" applyNumberFormat="1" applyFont="1" applyFill="1" applyBorder="1"/>
    <xf numFmtId="166" fontId="11" fillId="5" borderId="36" xfId="0" applyNumberFormat="1" applyFont="1" applyFill="1" applyBorder="1"/>
    <xf numFmtId="9" fontId="9" fillId="9" borderId="50" xfId="0" applyNumberFormat="1" applyFont="1" applyFill="1" applyBorder="1" applyAlignment="1">
      <alignment horizontal="center"/>
    </xf>
    <xf numFmtId="172" fontId="11" fillId="5" borderId="49" xfId="0" applyNumberFormat="1" applyFont="1" applyFill="1" applyBorder="1" applyAlignment="1">
      <alignment horizontal="left"/>
    </xf>
    <xf numFmtId="170" fontId="11" fillId="0" borderId="1" xfId="0" applyNumberFormat="1" applyFont="1" applyBorder="1" applyAlignment="1">
      <alignment horizontal="center"/>
    </xf>
    <xf numFmtId="172" fontId="11" fillId="5" borderId="52" xfId="0" applyNumberFormat="1" applyFont="1" applyFill="1" applyBorder="1"/>
    <xf numFmtId="172" fontId="22" fillId="5" borderId="48" xfId="0" applyNumberFormat="1" applyFont="1" applyFill="1" applyBorder="1"/>
    <xf numFmtId="172" fontId="22" fillId="5" borderId="10" xfId="0" applyNumberFormat="1" applyFont="1" applyFill="1" applyBorder="1"/>
    <xf numFmtId="9" fontId="22" fillId="5" borderId="48" xfId="0" applyNumberFormat="1" applyFont="1" applyFill="1" applyBorder="1"/>
    <xf numFmtId="3" fontId="22" fillId="5" borderId="10" xfId="0" applyNumberFormat="1" applyFont="1" applyFill="1" applyBorder="1"/>
    <xf numFmtId="10" fontId="22" fillId="5" borderId="10" xfId="0" applyNumberFormat="1" applyFont="1" applyFill="1" applyBorder="1"/>
    <xf numFmtId="2" fontId="18" fillId="9" borderId="1" xfId="0" applyNumberFormat="1" applyFont="1" applyFill="1" applyBorder="1" applyAlignment="1">
      <alignment horizontal="center" wrapText="1"/>
    </xf>
    <xf numFmtId="10" fontId="24" fillId="9" borderId="36" xfId="0" applyNumberFormat="1" applyFont="1" applyFill="1" applyBorder="1" applyAlignment="1">
      <alignment horizontal="center"/>
    </xf>
    <xf numFmtId="3" fontId="11" fillId="5" borderId="10" xfId="0" applyNumberFormat="1" applyFont="1" applyFill="1" applyBorder="1"/>
    <xf numFmtId="10" fontId="9" fillId="9" borderId="36" xfId="0" applyNumberFormat="1" applyFont="1" applyFill="1" applyBorder="1" applyAlignment="1">
      <alignment horizontal="center"/>
    </xf>
    <xf numFmtId="10" fontId="9" fillId="11" borderId="36" xfId="0" applyNumberFormat="1" applyFont="1" applyFill="1" applyBorder="1" applyAlignment="1">
      <alignment horizontal="center"/>
    </xf>
    <xf numFmtId="172" fontId="11" fillId="5" borderId="35" xfId="0" applyNumberFormat="1" applyFont="1" applyFill="1" applyBorder="1"/>
    <xf numFmtId="0" fontId="26" fillId="0" borderId="0" xfId="0" applyFont="1" applyAlignment="1">
      <alignment horizontal="center" vertical="center" wrapText="1"/>
    </xf>
    <xf numFmtId="0" fontId="13" fillId="0" borderId="1" xfId="0" applyFont="1" applyBorder="1" applyAlignment="1">
      <alignment horizontal="center" vertical="center"/>
    </xf>
    <xf numFmtId="0" fontId="26" fillId="0" borderId="0" xfId="0" applyFont="1"/>
    <xf numFmtId="0" fontId="26" fillId="0" borderId="1" xfId="0" applyFont="1" applyBorder="1" applyAlignment="1">
      <alignment horizontal="left" vertical="center"/>
    </xf>
    <xf numFmtId="0" fontId="26" fillId="0" borderId="0" xfId="0" applyFont="1" applyAlignment="1">
      <alignment vertical="center" wrapText="1"/>
    </xf>
    <xf numFmtId="0" fontId="28" fillId="0" borderId="0" xfId="0" applyFont="1" applyAlignment="1">
      <alignment horizontal="center" vertical="center"/>
    </xf>
    <xf numFmtId="0" fontId="26" fillId="0" borderId="0" xfId="0" applyFont="1" applyAlignment="1">
      <alignment horizontal="center" vertical="center"/>
    </xf>
    <xf numFmtId="0" fontId="13" fillId="0" borderId="1" xfId="0" applyFont="1" applyBorder="1"/>
    <xf numFmtId="176" fontId="13" fillId="8" borderId="1" xfId="0" applyNumberFormat="1" applyFont="1" applyFill="1" applyBorder="1"/>
    <xf numFmtId="176" fontId="13" fillId="0" borderId="1" xfId="0" applyNumberFormat="1" applyFont="1" applyBorder="1"/>
    <xf numFmtId="3" fontId="29" fillId="0" borderId="0" xfId="0" applyNumberFormat="1" applyFont="1"/>
    <xf numFmtId="0" fontId="13" fillId="0" borderId="0" xfId="0" applyFont="1" applyAlignment="1">
      <alignment horizontal="center" vertical="center"/>
    </xf>
    <xf numFmtId="176" fontId="26" fillId="0" borderId="1" xfId="0" applyNumberFormat="1" applyFont="1" applyBorder="1"/>
    <xf numFmtId="0" fontId="13" fillId="0" borderId="0" xfId="0" applyFont="1" applyAlignment="1">
      <alignment wrapText="1"/>
    </xf>
    <xf numFmtId="0" fontId="30" fillId="0" borderId="0" xfId="0" applyFont="1"/>
    <xf numFmtId="176" fontId="13" fillId="0" borderId="0" xfId="0" applyNumberFormat="1" applyFont="1"/>
    <xf numFmtId="176" fontId="11" fillId="0" borderId="0" xfId="0" applyNumberFormat="1" applyFont="1"/>
    <xf numFmtId="167" fontId="26" fillId="0" borderId="1" xfId="0" applyNumberFormat="1" applyFont="1" applyBorder="1"/>
    <xf numFmtId="9" fontId="13" fillId="0" borderId="1" xfId="0" applyNumberFormat="1" applyFont="1" applyBorder="1"/>
    <xf numFmtId="170" fontId="11" fillId="0" borderId="0" xfId="0" applyNumberFormat="1" applyFont="1"/>
    <xf numFmtId="170" fontId="13" fillId="0" borderId="0" xfId="0" applyNumberFormat="1" applyFont="1"/>
    <xf numFmtId="0" fontId="13" fillId="0" borderId="56" xfId="0" applyFont="1" applyBorder="1"/>
    <xf numFmtId="0" fontId="13" fillId="0" borderId="53" xfId="0" applyFont="1" applyBorder="1"/>
    <xf numFmtId="9" fontId="26" fillId="0" borderId="0" xfId="0" applyNumberFormat="1" applyFont="1"/>
    <xf numFmtId="0" fontId="13" fillId="0" borderId="55" xfId="0" applyFont="1" applyBorder="1"/>
    <xf numFmtId="0" fontId="13" fillId="8" borderId="1" xfId="0" applyFont="1" applyFill="1" applyBorder="1"/>
    <xf numFmtId="0" fontId="0" fillId="0" borderId="0" xfId="0" applyAlignment="1">
      <alignment wrapText="1"/>
    </xf>
    <xf numFmtId="0" fontId="7" fillId="5" borderId="10" xfId="0" applyFont="1" applyFill="1" applyBorder="1" applyAlignment="1">
      <alignment horizontal="left" vertical="center" wrapText="1"/>
    </xf>
    <xf numFmtId="0" fontId="7" fillId="5" borderId="0" xfId="0" applyFont="1" applyFill="1" applyAlignment="1">
      <alignment horizontal="left" vertical="center" wrapText="1"/>
    </xf>
    <xf numFmtId="0" fontId="7" fillId="0" borderId="25" xfId="0" applyFont="1" applyBorder="1" applyAlignment="1">
      <alignment vertical="center"/>
    </xf>
    <xf numFmtId="164" fontId="7" fillId="0" borderId="25" xfId="0" applyNumberFormat="1" applyFont="1" applyBorder="1" applyAlignment="1">
      <alignment vertical="center"/>
    </xf>
    <xf numFmtId="0" fontId="7" fillId="0" borderId="52" xfId="0" applyFont="1" applyBorder="1" applyAlignment="1">
      <alignment vertical="center"/>
    </xf>
    <xf numFmtId="164" fontId="7" fillId="0" borderId="52" xfId="0" applyNumberFormat="1" applyFont="1" applyBorder="1" applyAlignment="1">
      <alignment vertical="center"/>
    </xf>
    <xf numFmtId="0" fontId="7" fillId="0" borderId="47" xfId="0" applyFont="1" applyBorder="1" applyAlignment="1">
      <alignment vertical="center"/>
    </xf>
    <xf numFmtId="164" fontId="7" fillId="0" borderId="47" xfId="0" applyNumberFormat="1" applyFont="1" applyBorder="1" applyAlignment="1">
      <alignment vertical="center"/>
    </xf>
    <xf numFmtId="168" fontId="7" fillId="0" borderId="0" xfId="0" applyNumberFormat="1" applyFont="1" applyAlignment="1">
      <alignment vertical="center"/>
    </xf>
    <xf numFmtId="44" fontId="7" fillId="0" borderId="0" xfId="1" applyFont="1" applyAlignment="1">
      <alignment vertical="center"/>
    </xf>
    <xf numFmtId="0" fontId="0" fillId="12" borderId="0" xfId="0" applyFill="1"/>
    <xf numFmtId="177" fontId="36" fillId="0" borderId="60" xfId="0" applyNumberFormat="1" applyFont="1" applyBorder="1" applyAlignment="1">
      <alignment horizontal="center" vertical="center" wrapText="1" readingOrder="1"/>
    </xf>
    <xf numFmtId="177" fontId="36" fillId="0" borderId="40" xfId="0" applyNumberFormat="1" applyFont="1" applyBorder="1" applyAlignment="1">
      <alignment horizontal="center" vertical="center" wrapText="1" readingOrder="1"/>
    </xf>
    <xf numFmtId="0" fontId="38" fillId="0" borderId="1" xfId="0" applyFont="1" applyBorder="1" applyAlignment="1">
      <alignment horizontal="right" vertical="center" wrapText="1" readingOrder="1"/>
    </xf>
    <xf numFmtId="0" fontId="36" fillId="0" borderId="9" xfId="0" applyFont="1" applyBorder="1" applyAlignment="1">
      <alignment vertical="center" wrapText="1" readingOrder="1"/>
    </xf>
    <xf numFmtId="0" fontId="37" fillId="12" borderId="52" xfId="0" applyFont="1" applyFill="1" applyBorder="1" applyAlignment="1">
      <alignment horizontal="left" vertical="top"/>
    </xf>
    <xf numFmtId="10" fontId="11" fillId="5" borderId="10" xfId="2" applyNumberFormat="1" applyFont="1" applyFill="1" applyBorder="1"/>
    <xf numFmtId="188" fontId="11" fillId="5" borderId="10" xfId="2" applyNumberFormat="1" applyFont="1" applyFill="1" applyBorder="1"/>
    <xf numFmtId="167" fontId="48" fillId="12" borderId="63" xfId="0" applyNumberFormat="1" applyFont="1" applyFill="1" applyBorder="1" applyAlignment="1">
      <alignment horizontal="right" vertical="center"/>
    </xf>
    <xf numFmtId="164" fontId="48" fillId="12" borderId="63" xfId="0" applyNumberFormat="1" applyFont="1" applyFill="1" applyBorder="1" applyAlignment="1">
      <alignment horizontal="center" vertical="center"/>
    </xf>
    <xf numFmtId="0" fontId="49" fillId="12" borderId="0" xfId="0" applyFont="1" applyFill="1"/>
    <xf numFmtId="49" fontId="21" fillId="0" borderId="63" xfId="0" applyNumberFormat="1" applyFont="1" applyBorder="1" applyAlignment="1">
      <alignment horizontal="center" vertical="center" wrapText="1"/>
    </xf>
    <xf numFmtId="44" fontId="8" fillId="0" borderId="0" xfId="1" applyFont="1"/>
    <xf numFmtId="44" fontId="13" fillId="0" borderId="0" xfId="1" applyFont="1"/>
    <xf numFmtId="44" fontId="11" fillId="0" borderId="0" xfId="1" applyFont="1"/>
    <xf numFmtId="9" fontId="11" fillId="3" borderId="52" xfId="0" applyNumberFormat="1" applyFont="1" applyFill="1" applyBorder="1"/>
    <xf numFmtId="0" fontId="15" fillId="3" borderId="115" xfId="0" applyFont="1" applyFill="1" applyBorder="1" applyAlignment="1">
      <alignment horizontal="center" vertical="center"/>
    </xf>
    <xf numFmtId="0" fontId="15" fillId="3" borderId="117" xfId="0" applyFont="1" applyFill="1" applyBorder="1" applyAlignment="1">
      <alignment horizontal="center" vertical="center"/>
    </xf>
    <xf numFmtId="0" fontId="15" fillId="4" borderId="80" xfId="0" applyFont="1" applyFill="1" applyBorder="1" applyAlignment="1">
      <alignment horizontal="center" vertical="center"/>
    </xf>
    <xf numFmtId="0" fontId="15" fillId="4" borderId="52" xfId="0" applyFont="1" applyFill="1" applyBorder="1" applyAlignment="1">
      <alignment horizontal="center" vertical="center"/>
    </xf>
    <xf numFmtId="0" fontId="15" fillId="4" borderId="81" xfId="0" applyFont="1" applyFill="1" applyBorder="1" applyAlignment="1">
      <alignment horizontal="center" vertical="center"/>
    </xf>
    <xf numFmtId="49" fontId="7" fillId="0" borderId="120" xfId="0" quotePrefix="1" applyNumberFormat="1" applyFont="1" applyBorder="1" applyAlignment="1">
      <alignment horizontal="center" vertical="center"/>
    </xf>
    <xf numFmtId="10" fontId="16" fillId="0" borderId="121" xfId="0" applyNumberFormat="1" applyFont="1" applyBorder="1" applyAlignment="1">
      <alignment vertical="center"/>
    </xf>
    <xf numFmtId="49" fontId="7" fillId="0" borderId="80" xfId="0" quotePrefix="1" applyNumberFormat="1" applyFont="1" applyBorder="1" applyAlignment="1">
      <alignment horizontal="center" vertical="center"/>
    </xf>
    <xf numFmtId="10" fontId="16" fillId="0" borderId="81" xfId="0" applyNumberFormat="1" applyFont="1" applyBorder="1" applyAlignment="1">
      <alignment vertical="center"/>
    </xf>
    <xf numFmtId="0" fontId="7" fillId="0" borderId="122" xfId="0" applyFont="1" applyBorder="1" applyAlignment="1">
      <alignment vertical="center"/>
    </xf>
    <xf numFmtId="10" fontId="16" fillId="0" borderId="123" xfId="0" applyNumberFormat="1" applyFont="1" applyBorder="1" applyAlignment="1">
      <alignment vertical="center"/>
    </xf>
    <xf numFmtId="0" fontId="9" fillId="3" borderId="124" xfId="0" applyFont="1" applyFill="1" applyBorder="1"/>
    <xf numFmtId="0" fontId="11" fillId="3" borderId="43" xfId="0" applyFont="1" applyFill="1" applyBorder="1"/>
    <xf numFmtId="164" fontId="9" fillId="0" borderId="43" xfId="0" applyNumberFormat="1" applyFont="1" applyBorder="1"/>
    <xf numFmtId="0" fontId="11" fillId="0" borderId="125" xfId="0" applyFont="1" applyBorder="1"/>
    <xf numFmtId="0" fontId="9" fillId="0" borderId="80" xfId="0" applyFont="1" applyBorder="1"/>
    <xf numFmtId="0" fontId="11" fillId="0" borderId="52" xfId="0" applyFont="1" applyBorder="1"/>
    <xf numFmtId="164" fontId="11" fillId="0" borderId="52" xfId="0" applyNumberFormat="1" applyFont="1" applyBorder="1"/>
    <xf numFmtId="0" fontId="11" fillId="0" borderId="81" xfId="0" applyFont="1" applyBorder="1"/>
    <xf numFmtId="0" fontId="9" fillId="3" borderId="80" xfId="0" applyFont="1" applyFill="1" applyBorder="1"/>
    <xf numFmtId="10" fontId="11" fillId="3" borderId="52" xfId="0" applyNumberFormat="1" applyFont="1" applyFill="1" applyBorder="1"/>
    <xf numFmtId="166" fontId="11" fillId="0" borderId="52" xfId="0" applyNumberFormat="1" applyFont="1" applyBorder="1"/>
    <xf numFmtId="166" fontId="9" fillId="0" borderId="52" xfId="0" applyNumberFormat="1" applyFont="1" applyBorder="1"/>
    <xf numFmtId="0" fontId="12" fillId="0" borderId="80" xfId="0" applyFont="1" applyBorder="1"/>
    <xf numFmtId="0" fontId="12" fillId="0" borderId="52" xfId="0" applyFont="1" applyBorder="1"/>
    <xf numFmtId="170" fontId="9" fillId="3" borderId="52" xfId="0" applyNumberFormat="1" applyFont="1" applyFill="1" applyBorder="1"/>
    <xf numFmtId="0" fontId="20" fillId="12" borderId="0" xfId="0" applyFont="1" applyFill="1" applyAlignment="1">
      <alignment vertical="center"/>
    </xf>
    <xf numFmtId="0" fontId="8" fillId="12" borderId="0" xfId="0" applyFont="1" applyFill="1"/>
    <xf numFmtId="49" fontId="21" fillId="16" borderId="63" xfId="0" applyNumberFormat="1" applyFont="1" applyFill="1" applyBorder="1" applyAlignment="1">
      <alignment horizontal="center" vertical="center"/>
    </xf>
    <xf numFmtId="0" fontId="21" fillId="16" borderId="63" xfId="0" applyFont="1" applyFill="1" applyBorder="1" applyAlignment="1">
      <alignment vertical="center"/>
    </xf>
    <xf numFmtId="0" fontId="21" fillId="16" borderId="63" xfId="0" applyFont="1" applyFill="1" applyBorder="1" applyAlignment="1">
      <alignment horizontal="right" vertical="center"/>
    </xf>
    <xf numFmtId="164" fontId="21" fillId="16" borderId="63" xfId="0" applyNumberFormat="1" applyFont="1" applyFill="1" applyBorder="1" applyAlignment="1">
      <alignment vertical="center"/>
    </xf>
    <xf numFmtId="3" fontId="20" fillId="12" borderId="0" xfId="0" applyNumberFormat="1" applyFont="1" applyFill="1" applyAlignment="1">
      <alignment vertical="center"/>
    </xf>
    <xf numFmtId="49" fontId="21" fillId="5" borderId="63" xfId="0" applyNumberFormat="1" applyFont="1" applyFill="1" applyBorder="1" applyAlignment="1">
      <alignment horizontal="center" vertical="center" wrapText="1"/>
    </xf>
    <xf numFmtId="0" fontId="21" fillId="12" borderId="63" xfId="0" applyFont="1" applyFill="1" applyBorder="1" applyAlignment="1">
      <alignment vertical="center" wrapText="1"/>
    </xf>
    <xf numFmtId="168" fontId="21" fillId="12" borderId="63" xfId="0" applyNumberFormat="1" applyFont="1" applyFill="1" applyBorder="1" applyAlignment="1">
      <alignment horizontal="center" vertical="center"/>
    </xf>
    <xf numFmtId="49" fontId="53" fillId="12" borderId="0" xfId="0" applyNumberFormat="1" applyFont="1" applyFill="1"/>
    <xf numFmtId="164" fontId="53" fillId="12" borderId="0" xfId="0" applyNumberFormat="1" applyFont="1" applyFill="1"/>
    <xf numFmtId="3" fontId="53" fillId="12" borderId="0" xfId="0" applyNumberFormat="1" applyFont="1" applyFill="1"/>
    <xf numFmtId="0" fontId="21" fillId="12" borderId="0" xfId="0" applyFont="1" applyFill="1" applyAlignment="1">
      <alignment vertical="center"/>
    </xf>
    <xf numFmtId="0" fontId="53" fillId="12" borderId="0" xfId="0" applyFont="1" applyFill="1"/>
    <xf numFmtId="0" fontId="21" fillId="0" borderId="63" xfId="0" applyFont="1" applyBorder="1" applyAlignment="1">
      <alignment vertical="center" wrapText="1"/>
    </xf>
    <xf numFmtId="0" fontId="21" fillId="5" borderId="63" xfId="0" applyFont="1" applyFill="1" applyBorder="1" applyAlignment="1">
      <alignment horizontal="center" vertical="center" wrapText="1"/>
    </xf>
    <xf numFmtId="49" fontId="53" fillId="0" borderId="0" xfId="0" applyNumberFormat="1" applyFont="1"/>
    <xf numFmtId="164" fontId="53" fillId="0" borderId="0" xfId="0" applyNumberFormat="1" applyFont="1"/>
    <xf numFmtId="3" fontId="53" fillId="0" borderId="0" xfId="0" applyNumberFormat="1" applyFont="1"/>
    <xf numFmtId="0" fontId="21" fillId="0" borderId="0" xfId="0" applyFont="1" applyAlignment="1">
      <alignment vertical="center"/>
    </xf>
    <xf numFmtId="0" fontId="53" fillId="0" borderId="0" xfId="0" applyFont="1"/>
    <xf numFmtId="49" fontId="21" fillId="12" borderId="63" xfId="0" applyNumberFormat="1" applyFont="1" applyFill="1" applyBorder="1" applyAlignment="1">
      <alignment horizontal="center" vertical="center"/>
    </xf>
    <xf numFmtId="44" fontId="53" fillId="12" borderId="0" xfId="1" applyFont="1" applyFill="1"/>
    <xf numFmtId="49" fontId="21" fillId="0" borderId="63" xfId="0" applyNumberFormat="1" applyFont="1" applyBorder="1" applyAlignment="1">
      <alignment horizontal="center" vertical="center"/>
    </xf>
    <xf numFmtId="0" fontId="8" fillId="0" borderId="63" xfId="0" applyFont="1" applyBorder="1"/>
    <xf numFmtId="49" fontId="53" fillId="12" borderId="0" xfId="0" applyNumberFormat="1" applyFont="1" applyFill="1" applyAlignment="1">
      <alignment wrapText="1"/>
    </xf>
    <xf numFmtId="164" fontId="53" fillId="12" borderId="0" xfId="0" applyNumberFormat="1" applyFont="1" applyFill="1" applyAlignment="1">
      <alignment wrapText="1"/>
    </xf>
    <xf numFmtId="3" fontId="53" fillId="12" borderId="0" xfId="0" applyNumberFormat="1" applyFont="1" applyFill="1" applyAlignment="1">
      <alignment wrapText="1"/>
    </xf>
    <xf numFmtId="0" fontId="21" fillId="12" borderId="0" xfId="0" applyFont="1" applyFill="1" applyAlignment="1">
      <alignment vertical="center" wrapText="1"/>
    </xf>
    <xf numFmtId="0" fontId="53" fillId="12" borderId="0" xfId="0" applyFont="1" applyFill="1" applyAlignment="1">
      <alignment wrapText="1"/>
    </xf>
    <xf numFmtId="49" fontId="21" fillId="12" borderId="63" xfId="0" applyNumberFormat="1" applyFont="1" applyFill="1" applyBorder="1" applyAlignment="1">
      <alignment horizontal="center" vertical="center" wrapText="1"/>
    </xf>
    <xf numFmtId="49" fontId="49" fillId="12" borderId="0" xfId="0" applyNumberFormat="1" applyFont="1" applyFill="1"/>
    <xf numFmtId="49" fontId="55" fillId="9" borderId="63" xfId="0" applyNumberFormat="1" applyFont="1" applyFill="1" applyBorder="1" applyAlignment="1">
      <alignment vertical="center" wrapText="1" readingOrder="1"/>
    </xf>
    <xf numFmtId="177" fontId="55" fillId="9" borderId="36" xfId="0" applyNumberFormat="1" applyFont="1" applyFill="1" applyBorder="1" applyAlignment="1">
      <alignment horizontal="center" vertical="center" wrapText="1" readingOrder="1"/>
    </xf>
    <xf numFmtId="178" fontId="55" fillId="9" borderId="8" xfId="0" applyNumberFormat="1" applyFont="1" applyFill="1" applyBorder="1" applyAlignment="1">
      <alignment horizontal="center" vertical="center" wrapText="1" readingOrder="1"/>
    </xf>
    <xf numFmtId="49" fontId="55" fillId="9" borderId="63" xfId="0" applyNumberFormat="1" applyFont="1" applyFill="1" applyBorder="1" applyAlignment="1">
      <alignment horizontal="left" vertical="center" wrapText="1" readingOrder="1"/>
    </xf>
    <xf numFmtId="44" fontId="55" fillId="9" borderId="63" xfId="1" applyFont="1" applyFill="1" applyBorder="1" applyAlignment="1">
      <alignment horizontal="center" vertical="center" wrapText="1" readingOrder="1"/>
    </xf>
    <xf numFmtId="178" fontId="55" fillId="9" borderId="63" xfId="0" applyNumberFormat="1" applyFont="1" applyFill="1" applyBorder="1" applyAlignment="1">
      <alignment horizontal="center" vertical="center" wrapText="1" readingOrder="1"/>
    </xf>
    <xf numFmtId="0" fontId="49" fillId="12" borderId="0" xfId="0" applyFont="1" applyFill="1" applyAlignment="1">
      <alignment wrapText="1"/>
    </xf>
    <xf numFmtId="0" fontId="55" fillId="0" borderId="63" xfId="0" applyFont="1" applyBorder="1" applyAlignment="1">
      <alignment horizontal="left" vertical="center" wrapText="1" readingOrder="1"/>
    </xf>
    <xf numFmtId="0" fontId="55" fillId="0" borderId="63" xfId="0" applyFont="1" applyBorder="1" applyAlignment="1">
      <alignment horizontal="left" vertical="top" wrapText="1" readingOrder="1"/>
    </xf>
    <xf numFmtId="179" fontId="55" fillId="0" borderId="63" xfId="0" applyNumberFormat="1" applyFont="1" applyBorder="1" applyAlignment="1">
      <alignment horizontal="left" vertical="top" wrapText="1" readingOrder="1"/>
    </xf>
    <xf numFmtId="177" fontId="55" fillId="0" borderId="63" xfId="0" applyNumberFormat="1" applyFont="1" applyBorder="1" applyAlignment="1">
      <alignment horizontal="left" vertical="top" wrapText="1" readingOrder="1"/>
    </xf>
    <xf numFmtId="0" fontId="55" fillId="0" borderId="63" xfId="0" applyFont="1" applyBorder="1" applyAlignment="1">
      <alignment horizontal="center" vertical="center" wrapText="1" readingOrder="1"/>
    </xf>
    <xf numFmtId="177" fontId="55" fillId="0" borderId="63" xfId="0" applyNumberFormat="1" applyFont="1" applyBorder="1" applyAlignment="1">
      <alignment horizontal="center" vertical="center" wrapText="1" readingOrder="1"/>
    </xf>
    <xf numFmtId="180" fontId="56" fillId="5" borderId="63" xfId="0" applyNumberFormat="1" applyFont="1" applyFill="1" applyBorder="1" applyAlignment="1">
      <alignment horizontal="center" vertical="center"/>
    </xf>
    <xf numFmtId="181" fontId="56" fillId="5" borderId="63" xfId="0" applyNumberFormat="1" applyFont="1" applyFill="1" applyBorder="1" applyAlignment="1">
      <alignment horizontal="center" vertical="center"/>
    </xf>
    <xf numFmtId="167" fontId="56" fillId="0" borderId="63" xfId="0" applyNumberFormat="1" applyFont="1" applyBorder="1" applyAlignment="1">
      <alignment horizontal="center" vertical="center" wrapText="1" readingOrder="1"/>
    </xf>
    <xf numFmtId="177" fontId="56" fillId="0" borderId="63" xfId="0" applyNumberFormat="1" applyFont="1" applyBorder="1" applyAlignment="1">
      <alignment horizontal="center" vertical="center" wrapText="1" readingOrder="1"/>
    </xf>
    <xf numFmtId="182" fontId="56" fillId="5" borderId="63" xfId="0" applyNumberFormat="1" applyFont="1" applyFill="1" applyBorder="1" applyAlignment="1">
      <alignment horizontal="center" vertical="center"/>
    </xf>
    <xf numFmtId="0" fontId="55" fillId="13" borderId="63" xfId="0" applyFont="1" applyFill="1" applyBorder="1" applyAlignment="1">
      <alignment horizontal="left" vertical="top" wrapText="1" readingOrder="1"/>
    </xf>
    <xf numFmtId="0" fontId="55" fillId="13" borderId="63" xfId="0" applyFont="1" applyFill="1" applyBorder="1" applyAlignment="1">
      <alignment horizontal="right" vertical="top" wrapText="1" readingOrder="1"/>
    </xf>
    <xf numFmtId="177" fontId="55" fillId="13" borderId="63" xfId="0" applyNumberFormat="1" applyFont="1" applyFill="1" applyBorder="1" applyAlignment="1">
      <alignment horizontal="center" vertical="center" wrapText="1" readingOrder="1"/>
    </xf>
    <xf numFmtId="0" fontId="55" fillId="0" borderId="63" xfId="0" applyFont="1" applyBorder="1" applyAlignment="1">
      <alignment horizontal="right" vertical="top" wrapText="1" readingOrder="1"/>
    </xf>
    <xf numFmtId="183" fontId="56" fillId="0" borderId="63" xfId="0" applyNumberFormat="1" applyFont="1" applyBorder="1" applyAlignment="1">
      <alignment horizontal="center" vertical="center" wrapText="1" readingOrder="1"/>
    </xf>
    <xf numFmtId="2" fontId="56" fillId="0" borderId="63" xfId="0" applyNumberFormat="1" applyFont="1" applyBorder="1" applyAlignment="1">
      <alignment horizontal="center" vertical="center" wrapText="1" readingOrder="1"/>
    </xf>
    <xf numFmtId="0" fontId="56" fillId="0" borderId="63" xfId="0" applyFont="1" applyBorder="1" applyAlignment="1">
      <alignment horizontal="center" vertical="center" wrapText="1" readingOrder="1"/>
    </xf>
    <xf numFmtId="167" fontId="55" fillId="13" borderId="63" xfId="0" applyNumberFormat="1" applyFont="1" applyFill="1" applyBorder="1" applyAlignment="1">
      <alignment horizontal="center" vertical="center" wrapText="1" readingOrder="1"/>
    </xf>
    <xf numFmtId="177" fontId="55" fillId="13" borderId="63" xfId="0" applyNumberFormat="1" applyFont="1" applyFill="1" applyBorder="1" applyAlignment="1">
      <alignment horizontal="left" vertical="top" wrapText="1" readingOrder="1"/>
    </xf>
    <xf numFmtId="177" fontId="55" fillId="9" borderId="63" xfId="0" applyNumberFormat="1" applyFont="1" applyFill="1" applyBorder="1" applyAlignment="1">
      <alignment horizontal="center" vertical="center" wrapText="1" readingOrder="1"/>
    </xf>
    <xf numFmtId="0" fontId="55" fillId="0" borderId="90" xfId="0" applyFont="1" applyBorder="1" applyAlignment="1">
      <alignment vertical="center" wrapText="1" readingOrder="1"/>
    </xf>
    <xf numFmtId="177" fontId="55" fillId="0" borderId="92" xfId="0" applyNumberFormat="1" applyFont="1" applyBorder="1" applyAlignment="1">
      <alignment horizontal="center" vertical="center" wrapText="1" readingOrder="1"/>
    </xf>
    <xf numFmtId="177" fontId="55" fillId="0" borderId="93" xfId="0" applyNumberFormat="1" applyFont="1" applyBorder="1" applyAlignment="1">
      <alignment horizontal="center" vertical="center" wrapText="1" readingOrder="1"/>
    </xf>
    <xf numFmtId="178" fontId="55" fillId="9" borderId="94" xfId="0" applyNumberFormat="1" applyFont="1" applyFill="1" applyBorder="1" applyAlignment="1">
      <alignment horizontal="center" vertical="center" wrapText="1" readingOrder="1"/>
    </xf>
    <xf numFmtId="0" fontId="55" fillId="0" borderId="62" xfId="0" applyFont="1" applyBorder="1" applyAlignment="1">
      <alignment horizontal="left" vertical="center" wrapText="1" readingOrder="1"/>
    </xf>
    <xf numFmtId="0" fontId="55" fillId="0" borderId="59" xfId="0" applyFont="1" applyBorder="1" applyAlignment="1">
      <alignment horizontal="left" vertical="center" wrapText="1" readingOrder="1"/>
    </xf>
    <xf numFmtId="0" fontId="55" fillId="0" borderId="59" xfId="0" applyFont="1" applyBorder="1" applyAlignment="1">
      <alignment horizontal="left" vertical="top" wrapText="1" readingOrder="1"/>
    </xf>
    <xf numFmtId="179" fontId="55" fillId="0" borderId="59" xfId="0" applyNumberFormat="1" applyFont="1" applyBorder="1" applyAlignment="1">
      <alignment horizontal="left" vertical="top" wrapText="1" readingOrder="1"/>
    </xf>
    <xf numFmtId="177" fontId="55" fillId="0" borderId="59" xfId="0" applyNumberFormat="1" applyFont="1" applyBorder="1" applyAlignment="1">
      <alignment horizontal="left" vertical="top" wrapText="1" readingOrder="1"/>
    </xf>
    <xf numFmtId="177" fontId="55" fillId="0" borderId="94" xfId="0" applyNumberFormat="1" applyFont="1" applyBorder="1" applyAlignment="1">
      <alignment horizontal="left" vertical="top" wrapText="1" readingOrder="1"/>
    </xf>
    <xf numFmtId="0" fontId="55" fillId="0" borderId="36" xfId="0" applyFont="1" applyBorder="1" applyAlignment="1">
      <alignment horizontal="center" vertical="center" wrapText="1" readingOrder="1"/>
    </xf>
    <xf numFmtId="177" fontId="55" fillId="0" borderId="36" xfId="0" applyNumberFormat="1" applyFont="1" applyBorder="1" applyAlignment="1">
      <alignment horizontal="center" vertical="center" wrapText="1" readingOrder="1"/>
    </xf>
    <xf numFmtId="177" fontId="55" fillId="0" borderId="94" xfId="0" applyNumberFormat="1" applyFont="1" applyBorder="1" applyAlignment="1">
      <alignment horizontal="center" vertical="center" wrapText="1" readingOrder="1"/>
    </xf>
    <xf numFmtId="180" fontId="56" fillId="5" borderId="1" xfId="0" applyNumberFormat="1" applyFont="1" applyFill="1" applyBorder="1" applyAlignment="1">
      <alignment horizontal="center" vertical="center"/>
    </xf>
    <xf numFmtId="181" fontId="56" fillId="5" borderId="1" xfId="0" applyNumberFormat="1" applyFont="1" applyFill="1" applyBorder="1" applyAlignment="1">
      <alignment horizontal="center" vertical="center"/>
    </xf>
    <xf numFmtId="167" fontId="56" fillId="0" borderId="36" xfId="0" applyNumberFormat="1" applyFont="1" applyBorder="1" applyAlignment="1">
      <alignment horizontal="center" vertical="center" wrapText="1" readingOrder="1"/>
    </xf>
    <xf numFmtId="177" fontId="56" fillId="0" borderId="94" xfId="0" applyNumberFormat="1" applyFont="1" applyBorder="1" applyAlignment="1">
      <alignment horizontal="center" vertical="center" wrapText="1" readingOrder="1"/>
    </xf>
    <xf numFmtId="182" fontId="56" fillId="5" borderId="1" xfId="0" applyNumberFormat="1" applyFont="1" applyFill="1" applyBorder="1" applyAlignment="1">
      <alignment horizontal="center" vertical="center"/>
    </xf>
    <xf numFmtId="0" fontId="55" fillId="13" borderId="59" xfId="0" applyFont="1" applyFill="1" applyBorder="1" applyAlignment="1">
      <alignment horizontal="left" vertical="top" wrapText="1" readingOrder="1"/>
    </xf>
    <xf numFmtId="0" fontId="55" fillId="13" borderId="56" xfId="0" applyFont="1" applyFill="1" applyBorder="1" applyAlignment="1">
      <alignment horizontal="left" vertical="top" wrapText="1" readingOrder="1"/>
    </xf>
    <xf numFmtId="0" fontId="55" fillId="13" borderId="60" xfId="0" applyFont="1" applyFill="1" applyBorder="1" applyAlignment="1">
      <alignment horizontal="left" vertical="top" wrapText="1" readingOrder="1"/>
    </xf>
    <xf numFmtId="0" fontId="55" fillId="13" borderId="60" xfId="0" applyFont="1" applyFill="1" applyBorder="1" applyAlignment="1">
      <alignment horizontal="right" vertical="top" wrapText="1" readingOrder="1"/>
    </xf>
    <xf numFmtId="177" fontId="55" fillId="13" borderId="96" xfId="0" applyNumberFormat="1" applyFont="1" applyFill="1" applyBorder="1" applyAlignment="1">
      <alignment horizontal="center" vertical="center" wrapText="1" readingOrder="1"/>
    </xf>
    <xf numFmtId="0" fontId="55" fillId="0" borderId="59" xfId="0" applyFont="1" applyBorder="1" applyAlignment="1">
      <alignment horizontal="right" vertical="top" wrapText="1" readingOrder="1"/>
    </xf>
    <xf numFmtId="0" fontId="55" fillId="0" borderId="1" xfId="0" applyFont="1" applyBorder="1" applyAlignment="1">
      <alignment horizontal="center" vertical="center" wrapText="1" readingOrder="1"/>
    </xf>
    <xf numFmtId="0" fontId="55" fillId="0" borderId="60" xfId="0" applyFont="1" applyBorder="1" applyAlignment="1">
      <alignment horizontal="center" vertical="center" wrapText="1" readingOrder="1"/>
    </xf>
    <xf numFmtId="177" fontId="55" fillId="0" borderId="60" xfId="0" applyNumberFormat="1" applyFont="1" applyBorder="1" applyAlignment="1">
      <alignment horizontal="center" vertical="center" wrapText="1" readingOrder="1"/>
    </xf>
    <xf numFmtId="177" fontId="55" fillId="0" borderId="96" xfId="0" applyNumberFormat="1" applyFont="1" applyBorder="1" applyAlignment="1">
      <alignment horizontal="center" vertical="center" wrapText="1" readingOrder="1"/>
    </xf>
    <xf numFmtId="183" fontId="56" fillId="0" borderId="60" xfId="0" applyNumberFormat="1" applyFont="1" applyBorder="1" applyAlignment="1">
      <alignment horizontal="center" vertical="center" wrapText="1" readingOrder="1"/>
    </xf>
    <xf numFmtId="2" fontId="56" fillId="0" borderId="60" xfId="0" applyNumberFormat="1" applyFont="1" applyBorder="1" applyAlignment="1">
      <alignment horizontal="center" vertical="center" wrapText="1" readingOrder="1"/>
    </xf>
    <xf numFmtId="177" fontId="56" fillId="0" borderId="96" xfId="0" applyNumberFormat="1" applyFont="1" applyBorder="1" applyAlignment="1">
      <alignment horizontal="center" vertical="center" wrapText="1" readingOrder="1"/>
    </xf>
    <xf numFmtId="0" fontId="56" fillId="0" borderId="60" xfId="0" applyFont="1" applyBorder="1" applyAlignment="1">
      <alignment horizontal="center" vertical="center" wrapText="1" readingOrder="1"/>
    </xf>
    <xf numFmtId="0" fontId="55" fillId="13" borderId="1" xfId="0" applyFont="1" applyFill="1" applyBorder="1" applyAlignment="1">
      <alignment horizontal="left" vertical="top" wrapText="1" readingOrder="1"/>
    </xf>
    <xf numFmtId="0" fontId="55" fillId="13" borderId="1" xfId="0" applyFont="1" applyFill="1" applyBorder="1" applyAlignment="1">
      <alignment horizontal="right" vertical="top" wrapText="1" readingOrder="1"/>
    </xf>
    <xf numFmtId="167" fontId="55" fillId="13" borderId="98" xfId="0" applyNumberFormat="1" applyFont="1" applyFill="1" applyBorder="1" applyAlignment="1">
      <alignment horizontal="center" vertical="center" wrapText="1" readingOrder="1"/>
    </xf>
    <xf numFmtId="0" fontId="55" fillId="0" borderId="62" xfId="0" applyFont="1" applyBorder="1" applyAlignment="1">
      <alignment horizontal="left" vertical="top" wrapText="1" readingOrder="1"/>
    </xf>
    <xf numFmtId="179" fontId="55" fillId="0" borderId="62" xfId="0" applyNumberFormat="1" applyFont="1" applyBorder="1" applyAlignment="1">
      <alignment horizontal="left" vertical="top" wrapText="1" readingOrder="1"/>
    </xf>
    <xf numFmtId="177" fontId="55" fillId="0" borderId="62" xfId="0" applyNumberFormat="1" applyFont="1" applyBorder="1" applyAlignment="1">
      <alignment horizontal="left" vertical="top" wrapText="1" readingOrder="1"/>
    </xf>
    <xf numFmtId="177" fontId="55" fillId="0" borderId="99" xfId="0" applyNumberFormat="1" applyFont="1" applyBorder="1" applyAlignment="1">
      <alignment horizontal="left" vertical="top" wrapText="1" readingOrder="1"/>
    </xf>
    <xf numFmtId="0" fontId="56" fillId="0" borderId="36" xfId="0" applyFont="1" applyBorder="1" applyAlignment="1">
      <alignment horizontal="center" vertical="center" wrapText="1" readingOrder="1"/>
    </xf>
    <xf numFmtId="177" fontId="56" fillId="0" borderId="36" xfId="0" applyNumberFormat="1" applyFont="1" applyBorder="1" applyAlignment="1">
      <alignment horizontal="center" vertical="center" wrapText="1" readingOrder="1"/>
    </xf>
    <xf numFmtId="0" fontId="55" fillId="13" borderId="36" xfId="0" applyFont="1" applyFill="1" applyBorder="1" applyAlignment="1">
      <alignment horizontal="left" vertical="top" wrapText="1" readingOrder="1"/>
    </xf>
    <xf numFmtId="0" fontId="55" fillId="13" borderId="36" xfId="0" applyFont="1" applyFill="1" applyBorder="1" applyAlignment="1">
      <alignment horizontal="right" vertical="top" wrapText="1" readingOrder="1"/>
    </xf>
    <xf numFmtId="177" fontId="55" fillId="13" borderId="94" xfId="0" applyNumberFormat="1" applyFont="1" applyFill="1" applyBorder="1" applyAlignment="1">
      <alignment horizontal="center" vertical="center" wrapText="1" readingOrder="1"/>
    </xf>
    <xf numFmtId="177" fontId="56" fillId="0" borderId="56" xfId="0" applyNumberFormat="1" applyFont="1" applyBorder="1" applyAlignment="1">
      <alignment horizontal="center" vertical="center" wrapText="1" readingOrder="1"/>
    </xf>
    <xf numFmtId="177" fontId="56" fillId="0" borderId="98" xfId="0" applyNumberFormat="1" applyFont="1" applyBorder="1" applyAlignment="1">
      <alignment horizontal="center" vertical="center" wrapText="1" readingOrder="1"/>
    </xf>
    <xf numFmtId="177" fontId="56" fillId="0" borderId="101" xfId="0" applyNumberFormat="1" applyFont="1" applyBorder="1" applyAlignment="1">
      <alignment horizontal="center" vertical="center" wrapText="1" readingOrder="1"/>
    </xf>
    <xf numFmtId="0" fontId="56" fillId="9" borderId="63" xfId="0" applyFont="1" applyFill="1" applyBorder="1" applyAlignment="1">
      <alignment horizontal="left" wrapText="1" readingOrder="1"/>
    </xf>
    <xf numFmtId="177" fontId="55" fillId="14" borderId="63" xfId="0" applyNumberFormat="1" applyFont="1" applyFill="1" applyBorder="1" applyAlignment="1">
      <alignment horizontal="center" vertical="center" wrapText="1" readingOrder="1"/>
    </xf>
    <xf numFmtId="0" fontId="56" fillId="14" borderId="52" xfId="0" applyFont="1" applyFill="1" applyBorder="1" applyAlignment="1">
      <alignment horizontal="center" wrapText="1" readingOrder="1"/>
    </xf>
    <xf numFmtId="0" fontId="56" fillId="0" borderId="64" xfId="0" applyFont="1" applyBorder="1" applyAlignment="1">
      <alignment horizontal="center" vertical="center" wrapText="1" readingOrder="1"/>
    </xf>
    <xf numFmtId="177" fontId="56" fillId="0" borderId="64" xfId="0" applyNumberFormat="1" applyFont="1" applyBorder="1" applyAlignment="1">
      <alignment horizontal="center" vertical="center" wrapText="1" readingOrder="1"/>
    </xf>
    <xf numFmtId="177" fontId="49" fillId="12" borderId="0" xfId="0" applyNumberFormat="1" applyFont="1" applyFill="1"/>
    <xf numFmtId="0" fontId="55" fillId="0" borderId="56" xfId="0" applyFont="1" applyBorder="1" applyAlignment="1">
      <alignment horizontal="left" vertical="center" wrapText="1" readingOrder="1"/>
    </xf>
    <xf numFmtId="0" fontId="55" fillId="0" borderId="56" xfId="0" applyFont="1" applyBorder="1" applyAlignment="1">
      <alignment horizontal="left" vertical="top" wrapText="1" readingOrder="1"/>
    </xf>
    <xf numFmtId="177" fontId="55" fillId="0" borderId="52" xfId="0" applyNumberFormat="1" applyFont="1" applyBorder="1" applyAlignment="1">
      <alignment horizontal="left" vertical="top" wrapText="1" readingOrder="1"/>
    </xf>
    <xf numFmtId="177" fontId="55" fillId="0" borderId="106" xfId="0" applyNumberFormat="1" applyFont="1" applyBorder="1" applyAlignment="1">
      <alignment horizontal="left" vertical="top" wrapText="1" readingOrder="1"/>
    </xf>
    <xf numFmtId="0" fontId="55" fillId="13" borderId="103" xfId="0" applyFont="1" applyFill="1" applyBorder="1" applyAlignment="1">
      <alignment horizontal="left" vertical="top" wrapText="1" readingOrder="1"/>
    </xf>
    <xf numFmtId="0" fontId="55" fillId="13" borderId="104" xfId="0" applyFont="1" applyFill="1" applyBorder="1" applyAlignment="1">
      <alignment horizontal="right" vertical="top" wrapText="1" readingOrder="1"/>
    </xf>
    <xf numFmtId="177" fontId="55" fillId="13" borderId="105" xfId="0" applyNumberFormat="1" applyFont="1" applyFill="1" applyBorder="1" applyAlignment="1">
      <alignment horizontal="left" vertical="top" wrapText="1" readingOrder="1"/>
    </xf>
    <xf numFmtId="0" fontId="56" fillId="9" borderId="103" xfId="0" applyFont="1" applyFill="1" applyBorder="1" applyAlignment="1">
      <alignment horizontal="left" wrapText="1" readingOrder="1"/>
    </xf>
    <xf numFmtId="177" fontId="55" fillId="9" borderId="105" xfId="0" applyNumberFormat="1" applyFont="1" applyFill="1" applyBorder="1" applyAlignment="1">
      <alignment horizontal="center" vertical="center" wrapText="1" readingOrder="1"/>
    </xf>
    <xf numFmtId="0" fontId="56" fillId="14" borderId="52" xfId="0" applyFont="1" applyFill="1" applyBorder="1" applyAlignment="1">
      <alignment horizontal="left" wrapText="1" readingOrder="1"/>
    </xf>
    <xf numFmtId="0" fontId="55" fillId="14" borderId="52" xfId="0" applyFont="1" applyFill="1" applyBorder="1" applyAlignment="1">
      <alignment horizontal="right" vertical="center" wrapText="1" readingOrder="1"/>
    </xf>
    <xf numFmtId="177" fontId="55" fillId="14" borderId="52" xfId="0" applyNumberFormat="1" applyFont="1" applyFill="1" applyBorder="1" applyAlignment="1">
      <alignment horizontal="center" vertical="center" wrapText="1" readingOrder="1"/>
    </xf>
    <xf numFmtId="0" fontId="55" fillId="0" borderId="87" xfId="0" applyFont="1" applyBorder="1" applyAlignment="1">
      <alignment vertical="center" wrapText="1" readingOrder="1"/>
    </xf>
    <xf numFmtId="177" fontId="55" fillId="9" borderId="4" xfId="0" applyNumberFormat="1" applyFont="1" applyFill="1" applyBorder="1" applyAlignment="1">
      <alignment horizontal="center" vertical="center" wrapText="1" readingOrder="1"/>
    </xf>
    <xf numFmtId="0" fontId="55" fillId="13" borderId="62" xfId="0" applyFont="1" applyFill="1" applyBorder="1" applyAlignment="1">
      <alignment horizontal="left" vertical="top" wrapText="1" readingOrder="1"/>
    </xf>
    <xf numFmtId="0" fontId="55" fillId="13" borderId="38" xfId="0" applyFont="1" applyFill="1" applyBorder="1" applyAlignment="1">
      <alignment horizontal="right" vertical="top" wrapText="1" readingOrder="1"/>
    </xf>
    <xf numFmtId="177" fontId="55" fillId="13" borderId="99" xfId="0" applyNumberFormat="1" applyFont="1" applyFill="1" applyBorder="1" applyAlignment="1">
      <alignment horizontal="left" vertical="top" wrapText="1" readingOrder="1"/>
    </xf>
    <xf numFmtId="0" fontId="56" fillId="9" borderId="59" xfId="0" applyFont="1" applyFill="1" applyBorder="1" applyAlignment="1">
      <alignment horizontal="left" wrapText="1" readingOrder="1"/>
    </xf>
    <xf numFmtId="177" fontId="55" fillId="9" borderId="94" xfId="0" applyNumberFormat="1" applyFont="1" applyFill="1" applyBorder="1" applyAlignment="1">
      <alignment horizontal="center" vertical="center" wrapText="1" readingOrder="1"/>
    </xf>
    <xf numFmtId="0" fontId="55" fillId="0" borderId="9" xfId="0" applyFont="1" applyBorder="1" applyAlignment="1">
      <alignment vertical="center" wrapText="1" readingOrder="1"/>
    </xf>
    <xf numFmtId="177" fontId="55" fillId="0" borderId="8" xfId="0" applyNumberFormat="1" applyFont="1" applyBorder="1" applyAlignment="1">
      <alignment horizontal="center" vertical="center" wrapText="1" readingOrder="1"/>
    </xf>
    <xf numFmtId="177" fontId="55" fillId="0" borderId="8" xfId="0" applyNumberFormat="1" applyFont="1" applyBorder="1" applyAlignment="1">
      <alignment horizontal="left" vertical="top" wrapText="1" readingOrder="1"/>
    </xf>
    <xf numFmtId="177" fontId="56" fillId="0" borderId="8" xfId="0" applyNumberFormat="1" applyFont="1" applyBorder="1" applyAlignment="1">
      <alignment horizontal="center" vertical="center" wrapText="1" readingOrder="1"/>
    </xf>
    <xf numFmtId="177" fontId="55" fillId="13" borderId="40" xfId="0" applyNumberFormat="1" applyFont="1" applyFill="1" applyBorder="1" applyAlignment="1">
      <alignment horizontal="center" vertical="center" wrapText="1" readingOrder="1"/>
    </xf>
    <xf numFmtId="177" fontId="55" fillId="0" borderId="40" xfId="0" applyNumberFormat="1" applyFont="1" applyBorder="1" applyAlignment="1">
      <alignment horizontal="center" vertical="center" wrapText="1" readingOrder="1"/>
    </xf>
    <xf numFmtId="177" fontId="56" fillId="0" borderId="40" xfId="0" applyNumberFormat="1" applyFont="1" applyBorder="1" applyAlignment="1">
      <alignment horizontal="center" vertical="center" wrapText="1" readingOrder="1"/>
    </xf>
    <xf numFmtId="167" fontId="55" fillId="13" borderId="31" xfId="0" applyNumberFormat="1" applyFont="1" applyFill="1" applyBorder="1" applyAlignment="1">
      <alignment horizontal="center" vertical="center" wrapText="1" readingOrder="1"/>
    </xf>
    <xf numFmtId="177" fontId="55" fillId="0" borderId="4" xfId="0" applyNumberFormat="1" applyFont="1" applyBorder="1" applyAlignment="1">
      <alignment horizontal="left" vertical="top" wrapText="1" readingOrder="1"/>
    </xf>
    <xf numFmtId="177" fontId="55" fillId="13" borderId="8" xfId="0" applyNumberFormat="1" applyFont="1" applyFill="1" applyBorder="1" applyAlignment="1">
      <alignment horizontal="center" vertical="center" wrapText="1" readingOrder="1"/>
    </xf>
    <xf numFmtId="177" fontId="55" fillId="0" borderId="70" xfId="0" applyNumberFormat="1" applyFont="1" applyBorder="1" applyAlignment="1">
      <alignment horizontal="center" vertical="center" wrapText="1" readingOrder="1"/>
    </xf>
    <xf numFmtId="177" fontId="56" fillId="0" borderId="31" xfId="0" applyNumberFormat="1" applyFont="1" applyBorder="1" applyAlignment="1">
      <alignment horizontal="center" vertical="center" wrapText="1" readingOrder="1"/>
    </xf>
    <xf numFmtId="177" fontId="56" fillId="0" borderId="70" xfId="0" applyNumberFormat="1" applyFont="1" applyBorder="1" applyAlignment="1">
      <alignment horizontal="center" vertical="center" wrapText="1" readingOrder="1"/>
    </xf>
    <xf numFmtId="177" fontId="55" fillId="13" borderId="4" xfId="0" applyNumberFormat="1" applyFont="1" applyFill="1" applyBorder="1" applyAlignment="1">
      <alignment horizontal="left" vertical="top" wrapText="1" readingOrder="1"/>
    </xf>
    <xf numFmtId="177" fontId="55" fillId="9" borderId="8" xfId="0" applyNumberFormat="1" applyFont="1" applyFill="1" applyBorder="1" applyAlignment="1">
      <alignment horizontal="center" vertical="center" wrapText="1" readingOrder="1"/>
    </xf>
    <xf numFmtId="0" fontId="56" fillId="0" borderId="1" xfId="0" applyFont="1" applyBorder="1" applyAlignment="1">
      <alignment horizontal="center" vertical="center" wrapText="1" readingOrder="1"/>
    </xf>
    <xf numFmtId="184" fontId="56" fillId="0" borderId="60" xfId="0" applyNumberFormat="1" applyFont="1" applyBorder="1" applyAlignment="1">
      <alignment horizontal="center" vertical="center" wrapText="1" readingOrder="1"/>
    </xf>
    <xf numFmtId="2" fontId="56" fillId="0" borderId="56" xfId="0" applyNumberFormat="1" applyFont="1" applyBorder="1" applyAlignment="1">
      <alignment horizontal="center" vertical="center" wrapText="1" readingOrder="1"/>
    </xf>
    <xf numFmtId="9" fontId="56" fillId="0" borderId="36" xfId="0" applyNumberFormat="1" applyFont="1" applyBorder="1" applyAlignment="1">
      <alignment horizontal="center" vertical="center" wrapText="1" readingOrder="1"/>
    </xf>
    <xf numFmtId="0" fontId="57" fillId="12" borderId="52" xfId="0" applyFont="1" applyFill="1" applyBorder="1" applyAlignment="1">
      <alignment horizontal="left" vertical="top"/>
    </xf>
    <xf numFmtId="0" fontId="55" fillId="0" borderId="77" xfId="0" applyFont="1" applyBorder="1" applyAlignment="1">
      <alignment vertical="center" wrapText="1" readingOrder="1"/>
    </xf>
    <xf numFmtId="177" fontId="55" fillId="0" borderId="129" xfId="0" applyNumberFormat="1" applyFont="1" applyBorder="1" applyAlignment="1">
      <alignment horizontal="center" vertical="center" wrapText="1" readingOrder="1"/>
    </xf>
    <xf numFmtId="177" fontId="55" fillId="0" borderId="130" xfId="0" applyNumberFormat="1" applyFont="1" applyBorder="1" applyAlignment="1">
      <alignment horizontal="center" vertical="center" wrapText="1" readingOrder="1"/>
    </xf>
    <xf numFmtId="49" fontId="55" fillId="9" borderId="83" xfId="0" applyNumberFormat="1" applyFont="1" applyFill="1" applyBorder="1" applyAlignment="1">
      <alignment vertical="center" wrapText="1" readingOrder="1"/>
    </xf>
    <xf numFmtId="178" fontId="55" fillId="9" borderId="116" xfId="0" applyNumberFormat="1" applyFont="1" applyFill="1" applyBorder="1" applyAlignment="1">
      <alignment horizontal="center" vertical="center" wrapText="1" readingOrder="1"/>
    </xf>
    <xf numFmtId="177" fontId="55" fillId="0" borderId="116" xfId="0" applyNumberFormat="1" applyFont="1" applyBorder="1" applyAlignment="1">
      <alignment horizontal="left" vertical="top" wrapText="1" readingOrder="1"/>
    </xf>
    <xf numFmtId="177" fontId="55" fillId="0" borderId="116" xfId="0" applyNumberFormat="1" applyFont="1" applyBorder="1" applyAlignment="1">
      <alignment horizontal="center" vertical="center" wrapText="1" readingOrder="1"/>
    </xf>
    <xf numFmtId="191" fontId="58" fillId="0" borderId="81" xfId="0" applyNumberFormat="1" applyFont="1" applyBorder="1" applyAlignment="1">
      <alignment vertical="center"/>
    </xf>
    <xf numFmtId="0" fontId="58" fillId="0" borderId="118" xfId="0" applyFont="1" applyBorder="1" applyAlignment="1">
      <alignment horizontal="left" vertical="center" wrapText="1"/>
    </xf>
    <xf numFmtId="0" fontId="58" fillId="0" borderId="56" xfId="0" applyFont="1" applyBorder="1" applyAlignment="1">
      <alignment horizontal="left" vertical="center" wrapText="1"/>
    </xf>
    <xf numFmtId="0" fontId="58" fillId="0" borderId="60" xfId="0" applyFont="1" applyBorder="1" applyAlignment="1">
      <alignment horizontal="left" vertical="center" wrapText="1"/>
    </xf>
    <xf numFmtId="177" fontId="55" fillId="0" borderId="119" xfId="0" applyNumberFormat="1" applyFont="1" applyBorder="1" applyAlignment="1">
      <alignment horizontal="center" vertical="center" wrapText="1" readingOrder="1"/>
    </xf>
    <xf numFmtId="177" fontId="56" fillId="0" borderId="119" xfId="0" applyNumberFormat="1" applyFont="1" applyBorder="1" applyAlignment="1">
      <alignment horizontal="center" vertical="center" wrapText="1" readingOrder="1"/>
    </xf>
    <xf numFmtId="167" fontId="55" fillId="13" borderId="132" xfId="0" applyNumberFormat="1" applyFont="1" applyFill="1" applyBorder="1" applyAlignment="1">
      <alignment horizontal="center" vertical="center" wrapText="1" readingOrder="1"/>
    </xf>
    <xf numFmtId="177" fontId="55" fillId="0" borderId="114" xfId="0" applyNumberFormat="1" applyFont="1" applyBorder="1" applyAlignment="1">
      <alignment horizontal="left" vertical="top" wrapText="1" readingOrder="1"/>
    </xf>
    <xf numFmtId="0" fontId="58" fillId="0" borderId="52" xfId="0" applyFont="1" applyBorder="1" applyAlignment="1">
      <alignment horizontal="center" vertical="center"/>
    </xf>
    <xf numFmtId="0" fontId="58" fillId="0" borderId="52" xfId="0" applyFont="1" applyBorder="1" applyAlignment="1">
      <alignment vertical="center"/>
    </xf>
    <xf numFmtId="8" fontId="58" fillId="0" borderId="52" xfId="0" applyNumberFormat="1" applyFont="1" applyBorder="1" applyAlignment="1">
      <alignment vertical="center"/>
    </xf>
    <xf numFmtId="0" fontId="56" fillId="0" borderId="59" xfId="0" applyFont="1" applyBorder="1" applyAlignment="1">
      <alignment horizontal="center" vertical="center" wrapText="1" readingOrder="1"/>
    </xf>
    <xf numFmtId="177" fontId="56" fillId="0" borderId="116" xfId="0" applyNumberFormat="1" applyFont="1" applyBorder="1" applyAlignment="1">
      <alignment horizontal="center" vertical="center" wrapText="1" readingOrder="1"/>
    </xf>
    <xf numFmtId="177" fontId="55" fillId="13" borderId="116" xfId="0" applyNumberFormat="1" applyFont="1" applyFill="1" applyBorder="1" applyAlignment="1">
      <alignment horizontal="center" vertical="center" wrapText="1" readingOrder="1"/>
    </xf>
    <xf numFmtId="177" fontId="55" fillId="0" borderId="84" xfId="0" applyNumberFormat="1" applyFont="1" applyBorder="1" applyAlignment="1">
      <alignment horizontal="center" vertical="center" wrapText="1" readingOrder="1"/>
    </xf>
    <xf numFmtId="177" fontId="56" fillId="0" borderId="84" xfId="0" applyNumberFormat="1" applyFont="1" applyBorder="1" applyAlignment="1">
      <alignment horizontal="center" vertical="center" wrapText="1" readingOrder="1"/>
    </xf>
    <xf numFmtId="0" fontId="56" fillId="9" borderId="136" xfId="0" applyFont="1" applyFill="1" applyBorder="1" applyAlignment="1">
      <alignment horizontal="left" wrapText="1" readingOrder="1"/>
    </xf>
    <xf numFmtId="177" fontId="56" fillId="0" borderId="60" xfId="0" applyNumberFormat="1" applyFont="1" applyBorder="1" applyAlignment="1">
      <alignment horizontal="center" vertical="center" wrapText="1" readingOrder="1"/>
    </xf>
    <xf numFmtId="178" fontId="56" fillId="0" borderId="60" xfId="0" applyNumberFormat="1" applyFont="1" applyBorder="1" applyAlignment="1">
      <alignment horizontal="center" vertical="center" wrapText="1" readingOrder="1"/>
    </xf>
    <xf numFmtId="185" fontId="56" fillId="0" borderId="1" xfId="0" applyNumberFormat="1" applyFont="1" applyBorder="1" applyAlignment="1">
      <alignment horizontal="center" vertical="center" wrapText="1" readingOrder="1"/>
    </xf>
    <xf numFmtId="183" fontId="56" fillId="0" borderId="1" xfId="0" applyNumberFormat="1" applyFont="1" applyBorder="1" applyAlignment="1">
      <alignment horizontal="center" vertical="center" wrapText="1" readingOrder="1"/>
    </xf>
    <xf numFmtId="2" fontId="56" fillId="0" borderId="1" xfId="0" applyNumberFormat="1" applyFont="1" applyBorder="1" applyAlignment="1">
      <alignment horizontal="center" vertical="center" wrapText="1" readingOrder="1"/>
    </xf>
    <xf numFmtId="0" fontId="56" fillId="0" borderId="38" xfId="0" applyFont="1" applyBorder="1" applyAlignment="1">
      <alignment horizontal="center" vertical="center" wrapText="1" readingOrder="1"/>
    </xf>
    <xf numFmtId="183" fontId="56" fillId="0" borderId="36" xfId="0" applyNumberFormat="1" applyFont="1" applyBorder="1" applyAlignment="1">
      <alignment horizontal="center" vertical="center" wrapText="1" readingOrder="1"/>
    </xf>
    <xf numFmtId="186" fontId="56" fillId="0" borderId="36" xfId="0" applyNumberFormat="1" applyFont="1" applyBorder="1" applyAlignment="1">
      <alignment horizontal="center" vertical="center" wrapText="1" readingOrder="1"/>
    </xf>
    <xf numFmtId="167" fontId="56" fillId="0" borderId="36" xfId="0" applyNumberFormat="1" applyFont="1" applyBorder="1" applyAlignment="1">
      <alignment horizontal="right" vertical="center" wrapText="1" readingOrder="1"/>
    </xf>
    <xf numFmtId="187" fontId="56" fillId="5" borderId="1" xfId="0" applyNumberFormat="1" applyFont="1" applyFill="1" applyBorder="1" applyAlignment="1">
      <alignment horizontal="center" vertical="center"/>
    </xf>
    <xf numFmtId="185" fontId="55" fillId="0" borderId="1" xfId="0" applyNumberFormat="1" applyFont="1" applyBorder="1" applyAlignment="1">
      <alignment horizontal="center" vertical="center" wrapText="1" readingOrder="1"/>
    </xf>
    <xf numFmtId="186" fontId="56" fillId="0" borderId="38" xfId="0" applyNumberFormat="1" applyFont="1" applyBorder="1" applyAlignment="1">
      <alignment horizontal="center" vertical="center" wrapText="1" readingOrder="1"/>
    </xf>
    <xf numFmtId="178" fontId="56" fillId="0" borderId="63" xfId="0" applyNumberFormat="1" applyFont="1" applyBorder="1" applyAlignment="1">
      <alignment horizontal="center" vertical="center" wrapText="1" readingOrder="1"/>
    </xf>
    <xf numFmtId="0" fontId="56" fillId="14" borderId="103" xfId="0" applyFont="1" applyFill="1" applyBorder="1" applyAlignment="1">
      <alignment horizontal="center" wrapText="1" readingOrder="1"/>
    </xf>
    <xf numFmtId="0" fontId="55" fillId="14" borderId="103" xfId="0" applyFont="1" applyFill="1" applyBorder="1" applyAlignment="1">
      <alignment horizontal="right" vertical="center" wrapText="1" readingOrder="1"/>
    </xf>
    <xf numFmtId="2" fontId="8" fillId="0" borderId="0" xfId="0" applyNumberFormat="1" applyFont="1" applyAlignment="1">
      <alignment vertical="center"/>
    </xf>
    <xf numFmtId="2" fontId="11" fillId="0" borderId="1" xfId="0" applyNumberFormat="1" applyFont="1" applyBorder="1" applyAlignment="1">
      <alignment horizontal="center" vertical="center"/>
    </xf>
    <xf numFmtId="172" fontId="9" fillId="5" borderId="49" xfId="0" applyNumberFormat="1" applyFont="1" applyFill="1" applyBorder="1" applyAlignment="1">
      <alignment vertical="center"/>
    </xf>
    <xf numFmtId="172" fontId="11" fillId="5" borderId="50" xfId="0" applyNumberFormat="1" applyFont="1" applyFill="1" applyBorder="1" applyAlignment="1">
      <alignment vertical="center"/>
    </xf>
    <xf numFmtId="166" fontId="11" fillId="5" borderId="36" xfId="0" applyNumberFormat="1" applyFont="1" applyFill="1" applyBorder="1" applyAlignment="1">
      <alignment vertical="center"/>
    </xf>
    <xf numFmtId="172" fontId="11" fillId="5" borderId="10" xfId="0" applyNumberFormat="1" applyFont="1" applyFill="1" applyBorder="1" applyAlignment="1">
      <alignment vertical="center"/>
    </xf>
    <xf numFmtId="172" fontId="11" fillId="5" borderId="52" xfId="0" applyNumberFormat="1" applyFont="1" applyFill="1" applyBorder="1" applyAlignment="1">
      <alignment vertical="center"/>
    </xf>
    <xf numFmtId="172" fontId="22" fillId="5" borderId="48" xfId="0" applyNumberFormat="1" applyFont="1" applyFill="1" applyBorder="1" applyAlignment="1">
      <alignment vertical="center"/>
    </xf>
    <xf numFmtId="172" fontId="22" fillId="5" borderId="48" xfId="0" applyNumberFormat="1" applyFont="1" applyFill="1" applyBorder="1" applyAlignment="1">
      <alignment vertical="center" wrapText="1"/>
    </xf>
    <xf numFmtId="172" fontId="22" fillId="5" borderId="10" xfId="0" applyNumberFormat="1" applyFont="1" applyFill="1" applyBorder="1" applyAlignment="1">
      <alignment vertical="center" wrapText="1"/>
    </xf>
    <xf numFmtId="172" fontId="22" fillId="5" borderId="10" xfId="0" applyNumberFormat="1" applyFont="1" applyFill="1" applyBorder="1" applyAlignment="1">
      <alignment vertical="center"/>
    </xf>
    <xf numFmtId="0" fontId="0" fillId="0" borderId="0" xfId="0" applyAlignment="1">
      <alignment vertical="center"/>
    </xf>
    <xf numFmtId="4" fontId="59" fillId="12" borderId="52" xfId="11" applyNumberFormat="1" applyFont="1" applyFill="1" applyAlignment="1">
      <alignment vertical="center" wrapText="1"/>
    </xf>
    <xf numFmtId="4" fontId="59" fillId="12" borderId="52" xfId="11" applyNumberFormat="1" applyFont="1" applyFill="1" applyAlignment="1">
      <alignment horizontal="center" vertical="center" wrapText="1"/>
    </xf>
    <xf numFmtId="4" fontId="5" fillId="12" borderId="52" xfId="11" applyNumberFormat="1" applyFill="1" applyAlignment="1">
      <alignment horizontal="center" vertical="center"/>
    </xf>
    <xf numFmtId="192" fontId="5" fillId="12" borderId="52" xfId="11" applyNumberFormat="1" applyFill="1" applyAlignment="1">
      <alignment horizontal="center" vertical="center"/>
    </xf>
    <xf numFmtId="193" fontId="60" fillId="12" borderId="52" xfId="11" applyNumberFormat="1" applyFont="1" applyFill="1" applyAlignment="1">
      <alignment horizontal="center" vertical="center"/>
    </xf>
    <xf numFmtId="4" fontId="24" fillId="15" borderId="63" xfId="11" applyNumberFormat="1" applyFont="1" applyFill="1" applyBorder="1" applyAlignment="1">
      <alignment horizontal="center" vertical="center"/>
    </xf>
    <xf numFmtId="3" fontId="5" fillId="12" borderId="52" xfId="11" applyNumberFormat="1" applyFill="1" applyAlignment="1">
      <alignment horizontal="center" vertical="center"/>
    </xf>
    <xf numFmtId="4" fontId="5" fillId="12" borderId="63" xfId="11" applyNumberFormat="1" applyFill="1" applyBorder="1" applyAlignment="1">
      <alignment vertical="center" wrapText="1"/>
    </xf>
    <xf numFmtId="4" fontId="5" fillId="12" borderId="63" xfId="11" applyNumberFormat="1" applyFill="1" applyBorder="1" applyAlignment="1">
      <alignment horizontal="center" vertical="center"/>
    </xf>
    <xf numFmtId="193" fontId="5" fillId="12" borderId="63" xfId="11" applyNumberFormat="1" applyFill="1" applyBorder="1" applyAlignment="1">
      <alignment horizontal="center" vertical="center"/>
    </xf>
    <xf numFmtId="3" fontId="5" fillId="12" borderId="103" xfId="11" applyNumberFormat="1" applyFill="1" applyBorder="1" applyAlignment="1">
      <alignment horizontal="center" vertical="center"/>
    </xf>
    <xf numFmtId="192" fontId="5" fillId="12" borderId="103" xfId="11" applyNumberFormat="1" applyFill="1" applyBorder="1" applyAlignment="1">
      <alignment horizontal="center" vertical="center"/>
    </xf>
    <xf numFmtId="0" fontId="5" fillId="15" borderId="63" xfId="11" applyFill="1" applyBorder="1" applyAlignment="1">
      <alignment horizontal="center"/>
    </xf>
    <xf numFmtId="0" fontId="5" fillId="12" borderId="52" xfId="11" applyFill="1"/>
    <xf numFmtId="193" fontId="5" fillId="15" borderId="63" xfId="11" applyNumberFormat="1" applyFill="1" applyBorder="1" applyAlignment="1">
      <alignment horizontal="right"/>
    </xf>
    <xf numFmtId="0" fontId="5" fillId="12" borderId="63" xfId="11" applyFill="1" applyBorder="1" applyAlignment="1">
      <alignment horizontal="left" indent="1"/>
    </xf>
    <xf numFmtId="193" fontId="5" fillId="12" borderId="63" xfId="11" applyNumberFormat="1" applyFill="1" applyBorder="1"/>
    <xf numFmtId="0" fontId="5" fillId="15" borderId="63" xfId="11" applyFill="1" applyBorder="1" applyAlignment="1">
      <alignment horizontal="left"/>
    </xf>
    <xf numFmtId="193" fontId="5" fillId="15" borderId="63" xfId="11" applyNumberFormat="1" applyFill="1" applyBorder="1"/>
    <xf numFmtId="193" fontId="5" fillId="18" borderId="63" xfId="11" applyNumberFormat="1" applyFill="1" applyBorder="1" applyAlignment="1">
      <alignment horizontal="center" vertical="center"/>
    </xf>
    <xf numFmtId="44" fontId="56" fillId="0" borderId="1" xfId="1" applyFont="1" applyBorder="1" applyAlignment="1">
      <alignment horizontal="center" vertical="center" wrapText="1" readingOrder="1"/>
    </xf>
    <xf numFmtId="178" fontId="56" fillId="0" borderId="63" xfId="0" applyNumberFormat="1" applyFont="1" applyBorder="1" applyAlignment="1">
      <alignment vertical="center" wrapText="1" readingOrder="1"/>
    </xf>
    <xf numFmtId="2" fontId="63" fillId="0" borderId="1" xfId="0" applyNumberFormat="1" applyFont="1" applyBorder="1" applyAlignment="1">
      <alignment horizontal="center"/>
    </xf>
    <xf numFmtId="172" fontId="63" fillId="5" borderId="49" xfId="0" applyNumberFormat="1" applyFont="1" applyFill="1" applyBorder="1"/>
    <xf numFmtId="172" fontId="63" fillId="5" borderId="50" xfId="0" applyNumberFormat="1" applyFont="1" applyFill="1" applyBorder="1"/>
    <xf numFmtId="10" fontId="63" fillId="0" borderId="1" xfId="0" applyNumberFormat="1" applyFont="1" applyBorder="1" applyAlignment="1">
      <alignment horizontal="center"/>
    </xf>
    <xf numFmtId="166" fontId="63" fillId="0" borderId="1" xfId="0" applyNumberFormat="1" applyFont="1" applyBorder="1" applyAlignment="1">
      <alignment horizontal="center"/>
    </xf>
    <xf numFmtId="9" fontId="63" fillId="0" borderId="1" xfId="0" applyNumberFormat="1" applyFont="1" applyBorder="1" applyAlignment="1">
      <alignment horizontal="center"/>
    </xf>
    <xf numFmtId="166" fontId="63" fillId="0" borderId="1" xfId="0" applyNumberFormat="1" applyFont="1" applyBorder="1" applyAlignment="1">
      <alignment horizontal="right"/>
    </xf>
    <xf numFmtId="0" fontId="64" fillId="0" borderId="0" xfId="0" applyFont="1" applyAlignment="1">
      <alignment vertical="center"/>
    </xf>
    <xf numFmtId="166" fontId="9" fillId="12" borderId="43" xfId="0" applyNumberFormat="1" applyFont="1" applyFill="1" applyBorder="1"/>
    <xf numFmtId="0" fontId="11" fillId="12" borderId="125" xfId="0" applyFont="1" applyFill="1" applyBorder="1"/>
    <xf numFmtId="0" fontId="11" fillId="12" borderId="0" xfId="0" applyFont="1" applyFill="1"/>
    <xf numFmtId="166" fontId="11" fillId="12" borderId="52" xfId="0" applyNumberFormat="1" applyFont="1" applyFill="1" applyBorder="1"/>
    <xf numFmtId="0" fontId="11" fillId="12" borderId="81" xfId="0" applyFont="1" applyFill="1" applyBorder="1"/>
    <xf numFmtId="166" fontId="0" fillId="12" borderId="0" xfId="0" applyNumberFormat="1" applyFill="1"/>
    <xf numFmtId="44" fontId="11" fillId="12" borderId="0" xfId="1" applyFont="1" applyFill="1"/>
    <xf numFmtId="166" fontId="9" fillId="12" borderId="52" xfId="0" applyNumberFormat="1" applyFont="1" applyFill="1" applyBorder="1"/>
    <xf numFmtId="0" fontId="12" fillId="12" borderId="52" xfId="0" applyFont="1" applyFill="1" applyBorder="1"/>
    <xf numFmtId="0" fontId="12" fillId="12" borderId="81" xfId="0" applyFont="1" applyFill="1" applyBorder="1"/>
    <xf numFmtId="166" fontId="9" fillId="12" borderId="126" xfId="0" applyNumberFormat="1" applyFont="1" applyFill="1" applyBorder="1"/>
    <xf numFmtId="0" fontId="11" fillId="12" borderId="127" xfId="0" applyFont="1" applyFill="1" applyBorder="1"/>
    <xf numFmtId="166" fontId="11" fillId="12" borderId="0" xfId="0" applyNumberFormat="1" applyFont="1" applyFill="1"/>
    <xf numFmtId="0" fontId="12" fillId="12" borderId="0" xfId="0" applyFont="1" applyFill="1"/>
    <xf numFmtId="3" fontId="35" fillId="12" borderId="0" xfId="0" applyNumberFormat="1" applyFont="1" applyFill="1"/>
    <xf numFmtId="4" fontId="0" fillId="12" borderId="0" xfId="0" applyNumberFormat="1" applyFill="1"/>
    <xf numFmtId="0" fontId="7" fillId="5" borderId="10" xfId="0" applyFont="1" applyFill="1" applyBorder="1" applyAlignment="1" applyProtection="1">
      <alignment horizontal="left" vertical="center"/>
      <protection locked="0"/>
    </xf>
    <xf numFmtId="49" fontId="7" fillId="5" borderId="10" xfId="0" applyNumberFormat="1" applyFont="1" applyFill="1" applyBorder="1" applyAlignment="1" applyProtection="1">
      <alignment horizontal="center" vertical="center"/>
      <protection locked="0"/>
    </xf>
    <xf numFmtId="0" fontId="7" fillId="5" borderId="10" xfId="0" applyFont="1" applyFill="1" applyBorder="1" applyAlignment="1" applyProtection="1">
      <alignment horizontal="left" vertical="center" wrapText="1"/>
      <protection locked="0"/>
    </xf>
    <xf numFmtId="0" fontId="7" fillId="5" borderId="10" xfId="0" applyFont="1" applyFill="1" applyBorder="1" applyAlignment="1" applyProtection="1">
      <alignment horizontal="center" vertical="center"/>
      <protection locked="0"/>
    </xf>
    <xf numFmtId="167" fontId="7" fillId="5" borderId="10" xfId="0" applyNumberFormat="1" applyFont="1" applyFill="1" applyBorder="1" applyAlignment="1" applyProtection="1">
      <alignment horizontal="right" vertical="center"/>
      <protection locked="0"/>
    </xf>
    <xf numFmtId="164" fontId="7" fillId="5" borderId="10" xfId="0" applyNumberFormat="1" applyFont="1" applyFill="1" applyBorder="1" applyAlignment="1" applyProtection="1">
      <alignment horizontal="right" vertical="center"/>
      <protection locked="0"/>
    </xf>
    <xf numFmtId="0" fontId="7" fillId="0" borderId="0" xfId="0" applyFont="1" applyAlignment="1" applyProtection="1">
      <alignment vertical="center"/>
      <protection locked="0"/>
    </xf>
    <xf numFmtId="0" fontId="0" fillId="0" borderId="0" xfId="0" applyProtection="1">
      <protection locked="0"/>
    </xf>
    <xf numFmtId="0" fontId="18" fillId="2" borderId="20" xfId="0" applyFont="1" applyFill="1" applyBorder="1" applyAlignment="1" applyProtection="1">
      <alignment horizontal="center" vertical="center" wrapText="1"/>
      <protection locked="0"/>
    </xf>
    <xf numFmtId="49" fontId="18" fillId="2" borderId="21" xfId="0" applyNumberFormat="1" applyFont="1" applyFill="1" applyBorder="1" applyAlignment="1" applyProtection="1">
      <alignment horizontal="center" vertical="center" wrapText="1"/>
      <protection locked="0"/>
    </xf>
    <xf numFmtId="0" fontId="18" fillId="2" borderId="21" xfId="0" applyFont="1" applyFill="1" applyBorder="1" applyAlignment="1" applyProtection="1">
      <alignment horizontal="center" vertical="center" wrapText="1"/>
      <protection locked="0"/>
    </xf>
    <xf numFmtId="0" fontId="18" fillId="2" borderId="22" xfId="0" applyFont="1" applyFill="1" applyBorder="1" applyAlignment="1" applyProtection="1">
      <alignment horizontal="center" vertical="center" wrapText="1"/>
      <protection locked="0"/>
    </xf>
    <xf numFmtId="168" fontId="18" fillId="2" borderId="22" xfId="0" applyNumberFormat="1" applyFont="1" applyFill="1" applyBorder="1" applyAlignment="1" applyProtection="1">
      <alignment horizontal="center" vertical="center" wrapText="1"/>
      <protection locked="0"/>
    </xf>
    <xf numFmtId="167" fontId="18" fillId="2" borderId="22" xfId="0" applyNumberFormat="1" applyFont="1" applyFill="1" applyBorder="1" applyAlignment="1" applyProtection="1">
      <alignment horizontal="center" vertical="center" wrapText="1"/>
      <protection locked="0"/>
    </xf>
    <xf numFmtId="164" fontId="18" fillId="2" borderId="22" xfId="0" applyNumberFormat="1" applyFont="1" applyFill="1" applyBorder="1" applyAlignment="1" applyProtection="1">
      <alignment horizontal="center" vertical="center" wrapText="1"/>
      <protection locked="0"/>
    </xf>
    <xf numFmtId="167" fontId="18" fillId="2" borderId="23" xfId="0" applyNumberFormat="1" applyFont="1" applyFill="1" applyBorder="1" applyAlignment="1" applyProtection="1">
      <alignment horizontal="right" vertical="center" wrapText="1"/>
      <protection locked="0"/>
    </xf>
    <xf numFmtId="168" fontId="7" fillId="0" borderId="0" xfId="0" applyNumberFormat="1" applyFont="1" applyAlignment="1" applyProtection="1">
      <alignment vertical="center"/>
      <protection locked="0"/>
    </xf>
    <xf numFmtId="44" fontId="7" fillId="0" borderId="0" xfId="1" applyFont="1" applyAlignment="1" applyProtection="1">
      <alignment vertical="center"/>
      <protection locked="0"/>
    </xf>
    <xf numFmtId="49" fontId="19" fillId="6" borderId="24" xfId="0" applyNumberFormat="1" applyFont="1" applyFill="1" applyBorder="1" applyAlignment="1" applyProtection="1">
      <alignment horizontal="center" vertical="center"/>
      <protection locked="0"/>
    </xf>
    <xf numFmtId="49" fontId="18" fillId="6" borderId="25" xfId="0" applyNumberFormat="1" applyFont="1" applyFill="1" applyBorder="1" applyAlignment="1" applyProtection="1">
      <alignment horizontal="center" vertical="center"/>
      <protection locked="0"/>
    </xf>
    <xf numFmtId="0" fontId="19" fillId="6" borderId="26" xfId="0" applyFont="1" applyFill="1" applyBorder="1" applyAlignment="1" applyProtection="1">
      <alignment vertical="center" wrapText="1"/>
      <protection locked="0"/>
    </xf>
    <xf numFmtId="0" fontId="18" fillId="6" borderId="27" xfId="0" applyFont="1" applyFill="1" applyBorder="1" applyAlignment="1" applyProtection="1">
      <alignment vertical="center"/>
      <protection locked="0"/>
    </xf>
    <xf numFmtId="0" fontId="18" fillId="6" borderId="27" xfId="0" applyFont="1" applyFill="1" applyBorder="1" applyAlignment="1" applyProtection="1">
      <alignment horizontal="right" vertical="center"/>
      <protection locked="0"/>
    </xf>
    <xf numFmtId="164" fontId="18" fillId="6" borderId="27" xfId="0" applyNumberFormat="1" applyFont="1" applyFill="1" applyBorder="1" applyAlignment="1" applyProtection="1">
      <alignment vertical="center"/>
      <protection locked="0"/>
    </xf>
    <xf numFmtId="0" fontId="18" fillId="6" borderId="28" xfId="0" applyFont="1" applyFill="1" applyBorder="1" applyAlignment="1" applyProtection="1">
      <alignment horizontal="right" vertical="center"/>
      <protection locked="0"/>
    </xf>
    <xf numFmtId="49" fontId="48" fillId="0" borderId="63" xfId="0" applyNumberFormat="1" applyFont="1" applyBorder="1" applyAlignment="1" applyProtection="1">
      <alignment horizontal="center" vertical="center" wrapText="1"/>
      <protection locked="0"/>
    </xf>
    <xf numFmtId="0" fontId="48" fillId="0" borderId="63" xfId="0" applyFont="1" applyBorder="1" applyAlignment="1" applyProtection="1">
      <alignment vertical="center" wrapText="1"/>
      <protection locked="0"/>
    </xf>
    <xf numFmtId="0" fontId="48" fillId="12" borderId="63" xfId="0" applyFont="1" applyFill="1" applyBorder="1" applyAlignment="1" applyProtection="1">
      <alignment horizontal="center" vertical="center"/>
      <protection locked="0"/>
    </xf>
    <xf numFmtId="168" fontId="48" fillId="0" borderId="63" xfId="0" applyNumberFormat="1" applyFont="1" applyBorder="1" applyAlignment="1" applyProtection="1">
      <alignment horizontal="center" vertical="center"/>
      <protection locked="0"/>
    </xf>
    <xf numFmtId="167" fontId="48" fillId="12" borderId="63" xfId="0" applyNumberFormat="1" applyFont="1" applyFill="1" applyBorder="1" applyAlignment="1" applyProtection="1">
      <alignment horizontal="right" vertical="center"/>
      <protection locked="0"/>
    </xf>
    <xf numFmtId="164" fontId="48" fillId="0" borderId="63" xfId="0" applyNumberFormat="1" applyFont="1" applyBorder="1" applyAlignment="1" applyProtection="1">
      <alignment horizontal="right" vertical="center"/>
      <protection locked="0"/>
    </xf>
    <xf numFmtId="167" fontId="48" fillId="0" borderId="63" xfId="0" applyNumberFormat="1" applyFont="1" applyBorder="1" applyAlignment="1" applyProtection="1">
      <alignment horizontal="right" vertical="center"/>
      <protection locked="0"/>
    </xf>
    <xf numFmtId="0" fontId="48" fillId="0" borderId="0" xfId="0" applyFont="1" applyAlignment="1" applyProtection="1">
      <alignment vertical="center"/>
      <protection locked="0"/>
    </xf>
    <xf numFmtId="0" fontId="49" fillId="0" borderId="0" xfId="0" applyFont="1" applyProtection="1">
      <protection locked="0"/>
    </xf>
    <xf numFmtId="0" fontId="48" fillId="0" borderId="63" xfId="0" applyFont="1" applyBorder="1" applyAlignment="1" applyProtection="1">
      <alignment horizontal="center" vertical="center"/>
      <protection locked="0"/>
    </xf>
    <xf numFmtId="49" fontId="54" fillId="7" borderId="33" xfId="0" applyNumberFormat="1" applyFont="1" applyFill="1" applyBorder="1" applyAlignment="1" applyProtection="1">
      <alignment horizontal="left" vertical="center"/>
      <protection locked="0"/>
    </xf>
    <xf numFmtId="167" fontId="54" fillId="7" borderId="34" xfId="0" applyNumberFormat="1" applyFont="1" applyFill="1" applyBorder="1" applyAlignment="1" applyProtection="1">
      <alignment horizontal="right" vertical="center"/>
      <protection locked="0"/>
    </xf>
    <xf numFmtId="0" fontId="48" fillId="12" borderId="0" xfId="0" applyFont="1" applyFill="1" applyAlignment="1" applyProtection="1">
      <alignment vertical="center"/>
      <protection locked="0"/>
    </xf>
    <xf numFmtId="0" fontId="49" fillId="12" borderId="0" xfId="0" applyFont="1" applyFill="1" applyProtection="1">
      <protection locked="0"/>
    </xf>
    <xf numFmtId="49" fontId="48" fillId="0" borderId="63" xfId="0" applyNumberFormat="1" applyFont="1" applyBorder="1" applyAlignment="1" applyProtection="1">
      <alignment horizontal="center" vertical="center"/>
      <protection locked="0"/>
    </xf>
    <xf numFmtId="0" fontId="48" fillId="0" borderId="63" xfId="0" applyFont="1" applyBorder="1" applyAlignment="1" applyProtection="1">
      <alignment horizontal="left" vertical="center" wrapText="1"/>
      <protection locked="0"/>
    </xf>
    <xf numFmtId="0" fontId="48" fillId="0" borderId="1" xfId="0" applyFont="1" applyBorder="1" applyAlignment="1" applyProtection="1">
      <alignment horizontal="left" vertical="center" wrapText="1"/>
      <protection locked="0"/>
    </xf>
    <xf numFmtId="0" fontId="48" fillId="0" borderId="1" xfId="0" applyFont="1" applyBorder="1" applyAlignment="1" applyProtection="1">
      <alignment horizontal="center" vertical="center"/>
      <protection locked="0"/>
    </xf>
    <xf numFmtId="168" fontId="48" fillId="0" borderId="1" xfId="0" applyNumberFormat="1" applyFont="1" applyBorder="1" applyAlignment="1" applyProtection="1">
      <alignment horizontal="center" vertical="center"/>
      <protection locked="0"/>
    </xf>
    <xf numFmtId="167" fontId="48" fillId="0" borderId="1" xfId="0" applyNumberFormat="1" applyFont="1" applyBorder="1" applyAlignment="1" applyProtection="1">
      <alignment horizontal="right" vertical="center"/>
      <protection locked="0"/>
    </xf>
    <xf numFmtId="167" fontId="48" fillId="0" borderId="40" xfId="0" applyNumberFormat="1" applyFont="1" applyBorder="1" applyAlignment="1" applyProtection="1">
      <alignment horizontal="right" vertical="center"/>
      <protection locked="0"/>
    </xf>
    <xf numFmtId="44" fontId="49" fillId="0" borderId="0" xfId="1" applyFont="1" applyProtection="1">
      <protection locked="0"/>
    </xf>
    <xf numFmtId="49" fontId="48" fillId="12" borderId="63" xfId="0" applyNumberFormat="1" applyFont="1" applyFill="1" applyBorder="1" applyAlignment="1" applyProtection="1">
      <alignment horizontal="center" vertical="center"/>
      <protection locked="0"/>
    </xf>
    <xf numFmtId="0" fontId="48" fillId="12" borderId="63" xfId="0" applyFont="1" applyFill="1" applyBorder="1" applyAlignment="1" applyProtection="1">
      <alignment vertical="center" wrapText="1"/>
      <protection locked="0"/>
    </xf>
    <xf numFmtId="168" fontId="48" fillId="12" borderId="63" xfId="0" applyNumberFormat="1" applyFont="1" applyFill="1" applyBorder="1" applyAlignment="1" applyProtection="1">
      <alignment horizontal="center" vertical="center"/>
      <protection locked="0"/>
    </xf>
    <xf numFmtId="49" fontId="54" fillId="7" borderId="65" xfId="0" applyNumberFormat="1" applyFont="1" applyFill="1" applyBorder="1" applyAlignment="1" applyProtection="1">
      <alignment horizontal="left" vertical="center"/>
      <protection locked="0"/>
    </xf>
    <xf numFmtId="167" fontId="54" fillId="7" borderId="44" xfId="0" applyNumberFormat="1" applyFont="1" applyFill="1" applyBorder="1" applyAlignment="1" applyProtection="1">
      <alignment horizontal="right" vertical="center"/>
      <protection locked="0"/>
    </xf>
    <xf numFmtId="49" fontId="48" fillId="0" borderId="5" xfId="0" applyNumberFormat="1" applyFont="1" applyBorder="1" applyAlignment="1" applyProtection="1">
      <alignment horizontal="center" vertical="center" wrapText="1"/>
      <protection locked="0"/>
    </xf>
    <xf numFmtId="0" fontId="48" fillId="0" borderId="1" xfId="0" applyFont="1" applyBorder="1" applyAlignment="1" applyProtection="1">
      <alignment horizontal="center" vertical="center" wrapText="1"/>
      <protection locked="0"/>
    </xf>
    <xf numFmtId="169" fontId="48" fillId="0" borderId="1" xfId="0" applyNumberFormat="1" applyFont="1" applyBorder="1" applyAlignment="1" applyProtection="1">
      <alignment horizontal="right" vertical="center" shrinkToFit="1"/>
      <protection locked="0"/>
    </xf>
    <xf numFmtId="167" fontId="48" fillId="0" borderId="31" xfId="0" applyNumberFormat="1" applyFont="1" applyBorder="1" applyAlignment="1" applyProtection="1">
      <alignment horizontal="right" vertical="center"/>
      <protection locked="0"/>
    </xf>
    <xf numFmtId="167" fontId="48" fillId="0" borderId="142" xfId="0" applyNumberFormat="1" applyFont="1" applyBorder="1" applyAlignment="1" applyProtection="1">
      <alignment horizontal="right" vertical="center"/>
      <protection locked="0"/>
    </xf>
    <xf numFmtId="167" fontId="48" fillId="0" borderId="143" xfId="0" applyNumberFormat="1" applyFont="1" applyBorder="1" applyAlignment="1" applyProtection="1">
      <alignment horizontal="right" vertical="center"/>
      <protection locked="0"/>
    </xf>
    <xf numFmtId="49" fontId="48" fillId="0" borderId="41" xfId="0" applyNumberFormat="1" applyFont="1" applyBorder="1" applyAlignment="1" applyProtection="1">
      <alignment horizontal="center" vertical="center" wrapText="1"/>
      <protection locked="0"/>
    </xf>
    <xf numFmtId="0" fontId="48" fillId="0" borderId="61" xfId="0" applyFont="1" applyBorder="1" applyAlignment="1" applyProtection="1">
      <alignment horizontal="left" vertical="center" wrapText="1"/>
      <protection locked="0"/>
    </xf>
    <xf numFmtId="0" fontId="48" fillId="0" borderId="61" xfId="0" applyFont="1" applyBorder="1" applyAlignment="1" applyProtection="1">
      <alignment horizontal="center" vertical="center"/>
      <protection locked="0"/>
    </xf>
    <xf numFmtId="169" fontId="48" fillId="0" borderId="61" xfId="0" applyNumberFormat="1" applyFont="1" applyBorder="1" applyAlignment="1" applyProtection="1">
      <alignment horizontal="right" vertical="center" shrinkToFit="1"/>
      <protection locked="0"/>
    </xf>
    <xf numFmtId="167" fontId="48" fillId="0" borderId="109" xfId="0" applyNumberFormat="1" applyFont="1" applyBorder="1" applyAlignment="1" applyProtection="1">
      <alignment horizontal="right" vertical="center"/>
      <protection locked="0"/>
    </xf>
    <xf numFmtId="169" fontId="48" fillId="0" borderId="63" xfId="0" applyNumberFormat="1" applyFont="1" applyBorder="1" applyAlignment="1" applyProtection="1">
      <alignment horizontal="right" vertical="center" shrinkToFit="1"/>
      <protection locked="0"/>
    </xf>
    <xf numFmtId="49" fontId="10" fillId="7" borderId="63" xfId="0" applyNumberFormat="1" applyFont="1" applyFill="1" applyBorder="1" applyAlignment="1" applyProtection="1">
      <alignment horizontal="left" vertical="center"/>
      <protection locked="0"/>
    </xf>
    <xf numFmtId="167" fontId="10" fillId="7" borderId="63" xfId="0" applyNumberFormat="1" applyFont="1" applyFill="1" applyBorder="1" applyAlignment="1" applyProtection="1">
      <alignment horizontal="right" vertical="center"/>
      <protection locked="0"/>
    </xf>
    <xf numFmtId="164" fontId="51" fillId="0" borderId="0" xfId="0" applyNumberFormat="1" applyFont="1" applyAlignment="1" applyProtection="1">
      <alignment vertical="center"/>
      <protection locked="0"/>
    </xf>
    <xf numFmtId="0" fontId="50" fillId="0" borderId="0" xfId="0" applyFont="1" applyAlignment="1" applyProtection="1">
      <alignment vertical="center"/>
      <protection locked="0"/>
    </xf>
    <xf numFmtId="0" fontId="51" fillId="0" borderId="0" xfId="0" applyFont="1" applyProtection="1">
      <protection locked="0"/>
    </xf>
    <xf numFmtId="0" fontId="21" fillId="0" borderId="63" xfId="0" applyFont="1" applyBorder="1" applyAlignment="1" applyProtection="1">
      <alignment horizontal="center" vertical="center" wrapText="1"/>
      <protection locked="0"/>
    </xf>
    <xf numFmtId="49" fontId="21" fillId="0" borderId="63" xfId="0" applyNumberFormat="1" applyFont="1" applyBorder="1" applyAlignment="1" applyProtection="1">
      <alignment horizontal="center" vertical="center" wrapText="1"/>
      <protection locked="0"/>
    </xf>
    <xf numFmtId="0" fontId="20" fillId="0" borderId="63" xfId="0" applyFont="1" applyBorder="1" applyAlignment="1" applyProtection="1">
      <alignment horizontal="center" vertical="center" wrapText="1"/>
      <protection locked="0"/>
    </xf>
    <xf numFmtId="49" fontId="20" fillId="0" borderId="63" xfId="0" applyNumberFormat="1" applyFont="1" applyBorder="1" applyAlignment="1" applyProtection="1">
      <alignment horizontal="center" vertical="center" wrapText="1"/>
      <protection locked="0"/>
    </xf>
    <xf numFmtId="0" fontId="21" fillId="0" borderId="63" xfId="0" applyFont="1" applyBorder="1" applyAlignment="1" applyProtection="1">
      <alignment horizontal="left" vertical="center" wrapText="1"/>
      <protection locked="0"/>
    </xf>
    <xf numFmtId="49" fontId="50" fillId="0" borderId="52" xfId="0" applyNumberFormat="1" applyFont="1" applyBorder="1" applyAlignment="1" applyProtection="1">
      <alignment horizontal="center" vertical="center"/>
      <protection locked="0"/>
    </xf>
    <xf numFmtId="0" fontId="50" fillId="0" borderId="29" xfId="0" applyFont="1" applyBorder="1" applyAlignment="1" applyProtection="1">
      <alignment horizontal="left" vertical="center" wrapText="1"/>
      <protection locked="0"/>
    </xf>
    <xf numFmtId="0" fontId="50" fillId="0" borderId="52" xfId="0" applyFont="1" applyBorder="1" applyAlignment="1" applyProtection="1">
      <alignment horizontal="center" vertical="center"/>
      <protection locked="0"/>
    </xf>
    <xf numFmtId="168" fontId="50" fillId="0" borderId="52" xfId="0" applyNumberFormat="1" applyFont="1" applyBorder="1" applyAlignment="1" applyProtection="1">
      <alignment horizontal="center" vertical="center"/>
      <protection locked="0"/>
    </xf>
    <xf numFmtId="167" fontId="50" fillId="0" borderId="52" xfId="0" applyNumberFormat="1" applyFont="1" applyBorder="1" applyAlignment="1" applyProtection="1">
      <alignment horizontal="right" vertical="center"/>
      <protection locked="0"/>
    </xf>
    <xf numFmtId="164" fontId="50" fillId="0" borderId="52" xfId="0" applyNumberFormat="1" applyFont="1" applyBorder="1" applyAlignment="1" applyProtection="1">
      <alignment horizontal="center" vertical="center"/>
      <protection locked="0"/>
    </xf>
    <xf numFmtId="49" fontId="20" fillId="0" borderId="5" xfId="0" applyNumberFormat="1"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protection locked="0"/>
    </xf>
    <xf numFmtId="168" fontId="20" fillId="0" borderId="63" xfId="0" applyNumberFormat="1" applyFont="1" applyBorder="1" applyAlignment="1" applyProtection="1">
      <alignment horizontal="center" vertical="center"/>
      <protection locked="0"/>
    </xf>
    <xf numFmtId="169" fontId="20" fillId="0" borderId="1" xfId="0" applyNumberFormat="1" applyFont="1" applyBorder="1" applyAlignment="1" applyProtection="1">
      <alignment horizontal="right" vertical="center" shrinkToFit="1"/>
      <protection locked="0"/>
    </xf>
    <xf numFmtId="167" fontId="20" fillId="0" borderId="31" xfId="0" applyNumberFormat="1" applyFont="1" applyBorder="1" applyAlignment="1" applyProtection="1">
      <alignment horizontal="right" vertical="center"/>
      <protection locked="0"/>
    </xf>
    <xf numFmtId="44" fontId="53" fillId="0" borderId="0" xfId="1" applyFont="1" applyProtection="1">
      <protection locked="0"/>
    </xf>
    <xf numFmtId="164" fontId="8" fillId="0" borderId="0" xfId="0" applyNumberFormat="1" applyFont="1" applyProtection="1">
      <protection locked="0"/>
    </xf>
    <xf numFmtId="0" fontId="20" fillId="0" borderId="0" xfId="0" applyFont="1" applyAlignment="1" applyProtection="1">
      <alignment vertical="center"/>
      <protection locked="0"/>
    </xf>
    <xf numFmtId="0" fontId="8" fillId="0" borderId="0" xfId="0" applyFont="1" applyProtection="1">
      <protection locked="0"/>
    </xf>
    <xf numFmtId="49" fontId="10" fillId="7" borderId="33" xfId="0" applyNumberFormat="1" applyFont="1" applyFill="1" applyBorder="1" applyAlignment="1" applyProtection="1">
      <alignment horizontal="left" vertical="center"/>
      <protection locked="0"/>
    </xf>
    <xf numFmtId="44" fontId="52" fillId="0" borderId="0" xfId="1" applyFont="1" applyProtection="1">
      <protection locked="0"/>
    </xf>
    <xf numFmtId="49" fontId="10" fillId="17" borderId="52" xfId="0" applyNumberFormat="1" applyFont="1" applyFill="1" applyBorder="1" applyAlignment="1" applyProtection="1">
      <alignment horizontal="left" vertical="center"/>
      <protection locked="0"/>
    </xf>
    <xf numFmtId="49" fontId="10" fillId="17" borderId="85" xfId="0" applyNumberFormat="1" applyFont="1" applyFill="1" applyBorder="1" applyAlignment="1" applyProtection="1">
      <alignment horizontal="right" vertical="center"/>
      <protection locked="0"/>
    </xf>
    <xf numFmtId="167" fontId="10" fillId="17" borderId="52" xfId="0" applyNumberFormat="1" applyFont="1" applyFill="1" applyBorder="1" applyAlignment="1" applyProtection="1">
      <alignment horizontal="right" vertical="center"/>
      <protection locked="0"/>
    </xf>
    <xf numFmtId="164" fontId="51" fillId="12" borderId="0" xfId="0" applyNumberFormat="1" applyFont="1" applyFill="1" applyAlignment="1" applyProtection="1">
      <alignment vertical="center"/>
      <protection locked="0"/>
    </xf>
    <xf numFmtId="0" fontId="50" fillId="12" borderId="0" xfId="0" applyFont="1" applyFill="1" applyAlignment="1" applyProtection="1">
      <alignment vertical="center"/>
      <protection locked="0"/>
    </xf>
    <xf numFmtId="0" fontId="51" fillId="12" borderId="0" xfId="0" applyFont="1" applyFill="1" applyProtection="1">
      <protection locked="0"/>
    </xf>
    <xf numFmtId="44" fontId="67" fillId="0" borderId="0" xfId="1" applyFont="1" applyProtection="1">
      <protection locked="0"/>
    </xf>
    <xf numFmtId="44" fontId="67" fillId="0" borderId="0" xfId="1" applyFont="1" applyAlignment="1" applyProtection="1">
      <alignment vertical="center"/>
      <protection locked="0"/>
    </xf>
    <xf numFmtId="0" fontId="69" fillId="0" borderId="0" xfId="0" applyFont="1" applyAlignment="1" applyProtection="1">
      <alignment vertical="center"/>
      <protection locked="0"/>
    </xf>
    <xf numFmtId="0" fontId="68" fillId="0" borderId="0" xfId="0" applyFont="1" applyProtection="1">
      <protection locked="0"/>
    </xf>
    <xf numFmtId="0" fontId="21" fillId="0" borderId="0" xfId="0" applyFont="1" applyAlignment="1" applyProtection="1">
      <alignment vertical="center" wrapText="1"/>
      <protection locked="0"/>
    </xf>
    <xf numFmtId="164" fontId="21" fillId="0" borderId="0" xfId="0" applyNumberFormat="1" applyFont="1" applyAlignment="1" applyProtection="1">
      <alignment vertical="center" wrapText="1"/>
      <protection locked="0"/>
    </xf>
    <xf numFmtId="0" fontId="7" fillId="5" borderId="0" xfId="0" applyFont="1" applyFill="1" applyAlignment="1" applyProtection="1">
      <alignment horizontal="left" vertical="center"/>
      <protection locked="0"/>
    </xf>
    <xf numFmtId="49" fontId="7" fillId="5" borderId="0" xfId="0" applyNumberFormat="1" applyFont="1" applyFill="1" applyAlignment="1" applyProtection="1">
      <alignment horizontal="center" vertical="center"/>
      <protection locked="0"/>
    </xf>
    <xf numFmtId="0" fontId="7" fillId="5" borderId="0" xfId="0" applyFont="1" applyFill="1" applyAlignment="1" applyProtection="1">
      <alignment horizontal="left" vertical="center" wrapText="1"/>
      <protection locked="0"/>
    </xf>
    <xf numFmtId="0" fontId="7" fillId="5" borderId="0" xfId="0" applyFont="1" applyFill="1" applyAlignment="1" applyProtection="1">
      <alignment horizontal="center" vertical="center"/>
      <protection locked="0"/>
    </xf>
    <xf numFmtId="167" fontId="7" fillId="5" borderId="0" xfId="0" applyNumberFormat="1" applyFont="1" applyFill="1" applyAlignment="1" applyProtection="1">
      <alignment horizontal="right" vertical="center"/>
      <protection locked="0"/>
    </xf>
    <xf numFmtId="164" fontId="7" fillId="5" borderId="0" xfId="0" applyNumberFormat="1" applyFont="1" applyFill="1" applyAlignment="1" applyProtection="1">
      <alignment horizontal="right" vertical="center"/>
      <protection locked="0"/>
    </xf>
    <xf numFmtId="0" fontId="0" fillId="0" borderId="0" xfId="0" applyAlignment="1" applyProtection="1">
      <alignment wrapText="1"/>
      <protection locked="0"/>
    </xf>
    <xf numFmtId="0" fontId="21" fillId="19" borderId="63" xfId="0" applyFont="1" applyFill="1" applyBorder="1" applyAlignment="1">
      <alignment vertical="center" wrapText="1"/>
    </xf>
    <xf numFmtId="0" fontId="20" fillId="12" borderId="63" xfId="0" applyFont="1" applyFill="1" applyBorder="1" applyAlignment="1">
      <alignment vertical="center" wrapText="1"/>
    </xf>
    <xf numFmtId="0" fontId="20" fillId="0" borderId="63" xfId="0" applyFont="1" applyBorder="1" applyAlignment="1">
      <alignment vertical="center" wrapText="1"/>
    </xf>
    <xf numFmtId="0" fontId="20" fillId="5" borderId="63" xfId="0" applyFont="1" applyFill="1" applyBorder="1" applyAlignment="1">
      <alignment horizontal="center" vertical="center"/>
    </xf>
    <xf numFmtId="168" fontId="20" fillId="12" borderId="63" xfId="0" applyNumberFormat="1" applyFont="1" applyFill="1" applyBorder="1" applyAlignment="1">
      <alignment horizontal="center" vertical="center"/>
    </xf>
    <xf numFmtId="0" fontId="20" fillId="5" borderId="63" xfId="0" applyFont="1" applyFill="1" applyBorder="1" applyAlignment="1">
      <alignment horizontal="center" vertical="center" wrapText="1"/>
    </xf>
    <xf numFmtId="168" fontId="20" fillId="0" borderId="63" xfId="0" applyNumberFormat="1" applyFont="1" applyBorder="1" applyAlignment="1">
      <alignment horizontal="center" vertical="center"/>
    </xf>
    <xf numFmtId="167" fontId="20" fillId="5" borderId="63" xfId="0" applyNumberFormat="1" applyFont="1" applyFill="1" applyBorder="1" applyAlignment="1">
      <alignment horizontal="right" vertical="center"/>
    </xf>
    <xf numFmtId="167" fontId="20" fillId="5" borderId="63" xfId="0" applyNumberFormat="1" applyFont="1" applyFill="1" applyBorder="1" applyAlignment="1">
      <alignment horizontal="right" vertical="center" wrapText="1"/>
    </xf>
    <xf numFmtId="167" fontId="7" fillId="0" borderId="18" xfId="0" applyNumberFormat="1" applyFont="1" applyBorder="1" applyAlignment="1">
      <alignment horizontal="right" vertical="center"/>
    </xf>
    <xf numFmtId="167" fontId="20" fillId="20" borderId="63" xfId="0" applyNumberFormat="1" applyFont="1" applyFill="1" applyBorder="1" applyAlignment="1">
      <alignment horizontal="right" vertical="center"/>
    </xf>
    <xf numFmtId="164" fontId="48" fillId="5" borderId="63" xfId="0" applyNumberFormat="1" applyFont="1" applyFill="1" applyBorder="1" applyAlignment="1">
      <alignment horizontal="center" vertical="center"/>
    </xf>
    <xf numFmtId="167" fontId="48" fillId="0" borderId="63" xfId="0" applyNumberFormat="1" applyFont="1" applyBorder="1" applyAlignment="1">
      <alignment horizontal="right" vertical="center"/>
    </xf>
    <xf numFmtId="164" fontId="48" fillId="5" borderId="63" xfId="0" applyNumberFormat="1" applyFont="1" applyFill="1" applyBorder="1" applyAlignment="1">
      <alignment horizontal="center" vertical="center" wrapText="1"/>
    </xf>
    <xf numFmtId="164" fontId="48" fillId="0" borderId="63" xfId="0" applyNumberFormat="1" applyFont="1" applyBorder="1" applyAlignment="1">
      <alignment horizontal="center" vertical="center"/>
    </xf>
    <xf numFmtId="0" fontId="49" fillId="0" borderId="63" xfId="0" applyFont="1" applyBorder="1"/>
    <xf numFmtId="167" fontId="48" fillId="12" borderId="63" xfId="0" applyNumberFormat="1" applyFont="1" applyFill="1" applyBorder="1" applyAlignment="1">
      <alignment horizontal="right" vertical="center" wrapText="1"/>
    </xf>
    <xf numFmtId="167" fontId="54" fillId="12" borderId="63" xfId="0" applyNumberFormat="1" applyFont="1" applyFill="1" applyBorder="1" applyAlignment="1">
      <alignment horizontal="right" vertical="center"/>
    </xf>
    <xf numFmtId="164" fontId="54" fillId="5" borderId="63" xfId="0" applyNumberFormat="1" applyFont="1" applyFill="1" applyBorder="1" applyAlignment="1">
      <alignment horizontal="center" vertical="center" wrapText="1"/>
    </xf>
    <xf numFmtId="166" fontId="12" fillId="0" borderId="0" xfId="0" applyNumberFormat="1" applyFont="1"/>
    <xf numFmtId="0" fontId="14" fillId="0" borderId="116" xfId="0" applyFont="1" applyBorder="1"/>
    <xf numFmtId="4" fontId="34" fillId="12" borderId="52" xfId="11" applyNumberFormat="1" applyFont="1" applyFill="1" applyAlignment="1">
      <alignment horizontal="center" vertical="center" wrapText="1"/>
    </xf>
    <xf numFmtId="49" fontId="7" fillId="0" borderId="52" xfId="0" applyNumberFormat="1" applyFont="1" applyBorder="1" applyAlignment="1">
      <alignment vertical="center"/>
    </xf>
    <xf numFmtId="174" fontId="11" fillId="0" borderId="68" xfId="0" applyNumberFormat="1" applyFont="1" applyBorder="1" applyAlignment="1">
      <alignment horizontal="center"/>
    </xf>
    <xf numFmtId="174" fontId="11" fillId="0" borderId="63" xfId="0" applyNumberFormat="1" applyFont="1" applyBorder="1" applyAlignment="1">
      <alignment horizontal="center"/>
    </xf>
    <xf numFmtId="4" fontId="5" fillId="15" borderId="63" xfId="11" applyNumberFormat="1" applyFill="1" applyBorder="1" applyAlignment="1">
      <alignment horizontal="center" vertical="center"/>
    </xf>
    <xf numFmtId="4" fontId="5" fillId="12" borderId="63" xfId="11" applyNumberFormat="1" applyFill="1" applyBorder="1" applyAlignment="1">
      <alignment horizontal="left" vertical="center"/>
    </xf>
    <xf numFmtId="193" fontId="5" fillId="12" borderId="52" xfId="11" applyNumberFormat="1" applyFill="1" applyAlignment="1">
      <alignment horizontal="center" vertical="center"/>
    </xf>
    <xf numFmtId="194" fontId="5" fillId="12" borderId="63" xfId="11" applyNumberFormat="1" applyFill="1" applyBorder="1" applyAlignment="1">
      <alignment horizontal="left" vertical="center"/>
    </xf>
    <xf numFmtId="4" fontId="5" fillId="15" borderId="63" xfId="11" applyNumberFormat="1" applyFill="1" applyBorder="1" applyAlignment="1">
      <alignment horizontal="left" vertical="center"/>
    </xf>
    <xf numFmtId="4" fontId="24" fillId="15" borderId="64" xfId="0" applyNumberFormat="1" applyFont="1" applyFill="1" applyBorder="1" applyAlignment="1">
      <alignment horizontal="center" vertical="center"/>
    </xf>
    <xf numFmtId="4" fontId="5" fillId="12" borderId="52" xfId="11" applyNumberFormat="1" applyFill="1" applyAlignment="1">
      <alignment horizontal="left" vertical="center"/>
    </xf>
    <xf numFmtId="4" fontId="0" fillId="12" borderId="63" xfId="0" applyNumberFormat="1" applyFill="1" applyBorder="1" applyAlignment="1">
      <alignment horizontal="center" vertical="center"/>
    </xf>
    <xf numFmtId="193" fontId="24" fillId="0" borderId="63" xfId="0" applyNumberFormat="1" applyFont="1" applyBorder="1" applyAlignment="1">
      <alignment horizontal="center"/>
    </xf>
    <xf numFmtId="193" fontId="0" fillId="0" borderId="63" xfId="0" applyNumberFormat="1" applyBorder="1"/>
    <xf numFmtId="4" fontId="24" fillId="0" borderId="63" xfId="0" applyNumberFormat="1" applyFont="1" applyBorder="1" applyAlignment="1">
      <alignment horizontal="center"/>
    </xf>
    <xf numFmtId="4" fontId="0" fillId="0" borderId="63" xfId="0" applyNumberFormat="1" applyBorder="1"/>
    <xf numFmtId="0" fontId="5" fillId="0" borderId="52" xfId="11" applyAlignment="1">
      <alignment horizontal="left"/>
    </xf>
    <xf numFmtId="193" fontId="5" fillId="0" borderId="52" xfId="11" applyNumberFormat="1"/>
    <xf numFmtId="4" fontId="62" fillId="12" borderId="106" xfId="11" applyNumberFormat="1" applyFont="1" applyFill="1" applyBorder="1" applyAlignment="1">
      <alignment horizontal="left" vertical="top" wrapText="1"/>
    </xf>
    <xf numFmtId="4" fontId="62" fillId="12" borderId="145" xfId="11" applyNumberFormat="1" applyFont="1" applyFill="1" applyBorder="1" applyAlignment="1">
      <alignment horizontal="left" vertical="top" wrapText="1"/>
    </xf>
    <xf numFmtId="193" fontId="5" fillId="18" borderId="52" xfId="11" applyNumberFormat="1" applyFill="1" applyAlignment="1">
      <alignment horizontal="center" vertical="center"/>
    </xf>
    <xf numFmtId="0" fontId="5" fillId="15" borderId="63" xfId="11" pivotButton="1" applyFill="1" applyBorder="1" applyAlignment="1">
      <alignment horizontal="center"/>
    </xf>
    <xf numFmtId="4" fontId="62" fillId="12" borderId="52" xfId="11" applyNumberFormat="1" applyFont="1" applyFill="1" applyAlignment="1">
      <alignment horizontal="left" vertical="top" wrapText="1"/>
    </xf>
    <xf numFmtId="4" fontId="62" fillId="12" borderId="145" xfId="11" applyNumberFormat="1" applyFont="1" applyFill="1" applyBorder="1" applyAlignment="1">
      <alignment vertical="top" wrapText="1"/>
    </xf>
    <xf numFmtId="4" fontId="62" fillId="12" borderId="52" xfId="11" applyNumberFormat="1" applyFont="1" applyFill="1" applyAlignment="1">
      <alignment vertical="top" wrapText="1"/>
    </xf>
    <xf numFmtId="4" fontId="61" fillId="12" borderId="52" xfId="11" applyNumberFormat="1" applyFont="1" applyFill="1" applyAlignment="1">
      <alignment horizontal="center" vertical="center"/>
    </xf>
    <xf numFmtId="4" fontId="4" fillId="15" borderId="63" xfId="11" applyNumberFormat="1" applyFont="1" applyFill="1" applyBorder="1" applyAlignment="1">
      <alignment horizontal="center" vertical="center"/>
    </xf>
    <xf numFmtId="4" fontId="5" fillId="12" borderId="145" xfId="11" applyNumberFormat="1" applyFill="1" applyBorder="1" applyAlignment="1">
      <alignment horizontal="center" vertical="center"/>
    </xf>
    <xf numFmtId="4" fontId="5" fillId="12" borderId="106" xfId="11" applyNumberFormat="1" applyFill="1" applyBorder="1" applyAlignment="1">
      <alignment horizontal="center" vertical="center"/>
    </xf>
    <xf numFmtId="4" fontId="5" fillId="12" borderId="146" xfId="11" applyNumberFormat="1" applyFill="1" applyBorder="1" applyAlignment="1">
      <alignment horizontal="center" vertical="center"/>
    </xf>
    <xf numFmtId="4" fontId="5" fillId="12" borderId="103" xfId="11" applyNumberFormat="1" applyFill="1" applyBorder="1" applyAlignment="1">
      <alignment horizontal="center" vertical="center"/>
    </xf>
    <xf numFmtId="4" fontId="5" fillId="12" borderId="105" xfId="11" applyNumberFormat="1" applyFill="1" applyBorder="1" applyAlignment="1">
      <alignment horizontal="center" vertical="center"/>
    </xf>
    <xf numFmtId="193" fontId="70" fillId="0" borderId="63" xfId="0" applyNumberFormat="1" applyFont="1" applyBorder="1" applyAlignment="1">
      <alignment horizontal="center"/>
    </xf>
    <xf numFmtId="4" fontId="24" fillId="12" borderId="52" xfId="11" applyNumberFormat="1" applyFont="1" applyFill="1" applyAlignment="1">
      <alignment horizontal="center" vertical="center"/>
    </xf>
    <xf numFmtId="0" fontId="21" fillId="0" borderId="0" xfId="0" applyFont="1"/>
    <xf numFmtId="0" fontId="21" fillId="0" borderId="52" xfId="0" applyFont="1" applyBorder="1"/>
    <xf numFmtId="0" fontId="12" fillId="0" borderId="147" xfId="0" applyFont="1" applyBorder="1"/>
    <xf numFmtId="0" fontId="56" fillId="12" borderId="63" xfId="0" applyFont="1" applyFill="1" applyBorder="1" applyAlignment="1">
      <alignment horizontal="center" vertical="center" wrapText="1" readingOrder="1"/>
    </xf>
    <xf numFmtId="177" fontId="56" fillId="12" borderId="63" xfId="0" applyNumberFormat="1" applyFont="1" applyFill="1" applyBorder="1" applyAlignment="1">
      <alignment horizontal="center" vertical="center" wrapText="1" readingOrder="1"/>
    </xf>
    <xf numFmtId="177" fontId="56" fillId="12" borderId="36" xfId="0" applyNumberFormat="1" applyFont="1" applyFill="1" applyBorder="1" applyAlignment="1">
      <alignment horizontal="center" vertical="center" wrapText="1" readingOrder="1"/>
    </xf>
    <xf numFmtId="177" fontId="56" fillId="12" borderId="70" xfId="0" applyNumberFormat="1" applyFont="1" applyFill="1" applyBorder="1" applyAlignment="1">
      <alignment horizontal="center" vertical="center" wrapText="1" readingOrder="1"/>
    </xf>
    <xf numFmtId="2" fontId="56" fillId="12" borderId="1" xfId="0" applyNumberFormat="1" applyFont="1" applyFill="1" applyBorder="1" applyAlignment="1">
      <alignment horizontal="center" vertical="center" wrapText="1" readingOrder="1"/>
    </xf>
    <xf numFmtId="44" fontId="56" fillId="12" borderId="1" xfId="1" applyFont="1" applyFill="1" applyBorder="1" applyAlignment="1">
      <alignment horizontal="center" vertical="center" wrapText="1" readingOrder="1"/>
    </xf>
    <xf numFmtId="186" fontId="56" fillId="12" borderId="36" xfId="0" applyNumberFormat="1" applyFont="1" applyFill="1" applyBorder="1" applyAlignment="1">
      <alignment horizontal="center" vertical="center" wrapText="1" readingOrder="1"/>
    </xf>
    <xf numFmtId="9" fontId="56" fillId="5" borderId="1" xfId="2" applyFont="1" applyFill="1" applyBorder="1" applyAlignment="1">
      <alignment horizontal="center" vertical="center"/>
    </xf>
    <xf numFmtId="44" fontId="0" fillId="0" borderId="0" xfId="0" applyNumberFormat="1"/>
    <xf numFmtId="0" fontId="56" fillId="12" borderId="36" xfId="0" applyFont="1" applyFill="1" applyBorder="1" applyAlignment="1">
      <alignment horizontal="center" vertical="center" wrapText="1" readingOrder="1"/>
    </xf>
    <xf numFmtId="0" fontId="56" fillId="9" borderId="62" xfId="0" applyFont="1" applyFill="1" applyBorder="1" applyAlignment="1">
      <alignment horizontal="left" wrapText="1" readingOrder="1"/>
    </xf>
    <xf numFmtId="0" fontId="56" fillId="0" borderId="148" xfId="0" applyFont="1" applyBorder="1" applyAlignment="1">
      <alignment horizontal="center" vertical="center" wrapText="1" readingOrder="1"/>
    </xf>
    <xf numFmtId="0" fontId="56" fillId="0" borderId="149" xfId="0" applyFont="1" applyBorder="1" applyAlignment="1">
      <alignment horizontal="center" vertical="center" wrapText="1" readingOrder="1"/>
    </xf>
    <xf numFmtId="177" fontId="56" fillId="0" borderId="144" xfId="0" applyNumberFormat="1" applyFont="1" applyBorder="1" applyAlignment="1">
      <alignment horizontal="center" vertical="center" wrapText="1" readingOrder="1"/>
    </xf>
    <xf numFmtId="196" fontId="56" fillId="0" borderId="1" xfId="0" applyNumberFormat="1" applyFont="1" applyBorder="1" applyAlignment="1">
      <alignment horizontal="center" vertical="center" wrapText="1" readingOrder="1"/>
    </xf>
    <xf numFmtId="178" fontId="56" fillId="12" borderId="63" xfId="0" applyNumberFormat="1" applyFont="1" applyFill="1" applyBorder="1" applyAlignment="1">
      <alignment horizontal="center" vertical="center" wrapText="1" readingOrder="1"/>
    </xf>
    <xf numFmtId="178" fontId="55" fillId="21" borderId="8" xfId="0" applyNumberFormat="1" applyFont="1" applyFill="1" applyBorder="1" applyAlignment="1">
      <alignment horizontal="center" vertical="center" wrapText="1" readingOrder="1"/>
    </xf>
    <xf numFmtId="44" fontId="0" fillId="0" borderId="0" xfId="1" applyFont="1"/>
    <xf numFmtId="168" fontId="48" fillId="12" borderId="64" xfId="0" applyNumberFormat="1" applyFont="1" applyFill="1" applyBorder="1" applyAlignment="1" applyProtection="1">
      <alignment horizontal="center" vertical="center"/>
      <protection locked="0"/>
    </xf>
    <xf numFmtId="197" fontId="49" fillId="12" borderId="0" xfId="2" applyNumberFormat="1" applyFont="1" applyFill="1"/>
    <xf numFmtId="10" fontId="56" fillId="12" borderId="36" xfId="2" applyNumberFormat="1" applyFont="1" applyFill="1" applyBorder="1" applyAlignment="1">
      <alignment horizontal="center" vertical="center" wrapText="1" readingOrder="1"/>
    </xf>
    <xf numFmtId="198" fontId="56" fillId="12" borderId="1" xfId="0" applyNumberFormat="1" applyFont="1" applyFill="1" applyBorder="1" applyAlignment="1">
      <alignment horizontal="center" vertical="center" wrapText="1" readingOrder="1"/>
    </xf>
    <xf numFmtId="196" fontId="56" fillId="12" borderId="1" xfId="0" applyNumberFormat="1" applyFont="1" applyFill="1" applyBorder="1" applyAlignment="1">
      <alignment horizontal="center" vertical="center" wrapText="1" readingOrder="1"/>
    </xf>
    <xf numFmtId="199" fontId="56" fillId="0" borderId="36" xfId="0" applyNumberFormat="1" applyFont="1" applyBorder="1" applyAlignment="1">
      <alignment horizontal="center" vertical="center" wrapText="1" readingOrder="1"/>
    </xf>
    <xf numFmtId="1" fontId="56" fillId="5" borderId="1" xfId="0" applyNumberFormat="1" applyFont="1" applyFill="1" applyBorder="1" applyAlignment="1">
      <alignment horizontal="center" vertical="center"/>
    </xf>
    <xf numFmtId="1" fontId="56" fillId="0" borderId="63" xfId="0" applyNumberFormat="1" applyFont="1" applyBorder="1" applyAlignment="1">
      <alignment horizontal="center" vertical="center" wrapText="1" readingOrder="1"/>
    </xf>
    <xf numFmtId="178" fontId="56" fillId="0" borderId="36" xfId="0" applyNumberFormat="1" applyFont="1" applyBorder="1" applyAlignment="1">
      <alignment horizontal="center" vertical="center" wrapText="1" readingOrder="1"/>
    </xf>
    <xf numFmtId="0" fontId="56" fillId="14" borderId="85" xfId="0" applyFont="1" applyFill="1" applyBorder="1" applyAlignment="1">
      <alignment horizontal="center" wrapText="1" readingOrder="1"/>
    </xf>
    <xf numFmtId="0" fontId="55" fillId="14" borderId="85" xfId="0" applyFont="1" applyFill="1" applyBorder="1" applyAlignment="1">
      <alignment horizontal="right" vertical="center" wrapText="1" readingOrder="1"/>
    </xf>
    <xf numFmtId="200" fontId="56" fillId="0" borderId="36" xfId="0" applyNumberFormat="1" applyFont="1" applyBorder="1" applyAlignment="1">
      <alignment horizontal="center" vertical="center" wrapText="1" readingOrder="1"/>
    </xf>
    <xf numFmtId="167" fontId="10" fillId="0" borderId="86" xfId="0" applyNumberFormat="1" applyFont="1" applyBorder="1" applyAlignment="1" applyProtection="1">
      <alignment horizontal="right" vertical="center"/>
      <protection locked="0"/>
    </xf>
    <xf numFmtId="167" fontId="17" fillId="6" borderId="86" xfId="0" applyNumberFormat="1" applyFont="1" applyFill="1" applyBorder="1" applyAlignment="1" applyProtection="1">
      <alignment horizontal="right" vertical="center"/>
      <protection locked="0"/>
    </xf>
    <xf numFmtId="164" fontId="51" fillId="0" borderId="52" xfId="0" applyNumberFormat="1" applyFont="1" applyBorder="1" applyAlignment="1" applyProtection="1">
      <alignment vertical="center"/>
      <protection locked="0"/>
    </xf>
    <xf numFmtId="171" fontId="65" fillId="6" borderId="63" xfId="0" applyNumberFormat="1" applyFont="1" applyFill="1" applyBorder="1" applyAlignment="1" applyProtection="1">
      <alignment horizontal="right" vertical="center"/>
      <protection locked="0"/>
    </xf>
    <xf numFmtId="171" fontId="48" fillId="12" borderId="63" xfId="0" applyNumberFormat="1" applyFont="1" applyFill="1" applyBorder="1" applyAlignment="1" applyProtection="1">
      <alignment horizontal="right" vertical="center"/>
      <protection locked="0"/>
    </xf>
    <xf numFmtId="44" fontId="51" fillId="0" borderId="52" xfId="1" applyFont="1" applyBorder="1" applyProtection="1">
      <protection locked="0"/>
    </xf>
    <xf numFmtId="44" fontId="51" fillId="0" borderId="0" xfId="1" applyFont="1" applyProtection="1">
      <protection locked="0"/>
    </xf>
    <xf numFmtId="44" fontId="21" fillId="0" borderId="0" xfId="1" applyFont="1" applyAlignment="1" applyProtection="1">
      <alignment vertical="center" wrapText="1"/>
      <protection locked="0"/>
    </xf>
    <xf numFmtId="44" fontId="0" fillId="0" borderId="0" xfId="1" applyFont="1" applyProtection="1">
      <protection locked="0"/>
    </xf>
    <xf numFmtId="44" fontId="72" fillId="0" borderId="0" xfId="1" applyFont="1" applyAlignment="1" applyProtection="1">
      <alignment vertical="center"/>
      <protection locked="0"/>
    </xf>
    <xf numFmtId="9" fontId="21" fillId="0" borderId="0" xfId="2" applyFont="1" applyAlignment="1" applyProtection="1">
      <alignment vertical="center" wrapText="1"/>
      <protection locked="0"/>
    </xf>
    <xf numFmtId="201" fontId="21" fillId="0" borderId="0" xfId="2" applyNumberFormat="1" applyFont="1" applyAlignment="1" applyProtection="1">
      <alignment vertical="center" wrapText="1"/>
      <protection locked="0"/>
    </xf>
    <xf numFmtId="202" fontId="49" fillId="0" borderId="0" xfId="0" applyNumberFormat="1" applyFont="1" applyProtection="1">
      <protection locked="0"/>
    </xf>
    <xf numFmtId="4" fontId="49" fillId="0" borderId="0" xfId="0" applyNumberFormat="1" applyFont="1" applyProtection="1">
      <protection locked="0"/>
    </xf>
    <xf numFmtId="4" fontId="7" fillId="0" borderId="0" xfId="0" applyNumberFormat="1" applyFont="1" applyAlignment="1" applyProtection="1">
      <alignment vertical="center"/>
      <protection locked="0"/>
    </xf>
    <xf numFmtId="4" fontId="51" fillId="0" borderId="0" xfId="0" applyNumberFormat="1" applyFont="1" applyProtection="1">
      <protection locked="0"/>
    </xf>
    <xf numFmtId="4" fontId="8" fillId="0" borderId="0" xfId="0" applyNumberFormat="1" applyFont="1" applyProtection="1">
      <protection locked="0"/>
    </xf>
    <xf numFmtId="4" fontId="51" fillId="12" borderId="0" xfId="0" applyNumberFormat="1" applyFont="1" applyFill="1" applyProtection="1">
      <protection locked="0"/>
    </xf>
    <xf numFmtId="4" fontId="68" fillId="0" borderId="0" xfId="0" applyNumberFormat="1" applyFont="1" applyProtection="1">
      <protection locked="0"/>
    </xf>
    <xf numFmtId="4" fontId="21" fillId="0" borderId="0" xfId="0" applyNumberFormat="1" applyFont="1" applyAlignment="1" applyProtection="1">
      <alignment vertical="center" wrapText="1"/>
      <protection locked="0"/>
    </xf>
    <xf numFmtId="4" fontId="0" fillId="0" borderId="0" xfId="0" applyNumberFormat="1" applyProtection="1">
      <protection locked="0"/>
    </xf>
    <xf numFmtId="203" fontId="10" fillId="7" borderId="34" xfId="0" applyNumberFormat="1" applyFont="1" applyFill="1" applyBorder="1" applyAlignment="1" applyProtection="1">
      <alignment horizontal="right" vertical="center"/>
      <protection locked="0"/>
    </xf>
    <xf numFmtId="0" fontId="73" fillId="0" borderId="52" xfId="3" applyFont="1"/>
    <xf numFmtId="0" fontId="74" fillId="0" borderId="52" xfId="3" applyFont="1"/>
    <xf numFmtId="44" fontId="73" fillId="0" borderId="52" xfId="13" applyFont="1" applyBorder="1"/>
    <xf numFmtId="0" fontId="74" fillId="0" borderId="52" xfId="3" applyFont="1" applyAlignment="1">
      <alignment vertical="center"/>
    </xf>
    <xf numFmtId="0" fontId="75" fillId="0" borderId="52" xfId="3" applyFont="1" applyAlignment="1">
      <alignment vertical="center"/>
    </xf>
    <xf numFmtId="0" fontId="47" fillId="0" borderId="52" xfId="3"/>
    <xf numFmtId="0" fontId="76" fillId="0" borderId="77" xfId="19" applyFont="1" applyBorder="1" applyAlignment="1">
      <alignment vertical="center"/>
    </xf>
    <xf numFmtId="0" fontId="73" fillId="0" borderId="78" xfId="19" applyFont="1" applyBorder="1" applyAlignment="1">
      <alignment vertical="center"/>
    </xf>
    <xf numFmtId="0" fontId="73" fillId="0" borderId="78" xfId="19" applyFont="1" applyBorder="1" applyAlignment="1">
      <alignment horizontal="center" vertical="center"/>
    </xf>
    <xf numFmtId="44" fontId="73" fillId="0" borderId="78" xfId="13" applyFont="1" applyBorder="1" applyAlignment="1">
      <alignment vertical="center"/>
    </xf>
    <xf numFmtId="0" fontId="76" fillId="0" borderId="79" xfId="19" applyFont="1" applyBorder="1" applyAlignment="1">
      <alignment vertical="center"/>
    </xf>
    <xf numFmtId="0" fontId="48" fillId="0" borderId="52" xfId="19" applyFont="1" applyAlignment="1">
      <alignment vertical="center"/>
    </xf>
    <xf numFmtId="0" fontId="76" fillId="0" borderId="80" xfId="19" applyFont="1" applyBorder="1" applyAlignment="1">
      <alignment vertical="center"/>
    </xf>
    <xf numFmtId="0" fontId="76" fillId="0" borderId="81" xfId="19" applyFont="1" applyBorder="1" applyAlignment="1">
      <alignment vertical="center"/>
    </xf>
    <xf numFmtId="0" fontId="74" fillId="12" borderId="150" xfId="3" applyFont="1" applyFill="1" applyBorder="1" applyAlignment="1">
      <alignment horizontal="left" vertical="center"/>
    </xf>
    <xf numFmtId="0" fontId="73" fillId="12" borderId="150" xfId="3" applyFont="1" applyFill="1" applyBorder="1" applyAlignment="1">
      <alignment horizontal="left" vertical="center"/>
    </xf>
    <xf numFmtId="0" fontId="73" fillId="0" borderId="52" xfId="19" applyFont="1" applyAlignment="1">
      <alignment vertical="center"/>
    </xf>
    <xf numFmtId="0" fontId="80" fillId="23" borderId="63" xfId="21" applyFont="1" applyFill="1" applyBorder="1" applyAlignment="1">
      <alignment vertical="center"/>
    </xf>
    <xf numFmtId="44" fontId="80" fillId="23" borderId="63" xfId="13" applyFont="1" applyFill="1" applyBorder="1" applyAlignment="1">
      <alignment vertical="center"/>
    </xf>
    <xf numFmtId="0" fontId="80" fillId="0" borderId="63" xfId="3" applyFont="1" applyBorder="1" applyAlignment="1">
      <alignment horizontal="center" vertical="center" wrapText="1"/>
    </xf>
    <xf numFmtId="204" fontId="81" fillId="0" borderId="63" xfId="3" applyNumberFormat="1" applyFont="1" applyBorder="1" applyAlignment="1">
      <alignment horizontal="center" vertical="center"/>
    </xf>
    <xf numFmtId="0" fontId="81" fillId="0" borderId="63" xfId="3" applyFont="1" applyBorder="1" applyAlignment="1">
      <alignment horizontal="center" vertical="center"/>
    </xf>
    <xf numFmtId="0" fontId="81" fillId="0" borderId="63" xfId="3" applyFont="1" applyBorder="1" applyAlignment="1">
      <alignment horizontal="justify" vertical="center"/>
    </xf>
    <xf numFmtId="0" fontId="81" fillId="12" borderId="63" xfId="3" applyFont="1" applyFill="1" applyBorder="1" applyAlignment="1">
      <alignment horizontal="center" vertical="center" wrapText="1"/>
    </xf>
    <xf numFmtId="4" fontId="81" fillId="12" borderId="63" xfId="22" applyNumberFormat="1" applyFont="1" applyFill="1" applyBorder="1" applyAlignment="1">
      <alignment horizontal="center" vertical="center"/>
    </xf>
    <xf numFmtId="171" fontId="81" fillId="12" borderId="63" xfId="13" applyNumberFormat="1" applyFont="1" applyFill="1" applyBorder="1" applyAlignment="1">
      <alignment horizontal="right" vertical="center"/>
    </xf>
    <xf numFmtId="171" fontId="81" fillId="0" borderId="63" xfId="13" applyNumberFormat="1" applyFont="1" applyBorder="1" applyAlignment="1">
      <alignment vertical="center"/>
    </xf>
    <xf numFmtId="0" fontId="81" fillId="0" borderId="63" xfId="3" applyFont="1" applyBorder="1" applyAlignment="1">
      <alignment horizontal="left" vertical="center" wrapText="1"/>
    </xf>
    <xf numFmtId="171" fontId="81" fillId="0" borderId="63" xfId="13" applyNumberFormat="1" applyFont="1" applyFill="1" applyBorder="1" applyAlignment="1">
      <alignment horizontal="right" vertical="center"/>
    </xf>
    <xf numFmtId="0" fontId="81" fillId="0" borderId="63" xfId="3" applyFont="1" applyBorder="1" applyAlignment="1">
      <alignment horizontal="justify" vertical="top" wrapText="1"/>
    </xf>
    <xf numFmtId="171" fontId="80" fillId="24" borderId="63" xfId="13" applyNumberFormat="1" applyFont="1" applyFill="1" applyBorder="1" applyAlignment="1">
      <alignment horizontal="right" vertical="center"/>
    </xf>
    <xf numFmtId="171" fontId="81" fillId="0" borderId="63" xfId="7" applyNumberFormat="1" applyFont="1" applyFill="1" applyBorder="1" applyAlignment="1">
      <alignment horizontal="right" vertical="center"/>
    </xf>
    <xf numFmtId="0" fontId="81" fillId="0" borderId="63" xfId="3" applyFont="1" applyBorder="1" applyAlignment="1">
      <alignment horizontal="justify" vertical="center" wrapText="1"/>
    </xf>
    <xf numFmtId="0" fontId="81" fillId="0" borderId="63" xfId="3" applyFont="1" applyBorder="1" applyAlignment="1">
      <alignment horizontal="center" vertical="center" wrapText="1"/>
    </xf>
    <xf numFmtId="171" fontId="80" fillId="23" borderId="63" xfId="13" applyNumberFormat="1" applyFont="1" applyFill="1" applyBorder="1" applyAlignment="1">
      <alignment vertical="center"/>
    </xf>
    <xf numFmtId="44" fontId="79" fillId="0" borderId="52" xfId="13" applyFont="1" applyBorder="1" applyAlignment="1">
      <alignment vertical="center"/>
    </xf>
    <xf numFmtId="0" fontId="73" fillId="12" borderId="52" xfId="3" applyFont="1" applyFill="1"/>
    <xf numFmtId="0" fontId="74" fillId="12" borderId="52" xfId="3" applyFont="1" applyFill="1" applyAlignment="1">
      <alignment horizontal="center" vertical="center"/>
    </xf>
    <xf numFmtId="44" fontId="74" fillId="12" borderId="52" xfId="13" applyFont="1" applyFill="1" applyBorder="1" applyAlignment="1">
      <alignment vertical="center"/>
    </xf>
    <xf numFmtId="0" fontId="75" fillId="12" borderId="52" xfId="3" applyFont="1" applyFill="1" applyAlignment="1">
      <alignment vertical="center"/>
    </xf>
    <xf numFmtId="0" fontId="47" fillId="12" borderId="52" xfId="3" applyFill="1"/>
    <xf numFmtId="44" fontId="74" fillId="22" borderId="154" xfId="13" applyFont="1" applyFill="1" applyBorder="1" applyAlignment="1">
      <alignment horizontal="center" vertical="center"/>
    </xf>
    <xf numFmtId="3" fontId="74" fillId="22" borderId="76" xfId="20" applyNumberFormat="1" applyFont="1" applyFill="1" applyBorder="1" applyAlignment="1">
      <alignment horizontal="center" vertical="center"/>
    </xf>
    <xf numFmtId="207" fontId="74" fillId="22" borderId="63" xfId="23" applyNumberFormat="1" applyFont="1" applyFill="1" applyBorder="1" applyAlignment="1">
      <alignment horizontal="center" vertical="center"/>
    </xf>
    <xf numFmtId="10" fontId="73" fillId="15" borderId="84" xfId="14" applyNumberFormat="1" applyFont="1" applyFill="1" applyBorder="1" applyAlignment="1">
      <alignment horizontal="center" vertical="center"/>
    </xf>
    <xf numFmtId="3" fontId="74" fillId="22" borderId="76" xfId="20" applyNumberFormat="1" applyFont="1" applyFill="1" applyBorder="1" applyAlignment="1">
      <alignment horizontal="center" vertical="center" wrapText="1"/>
    </xf>
    <xf numFmtId="3" fontId="74" fillId="22" borderId="76" xfId="20" applyNumberFormat="1" applyFont="1" applyFill="1" applyBorder="1" applyAlignment="1">
      <alignment horizontal="center" wrapText="1"/>
    </xf>
    <xf numFmtId="3" fontId="74" fillId="22" borderId="158" xfId="20" applyNumberFormat="1" applyFont="1" applyFill="1" applyBorder="1" applyAlignment="1">
      <alignment horizontal="center" vertical="center"/>
    </xf>
    <xf numFmtId="207" fontId="74" fillId="22" borderId="159" xfId="23" applyNumberFormat="1" applyFont="1" applyFill="1" applyBorder="1" applyAlignment="1">
      <alignment horizontal="center" vertical="center"/>
    </xf>
    <xf numFmtId="10" fontId="73" fillId="15" borderId="160" xfId="14" applyNumberFormat="1" applyFont="1" applyFill="1" applyBorder="1" applyAlignment="1">
      <alignment horizontal="center" vertical="center"/>
    </xf>
    <xf numFmtId="0" fontId="76" fillId="0" borderId="156" xfId="19" applyFont="1" applyBorder="1" applyAlignment="1">
      <alignment vertical="center"/>
    </xf>
    <xf numFmtId="0" fontId="74" fillId="12" borderId="147" xfId="3" applyFont="1" applyFill="1" applyBorder="1" applyAlignment="1">
      <alignment horizontal="center" vertical="center"/>
    </xf>
    <xf numFmtId="44" fontId="74" fillId="12" borderId="147" xfId="13" applyFont="1" applyFill="1" applyBorder="1" applyAlignment="1">
      <alignment vertical="center"/>
    </xf>
    <xf numFmtId="0" fontId="76" fillId="0" borderId="161" xfId="19" applyFont="1" applyBorder="1" applyAlignment="1">
      <alignment vertical="center"/>
    </xf>
    <xf numFmtId="0" fontId="73" fillId="0" borderId="52" xfId="3" applyFont="1" applyAlignment="1">
      <alignment horizontal="left"/>
    </xf>
    <xf numFmtId="180" fontId="56" fillId="5" borderId="49" xfId="0" applyNumberFormat="1" applyFont="1" applyFill="1" applyBorder="1" applyAlignment="1">
      <alignment horizontal="center" vertical="center"/>
    </xf>
    <xf numFmtId="0" fontId="55" fillId="0" borderId="62" xfId="0" applyFont="1" applyBorder="1" applyAlignment="1">
      <alignment horizontal="right" vertical="top" wrapText="1" readingOrder="1"/>
    </xf>
    <xf numFmtId="177" fontId="55" fillId="0" borderId="114" xfId="0" applyNumberFormat="1" applyFont="1" applyBorder="1" applyAlignment="1">
      <alignment horizontal="center" vertical="center" wrapText="1" readingOrder="1"/>
    </xf>
    <xf numFmtId="191" fontId="58" fillId="0" borderId="63" xfId="0" applyNumberFormat="1" applyFont="1" applyBorder="1" applyAlignment="1">
      <alignment vertical="center"/>
    </xf>
    <xf numFmtId="177" fontId="55" fillId="13" borderId="63" xfId="0" applyNumberFormat="1" applyFont="1" applyFill="1" applyBorder="1" applyAlignment="1">
      <alignment horizontal="center" vertical="center" readingOrder="1"/>
    </xf>
    <xf numFmtId="208" fontId="55" fillId="13" borderId="114" xfId="0" applyNumberFormat="1" applyFont="1" applyFill="1" applyBorder="1" applyAlignment="1">
      <alignment horizontal="left" vertical="top" wrapText="1" readingOrder="1"/>
    </xf>
    <xf numFmtId="208" fontId="55" fillId="9" borderId="138" xfId="0" applyNumberFormat="1" applyFont="1" applyFill="1" applyBorder="1" applyAlignment="1">
      <alignment horizontal="center" vertical="center" wrapText="1" readingOrder="1"/>
    </xf>
    <xf numFmtId="208" fontId="55" fillId="14" borderId="63" xfId="0" applyNumberFormat="1" applyFont="1" applyFill="1" applyBorder="1" applyAlignment="1">
      <alignment horizontal="center" vertical="center" wrapText="1" readingOrder="1"/>
    </xf>
    <xf numFmtId="208" fontId="55" fillId="9" borderId="63" xfId="0" applyNumberFormat="1" applyFont="1" applyFill="1" applyBorder="1" applyAlignment="1">
      <alignment horizontal="center" vertical="center" wrapText="1" readingOrder="1"/>
    </xf>
    <xf numFmtId="44" fontId="84" fillId="0" borderId="52" xfId="1" applyFont="1" applyBorder="1"/>
    <xf numFmtId="44" fontId="85" fillId="0" borderId="52" xfId="1" applyFont="1" applyBorder="1" applyAlignment="1">
      <alignment horizontal="center"/>
    </xf>
    <xf numFmtId="171" fontId="81" fillId="12" borderId="63" xfId="13" applyNumberFormat="1" applyFont="1" applyFill="1" applyBorder="1" applyAlignment="1">
      <alignment horizontal="right" vertical="center" wrapText="1"/>
    </xf>
    <xf numFmtId="171" fontId="81" fillId="12" borderId="63" xfId="7" applyNumberFormat="1" applyFont="1" applyFill="1" applyBorder="1" applyAlignment="1">
      <alignment horizontal="right" vertical="center"/>
    </xf>
    <xf numFmtId="172" fontId="11" fillId="5" borderId="59" xfId="0" applyNumberFormat="1" applyFont="1" applyFill="1" applyBorder="1" applyAlignment="1">
      <alignment vertical="center"/>
    </xf>
    <xf numFmtId="170" fontId="11" fillId="0" borderId="59" xfId="0" applyNumberFormat="1" applyFont="1" applyBorder="1" applyAlignment="1">
      <alignment horizontal="center"/>
    </xf>
    <xf numFmtId="10" fontId="11" fillId="5" borderId="59" xfId="0" applyNumberFormat="1" applyFont="1" applyFill="1" applyBorder="1" applyAlignment="1">
      <alignment vertical="center"/>
    </xf>
    <xf numFmtId="170" fontId="21" fillId="0" borderId="63" xfId="24" applyNumberFormat="1" applyFont="1" applyBorder="1" applyAlignment="1" applyProtection="1">
      <alignment horizontal="right" vertical="center" wrapText="1"/>
      <protection locked="0"/>
    </xf>
    <xf numFmtId="0" fontId="87" fillId="12" borderId="0" xfId="0" applyFont="1" applyFill="1"/>
    <xf numFmtId="0" fontId="32" fillId="12" borderId="0" xfId="0" applyFont="1" applyFill="1"/>
    <xf numFmtId="0" fontId="90" fillId="0" borderId="52" xfId="3" applyFont="1"/>
    <xf numFmtId="0" fontId="90" fillId="0" borderId="52" xfId="3" applyFont="1" applyAlignment="1">
      <alignment horizontal="left"/>
    </xf>
    <xf numFmtId="166" fontId="12" fillId="5" borderId="10" xfId="0" applyNumberFormat="1" applyFont="1" applyFill="1" applyBorder="1"/>
    <xf numFmtId="172" fontId="12" fillId="5" borderId="10" xfId="0" applyNumberFormat="1" applyFont="1" applyFill="1" applyBorder="1"/>
    <xf numFmtId="0" fontId="32" fillId="0" borderId="0" xfId="0" applyFont="1"/>
    <xf numFmtId="44" fontId="49" fillId="12" borderId="0" xfId="1" applyFont="1" applyFill="1"/>
    <xf numFmtId="198" fontId="56" fillId="0" borderId="63" xfId="0" applyNumberFormat="1" applyFont="1" applyBorder="1" applyAlignment="1">
      <alignment horizontal="center" vertical="center" wrapText="1" readingOrder="1"/>
    </xf>
    <xf numFmtId="180" fontId="56" fillId="0" borderId="1" xfId="0" applyNumberFormat="1" applyFont="1" applyBorder="1" applyAlignment="1">
      <alignment horizontal="center" vertical="center" wrapText="1" readingOrder="1"/>
    </xf>
    <xf numFmtId="180" fontId="56" fillId="12" borderId="1" xfId="0" applyNumberFormat="1" applyFont="1" applyFill="1" applyBorder="1" applyAlignment="1">
      <alignment horizontal="center" vertical="center" wrapText="1" readingOrder="1"/>
    </xf>
    <xf numFmtId="208" fontId="55" fillId="9" borderId="8" xfId="0" applyNumberFormat="1" applyFont="1" applyFill="1" applyBorder="1" applyAlignment="1">
      <alignment horizontal="center" vertical="center" wrapText="1" readingOrder="1"/>
    </xf>
    <xf numFmtId="209" fontId="49" fillId="12" borderId="0" xfId="1" applyNumberFormat="1" applyFont="1" applyFill="1"/>
    <xf numFmtId="210" fontId="49" fillId="12" borderId="0" xfId="1" applyNumberFormat="1" applyFont="1" applyFill="1"/>
    <xf numFmtId="44" fontId="49" fillId="12" borderId="0" xfId="0" applyNumberFormat="1" applyFont="1" applyFill="1"/>
    <xf numFmtId="208" fontId="56" fillId="0" borderId="8" xfId="0" applyNumberFormat="1" applyFont="1" applyBorder="1" applyAlignment="1">
      <alignment horizontal="center" vertical="center" wrapText="1" readingOrder="1"/>
    </xf>
    <xf numFmtId="208" fontId="55" fillId="13" borderId="8" xfId="0" applyNumberFormat="1" applyFont="1" applyFill="1" applyBorder="1" applyAlignment="1">
      <alignment horizontal="center" vertical="center" wrapText="1" readingOrder="1"/>
    </xf>
    <xf numFmtId="211" fontId="56" fillId="12" borderId="36" xfId="0" applyNumberFormat="1" applyFont="1" applyFill="1" applyBorder="1" applyAlignment="1">
      <alignment horizontal="center" vertical="center" wrapText="1" readingOrder="1"/>
    </xf>
    <xf numFmtId="211" fontId="56" fillId="0" borderId="36" xfId="0" applyNumberFormat="1" applyFont="1" applyBorder="1" applyAlignment="1">
      <alignment horizontal="center" vertical="center" wrapText="1" readingOrder="1"/>
    </xf>
    <xf numFmtId="212" fontId="49" fillId="12" borderId="0" xfId="1" applyNumberFormat="1" applyFont="1" applyFill="1"/>
    <xf numFmtId="0" fontId="93" fillId="0" borderId="52" xfId="3" applyFont="1" applyAlignment="1">
      <alignment vertical="top" wrapText="1"/>
    </xf>
    <xf numFmtId="0" fontId="75" fillId="0" borderId="52" xfId="3" applyFont="1" applyAlignment="1">
      <alignment horizontal="center" vertical="center"/>
    </xf>
    <xf numFmtId="0" fontId="73" fillId="0" borderId="52" xfId="3" applyFont="1" applyAlignment="1">
      <alignment horizontal="center" vertical="center"/>
    </xf>
    <xf numFmtId="171" fontId="73" fillId="0" borderId="52" xfId="3" applyNumberFormat="1" applyFont="1" applyAlignment="1">
      <alignment horizontal="center" vertical="center"/>
    </xf>
    <xf numFmtId="0" fontId="73" fillId="12" borderId="52" xfId="3" applyFont="1" applyFill="1" applyAlignment="1">
      <alignment horizontal="center" vertical="center"/>
    </xf>
    <xf numFmtId="0" fontId="86" fillId="12" borderId="52" xfId="3" applyFont="1" applyFill="1"/>
    <xf numFmtId="0" fontId="73" fillId="12" borderId="52" xfId="3" applyFont="1" applyFill="1" applyAlignment="1">
      <alignment horizontal="left"/>
    </xf>
    <xf numFmtId="0" fontId="90" fillId="12" borderId="52" xfId="3" applyFont="1" applyFill="1"/>
    <xf numFmtId="0" fontId="73" fillId="12" borderId="150" xfId="19" applyFont="1" applyFill="1" applyBorder="1" applyAlignment="1">
      <alignment horizontal="left" vertical="center" wrapText="1"/>
    </xf>
    <xf numFmtId="0" fontId="74" fillId="0" borderId="52" xfId="20" applyFont="1" applyAlignment="1">
      <alignment horizontal="center" vertical="center"/>
    </xf>
    <xf numFmtId="0" fontId="77" fillId="15" borderId="63" xfId="19" applyFont="1" applyFill="1" applyBorder="1" applyAlignment="1">
      <alignment horizontal="center" vertical="center" wrapText="1"/>
    </xf>
    <xf numFmtId="0" fontId="79" fillId="22" borderId="63" xfId="19" applyFont="1" applyFill="1" applyBorder="1" applyAlignment="1">
      <alignment horizontal="center" vertical="center" wrapText="1"/>
    </xf>
    <xf numFmtId="0" fontId="80" fillId="23" borderId="63" xfId="3" applyFont="1" applyFill="1" applyBorder="1" applyAlignment="1">
      <alignment horizontal="left" vertical="center"/>
    </xf>
    <xf numFmtId="0" fontId="80" fillId="12" borderId="63" xfId="21" applyFont="1" applyFill="1" applyBorder="1" applyAlignment="1">
      <alignment horizontal="center" vertical="center" wrapText="1"/>
    </xf>
    <xf numFmtId="0" fontId="80" fillId="0" borderId="63" xfId="3" applyFont="1" applyBorder="1" applyAlignment="1">
      <alignment horizontal="center" vertical="center" wrapText="1"/>
    </xf>
    <xf numFmtId="0" fontId="80" fillId="0" borderId="63" xfId="3" applyFont="1" applyBorder="1" applyAlignment="1">
      <alignment horizontal="center" vertical="center"/>
    </xf>
    <xf numFmtId="0" fontId="80" fillId="0" borderId="64" xfId="3" applyFont="1" applyBorder="1" applyAlignment="1">
      <alignment horizontal="center" vertical="center"/>
    </xf>
    <xf numFmtId="0" fontId="80" fillId="0" borderId="151" xfId="3" applyFont="1" applyBorder="1" applyAlignment="1">
      <alignment horizontal="center" vertical="center"/>
    </xf>
    <xf numFmtId="44" fontId="80" fillId="0" borderId="63" xfId="13" applyFont="1" applyBorder="1" applyAlignment="1">
      <alignment horizontal="center" vertical="center" wrapText="1"/>
    </xf>
    <xf numFmtId="0" fontId="80" fillId="0" borderId="86" xfId="3" applyFont="1" applyBorder="1" applyAlignment="1">
      <alignment horizontal="left" vertical="center"/>
    </xf>
    <xf numFmtId="0" fontId="80" fillId="0" borderId="75" xfId="3" applyFont="1" applyBorder="1" applyAlignment="1">
      <alignment horizontal="left" vertical="center"/>
    </xf>
    <xf numFmtId="0" fontId="80" fillId="0" borderId="76" xfId="3" applyFont="1" applyBorder="1" applyAlignment="1">
      <alignment horizontal="left" vertical="center"/>
    </xf>
    <xf numFmtId="0" fontId="73" fillId="22" borderId="83" xfId="20" applyFont="1" applyFill="1" applyBorder="1" applyAlignment="1">
      <alignment horizontal="left" vertical="center" wrapText="1"/>
    </xf>
    <xf numFmtId="0" fontId="73" fillId="22" borderId="63" xfId="20" applyFont="1" applyFill="1" applyBorder="1" applyAlignment="1">
      <alignment horizontal="left" vertical="center" wrapText="1"/>
    </xf>
    <xf numFmtId="0" fontId="80" fillId="23" borderId="86" xfId="3" applyFont="1" applyFill="1" applyBorder="1" applyAlignment="1">
      <alignment horizontal="left" vertical="center"/>
    </xf>
    <xf numFmtId="0" fontId="80" fillId="23" borderId="75" xfId="3" applyFont="1" applyFill="1" applyBorder="1" applyAlignment="1">
      <alignment horizontal="left" vertical="center"/>
    </xf>
    <xf numFmtId="0" fontId="80" fillId="23" borderId="76" xfId="3" applyFont="1" applyFill="1" applyBorder="1" applyAlignment="1">
      <alignment horizontal="left" vertical="center"/>
    </xf>
    <xf numFmtId="0" fontId="80" fillId="0" borderId="63" xfId="3" applyFont="1" applyBorder="1" applyAlignment="1">
      <alignment horizontal="left" vertical="center"/>
    </xf>
    <xf numFmtId="0" fontId="80" fillId="23" borderId="63" xfId="3" applyFont="1" applyFill="1" applyBorder="1" applyAlignment="1">
      <alignment horizontal="center" vertical="center"/>
    </xf>
    <xf numFmtId="0" fontId="73" fillId="22" borderId="152" xfId="20" applyFont="1" applyFill="1" applyBorder="1" applyAlignment="1">
      <alignment horizontal="left" vertical="center" wrapText="1"/>
    </xf>
    <xf numFmtId="0" fontId="73" fillId="22" borderId="153" xfId="20" applyFont="1" applyFill="1" applyBorder="1" applyAlignment="1">
      <alignment horizontal="left" vertical="center" wrapText="1"/>
    </xf>
    <xf numFmtId="3" fontId="74" fillId="22" borderId="153" xfId="20" applyNumberFormat="1" applyFont="1" applyFill="1" applyBorder="1" applyAlignment="1">
      <alignment horizontal="center" vertical="center" wrapText="1"/>
    </xf>
    <xf numFmtId="0" fontId="73" fillId="22" borderId="82" xfId="20" applyFont="1" applyFill="1" applyBorder="1" applyAlignment="1">
      <alignment horizontal="left" vertical="center" wrapText="1"/>
    </xf>
    <xf numFmtId="0" fontId="73" fillId="22" borderId="75" xfId="20" applyFont="1" applyFill="1" applyBorder="1" applyAlignment="1">
      <alignment horizontal="left" vertical="center" wrapText="1"/>
    </xf>
    <xf numFmtId="0" fontId="73" fillId="22" borderId="76" xfId="20" applyFont="1" applyFill="1" applyBorder="1" applyAlignment="1">
      <alignment horizontal="left" vertical="center" wrapText="1"/>
    </xf>
    <xf numFmtId="0" fontId="73" fillId="0" borderId="155" xfId="3" applyFont="1" applyBorder="1" applyAlignment="1">
      <alignment horizontal="center" vertical="center" wrapText="1"/>
    </xf>
    <xf numFmtId="0" fontId="73" fillId="0" borderId="85" xfId="3" applyFont="1" applyBorder="1" applyAlignment="1">
      <alignment horizontal="center" vertical="center" wrapText="1"/>
    </xf>
    <xf numFmtId="0" fontId="73" fillId="0" borderId="144" xfId="3" applyFont="1" applyBorder="1" applyAlignment="1">
      <alignment horizontal="center" vertical="center" wrapText="1"/>
    </xf>
    <xf numFmtId="0" fontId="73" fillId="0" borderId="156" xfId="3" applyFont="1" applyBorder="1" applyAlignment="1">
      <alignment horizontal="center" vertical="center" wrapText="1"/>
    </xf>
    <xf numFmtId="0" fontId="73" fillId="0" borderId="147" xfId="3" applyFont="1" applyBorder="1" applyAlignment="1">
      <alignment horizontal="center" vertical="center" wrapText="1"/>
    </xf>
    <xf numFmtId="0" fontId="73" fillId="0" borderId="157" xfId="3" applyFont="1" applyBorder="1" applyAlignment="1">
      <alignment horizontal="center" vertical="center" wrapText="1"/>
    </xf>
    <xf numFmtId="0" fontId="82" fillId="0" borderId="52" xfId="21" applyFont="1" applyAlignment="1">
      <alignment horizontal="left" vertical="center"/>
    </xf>
    <xf numFmtId="0" fontId="83" fillId="0" borderId="52" xfId="21" applyFont="1" applyAlignment="1">
      <alignment horizontal="left" vertical="center"/>
    </xf>
    <xf numFmtId="0" fontId="74" fillId="0" borderId="52" xfId="3" applyFont="1" applyAlignment="1">
      <alignment horizontal="left" vertical="center" wrapText="1"/>
    </xf>
    <xf numFmtId="0" fontId="88" fillId="12" borderId="52" xfId="21" applyFont="1" applyFill="1" applyAlignment="1">
      <alignment horizontal="left" vertical="center"/>
    </xf>
    <xf numFmtId="0" fontId="89" fillId="12" borderId="52" xfId="21" applyFont="1" applyFill="1" applyAlignment="1">
      <alignment horizontal="left" vertical="center"/>
    </xf>
    <xf numFmtId="0" fontId="56" fillId="9" borderId="86" xfId="0" applyFont="1" applyFill="1" applyBorder="1" applyAlignment="1">
      <alignment horizontal="center" wrapText="1" readingOrder="1"/>
    </xf>
    <xf numFmtId="0" fontId="56" fillId="9" borderId="75" xfId="0" applyFont="1" applyFill="1" applyBorder="1" applyAlignment="1">
      <alignment horizontal="center" wrapText="1" readingOrder="1"/>
    </xf>
    <xf numFmtId="0" fontId="56" fillId="9" borderId="76" xfId="0" applyFont="1" applyFill="1" applyBorder="1" applyAlignment="1">
      <alignment horizontal="center" wrapText="1" readingOrder="1"/>
    </xf>
    <xf numFmtId="0" fontId="55" fillId="9" borderId="86" xfId="0" applyFont="1" applyFill="1" applyBorder="1" applyAlignment="1">
      <alignment horizontal="right" vertical="center" wrapText="1" readingOrder="1"/>
    </xf>
    <xf numFmtId="0" fontId="55" fillId="9" borderId="76" xfId="0" applyFont="1" applyFill="1" applyBorder="1" applyAlignment="1">
      <alignment horizontal="right" vertical="center" wrapText="1" readingOrder="1"/>
    </xf>
    <xf numFmtId="0" fontId="56" fillId="14" borderId="86" xfId="0" applyFont="1" applyFill="1" applyBorder="1" applyAlignment="1">
      <alignment horizontal="center" wrapText="1" readingOrder="1"/>
    </xf>
    <xf numFmtId="0" fontId="56" fillId="14" borderId="75" xfId="0" applyFont="1" applyFill="1" applyBorder="1" applyAlignment="1">
      <alignment horizontal="center" wrapText="1" readingOrder="1"/>
    </xf>
    <xf numFmtId="0" fontId="56" fillId="14" borderId="76" xfId="0" applyFont="1" applyFill="1" applyBorder="1" applyAlignment="1">
      <alignment horizontal="center" wrapText="1" readingOrder="1"/>
    </xf>
    <xf numFmtId="0" fontId="55" fillId="14" borderId="86" xfId="0" applyFont="1" applyFill="1" applyBorder="1" applyAlignment="1">
      <alignment horizontal="right" vertical="center" wrapText="1" readingOrder="1"/>
    </xf>
    <xf numFmtId="0" fontId="55" fillId="14" borderId="76" xfId="0" applyFont="1" applyFill="1" applyBorder="1" applyAlignment="1">
      <alignment horizontal="right" vertical="center" wrapText="1" readingOrder="1"/>
    </xf>
    <xf numFmtId="0" fontId="55" fillId="14" borderId="88" xfId="0" applyFont="1" applyFill="1" applyBorder="1" applyAlignment="1">
      <alignment horizontal="right" vertical="center" wrapText="1" readingOrder="1"/>
    </xf>
    <xf numFmtId="0" fontId="55" fillId="14" borderId="89" xfId="0" applyFont="1" applyFill="1" applyBorder="1" applyAlignment="1">
      <alignment horizontal="right" vertical="center" wrapText="1" readingOrder="1"/>
    </xf>
    <xf numFmtId="0" fontId="55" fillId="9" borderId="59" xfId="0" applyFont="1" applyFill="1" applyBorder="1" applyAlignment="1">
      <alignment horizontal="right" vertical="center" wrapText="1" readingOrder="1"/>
    </xf>
    <xf numFmtId="0" fontId="55" fillId="9" borderId="36" xfId="0" applyFont="1" applyFill="1" applyBorder="1" applyAlignment="1">
      <alignment horizontal="right" vertical="center" wrapText="1" readingOrder="1"/>
    </xf>
    <xf numFmtId="0" fontId="56" fillId="0" borderId="74" xfId="0" applyFont="1" applyBorder="1" applyAlignment="1">
      <alignment horizontal="left" vertical="center" wrapText="1" readingOrder="1"/>
    </xf>
    <xf numFmtId="0" fontId="56" fillId="0" borderId="75" xfId="0" applyFont="1" applyBorder="1" applyAlignment="1">
      <alignment horizontal="left" vertical="center" wrapText="1" readingOrder="1"/>
    </xf>
    <xf numFmtId="0" fontId="56" fillId="0" borderId="76" xfId="0" applyFont="1" applyBorder="1" applyAlignment="1">
      <alignment horizontal="left" vertical="center" wrapText="1" readingOrder="1"/>
    </xf>
    <xf numFmtId="49" fontId="56" fillId="13" borderId="141" xfId="0" applyNumberFormat="1" applyFont="1" applyFill="1" applyBorder="1" applyAlignment="1">
      <alignment horizontal="left" vertical="top" wrapText="1" readingOrder="1"/>
    </xf>
    <xf numFmtId="49" fontId="56" fillId="13" borderId="91" xfId="0" applyNumberFormat="1" applyFont="1" applyFill="1" applyBorder="1" applyAlignment="1">
      <alignment horizontal="left" vertical="top" wrapText="1" readingOrder="1"/>
    </xf>
    <xf numFmtId="49" fontId="56" fillId="13" borderId="92" xfId="0" applyNumberFormat="1" applyFont="1" applyFill="1" applyBorder="1" applyAlignment="1">
      <alignment horizontal="left" vertical="top" wrapText="1" readingOrder="1"/>
    </xf>
    <xf numFmtId="0" fontId="56" fillId="9" borderId="66" xfId="0" applyFont="1" applyFill="1" applyBorder="1" applyAlignment="1">
      <alignment horizontal="left" wrapText="1" readingOrder="1"/>
    </xf>
    <xf numFmtId="0" fontId="56" fillId="9" borderId="59" xfId="0" applyFont="1" applyFill="1" applyBorder="1" applyAlignment="1">
      <alignment horizontal="left" wrapText="1" readingOrder="1"/>
    </xf>
    <xf numFmtId="0" fontId="55" fillId="0" borderId="66" xfId="0" applyFont="1" applyBorder="1" applyAlignment="1">
      <alignment horizontal="center" vertical="center" wrapText="1" readingOrder="1"/>
    </xf>
    <xf numFmtId="0" fontId="55" fillId="0" borderId="59" xfId="0" applyFont="1" applyBorder="1" applyAlignment="1">
      <alignment horizontal="center" vertical="center" wrapText="1" readingOrder="1"/>
    </xf>
    <xf numFmtId="0" fontId="55" fillId="0" borderId="36" xfId="0" applyFont="1" applyBorder="1" applyAlignment="1">
      <alignment horizontal="center" vertical="center" wrapText="1" readingOrder="1"/>
    </xf>
    <xf numFmtId="0" fontId="56" fillId="0" borderId="66" xfId="0" applyFont="1" applyBorder="1" applyAlignment="1">
      <alignment horizontal="left" vertical="top" wrapText="1" readingOrder="1"/>
    </xf>
    <xf numFmtId="0" fontId="56" fillId="0" borderId="59" xfId="0" applyFont="1" applyBorder="1" applyAlignment="1">
      <alignment horizontal="left" vertical="top" wrapText="1" readingOrder="1"/>
    </xf>
    <xf numFmtId="0" fontId="56" fillId="0" borderId="36" xfId="0" applyFont="1" applyBorder="1" applyAlignment="1">
      <alignment horizontal="left" vertical="top" wrapText="1" readingOrder="1"/>
    </xf>
    <xf numFmtId="0" fontId="55" fillId="13" borderId="66" xfId="0" applyFont="1" applyFill="1" applyBorder="1" applyAlignment="1">
      <alignment horizontal="left" vertical="top" wrapText="1" readingOrder="1"/>
    </xf>
    <xf numFmtId="0" fontId="55" fillId="13" borderId="59" xfId="0" applyFont="1" applyFill="1" applyBorder="1" applyAlignment="1">
      <alignment horizontal="left" vertical="top" wrapText="1" readingOrder="1"/>
    </xf>
    <xf numFmtId="0" fontId="55" fillId="0" borderId="71" xfId="0" applyFont="1" applyBorder="1" applyAlignment="1">
      <alignment horizontal="left" vertical="center" wrapText="1" readingOrder="1"/>
    </xf>
    <xf numFmtId="0" fontId="55" fillId="0" borderId="72" xfId="0" applyFont="1" applyBorder="1" applyAlignment="1">
      <alignment horizontal="left" vertical="center" wrapText="1" readingOrder="1"/>
    </xf>
    <xf numFmtId="0" fontId="55" fillId="0" borderId="73" xfId="0" applyFont="1" applyBorder="1" applyAlignment="1">
      <alignment horizontal="left" vertical="center" wrapText="1" readingOrder="1"/>
    </xf>
    <xf numFmtId="0" fontId="55" fillId="0" borderId="74" xfId="0" applyFont="1" applyBorder="1" applyAlignment="1">
      <alignment horizontal="center" vertical="center" wrapText="1" readingOrder="1"/>
    </xf>
    <xf numFmtId="0" fontId="55" fillId="0" borderId="75" xfId="0" applyFont="1" applyBorder="1" applyAlignment="1">
      <alignment horizontal="center" vertical="center" wrapText="1" readingOrder="1"/>
    </xf>
    <xf numFmtId="0" fontId="55" fillId="0" borderId="76" xfId="0" applyFont="1" applyBorder="1" applyAlignment="1">
      <alignment horizontal="center" vertical="center" wrapText="1" readingOrder="1"/>
    </xf>
    <xf numFmtId="0" fontId="56" fillId="0" borderId="66" xfId="0" applyFont="1" applyBorder="1" applyAlignment="1">
      <alignment horizontal="left" vertical="center" wrapText="1" readingOrder="1"/>
    </xf>
    <xf numFmtId="0" fontId="56" fillId="0" borderId="59" xfId="0" applyFont="1" applyBorder="1" applyAlignment="1">
      <alignment horizontal="left" vertical="center" wrapText="1" readingOrder="1"/>
    </xf>
    <xf numFmtId="0" fontId="56" fillId="0" borderId="36" xfId="0" applyFont="1" applyBorder="1" applyAlignment="1">
      <alignment horizontal="left" vertical="center" wrapText="1" readingOrder="1"/>
    </xf>
    <xf numFmtId="0" fontId="55" fillId="0" borderId="66" xfId="0" applyFont="1" applyBorder="1" applyAlignment="1">
      <alignment horizontal="left" vertical="center" wrapText="1" readingOrder="1"/>
    </xf>
    <xf numFmtId="0" fontId="55" fillId="0" borderId="59" xfId="0" applyFont="1" applyBorder="1" applyAlignment="1">
      <alignment horizontal="left" vertical="center" wrapText="1" readingOrder="1"/>
    </xf>
    <xf numFmtId="0" fontId="56" fillId="13" borderId="66" xfId="0" applyFont="1" applyFill="1" applyBorder="1" applyAlignment="1">
      <alignment horizontal="left" vertical="top" wrapText="1" readingOrder="1"/>
    </xf>
    <xf numFmtId="0" fontId="56" fillId="13" borderId="59" xfId="0" applyFont="1" applyFill="1" applyBorder="1" applyAlignment="1">
      <alignment horizontal="left" vertical="top" wrapText="1" readingOrder="1"/>
    </xf>
    <xf numFmtId="0" fontId="56" fillId="13" borderId="36" xfId="0" applyFont="1" applyFill="1" applyBorder="1" applyAlignment="1">
      <alignment horizontal="left" vertical="top" wrapText="1" readingOrder="1"/>
    </xf>
    <xf numFmtId="0" fontId="55" fillId="0" borderId="72" xfId="0" applyFont="1" applyBorder="1" applyAlignment="1">
      <alignment horizontal="center" vertical="center" wrapText="1" readingOrder="1"/>
    </xf>
    <xf numFmtId="0" fontId="55" fillId="0" borderId="102" xfId="0" applyFont="1" applyBorder="1" applyAlignment="1">
      <alignment horizontal="center" vertical="center" wrapText="1" readingOrder="1"/>
    </xf>
    <xf numFmtId="0" fontId="56" fillId="9" borderId="86" xfId="0" applyFont="1" applyFill="1" applyBorder="1" applyAlignment="1">
      <alignment horizontal="left" vertical="center" wrapText="1" readingOrder="1"/>
    </xf>
    <xf numFmtId="0" fontId="56" fillId="9" borderId="75" xfId="0" applyFont="1" applyFill="1" applyBorder="1" applyAlignment="1">
      <alignment horizontal="left" vertical="center" wrapText="1" readingOrder="1"/>
    </xf>
    <xf numFmtId="0" fontId="56" fillId="9" borderId="76" xfId="0" applyFont="1" applyFill="1" applyBorder="1" applyAlignment="1">
      <alignment horizontal="left" vertical="center" wrapText="1" readingOrder="1"/>
    </xf>
    <xf numFmtId="0" fontId="55" fillId="0" borderId="141" xfId="0" applyFont="1" applyBorder="1" applyAlignment="1">
      <alignment horizontal="left" vertical="center" wrapText="1" readingOrder="1"/>
    </xf>
    <xf numFmtId="0" fontId="55" fillId="0" borderId="91" xfId="0" applyFont="1" applyBorder="1" applyAlignment="1">
      <alignment horizontal="left" vertical="center" wrapText="1" readingOrder="1"/>
    </xf>
    <xf numFmtId="49" fontId="56" fillId="13" borderId="66" xfId="0" applyNumberFormat="1" applyFont="1" applyFill="1" applyBorder="1" applyAlignment="1">
      <alignment horizontal="left" vertical="top" wrapText="1" readingOrder="1"/>
    </xf>
    <xf numFmtId="49" fontId="56" fillId="13" borderId="59" xfId="0" applyNumberFormat="1" applyFont="1" applyFill="1" applyBorder="1" applyAlignment="1">
      <alignment horizontal="left" vertical="top" wrapText="1" readingOrder="1"/>
    </xf>
    <xf numFmtId="49" fontId="56" fillId="13" borderId="36" xfId="0" applyNumberFormat="1" applyFont="1" applyFill="1" applyBorder="1" applyAlignment="1">
      <alignment horizontal="left" vertical="top" wrapText="1" readingOrder="1"/>
    </xf>
    <xf numFmtId="0" fontId="56" fillId="0" borderId="141" xfId="0" applyFont="1" applyBorder="1" applyAlignment="1">
      <alignment horizontal="left" vertical="center" wrapText="1" readingOrder="1"/>
    </xf>
    <xf numFmtId="0" fontId="56" fillId="0" borderId="91" xfId="0" applyFont="1" applyBorder="1" applyAlignment="1">
      <alignment horizontal="left" vertical="center" wrapText="1" readingOrder="1"/>
    </xf>
    <xf numFmtId="0" fontId="56" fillId="0" borderId="92" xfId="0" applyFont="1" applyBorder="1" applyAlignment="1">
      <alignment horizontal="left" vertical="center" wrapText="1" readingOrder="1"/>
    </xf>
    <xf numFmtId="0" fontId="56" fillId="0" borderId="71" xfId="0" applyFont="1" applyBorder="1" applyAlignment="1">
      <alignment horizontal="left" vertical="center" wrapText="1" readingOrder="1"/>
    </xf>
    <xf numFmtId="0" fontId="56" fillId="0" borderId="72" xfId="0" applyFont="1" applyBorder="1" applyAlignment="1">
      <alignment horizontal="left" vertical="center" wrapText="1" readingOrder="1"/>
    </xf>
    <xf numFmtId="0" fontId="56" fillId="0" borderId="89" xfId="0" applyFont="1" applyBorder="1" applyAlignment="1">
      <alignment horizontal="left" vertical="center" wrapText="1" readingOrder="1"/>
    </xf>
    <xf numFmtId="0" fontId="56" fillId="0" borderId="74" xfId="0" applyFont="1" applyBorder="1" applyAlignment="1">
      <alignment horizontal="center" vertical="center" wrapText="1" readingOrder="1"/>
    </xf>
    <xf numFmtId="0" fontId="56" fillId="0" borderId="75" xfId="0" applyFont="1" applyBorder="1" applyAlignment="1">
      <alignment horizontal="center" vertical="center" wrapText="1" readingOrder="1"/>
    </xf>
    <xf numFmtId="0" fontId="56" fillId="0" borderId="76" xfId="0" applyFont="1" applyBorder="1" applyAlignment="1">
      <alignment horizontal="center" vertical="center" wrapText="1" readingOrder="1"/>
    </xf>
    <xf numFmtId="0" fontId="57" fillId="12" borderId="52" xfId="0" applyFont="1" applyFill="1" applyBorder="1" applyAlignment="1">
      <alignment horizontal="left" vertical="top"/>
    </xf>
    <xf numFmtId="0" fontId="56" fillId="0" borderId="141" xfId="0" applyFont="1" applyBorder="1" applyAlignment="1">
      <alignment horizontal="left" vertical="top" wrapText="1" readingOrder="1"/>
    </xf>
    <xf numFmtId="0" fontId="56" fillId="0" borderId="91" xfId="0" applyFont="1" applyBorder="1" applyAlignment="1">
      <alignment horizontal="left" vertical="top" wrapText="1" readingOrder="1"/>
    </xf>
    <xf numFmtId="0" fontId="56" fillId="0" borderId="92" xfId="0" applyFont="1" applyBorder="1" applyAlignment="1">
      <alignment horizontal="left" vertical="top" wrapText="1" readingOrder="1"/>
    </xf>
    <xf numFmtId="0" fontId="56" fillId="12" borderId="71" xfId="0" applyFont="1" applyFill="1" applyBorder="1" applyAlignment="1">
      <alignment horizontal="left" vertical="center" wrapText="1" readingOrder="1"/>
    </xf>
    <xf numFmtId="0" fontId="56" fillId="12" borderId="72" xfId="0" applyFont="1" applyFill="1" applyBorder="1" applyAlignment="1">
      <alignment horizontal="left" vertical="center" wrapText="1" readingOrder="1"/>
    </xf>
    <xf numFmtId="0" fontId="56" fillId="12" borderId="89" xfId="0" applyFont="1" applyFill="1" applyBorder="1" applyAlignment="1">
      <alignment horizontal="left" vertical="center" wrapText="1" readingOrder="1"/>
    </xf>
    <xf numFmtId="0" fontId="56" fillId="0" borderId="139" xfId="0" applyFont="1" applyBorder="1" applyAlignment="1">
      <alignment horizontal="left" vertical="center" wrapText="1" readingOrder="1"/>
    </xf>
    <xf numFmtId="0" fontId="56" fillId="12" borderId="74" xfId="0" applyFont="1" applyFill="1" applyBorder="1" applyAlignment="1">
      <alignment horizontal="left" vertical="center" wrapText="1" readingOrder="1"/>
    </xf>
    <xf numFmtId="0" fontId="56" fillId="12" borderId="75" xfId="0" applyFont="1" applyFill="1" applyBorder="1" applyAlignment="1">
      <alignment horizontal="left" vertical="center" wrapText="1" readingOrder="1"/>
    </xf>
    <xf numFmtId="0" fontId="56" fillId="12" borderId="139" xfId="0" applyFont="1" applyFill="1" applyBorder="1" applyAlignment="1">
      <alignment horizontal="left" vertical="center" wrapText="1" readingOrder="1"/>
    </xf>
    <xf numFmtId="0" fontId="55" fillId="9" borderId="62" xfId="0" applyFont="1" applyFill="1" applyBorder="1" applyAlignment="1">
      <alignment horizontal="right" vertical="center" wrapText="1" readingOrder="1"/>
    </xf>
    <xf numFmtId="0" fontId="55" fillId="9" borderId="38" xfId="0" applyFont="1" applyFill="1" applyBorder="1" applyAlignment="1">
      <alignment horizontal="right" vertical="center" wrapText="1" readingOrder="1"/>
    </xf>
    <xf numFmtId="0" fontId="56" fillId="12" borderId="66" xfId="0" applyFont="1" applyFill="1" applyBorder="1" applyAlignment="1">
      <alignment horizontal="left" vertical="top" wrapText="1" readingOrder="1"/>
    </xf>
    <xf numFmtId="0" fontId="56" fillId="12" borderId="59" xfId="0" applyFont="1" applyFill="1" applyBorder="1" applyAlignment="1">
      <alignment horizontal="left" vertical="top" wrapText="1" readingOrder="1"/>
    </xf>
    <xf numFmtId="0" fontId="56" fillId="12" borderId="36" xfId="0" applyFont="1" applyFill="1" applyBorder="1" applyAlignment="1">
      <alignment horizontal="left" vertical="top" wrapText="1" readingOrder="1"/>
    </xf>
    <xf numFmtId="0" fontId="56" fillId="0" borderId="66" xfId="0" applyFont="1" applyBorder="1" applyAlignment="1">
      <alignment horizontal="left" vertical="center" wrapText="1"/>
    </xf>
    <xf numFmtId="0" fontId="56" fillId="0" borderId="59" xfId="0" applyFont="1" applyBorder="1" applyAlignment="1">
      <alignment horizontal="left" vertical="center" wrapText="1"/>
    </xf>
    <xf numFmtId="0" fontId="56" fillId="0" borderId="36" xfId="0" applyFont="1" applyBorder="1" applyAlignment="1">
      <alignment horizontal="left" vertical="center" wrapText="1"/>
    </xf>
    <xf numFmtId="0" fontId="37" fillId="0" borderId="59" xfId="0" applyFont="1" applyBorder="1" applyAlignment="1">
      <alignment horizontal="left" vertical="top"/>
    </xf>
    <xf numFmtId="0" fontId="37" fillId="0" borderId="36" xfId="0" applyFont="1" applyBorder="1" applyAlignment="1">
      <alignment horizontal="left" vertical="top"/>
    </xf>
    <xf numFmtId="0" fontId="55" fillId="0" borderId="69" xfId="0" applyFont="1" applyBorder="1" applyAlignment="1">
      <alignment horizontal="center" vertical="center" wrapText="1" readingOrder="1"/>
    </xf>
    <xf numFmtId="0" fontId="37" fillId="0" borderId="63" xfId="0" applyFont="1" applyBorder="1" applyAlignment="1">
      <alignment horizontal="left" vertical="top"/>
    </xf>
    <xf numFmtId="0" fontId="56" fillId="0" borderId="69" xfId="0" applyFont="1" applyBorder="1" applyAlignment="1">
      <alignment horizontal="left" vertical="center" wrapText="1" readingOrder="1"/>
    </xf>
    <xf numFmtId="49" fontId="56" fillId="13" borderId="37" xfId="0" applyNumberFormat="1" applyFont="1" applyFill="1" applyBorder="1" applyAlignment="1">
      <alignment horizontal="left" vertical="top" wrapText="1" readingOrder="1"/>
    </xf>
    <xf numFmtId="0" fontId="37" fillId="0" borderId="62" xfId="0" applyFont="1" applyBorder="1" applyAlignment="1">
      <alignment horizontal="left" vertical="top"/>
    </xf>
    <xf numFmtId="0" fontId="37" fillId="0" borderId="38" xfId="0" applyFont="1" applyBorder="1" applyAlignment="1">
      <alignment horizontal="left" vertical="top"/>
    </xf>
    <xf numFmtId="0" fontId="55" fillId="0" borderId="9" xfId="0" applyFont="1" applyBorder="1" applyAlignment="1">
      <alignment horizontal="center" vertical="center" wrapText="1" readingOrder="1"/>
    </xf>
    <xf numFmtId="0" fontId="37" fillId="0" borderId="56" xfId="0" applyFont="1" applyBorder="1" applyAlignment="1">
      <alignment horizontal="left" vertical="top"/>
    </xf>
    <xf numFmtId="0" fontId="37" fillId="0" borderId="60" xfId="0" applyFont="1" applyBorder="1" applyAlignment="1">
      <alignment horizontal="left" vertical="top"/>
    </xf>
    <xf numFmtId="0" fontId="37" fillId="12" borderId="59" xfId="0" applyFont="1" applyFill="1" applyBorder="1" applyAlignment="1">
      <alignment horizontal="left" vertical="top"/>
    </xf>
    <xf numFmtId="0" fontId="37" fillId="12" borderId="36" xfId="0" applyFont="1" applyFill="1" applyBorder="1" applyAlignment="1">
      <alignment horizontal="left" vertical="top"/>
    </xf>
    <xf numFmtId="0" fontId="55" fillId="0" borderId="37" xfId="0" applyFont="1" applyBorder="1" applyAlignment="1">
      <alignment horizontal="left" vertical="center" wrapText="1" readingOrder="1"/>
    </xf>
    <xf numFmtId="0" fontId="55" fillId="0" borderId="37" xfId="0" applyFont="1" applyBorder="1" applyAlignment="1">
      <alignment horizontal="center" vertical="center" wrapText="1" readingOrder="1"/>
    </xf>
    <xf numFmtId="0" fontId="55" fillId="0" borderId="56" xfId="0" applyFont="1" applyBorder="1" applyAlignment="1">
      <alignment horizontal="center" vertical="center" wrapText="1" readingOrder="1"/>
    </xf>
    <xf numFmtId="0" fontId="55" fillId="0" borderId="60" xfId="0" applyFont="1" applyBorder="1" applyAlignment="1">
      <alignment horizontal="center" vertical="center" wrapText="1" readingOrder="1"/>
    </xf>
    <xf numFmtId="0" fontId="56" fillId="9" borderId="63" xfId="0" applyFont="1" applyFill="1" applyBorder="1" applyAlignment="1">
      <alignment horizontal="left" vertical="center" wrapText="1" readingOrder="1"/>
    </xf>
    <xf numFmtId="0" fontId="56" fillId="12" borderId="69" xfId="0" applyFont="1" applyFill="1" applyBorder="1" applyAlignment="1">
      <alignment horizontal="left" vertical="center" wrapText="1" readingOrder="1"/>
    </xf>
    <xf numFmtId="0" fontId="37" fillId="12" borderId="63" xfId="0" applyFont="1" applyFill="1" applyBorder="1" applyAlignment="1">
      <alignment horizontal="left" vertical="top"/>
    </xf>
    <xf numFmtId="0" fontId="56" fillId="0" borderId="9" xfId="0" applyFont="1" applyBorder="1" applyAlignment="1">
      <alignment horizontal="left" vertical="top" wrapText="1" readingOrder="1"/>
    </xf>
    <xf numFmtId="0" fontId="56" fillId="9" borderId="135" xfId="0" applyFont="1" applyFill="1" applyBorder="1" applyAlignment="1">
      <alignment horizontal="left" wrapText="1" readingOrder="1"/>
    </xf>
    <xf numFmtId="0" fontId="56" fillId="9" borderId="136" xfId="0" applyFont="1" applyFill="1" applyBorder="1" applyAlignment="1">
      <alignment horizontal="left" wrapText="1" readingOrder="1"/>
    </xf>
    <xf numFmtId="0" fontId="55" fillId="9" borderId="136" xfId="0" applyFont="1" applyFill="1" applyBorder="1" applyAlignment="1">
      <alignment horizontal="right" vertical="center" wrapText="1" readingOrder="1"/>
    </xf>
    <xf numFmtId="0" fontId="55" fillId="9" borderId="137" xfId="0" applyFont="1" applyFill="1" applyBorder="1" applyAlignment="1">
      <alignment horizontal="right" vertical="center" wrapText="1" readingOrder="1"/>
    </xf>
    <xf numFmtId="0" fontId="56" fillId="13" borderId="131" xfId="0" applyFont="1" applyFill="1" applyBorder="1" applyAlignment="1">
      <alignment horizontal="left" vertical="top" wrapText="1" readingOrder="1"/>
    </xf>
    <xf numFmtId="0" fontId="55" fillId="0" borderId="131" xfId="0" applyFont="1" applyBorder="1" applyAlignment="1">
      <alignment horizontal="left" vertical="center" wrapText="1" readingOrder="1"/>
    </xf>
    <xf numFmtId="0" fontId="55" fillId="0" borderId="131" xfId="0" applyFont="1" applyBorder="1" applyAlignment="1">
      <alignment horizontal="center" vertical="center" wrapText="1" readingOrder="1"/>
    </xf>
    <xf numFmtId="0" fontId="56" fillId="0" borderId="131" xfId="0" applyFont="1" applyBorder="1" applyAlignment="1">
      <alignment horizontal="left" vertical="top" wrapText="1" readingOrder="1"/>
    </xf>
    <xf numFmtId="0" fontId="55" fillId="13" borderId="131" xfId="0" applyFont="1" applyFill="1" applyBorder="1" applyAlignment="1">
      <alignment horizontal="left" vertical="top" wrapText="1" readingOrder="1"/>
    </xf>
    <xf numFmtId="0" fontId="55" fillId="0" borderId="133" xfId="0" applyFont="1" applyBorder="1" applyAlignment="1">
      <alignment horizontal="left" vertical="center" wrapText="1" readingOrder="1"/>
    </xf>
    <xf numFmtId="0" fontId="55" fillId="0" borderId="134" xfId="0" applyFont="1" applyBorder="1" applyAlignment="1">
      <alignment horizontal="left" vertical="center" wrapText="1" readingOrder="1"/>
    </xf>
    <xf numFmtId="0" fontId="55" fillId="0" borderId="82" xfId="0" applyFont="1" applyBorder="1" applyAlignment="1">
      <alignment horizontal="center" vertical="center" wrapText="1" readingOrder="1"/>
    </xf>
    <xf numFmtId="0" fontId="56" fillId="0" borderId="82" xfId="0" applyFont="1" applyBorder="1" applyAlignment="1">
      <alignment horizontal="left" vertical="center" wrapText="1" readingOrder="1"/>
    </xf>
    <xf numFmtId="0" fontId="56" fillId="12" borderId="66" xfId="0" applyFont="1" applyFill="1" applyBorder="1" applyAlignment="1">
      <alignment horizontal="left" vertical="center" wrapText="1" readingOrder="1"/>
    </xf>
    <xf numFmtId="0" fontId="55" fillId="9" borderId="75" xfId="0" applyFont="1" applyFill="1" applyBorder="1" applyAlignment="1">
      <alignment horizontal="right" vertical="center" wrapText="1" readingOrder="1"/>
    </xf>
    <xf numFmtId="0" fontId="55" fillId="9" borderId="139" xfId="0" applyFont="1" applyFill="1" applyBorder="1" applyAlignment="1">
      <alignment horizontal="right" vertical="center" wrapText="1" readingOrder="1"/>
    </xf>
    <xf numFmtId="0" fontId="56" fillId="0" borderId="86" xfId="0" applyFont="1" applyBorder="1" applyAlignment="1">
      <alignment horizontal="left" vertical="center" wrapText="1" readingOrder="1"/>
    </xf>
    <xf numFmtId="0" fontId="56" fillId="0" borderId="86" xfId="0" applyFont="1" applyBorder="1" applyAlignment="1">
      <alignment horizontal="center" vertical="center" wrapText="1" readingOrder="1"/>
    </xf>
    <xf numFmtId="0" fontId="55" fillId="0" borderId="86" xfId="0" applyFont="1" applyBorder="1" applyAlignment="1">
      <alignment horizontal="center" vertical="center" wrapText="1" readingOrder="1"/>
    </xf>
    <xf numFmtId="49" fontId="56" fillId="13" borderId="86" xfId="0" applyNumberFormat="1" applyFont="1" applyFill="1" applyBorder="1" applyAlignment="1">
      <alignment horizontal="left" vertical="top" wrapText="1" readingOrder="1"/>
    </xf>
    <xf numFmtId="49" fontId="56" fillId="13" borderId="75" xfId="0" applyNumberFormat="1" applyFont="1" applyFill="1" applyBorder="1" applyAlignment="1">
      <alignment horizontal="left" vertical="top" wrapText="1" readingOrder="1"/>
    </xf>
    <xf numFmtId="49" fontId="56" fillId="13" borderId="139" xfId="0" applyNumberFormat="1" applyFont="1" applyFill="1" applyBorder="1" applyAlignment="1">
      <alignment horizontal="left" vertical="top" wrapText="1" readingOrder="1"/>
    </xf>
    <xf numFmtId="0" fontId="55" fillId="0" borderId="95" xfId="0" applyFont="1" applyBorder="1" applyAlignment="1">
      <alignment horizontal="left" vertical="center" wrapText="1" readingOrder="1"/>
    </xf>
    <xf numFmtId="0" fontId="55" fillId="0" borderId="95" xfId="0" applyFont="1" applyBorder="1" applyAlignment="1">
      <alignment horizontal="center" vertical="center" wrapText="1" readingOrder="1"/>
    </xf>
    <xf numFmtId="0" fontId="56" fillId="0" borderId="95" xfId="0" applyFont="1" applyBorder="1" applyAlignment="1">
      <alignment horizontal="left" vertical="top" wrapText="1" readingOrder="1"/>
    </xf>
    <xf numFmtId="0" fontId="55" fillId="13" borderId="95" xfId="0" applyFont="1" applyFill="1" applyBorder="1" applyAlignment="1">
      <alignment horizontal="left" vertical="top" wrapText="1" readingOrder="1"/>
    </xf>
    <xf numFmtId="0" fontId="56" fillId="0" borderId="95" xfId="0" applyFont="1" applyBorder="1" applyAlignment="1">
      <alignment horizontal="left" vertical="center" wrapText="1" readingOrder="1"/>
    </xf>
    <xf numFmtId="0" fontId="56" fillId="13" borderId="95" xfId="0" applyFont="1" applyFill="1" applyBorder="1" applyAlignment="1">
      <alignment horizontal="left" vertical="top" wrapText="1" readingOrder="1"/>
    </xf>
    <xf numFmtId="49" fontId="56" fillId="13" borderId="90" xfId="0" applyNumberFormat="1" applyFont="1" applyFill="1" applyBorder="1" applyAlignment="1">
      <alignment horizontal="left" vertical="top" wrapText="1" readingOrder="1"/>
    </xf>
    <xf numFmtId="0" fontId="56" fillId="9" borderId="95" xfId="0" applyFont="1" applyFill="1" applyBorder="1" applyAlignment="1">
      <alignment horizontal="left" wrapText="1" readingOrder="1"/>
    </xf>
    <xf numFmtId="0" fontId="56" fillId="14" borderId="88" xfId="0" applyFont="1" applyFill="1" applyBorder="1" applyAlignment="1">
      <alignment horizontal="center" wrapText="1" readingOrder="1"/>
    </xf>
    <xf numFmtId="0" fontId="56" fillId="14" borderId="72" xfId="0" applyFont="1" applyFill="1" applyBorder="1" applyAlignment="1">
      <alignment horizontal="center" wrapText="1" readingOrder="1"/>
    </xf>
    <xf numFmtId="0" fontId="56" fillId="14" borderId="89" xfId="0" applyFont="1" applyFill="1" applyBorder="1" applyAlignment="1">
      <alignment horizontal="center" wrapText="1" readingOrder="1"/>
    </xf>
    <xf numFmtId="0" fontId="55" fillId="9" borderId="72" xfId="0" applyFont="1" applyFill="1" applyBorder="1" applyAlignment="1">
      <alignment horizontal="right" vertical="center" wrapText="1" readingOrder="1"/>
    </xf>
    <xf numFmtId="0" fontId="55" fillId="9" borderId="102" xfId="0" applyFont="1" applyFill="1" applyBorder="1" applyAlignment="1">
      <alignment horizontal="right" vertical="center" wrapText="1" readingOrder="1"/>
    </xf>
    <xf numFmtId="0" fontId="55" fillId="0" borderId="139" xfId="0" applyFont="1" applyBorder="1" applyAlignment="1">
      <alignment horizontal="center" vertical="center" wrapText="1" readingOrder="1"/>
    </xf>
    <xf numFmtId="0" fontId="55" fillId="0" borderId="90" xfId="0" applyFont="1" applyBorder="1" applyAlignment="1">
      <alignment horizontal="left" vertical="center" wrapText="1" readingOrder="1"/>
    </xf>
    <xf numFmtId="0" fontId="55" fillId="0" borderId="88" xfId="0" applyFont="1" applyBorder="1" applyAlignment="1">
      <alignment horizontal="left" vertical="center" wrapText="1" readingOrder="1"/>
    </xf>
    <xf numFmtId="0" fontId="55" fillId="0" borderId="89" xfId="0" applyFont="1" applyBorder="1" applyAlignment="1">
      <alignment horizontal="left" vertical="center" wrapText="1" readingOrder="1"/>
    </xf>
    <xf numFmtId="0" fontId="55" fillId="0" borderId="97" xfId="0" applyFont="1" applyBorder="1" applyAlignment="1">
      <alignment horizontal="center" vertical="center" wrapText="1" readingOrder="1"/>
    </xf>
    <xf numFmtId="0" fontId="55" fillId="0" borderId="97" xfId="0" applyFont="1" applyBorder="1" applyAlignment="1">
      <alignment horizontal="left" vertical="center" wrapText="1" readingOrder="1"/>
    </xf>
    <xf numFmtId="0" fontId="56" fillId="9" borderId="63" xfId="0" applyFont="1" applyFill="1" applyBorder="1" applyAlignment="1">
      <alignment horizontal="center" wrapText="1" readingOrder="1"/>
    </xf>
    <xf numFmtId="0" fontId="45" fillId="12" borderId="52" xfId="0" applyFont="1" applyFill="1" applyBorder="1" applyAlignment="1">
      <alignment horizontal="left" vertical="top"/>
    </xf>
    <xf numFmtId="49" fontId="56" fillId="13" borderId="76" xfId="0" applyNumberFormat="1" applyFont="1" applyFill="1" applyBorder="1" applyAlignment="1">
      <alignment horizontal="left" vertical="top" wrapText="1" readingOrder="1"/>
    </xf>
    <xf numFmtId="0" fontId="55" fillId="0" borderId="88" xfId="0" applyFont="1" applyBorder="1" applyAlignment="1">
      <alignment horizontal="center" vertical="center" wrapText="1" readingOrder="1"/>
    </xf>
    <xf numFmtId="0" fontId="56" fillId="9" borderId="95" xfId="0" applyFont="1" applyFill="1" applyBorder="1" applyAlignment="1">
      <alignment horizontal="left" vertical="center" wrapText="1" readingOrder="1"/>
    </xf>
    <xf numFmtId="0" fontId="56" fillId="9" borderId="59" xfId="0" applyFont="1" applyFill="1" applyBorder="1" applyAlignment="1">
      <alignment horizontal="left" vertical="center" wrapText="1" readingOrder="1"/>
    </xf>
    <xf numFmtId="0" fontId="56" fillId="9" borderId="36" xfId="0" applyFont="1" applyFill="1" applyBorder="1" applyAlignment="1">
      <alignment horizontal="left" vertical="center" wrapText="1" readingOrder="1"/>
    </xf>
    <xf numFmtId="0" fontId="55" fillId="0" borderId="62" xfId="0" applyFont="1" applyBorder="1" applyAlignment="1">
      <alignment horizontal="left" vertical="center" wrapText="1" readingOrder="1"/>
    </xf>
    <xf numFmtId="0" fontId="56" fillId="9" borderId="86" xfId="0" applyFont="1" applyFill="1" applyBorder="1" applyAlignment="1">
      <alignment horizontal="left" wrapText="1" readingOrder="1"/>
    </xf>
    <xf numFmtId="0" fontId="56" fillId="9" borderId="75" xfId="0" applyFont="1" applyFill="1" applyBorder="1" applyAlignment="1">
      <alignment horizontal="left" wrapText="1" readingOrder="1"/>
    </xf>
    <xf numFmtId="0" fontId="55" fillId="0" borderId="91" xfId="0" applyFont="1" applyBorder="1" applyAlignment="1">
      <alignment horizontal="center" vertical="center" wrapText="1" readingOrder="1"/>
    </xf>
    <xf numFmtId="0" fontId="55" fillId="0" borderId="92" xfId="0" applyFont="1" applyBorder="1" applyAlignment="1">
      <alignment horizontal="center" vertical="center" wrapText="1" readingOrder="1"/>
    </xf>
    <xf numFmtId="0" fontId="56" fillId="0" borderId="88" xfId="0" applyFont="1" applyBorder="1" applyAlignment="1">
      <alignment horizontal="left" vertical="center" wrapText="1" readingOrder="1"/>
    </xf>
    <xf numFmtId="0" fontId="56" fillId="0" borderId="102" xfId="0" applyFont="1" applyBorder="1" applyAlignment="1">
      <alignment horizontal="left" vertical="center" wrapText="1" readingOrder="1"/>
    </xf>
    <xf numFmtId="177" fontId="41" fillId="0" borderId="68" xfId="0" applyNumberFormat="1" applyFont="1" applyBorder="1" applyAlignment="1">
      <alignment horizontal="center" vertical="center" wrapText="1" readingOrder="1"/>
    </xf>
    <xf numFmtId="0" fontId="42" fillId="0" borderId="40" xfId="0" applyFont="1" applyBorder="1" applyAlignment="1">
      <alignment horizontal="left" vertical="top"/>
    </xf>
    <xf numFmtId="0" fontId="42" fillId="0" borderId="29" xfId="0" applyFont="1" applyBorder="1" applyAlignment="1">
      <alignment horizontal="left" vertical="top"/>
    </xf>
    <xf numFmtId="0" fontId="42" fillId="0" borderId="4" xfId="0" applyFont="1" applyBorder="1" applyAlignment="1">
      <alignment horizontal="left" vertical="top"/>
    </xf>
    <xf numFmtId="0" fontId="40" fillId="0" borderId="66" xfId="0" applyFont="1" applyBorder="1" applyAlignment="1">
      <alignment horizontal="center" vertical="center" wrapText="1" readingOrder="1"/>
    </xf>
    <xf numFmtId="0" fontId="37" fillId="0" borderId="8" xfId="0" applyFont="1" applyBorder="1" applyAlignment="1">
      <alignment horizontal="left" vertical="top"/>
    </xf>
    <xf numFmtId="0" fontId="39" fillId="0" borderId="24" xfId="0" applyFont="1" applyBorder="1" applyAlignment="1">
      <alignment horizontal="center" vertical="center" wrapText="1" readingOrder="1"/>
    </xf>
    <xf numFmtId="0" fontId="39" fillId="0" borderId="25" xfId="0" applyFont="1" applyBorder="1" applyAlignment="1">
      <alignment horizontal="center" vertical="center" wrapText="1" readingOrder="1"/>
    </xf>
    <xf numFmtId="0" fontId="39" fillId="0" borderId="21" xfId="0" applyFont="1" applyBorder="1" applyAlignment="1">
      <alignment horizontal="center" vertical="center" wrapText="1" readingOrder="1"/>
    </xf>
    <xf numFmtId="0" fontId="39" fillId="0" borderId="13" xfId="0" applyFont="1" applyBorder="1" applyAlignment="1">
      <alignment horizontal="center" vertical="center" wrapText="1" readingOrder="1"/>
    </xf>
    <xf numFmtId="0" fontId="39" fillId="0" borderId="52" xfId="0" applyFont="1" applyBorder="1" applyAlignment="1">
      <alignment horizontal="center" vertical="center" wrapText="1" readingOrder="1"/>
    </xf>
    <xf numFmtId="0" fontId="39" fillId="0" borderId="55" xfId="0" applyFont="1" applyBorder="1" applyAlignment="1">
      <alignment horizontal="center" vertical="center" wrapText="1" readingOrder="1"/>
    </xf>
    <xf numFmtId="0" fontId="39" fillId="0" borderId="37" xfId="0" applyFont="1" applyBorder="1" applyAlignment="1">
      <alignment horizontal="center" vertical="center" wrapText="1" readingOrder="1"/>
    </xf>
    <xf numFmtId="0" fontId="39" fillId="0" borderId="62" xfId="0" applyFont="1" applyBorder="1" applyAlignment="1">
      <alignment horizontal="center" vertical="center" wrapText="1" readingOrder="1"/>
    </xf>
    <xf numFmtId="0" fontId="39" fillId="0" borderId="38" xfId="0" applyFont="1" applyBorder="1" applyAlignment="1">
      <alignment horizontal="center" vertical="center" wrapText="1" readingOrder="1"/>
    </xf>
    <xf numFmtId="0" fontId="36" fillId="0" borderId="72" xfId="0" applyFont="1" applyBorder="1" applyAlignment="1">
      <alignment horizontal="center" vertical="center" wrapText="1" readingOrder="1"/>
    </xf>
    <xf numFmtId="0" fontId="36" fillId="0" borderId="102" xfId="0" applyFont="1" applyBorder="1" applyAlignment="1">
      <alignment horizontal="center" vertical="center" wrapText="1" readingOrder="1"/>
    </xf>
    <xf numFmtId="0" fontId="36" fillId="0" borderId="67" xfId="0" applyFont="1" applyBorder="1" applyAlignment="1">
      <alignment horizontal="center" vertical="center" wrapText="1" readingOrder="1"/>
    </xf>
    <xf numFmtId="0" fontId="37" fillId="0" borderId="25" xfId="0" applyFont="1" applyBorder="1" applyAlignment="1">
      <alignment horizontal="left" vertical="top"/>
    </xf>
    <xf numFmtId="0" fontId="37" fillId="0" borderId="21" xfId="0" applyFont="1" applyBorder="1" applyAlignment="1">
      <alignment horizontal="left" vertical="top"/>
    </xf>
    <xf numFmtId="0" fontId="37" fillId="0" borderId="54" xfId="0" applyFont="1" applyBorder="1" applyAlignment="1">
      <alignment horizontal="left" vertical="top"/>
    </xf>
    <xf numFmtId="0" fontId="0" fillId="0" borderId="0" xfId="0" applyAlignment="1">
      <alignment horizontal="left" vertical="top"/>
    </xf>
    <xf numFmtId="0" fontId="37" fillId="0" borderId="55" xfId="0" applyFont="1" applyBorder="1" applyAlignment="1">
      <alignment horizontal="left" vertical="top"/>
    </xf>
    <xf numFmtId="0" fontId="37" fillId="0" borderId="29" xfId="0" applyFont="1" applyBorder="1" applyAlignment="1">
      <alignment horizontal="left" vertical="top"/>
    </xf>
    <xf numFmtId="0" fontId="38" fillId="0" borderId="22" xfId="0" applyFont="1" applyBorder="1" applyAlignment="1">
      <alignment horizontal="right" vertical="center" wrapText="1" readingOrder="1"/>
    </xf>
    <xf numFmtId="0" fontId="37" fillId="0" borderId="58" xfId="0" applyFont="1" applyBorder="1" applyAlignment="1">
      <alignment horizontal="left" vertical="top"/>
    </xf>
    <xf numFmtId="14" fontId="43" fillId="0" borderId="25" xfId="0" applyNumberFormat="1" applyFont="1" applyBorder="1" applyAlignment="1">
      <alignment horizontal="center" vertical="center" wrapText="1" readingOrder="1"/>
    </xf>
    <xf numFmtId="0" fontId="44" fillId="0" borderId="45" xfId="0" applyFont="1" applyBorder="1" applyAlignment="1">
      <alignment horizontal="left" vertical="top"/>
    </xf>
    <xf numFmtId="0" fontId="44" fillId="0" borderId="62" xfId="0" applyFont="1" applyBorder="1" applyAlignment="1">
      <alignment horizontal="left" vertical="top"/>
    </xf>
    <xf numFmtId="0" fontId="44" fillId="0" borderId="4" xfId="0" applyFont="1" applyBorder="1" applyAlignment="1">
      <alignment horizontal="left" vertical="top"/>
    </xf>
    <xf numFmtId="2" fontId="36" fillId="0" borderId="59" xfId="0" applyNumberFormat="1" applyFont="1" applyBorder="1" applyAlignment="1">
      <alignment horizontal="center" vertical="center" wrapText="1" readingOrder="1"/>
    </xf>
    <xf numFmtId="0" fontId="36" fillId="0" borderId="68" xfId="0" applyFont="1" applyBorder="1" applyAlignment="1">
      <alignment horizontal="center" vertical="center" wrapText="1" readingOrder="1"/>
    </xf>
    <xf numFmtId="0" fontId="38" fillId="0" borderId="60" xfId="0" applyFont="1" applyBorder="1" applyAlignment="1">
      <alignment horizontal="right" vertical="center" wrapText="1" readingOrder="1"/>
    </xf>
    <xf numFmtId="0" fontId="55" fillId="13" borderId="86" xfId="0" applyFont="1" applyFill="1" applyBorder="1" applyAlignment="1">
      <alignment horizontal="left" vertical="top" wrapText="1" readingOrder="1"/>
    </xf>
    <xf numFmtId="0" fontId="55" fillId="13" borderId="75" xfId="0" applyFont="1" applyFill="1" applyBorder="1" applyAlignment="1">
      <alignment horizontal="left" vertical="top" wrapText="1" readingOrder="1"/>
    </xf>
    <xf numFmtId="0" fontId="55" fillId="13" borderId="76" xfId="0" applyFont="1" applyFill="1" applyBorder="1" applyAlignment="1">
      <alignment horizontal="left" vertical="top" wrapText="1" readingOrder="1"/>
    </xf>
    <xf numFmtId="0" fontId="55" fillId="0" borderId="86" xfId="0" applyFont="1" applyBorder="1" applyAlignment="1">
      <alignment horizontal="left" vertical="center" wrapText="1" readingOrder="1"/>
    </xf>
    <xf numFmtId="0" fontId="55" fillId="0" borderId="75" xfId="0" applyFont="1" applyBorder="1" applyAlignment="1">
      <alignment horizontal="left" vertical="center" wrapText="1" readingOrder="1"/>
    </xf>
    <xf numFmtId="0" fontId="55" fillId="0" borderId="76" xfId="0" applyFont="1" applyBorder="1" applyAlignment="1">
      <alignment horizontal="left" vertical="center" wrapText="1" readingOrder="1"/>
    </xf>
    <xf numFmtId="0" fontId="56" fillId="0" borderId="86" xfId="0" applyFont="1" applyBorder="1" applyAlignment="1">
      <alignment horizontal="left" vertical="top" wrapText="1" readingOrder="1"/>
    </xf>
    <xf numFmtId="0" fontId="56" fillId="0" borderId="75" xfId="0" applyFont="1" applyBorder="1" applyAlignment="1">
      <alignment horizontal="left" vertical="top" wrapText="1" readingOrder="1"/>
    </xf>
    <xf numFmtId="0" fontId="56" fillId="0" borderId="76" xfId="0" applyFont="1" applyBorder="1" applyAlignment="1">
      <alignment horizontal="left" vertical="top" wrapText="1" readingOrder="1"/>
    </xf>
    <xf numFmtId="0" fontId="56" fillId="13" borderId="86" xfId="0" applyFont="1" applyFill="1" applyBorder="1" applyAlignment="1">
      <alignment horizontal="left" vertical="top" wrapText="1" readingOrder="1"/>
    </xf>
    <xf numFmtId="0" fontId="56" fillId="13" borderId="75" xfId="0" applyFont="1" applyFill="1" applyBorder="1" applyAlignment="1">
      <alignment horizontal="left" vertical="top" wrapText="1" readingOrder="1"/>
    </xf>
    <xf numFmtId="0" fontId="56" fillId="13" borderId="76" xfId="0" applyFont="1" applyFill="1" applyBorder="1" applyAlignment="1">
      <alignment horizontal="left" vertical="top" wrapText="1" readingOrder="1"/>
    </xf>
    <xf numFmtId="49" fontId="56" fillId="9" borderId="100" xfId="0" applyNumberFormat="1" applyFont="1" applyFill="1" applyBorder="1" applyAlignment="1">
      <alignment horizontal="left" vertical="top" wrapText="1" readingOrder="1"/>
    </xf>
    <xf numFmtId="49" fontId="56" fillId="9" borderId="56" xfId="0" applyNumberFormat="1" applyFont="1" applyFill="1" applyBorder="1" applyAlignment="1">
      <alignment horizontal="left" vertical="top" wrapText="1" readingOrder="1"/>
    </xf>
    <xf numFmtId="49" fontId="56" fillId="9" borderId="96" xfId="0" applyNumberFormat="1" applyFont="1" applyFill="1" applyBorder="1" applyAlignment="1">
      <alignment horizontal="left" vertical="top" wrapText="1" readingOrder="1"/>
    </xf>
    <xf numFmtId="0" fontId="56" fillId="0" borderId="63" xfId="0" applyFont="1" applyBorder="1" applyAlignment="1">
      <alignment horizontal="left" vertical="center" wrapText="1" readingOrder="1"/>
    </xf>
    <xf numFmtId="49" fontId="56" fillId="13" borderId="97" xfId="0" applyNumberFormat="1" applyFont="1" applyFill="1" applyBorder="1" applyAlignment="1">
      <alignment horizontal="left" vertical="top" wrapText="1" readingOrder="1"/>
    </xf>
    <xf numFmtId="0" fontId="56" fillId="14" borderId="63" xfId="0" applyFont="1" applyFill="1" applyBorder="1" applyAlignment="1">
      <alignment horizontal="center" wrapText="1" readingOrder="1"/>
    </xf>
    <xf numFmtId="0" fontId="55" fillId="0" borderId="63" xfId="0" applyFont="1" applyBorder="1" applyAlignment="1">
      <alignment horizontal="center" vertical="center" wrapText="1" readingOrder="1"/>
    </xf>
    <xf numFmtId="0" fontId="56" fillId="12" borderId="63" xfId="0" applyFont="1" applyFill="1" applyBorder="1" applyAlignment="1">
      <alignment horizontal="left" vertical="center" wrapText="1" readingOrder="1"/>
    </xf>
    <xf numFmtId="0" fontId="55" fillId="0" borderId="100" xfId="0" applyFont="1" applyBorder="1" applyAlignment="1">
      <alignment horizontal="center" vertical="center" wrapText="1" readingOrder="1"/>
    </xf>
    <xf numFmtId="0" fontId="55" fillId="0" borderId="78" xfId="0" applyFont="1" applyBorder="1" applyAlignment="1">
      <alignment horizontal="center" vertical="center" wrapText="1" readingOrder="1"/>
    </xf>
    <xf numFmtId="0" fontId="55" fillId="0" borderId="128" xfId="0" applyFont="1" applyBorder="1" applyAlignment="1">
      <alignment horizontal="center" vertical="center" wrapText="1" readingOrder="1"/>
    </xf>
    <xf numFmtId="0" fontId="55" fillId="0" borderId="140" xfId="0" applyFont="1" applyBorder="1" applyAlignment="1">
      <alignment horizontal="left" vertical="center" wrapText="1" readingOrder="1"/>
    </xf>
    <xf numFmtId="0" fontId="58" fillId="0" borderId="131" xfId="0" applyFont="1" applyBorder="1" applyAlignment="1">
      <alignment horizontal="left" vertical="center" wrapText="1"/>
    </xf>
    <xf numFmtId="0" fontId="58" fillId="0" borderId="59" xfId="0" applyFont="1" applyBorder="1" applyAlignment="1">
      <alignment horizontal="left" vertical="center" wrapText="1"/>
    </xf>
    <xf numFmtId="0" fontId="58" fillId="0" borderId="36" xfId="0" applyFont="1" applyBorder="1" applyAlignment="1">
      <alignment horizontal="left" vertical="center" wrapText="1"/>
    </xf>
    <xf numFmtId="0" fontId="56" fillId="0" borderId="131" xfId="0" applyFont="1" applyBorder="1" applyAlignment="1">
      <alignment horizontal="left" vertical="center" wrapText="1" readingOrder="1"/>
    </xf>
    <xf numFmtId="49" fontId="56" fillId="13" borderId="140" xfId="0" applyNumberFormat="1" applyFont="1" applyFill="1" applyBorder="1" applyAlignment="1">
      <alignment horizontal="left" vertical="top" wrapText="1" readingOrder="1"/>
    </xf>
    <xf numFmtId="0" fontId="49" fillId="12" borderId="145" xfId="0" applyFont="1" applyFill="1" applyBorder="1" applyAlignment="1">
      <alignment horizontal="center"/>
    </xf>
    <xf numFmtId="0" fontId="49" fillId="12" borderId="52" xfId="0" applyFont="1" applyFill="1" applyBorder="1" applyAlignment="1">
      <alignment horizontal="center"/>
    </xf>
    <xf numFmtId="0" fontId="49" fillId="12" borderId="13" xfId="0" applyFont="1" applyFill="1" applyBorder="1" applyAlignment="1">
      <alignment horizontal="center" vertical="center"/>
    </xf>
    <xf numFmtId="0" fontId="49" fillId="12" borderId="52" xfId="0" applyFont="1" applyFill="1" applyBorder="1" applyAlignment="1">
      <alignment horizontal="center" vertical="center"/>
    </xf>
    <xf numFmtId="0" fontId="17" fillId="2" borderId="13" xfId="0" applyFont="1" applyFill="1" applyBorder="1" applyAlignment="1" applyProtection="1">
      <alignment horizontal="center" vertical="center" wrapText="1"/>
      <protection locked="0"/>
    </xf>
    <xf numFmtId="0" fontId="17" fillId="2" borderId="52" xfId="0" applyFont="1" applyFill="1" applyBorder="1" applyAlignment="1" applyProtection="1">
      <alignment horizontal="center" vertical="center" wrapText="1"/>
      <protection locked="0"/>
    </xf>
    <xf numFmtId="0" fontId="17" fillId="2" borderId="46" xfId="0" applyFont="1" applyFill="1" applyBorder="1" applyAlignment="1" applyProtection="1">
      <alignment horizontal="center" vertical="center" wrapText="1"/>
      <protection locked="0"/>
    </xf>
    <xf numFmtId="0" fontId="17" fillId="2" borderId="47" xfId="0" applyFont="1" applyFill="1" applyBorder="1" applyAlignment="1" applyProtection="1">
      <alignment horizontal="center" vertical="center" wrapText="1"/>
      <protection locked="0"/>
    </xf>
    <xf numFmtId="0" fontId="14" fillId="0" borderId="52" xfId="0" applyFont="1" applyBorder="1" applyAlignment="1" applyProtection="1">
      <alignment horizontal="center"/>
      <protection locked="0"/>
    </xf>
    <xf numFmtId="0" fontId="14" fillId="0" borderId="47" xfId="0" applyFont="1" applyBorder="1" applyAlignment="1" applyProtection="1">
      <alignment horizontal="center"/>
      <protection locked="0"/>
    </xf>
    <xf numFmtId="0" fontId="7" fillId="5" borderId="63" xfId="0" applyFont="1" applyFill="1" applyBorder="1" applyAlignment="1" applyProtection="1">
      <alignment horizontal="right" vertical="center"/>
      <protection locked="0"/>
    </xf>
    <xf numFmtId="0" fontId="14" fillId="0" borderId="63" xfId="0" applyFont="1" applyBorder="1" applyProtection="1">
      <protection locked="0"/>
    </xf>
    <xf numFmtId="0" fontId="17" fillId="6" borderId="63" xfId="0" applyFont="1" applyFill="1" applyBorder="1" applyAlignment="1" applyProtection="1">
      <alignment horizontal="right" vertical="center" wrapText="1"/>
      <protection locked="0"/>
    </xf>
    <xf numFmtId="49" fontId="10" fillId="7" borderId="107" xfId="0" applyNumberFormat="1" applyFont="1" applyFill="1" applyBorder="1" applyAlignment="1" applyProtection="1">
      <alignment horizontal="right" vertical="center"/>
      <protection locked="0"/>
    </xf>
    <xf numFmtId="49" fontId="10" fillId="7" borderId="108" xfId="0" applyNumberFormat="1" applyFont="1" applyFill="1" applyBorder="1" applyAlignment="1" applyProtection="1">
      <alignment horizontal="right" vertical="center"/>
      <protection locked="0"/>
    </xf>
    <xf numFmtId="0" fontId="65" fillId="6" borderId="63" xfId="0" applyFont="1" applyFill="1" applyBorder="1" applyAlignment="1" applyProtection="1">
      <alignment horizontal="right" vertical="center" wrapText="1"/>
      <protection locked="0"/>
    </xf>
    <xf numFmtId="0" fontId="66" fillId="0" borderId="63" xfId="0" applyFont="1" applyBorder="1" applyProtection="1">
      <protection locked="0"/>
    </xf>
    <xf numFmtId="49" fontId="54" fillId="7" borderId="107" xfId="0" applyNumberFormat="1" applyFont="1" applyFill="1" applyBorder="1" applyAlignment="1" applyProtection="1">
      <alignment horizontal="right" vertical="center"/>
      <protection locked="0"/>
    </xf>
    <xf numFmtId="49" fontId="54" fillId="7" borderId="108" xfId="0" applyNumberFormat="1" applyFont="1" applyFill="1" applyBorder="1" applyAlignment="1" applyProtection="1">
      <alignment horizontal="right" vertical="center"/>
      <protection locked="0"/>
    </xf>
    <xf numFmtId="49" fontId="54" fillId="7" borderId="110" xfId="0" applyNumberFormat="1" applyFont="1" applyFill="1" applyBorder="1" applyAlignment="1" applyProtection="1">
      <alignment horizontal="right" vertical="center"/>
      <protection locked="0"/>
    </xf>
    <xf numFmtId="49" fontId="54" fillId="7" borderId="47" xfId="0" applyNumberFormat="1" applyFont="1" applyFill="1" applyBorder="1" applyAlignment="1" applyProtection="1">
      <alignment horizontal="right" vertical="center"/>
      <protection locked="0"/>
    </xf>
    <xf numFmtId="49" fontId="10" fillId="7" borderId="63" xfId="0" applyNumberFormat="1" applyFont="1" applyFill="1" applyBorder="1" applyAlignment="1" applyProtection="1">
      <alignment horizontal="right" vertical="center"/>
      <protection locked="0"/>
    </xf>
    <xf numFmtId="0" fontId="21" fillId="0" borderId="63" xfId="0" applyFont="1" applyBorder="1" applyAlignment="1" applyProtection="1">
      <alignment horizontal="right" vertical="center" wrapText="1"/>
      <protection locked="0"/>
    </xf>
    <xf numFmtId="49" fontId="10" fillId="7" borderId="63" xfId="0" applyNumberFormat="1" applyFont="1" applyFill="1" applyBorder="1" applyAlignment="1" applyProtection="1">
      <alignment horizontal="left" vertical="center"/>
      <protection locked="0"/>
    </xf>
    <xf numFmtId="195" fontId="11" fillId="0" borderId="49" xfId="0" applyNumberFormat="1" applyFont="1" applyBorder="1" applyAlignment="1">
      <alignment horizontal="center" vertical="center"/>
    </xf>
    <xf numFmtId="195" fontId="14" fillId="0" borderId="59" xfId="0" applyNumberFormat="1" applyFont="1" applyBorder="1"/>
    <xf numFmtId="195" fontId="14" fillId="0" borderId="116" xfId="0" applyNumberFormat="1" applyFont="1" applyBorder="1"/>
    <xf numFmtId="0" fontId="11" fillId="0" borderId="49" xfId="0" applyFont="1" applyBorder="1" applyAlignment="1">
      <alignment horizontal="center" vertical="center"/>
    </xf>
    <xf numFmtId="0" fontId="14" fillId="0" borderId="59" xfId="0" applyFont="1" applyBorder="1"/>
    <xf numFmtId="0" fontId="14" fillId="0" borderId="116" xfId="0" applyFont="1" applyBorder="1"/>
    <xf numFmtId="0" fontId="15" fillId="4" borderId="118" xfId="0" applyFont="1" applyFill="1" applyBorder="1" applyAlignment="1">
      <alignment horizontal="center" vertical="center"/>
    </xf>
    <xf numFmtId="0" fontId="14" fillId="0" borderId="56" xfId="0" applyFont="1" applyBorder="1"/>
    <xf numFmtId="0" fontId="14" fillId="0" borderId="119" xfId="0" applyFont="1" applyBorder="1"/>
    <xf numFmtId="0" fontId="23" fillId="0" borderId="111" xfId="0" applyFont="1" applyBorder="1" applyAlignment="1">
      <alignment horizontal="center" vertical="center" wrapText="1"/>
    </xf>
    <xf numFmtId="0" fontId="33" fillId="0" borderId="112" xfId="0" applyFont="1" applyBorder="1"/>
    <xf numFmtId="0" fontId="33" fillId="0" borderId="113" xfId="0" applyFont="1" applyBorder="1"/>
    <xf numFmtId="0" fontId="9" fillId="3" borderId="78" xfId="0" applyFont="1" applyFill="1" applyBorder="1" applyAlignment="1">
      <alignment horizontal="center" vertical="center" wrapText="1"/>
    </xf>
    <xf numFmtId="0" fontId="14" fillId="0" borderId="78" xfId="0" applyFont="1" applyBorder="1"/>
    <xf numFmtId="0" fontId="14" fillId="0" borderId="79" xfId="0" applyFont="1" applyBorder="1"/>
    <xf numFmtId="0" fontId="14" fillId="0" borderId="52" xfId="0" applyFont="1" applyBorder="1"/>
    <xf numFmtId="0" fontId="0" fillId="0" borderId="52" xfId="0" applyBorder="1"/>
    <xf numFmtId="0" fontId="14" fillId="0" borderId="81" xfId="0" applyFont="1" applyBorder="1"/>
    <xf numFmtId="0" fontId="14" fillId="0" borderId="62" xfId="0" applyFont="1" applyBorder="1"/>
    <xf numFmtId="0" fontId="14" fillId="0" borderId="114" xfId="0" applyFont="1" applyBorder="1"/>
    <xf numFmtId="0" fontId="11" fillId="0" borderId="49" xfId="0" applyFont="1" applyBorder="1" applyAlignment="1">
      <alignment horizontal="center" vertical="center" wrapText="1"/>
    </xf>
    <xf numFmtId="0" fontId="11" fillId="0" borderId="59" xfId="0" applyFont="1" applyBorder="1" applyAlignment="1">
      <alignment horizontal="center" vertical="center" wrapText="1"/>
    </xf>
    <xf numFmtId="0" fontId="21" fillId="0" borderId="11" xfId="0" applyFont="1" applyBorder="1" applyAlignment="1">
      <alignment horizontal="right" vertical="center" wrapText="1"/>
    </xf>
    <xf numFmtId="0" fontId="14" fillId="0" borderId="11" xfId="0" applyFont="1" applyBorder="1"/>
    <xf numFmtId="0" fontId="14" fillId="0" borderId="12" xfId="0" applyFont="1" applyBorder="1"/>
    <xf numFmtId="0" fontId="17" fillId="2" borderId="13" xfId="0" applyFont="1" applyFill="1" applyBorder="1" applyAlignment="1">
      <alignment horizontal="center" vertical="center" wrapText="1"/>
    </xf>
    <xf numFmtId="0" fontId="14" fillId="0" borderId="14" xfId="0" applyFont="1" applyBorder="1"/>
    <xf numFmtId="0" fontId="14" fillId="0" borderId="15" xfId="0" applyFont="1" applyBorder="1"/>
    <xf numFmtId="0" fontId="14" fillId="0" borderId="2" xfId="0" applyFont="1" applyBorder="1"/>
    <xf numFmtId="0" fontId="0" fillId="0" borderId="0" xfId="0"/>
    <xf numFmtId="0" fontId="14" fillId="0" borderId="16" xfId="0" applyFont="1" applyBorder="1"/>
    <xf numFmtId="0" fontId="14" fillId="0" borderId="17" xfId="0" applyFont="1" applyBorder="1"/>
    <xf numFmtId="0" fontId="14" fillId="0" borderId="18" xfId="0" applyFont="1" applyBorder="1"/>
    <xf numFmtId="0" fontId="14" fillId="0" borderId="19" xfId="0" applyFont="1" applyBorder="1"/>
    <xf numFmtId="0" fontId="91" fillId="0" borderId="52" xfId="21" applyFont="1" applyAlignment="1">
      <alignment horizontal="left" vertical="center"/>
    </xf>
    <xf numFmtId="0" fontId="92" fillId="0" borderId="52" xfId="21" applyFont="1" applyAlignment="1">
      <alignment horizontal="left" vertical="center"/>
    </xf>
    <xf numFmtId="0" fontId="91" fillId="12" borderId="52" xfId="21" applyFont="1" applyFill="1" applyAlignment="1">
      <alignment horizontal="left" vertical="center"/>
    </xf>
    <xf numFmtId="0" fontId="92" fillId="12" borderId="52" xfId="21" applyFont="1" applyFill="1" applyAlignment="1">
      <alignment horizontal="left" vertical="center"/>
    </xf>
    <xf numFmtId="4" fontId="62" fillId="12" borderId="87" xfId="11" applyNumberFormat="1" applyFont="1" applyFill="1" applyBorder="1" applyAlignment="1">
      <alignment horizontal="left" vertical="top" wrapText="1"/>
    </xf>
    <xf numFmtId="4" fontId="62" fillId="12" borderId="85" xfId="11" applyNumberFormat="1" applyFont="1" applyFill="1" applyBorder="1" applyAlignment="1">
      <alignment horizontal="left" vertical="top" wrapText="1"/>
    </xf>
    <xf numFmtId="4" fontId="62" fillId="12" borderId="144" xfId="11" applyNumberFormat="1" applyFont="1" applyFill="1" applyBorder="1" applyAlignment="1">
      <alignment horizontal="left" vertical="top" wrapText="1"/>
    </xf>
    <xf numFmtId="4" fontId="62" fillId="12" borderId="145" xfId="11" applyNumberFormat="1" applyFont="1" applyFill="1" applyBorder="1" applyAlignment="1">
      <alignment horizontal="left" vertical="top" wrapText="1"/>
    </xf>
    <xf numFmtId="4" fontId="62" fillId="12" borderId="52" xfId="11" applyNumberFormat="1" applyFont="1" applyFill="1" applyAlignment="1">
      <alignment horizontal="left" vertical="top" wrapText="1"/>
    </xf>
    <xf numFmtId="4" fontId="62" fillId="12" borderId="106" xfId="11" applyNumberFormat="1" applyFont="1" applyFill="1" applyBorder="1" applyAlignment="1">
      <alignment horizontal="left" vertical="top" wrapText="1"/>
    </xf>
    <xf numFmtId="0" fontId="0" fillId="0" borderId="86" xfId="0" applyBorder="1" applyAlignment="1">
      <alignment horizontal="left"/>
    </xf>
    <xf numFmtId="0" fontId="0" fillId="0" borderId="76" xfId="0" applyBorder="1" applyAlignment="1">
      <alignment horizontal="left"/>
    </xf>
    <xf numFmtId="4" fontId="34" fillId="12" borderId="52" xfId="11" applyNumberFormat="1" applyFont="1" applyFill="1" applyAlignment="1">
      <alignment horizontal="center" vertical="center" wrapText="1"/>
    </xf>
    <xf numFmtId="4" fontId="59" fillId="12" borderId="52" xfId="11" applyNumberFormat="1" applyFont="1" applyFill="1" applyAlignment="1">
      <alignment horizontal="center" vertical="center" wrapText="1"/>
    </xf>
    <xf numFmtId="4" fontId="24" fillId="15" borderId="86" xfId="0" applyNumberFormat="1" applyFont="1" applyFill="1" applyBorder="1" applyAlignment="1">
      <alignment horizontal="center" vertical="center"/>
    </xf>
    <xf numFmtId="4" fontId="24" fillId="15" borderId="76" xfId="0" applyNumberFormat="1" applyFont="1" applyFill="1" applyBorder="1" applyAlignment="1">
      <alignment horizontal="center" vertical="center"/>
    </xf>
    <xf numFmtId="172" fontId="25" fillId="3" borderId="29" xfId="0" applyNumberFormat="1" applyFont="1" applyFill="1" applyBorder="1" applyAlignment="1">
      <alignment horizontal="center" wrapText="1"/>
    </xf>
    <xf numFmtId="0" fontId="14" fillId="0" borderId="3" xfId="0" applyFont="1" applyBorder="1"/>
    <xf numFmtId="0" fontId="14" fillId="0" borderId="38" xfId="0" applyFont="1" applyBorder="1"/>
    <xf numFmtId="49" fontId="9" fillId="5" borderId="6" xfId="0" applyNumberFormat="1" applyFont="1" applyFill="1" applyBorder="1" applyAlignment="1">
      <alignment horizontal="center"/>
    </xf>
    <xf numFmtId="0" fontId="14" fillId="0" borderId="7" xfId="0" applyFont="1" applyBorder="1"/>
    <xf numFmtId="0" fontId="14" fillId="0" borderId="30" xfId="0" applyFont="1" applyBorder="1"/>
    <xf numFmtId="172" fontId="9" fillId="0" borderId="6" xfId="0" applyNumberFormat="1" applyFont="1" applyBorder="1" applyAlignment="1">
      <alignment horizontal="center"/>
    </xf>
    <xf numFmtId="172" fontId="11" fillId="0" borderId="6" xfId="0" applyNumberFormat="1" applyFont="1" applyBorder="1" applyAlignment="1">
      <alignment horizontal="left"/>
    </xf>
    <xf numFmtId="2" fontId="34" fillId="5" borderId="24" xfId="0" applyNumberFormat="1" applyFont="1" applyFill="1" applyBorder="1" applyAlignment="1">
      <alignment horizontal="center" vertical="center" wrapText="1"/>
    </xf>
    <xf numFmtId="2" fontId="34" fillId="5" borderId="25" xfId="0" applyNumberFormat="1" applyFont="1" applyFill="1" applyBorder="1" applyAlignment="1">
      <alignment horizontal="center" vertical="center" wrapText="1"/>
    </xf>
    <xf numFmtId="2" fontId="34" fillId="5" borderId="45" xfId="0" applyNumberFormat="1" applyFont="1" applyFill="1" applyBorder="1" applyAlignment="1">
      <alignment horizontal="center" vertical="center" wrapText="1"/>
    </xf>
    <xf numFmtId="2" fontId="34" fillId="5" borderId="13" xfId="0" applyNumberFormat="1" applyFont="1" applyFill="1" applyBorder="1" applyAlignment="1">
      <alignment horizontal="center" vertical="center" wrapText="1"/>
    </xf>
    <xf numFmtId="2" fontId="34" fillId="5" borderId="52" xfId="0" applyNumberFormat="1" applyFont="1" applyFill="1" applyBorder="1" applyAlignment="1">
      <alignment horizontal="center" vertical="center" wrapText="1"/>
    </xf>
    <xf numFmtId="2" fontId="34" fillId="5" borderId="39" xfId="0" applyNumberFormat="1" applyFont="1" applyFill="1" applyBorder="1" applyAlignment="1">
      <alignment horizontal="center" vertical="center" wrapText="1"/>
    </xf>
    <xf numFmtId="2" fontId="34" fillId="5" borderId="46" xfId="0" applyNumberFormat="1" applyFont="1" applyFill="1" applyBorder="1" applyAlignment="1">
      <alignment horizontal="center" vertical="center" wrapText="1"/>
    </xf>
    <xf numFmtId="2" fontId="34" fillId="5" borderId="47" xfId="0" applyNumberFormat="1" applyFont="1" applyFill="1" applyBorder="1" applyAlignment="1">
      <alignment horizontal="center" vertical="center" wrapText="1"/>
    </xf>
    <xf numFmtId="2" fontId="34" fillId="5" borderId="44" xfId="0" applyNumberFormat="1" applyFont="1" applyFill="1" applyBorder="1" applyAlignment="1">
      <alignment horizontal="center" vertical="center" wrapText="1"/>
    </xf>
    <xf numFmtId="172" fontId="24" fillId="9" borderId="6" xfId="0" applyNumberFormat="1" applyFont="1" applyFill="1" applyBorder="1" applyAlignment="1">
      <alignment horizontal="center"/>
    </xf>
    <xf numFmtId="172" fontId="11" fillId="0" borderId="6" xfId="0" applyNumberFormat="1" applyFont="1" applyBorder="1" applyAlignment="1">
      <alignment horizontal="left" wrapText="1"/>
    </xf>
    <xf numFmtId="0" fontId="14" fillId="0" borderId="30" xfId="0" applyFont="1" applyBorder="1" applyAlignment="1">
      <alignment wrapText="1"/>
    </xf>
    <xf numFmtId="175" fontId="11" fillId="0" borderId="6" xfId="0" applyNumberFormat="1" applyFont="1" applyBorder="1" applyAlignment="1">
      <alignment horizontal="left" wrapText="1"/>
    </xf>
    <xf numFmtId="172" fontId="9" fillId="9" borderId="6" xfId="0" applyNumberFormat="1" applyFont="1" applyFill="1" applyBorder="1"/>
    <xf numFmtId="0" fontId="14" fillId="0" borderId="51" xfId="0" applyFont="1" applyBorder="1"/>
    <xf numFmtId="172" fontId="9" fillId="0" borderId="56" xfId="0" applyNumberFormat="1" applyFont="1" applyBorder="1" applyAlignment="1">
      <alignment horizontal="center"/>
    </xf>
    <xf numFmtId="0" fontId="88" fillId="0" borderId="52" xfId="21" applyFont="1" applyAlignment="1">
      <alignment horizontal="left" vertical="center"/>
    </xf>
    <xf numFmtId="0" fontId="89" fillId="0" borderId="52" xfId="21" applyFont="1" applyAlignment="1">
      <alignment horizontal="left" vertical="center"/>
    </xf>
    <xf numFmtId="0" fontId="26" fillId="3" borderId="6" xfId="0" applyFont="1" applyFill="1" applyBorder="1" applyAlignment="1">
      <alignment horizontal="center" vertical="center"/>
    </xf>
    <xf numFmtId="0" fontId="11" fillId="0" borderId="32" xfId="0" applyFont="1" applyBorder="1"/>
    <xf numFmtId="0" fontId="14" fillId="0" borderId="57" xfId="0" applyFont="1" applyBorder="1"/>
    <xf numFmtId="0" fontId="14" fillId="0" borderId="58" xfId="0" applyFont="1" applyBorder="1"/>
    <xf numFmtId="1" fontId="27" fillId="0" borderId="6" xfId="0" applyNumberFormat="1" applyFont="1" applyBorder="1" applyAlignment="1">
      <alignment vertical="center" wrapText="1"/>
    </xf>
    <xf numFmtId="1" fontId="11" fillId="0" borderId="6" xfId="0" applyNumberFormat="1" applyFont="1" applyBorder="1" applyAlignment="1">
      <alignment horizontal="left" vertical="center"/>
    </xf>
    <xf numFmtId="165" fontId="11" fillId="0" borderId="6" xfId="0" applyNumberFormat="1" applyFont="1" applyBorder="1" applyAlignment="1">
      <alignment horizontal="left" vertical="center"/>
    </xf>
    <xf numFmtId="0" fontId="13" fillId="0" borderId="6" xfId="0" applyFont="1" applyBorder="1"/>
    <xf numFmtId="0" fontId="13" fillId="0" borderId="6" xfId="0" applyFont="1" applyBorder="1" applyAlignment="1">
      <alignment horizontal="center" vertical="center"/>
    </xf>
    <xf numFmtId="0" fontId="26" fillId="0" borderId="6" xfId="0" applyFont="1" applyBorder="1"/>
    <xf numFmtId="176" fontId="13" fillId="0" borderId="32" xfId="0" applyNumberFormat="1" applyFont="1" applyBorder="1"/>
    <xf numFmtId="0" fontId="73" fillId="0" borderId="52" xfId="3" applyFont="1" applyAlignment="1"/>
    <xf numFmtId="0" fontId="82" fillId="0" borderId="52" xfId="21" applyFont="1" applyAlignment="1">
      <alignment vertical="center"/>
    </xf>
    <xf numFmtId="0" fontId="74" fillId="0" borderId="52" xfId="3" applyFont="1" applyAlignment="1">
      <alignment horizontal="left" wrapText="1"/>
    </xf>
    <xf numFmtId="0" fontId="73" fillId="0" borderId="52" xfId="3" applyFont="1" applyAlignment="1">
      <alignment horizontal="left" wrapText="1"/>
    </xf>
  </cellXfs>
  <cellStyles count="34">
    <cellStyle name="Millares_Actas Puente" xfId="22" xr:uid="{968B4BFB-57D8-4D46-B7C7-CAF4D3A2F9E3}"/>
    <cellStyle name="Millares_FORMULARIO 4 - M-OFERENTE PPTA ECONOMICA" xfId="23" xr:uid="{C8F2246C-A162-4C34-855E-3004D0593F8B}"/>
    <cellStyle name="Moneda" xfId="1" builtinId="4"/>
    <cellStyle name="Moneda 2" xfId="7" xr:uid="{D1CB4864-8204-484C-8390-88EF34E2507A}"/>
    <cellStyle name="Moneda 2 2 2 2 2" xfId="9" xr:uid="{4B593A07-C325-4BA6-AF15-E1BD1B142B99}"/>
    <cellStyle name="Moneda 3" xfId="13" xr:uid="{315FF6DE-61E4-45B2-AE3D-14D7314637C8}"/>
    <cellStyle name="Normal" xfId="0" builtinId="0"/>
    <cellStyle name="Normal 2" xfId="11" xr:uid="{EF2DA03A-6C80-4169-B881-9C411FC7792F}"/>
    <cellStyle name="Normal 2 10 3" xfId="3" xr:uid="{8993AD47-1966-493E-B01B-8E8A54AB650D}"/>
    <cellStyle name="Normal 2 2" xfId="6" xr:uid="{ABBE27A5-85ED-449C-ADF8-1CE3FCEE5210}"/>
    <cellStyle name="Normal 2 2 2" xfId="17" xr:uid="{66C29AFE-1A43-40EB-B923-B82AF985B444}"/>
    <cellStyle name="Normal 2 2 2 2" xfId="32" xr:uid="{F8BBCAB4-D826-4F1E-86DF-349B55B440D0}"/>
    <cellStyle name="Normal 2 2 3" xfId="21" xr:uid="{64CDAAAB-1D60-4E56-86CD-F73C88DA500A}"/>
    <cellStyle name="Normal 2 2 4" xfId="27" xr:uid="{8211D0F4-A039-43BB-8C45-1D100739F916}"/>
    <cellStyle name="Normal 2 3" xfId="18" xr:uid="{D909C43D-8D0E-4065-91E5-8D676A5770BC}"/>
    <cellStyle name="Normal 2 3 2" xfId="33" xr:uid="{9FF279B0-DEBB-45B4-86A2-0F7E6E795945}"/>
    <cellStyle name="Normal 2 4" xfId="28" xr:uid="{F53C087D-DA0C-41DA-A4C6-7180BE5958F7}"/>
    <cellStyle name="Normal 3" xfId="4" xr:uid="{2EC8357B-5514-4FC2-B88C-878A7A51E510}"/>
    <cellStyle name="Normal 3 11" xfId="5" xr:uid="{77DF0E97-520A-4B95-A324-5EA23970E6CA}"/>
    <cellStyle name="Normal 3 11 2" xfId="16" xr:uid="{A6915DBC-C9A8-4FFD-A2EF-8B00C0B3E2E8}"/>
    <cellStyle name="Normal 3 11 2 2" xfId="31" xr:uid="{B81C6F7C-BE63-407E-942D-E0C71DF2EE9F}"/>
    <cellStyle name="Normal 3 11 3" xfId="20" xr:uid="{9EB5FA80-F4DA-4BFC-ABD0-BB43709A1E27}"/>
    <cellStyle name="Normal 3 11 4" xfId="26" xr:uid="{94DD3FFD-0953-441F-835B-7B8173F96481}"/>
    <cellStyle name="Normal 3 2" xfId="15" xr:uid="{DF76E4B7-30F2-4D31-B2D8-BC7256E9F051}"/>
    <cellStyle name="Normal 3 2 2" xfId="8" xr:uid="{57A7E019-7E2C-49A9-8A40-6AF72B8B99E0}"/>
    <cellStyle name="Normal 3 2 3" xfId="30" xr:uid="{C02DD269-3E28-4395-A06A-A2863F331FD2}"/>
    <cellStyle name="Normal 3 3" xfId="19" xr:uid="{2F3FC966-BFEF-463A-B797-914758AE8D66}"/>
    <cellStyle name="Normal 3 4" xfId="25" xr:uid="{AA210E54-8E4F-4B30-AC14-7704FB89D1DD}"/>
    <cellStyle name="Normal 4" xfId="12" xr:uid="{A9612689-8701-4D64-A038-E1A81A79C129}"/>
    <cellStyle name="Normal 4 2" xfId="29" xr:uid="{BEC45702-85EB-4C23-9ACD-1F0B8A157D67}"/>
    <cellStyle name="Normal 5" xfId="24" xr:uid="{BA30F9CC-ED2C-457B-82C2-7EBA41FA1D34}"/>
    <cellStyle name="Porcentaje" xfId="2" builtinId="5"/>
    <cellStyle name="Porcentaje 2" xfId="14" xr:uid="{8BED783F-A4C0-472B-8711-F64943182F2F}"/>
    <cellStyle name="Porcentaje 2 2" xfId="10" xr:uid="{AAF3E3D6-F0BA-4DA6-8F92-0397DE725038}"/>
  </cellStyles>
  <dxfs count="25">
    <dxf>
      <numFmt numFmtId="193" formatCode="#,##0.00\ &quot;m³&quot;"/>
    </dxf>
    <dxf>
      <fill>
        <patternFill>
          <bgColor theme="0" tint="-0.249977111117893"/>
        </patternFill>
      </fill>
    </dxf>
    <dxf>
      <alignment horizontal="right"/>
    </dxf>
    <dxf>
      <alignment horizontal="center"/>
    </dxf>
    <dxf>
      <alignment horizontal="center"/>
    </dxf>
    <dxf>
      <alignment horizontal="center"/>
    </dxf>
    <dxf>
      <fill>
        <patternFill>
          <bgColor theme="0" tint="-0.249977111117893"/>
        </patternFill>
      </fill>
    </dxf>
    <dxf>
      <fill>
        <patternFill>
          <bgColor theme="0" tint="-0.249977111117893"/>
        </patternFill>
      </fill>
    </dxf>
    <dxf>
      <fill>
        <patternFill>
          <bgColor theme="0" tint="-0.249977111117893"/>
        </patternFill>
      </fill>
    </dxf>
    <dxf>
      <fill>
        <patternFill>
          <bgColor theme="0" tint="-0.249977111117893"/>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pivotCacheDefinition" Target="pivotCache/pivotCacheDefinition1.xml"/><Relationship Id="rId33"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microsoft.com/office/2017/06/relationships/rdRichValueStructure" Target="richData/rdrichvaluestructure.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tyles" Target="styles.xml"/><Relationship Id="rId30" Type="http://schemas.microsoft.com/office/2022/10/relationships/richValueRel" Target="richData/richValueRel.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jp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133350</xdr:colOff>
      <xdr:row>69</xdr:row>
      <xdr:rowOff>190500</xdr:rowOff>
    </xdr:from>
    <xdr:to>
      <xdr:col>4</xdr:col>
      <xdr:colOff>4852</xdr:colOff>
      <xdr:row>82</xdr:row>
      <xdr:rowOff>323850</xdr:rowOff>
    </xdr:to>
    <xdr:pic>
      <xdr:nvPicPr>
        <xdr:cNvPr id="3" name="Imagen 2">
          <a:extLst>
            <a:ext uri="{FF2B5EF4-FFF2-40B4-BE49-F238E27FC236}">
              <a16:creationId xmlns:a16="http://schemas.microsoft.com/office/drawing/2014/main" id="{903DEDC0-4736-7DAC-2478-5CDA1104902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425" t="-749" r="24182" b="749"/>
        <a:stretch>
          <a:fillRect/>
        </a:stretch>
      </xdr:blipFill>
      <xdr:spPr>
        <a:xfrm>
          <a:off x="514350" y="57245250"/>
          <a:ext cx="3962400" cy="5086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746760</xdr:colOff>
      <xdr:row>0</xdr:row>
      <xdr:rowOff>38100</xdr:rowOff>
    </xdr:from>
    <xdr:to>
      <xdr:col>2</xdr:col>
      <xdr:colOff>213360</xdr:colOff>
      <xdr:row>4</xdr:row>
      <xdr:rowOff>15240</xdr:rowOff>
    </xdr:to>
    <xdr:pic>
      <xdr:nvPicPr>
        <xdr:cNvPr id="2" name="Imagen 1">
          <a:extLst>
            <a:ext uri="{FF2B5EF4-FFF2-40B4-BE49-F238E27FC236}">
              <a16:creationId xmlns:a16="http://schemas.microsoft.com/office/drawing/2014/main" id="{249A1E5E-4662-4427-978A-81AB588A478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9240" y="38100"/>
          <a:ext cx="906780" cy="784860"/>
        </a:xfrm>
        <a:prstGeom prst="rect">
          <a:avLst/>
        </a:prstGeom>
        <a:noFill/>
        <a:ln>
          <a:noFill/>
        </a:ln>
      </xdr:spPr>
    </xdr:pic>
    <xdr:clientData/>
  </xdr:twoCellAnchor>
  <xdr:twoCellAnchor editAs="oneCell">
    <xdr:from>
      <xdr:col>0</xdr:col>
      <xdr:colOff>313267</xdr:colOff>
      <xdr:row>1140</xdr:row>
      <xdr:rowOff>174215</xdr:rowOff>
    </xdr:from>
    <xdr:to>
      <xdr:col>2</xdr:col>
      <xdr:colOff>670253</xdr:colOff>
      <xdr:row>1153</xdr:row>
      <xdr:rowOff>171468</xdr:rowOff>
    </xdr:to>
    <xdr:pic>
      <xdr:nvPicPr>
        <xdr:cNvPr id="3" name="Imagen 2">
          <a:extLst>
            <a:ext uri="{FF2B5EF4-FFF2-40B4-BE49-F238E27FC236}">
              <a16:creationId xmlns:a16="http://schemas.microsoft.com/office/drawing/2014/main" id="{B5EAFF75-69CD-7BE3-A8BD-D7F1B2D18F04}"/>
            </a:ext>
          </a:extLst>
        </xdr:cNvPr>
        <xdr:cNvPicPr>
          <a:picLocks noChangeAspect="1"/>
        </xdr:cNvPicPr>
      </xdr:nvPicPr>
      <xdr:blipFill>
        <a:blip xmlns:r="http://schemas.openxmlformats.org/officeDocument/2006/relationships" r:embed="rId2"/>
        <a:stretch>
          <a:fillRect/>
        </a:stretch>
      </xdr:blipFill>
      <xdr:spPr>
        <a:xfrm>
          <a:off x="313267" y="214008348"/>
          <a:ext cx="2667000" cy="25626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1657350</xdr:colOff>
      <xdr:row>50</xdr:row>
      <xdr:rowOff>0</xdr:rowOff>
    </xdr:from>
    <xdr:ext cx="638175" cy="0"/>
    <xdr:pic>
      <xdr:nvPicPr>
        <xdr:cNvPr id="2" name="image2.jpg" descr="D540VF-web.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1657350</xdr:colOff>
      <xdr:row>50</xdr:row>
      <xdr:rowOff>0</xdr:rowOff>
    </xdr:from>
    <xdr:ext cx="638175" cy="0"/>
    <xdr:pic>
      <xdr:nvPicPr>
        <xdr:cNvPr id="3" name="image2.jpg" descr="D540VF-web.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1809750</xdr:colOff>
      <xdr:row>50</xdr:row>
      <xdr:rowOff>0</xdr:rowOff>
    </xdr:from>
    <xdr:ext cx="609600" cy="0"/>
    <xdr:pic>
      <xdr:nvPicPr>
        <xdr:cNvPr id="4" name="image2.jpg" descr="D540VF-web.jp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1657350</xdr:colOff>
      <xdr:row>50</xdr:row>
      <xdr:rowOff>0</xdr:rowOff>
    </xdr:from>
    <xdr:ext cx="638175" cy="0"/>
    <xdr:pic>
      <xdr:nvPicPr>
        <xdr:cNvPr id="5" name="image2.jpg" descr="D540VF-web.jp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1657350</xdr:colOff>
      <xdr:row>50</xdr:row>
      <xdr:rowOff>0</xdr:rowOff>
    </xdr:from>
    <xdr:ext cx="638175" cy="0"/>
    <xdr:pic>
      <xdr:nvPicPr>
        <xdr:cNvPr id="6" name="image2.jpg" descr="D540VF-web.jp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38175" cy="0"/>
    <xdr:pic>
      <xdr:nvPicPr>
        <xdr:cNvPr id="7" name="image2.jpg" descr="D540VF-web.jpg">
          <a:extLst>
            <a:ext uri="{FF2B5EF4-FFF2-40B4-BE49-F238E27FC236}">
              <a16:creationId xmlns:a16="http://schemas.microsoft.com/office/drawing/2014/main" id="{00000000-0008-0000-02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09600" cy="0"/>
    <xdr:pic>
      <xdr:nvPicPr>
        <xdr:cNvPr id="8" name="image2.jpg" descr="D540VF-web.jpg">
          <a:extLst>
            <a:ext uri="{FF2B5EF4-FFF2-40B4-BE49-F238E27FC236}">
              <a16:creationId xmlns:a16="http://schemas.microsoft.com/office/drawing/2014/main" id="{00000000-0008-0000-02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38175" cy="0"/>
    <xdr:pic>
      <xdr:nvPicPr>
        <xdr:cNvPr id="9" name="image2.jpg" descr="D540VF-web.jpg">
          <a:extLst>
            <a:ext uri="{FF2B5EF4-FFF2-40B4-BE49-F238E27FC236}">
              <a16:creationId xmlns:a16="http://schemas.microsoft.com/office/drawing/2014/main" id="{00000000-0008-0000-02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38175" cy="0"/>
    <xdr:pic>
      <xdr:nvPicPr>
        <xdr:cNvPr id="10" name="image2.jpg" descr="D540VF-web.jpg">
          <a:extLst>
            <a:ext uri="{FF2B5EF4-FFF2-40B4-BE49-F238E27FC236}">
              <a16:creationId xmlns:a16="http://schemas.microsoft.com/office/drawing/2014/main" id="{00000000-0008-0000-02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09600" cy="0"/>
    <xdr:pic>
      <xdr:nvPicPr>
        <xdr:cNvPr id="11" name="image2.jpg" descr="D540VF-web.jpg">
          <a:extLst>
            <a:ext uri="{FF2B5EF4-FFF2-40B4-BE49-F238E27FC236}">
              <a16:creationId xmlns:a16="http://schemas.microsoft.com/office/drawing/2014/main" id="{00000000-0008-0000-02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38175" cy="0"/>
    <xdr:pic>
      <xdr:nvPicPr>
        <xdr:cNvPr id="12" name="image2.jpg" descr="D540VF-web.jpg">
          <a:extLst>
            <a:ext uri="{FF2B5EF4-FFF2-40B4-BE49-F238E27FC236}">
              <a16:creationId xmlns:a16="http://schemas.microsoft.com/office/drawing/2014/main" id="{00000000-0008-0000-02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38175" cy="0"/>
    <xdr:pic>
      <xdr:nvPicPr>
        <xdr:cNvPr id="13" name="image2.jpg" descr="D540VF-web.jpg">
          <a:extLst>
            <a:ext uri="{FF2B5EF4-FFF2-40B4-BE49-F238E27FC236}">
              <a16:creationId xmlns:a16="http://schemas.microsoft.com/office/drawing/2014/main" id="{00000000-0008-0000-02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50</xdr:row>
      <xdr:rowOff>0</xdr:rowOff>
    </xdr:from>
    <xdr:ext cx="609600" cy="0"/>
    <xdr:pic>
      <xdr:nvPicPr>
        <xdr:cNvPr id="14" name="image2.jpg" descr="D540VF-web.jpg">
          <a:extLst>
            <a:ext uri="{FF2B5EF4-FFF2-40B4-BE49-F238E27FC236}">
              <a16:creationId xmlns:a16="http://schemas.microsoft.com/office/drawing/2014/main" id="{00000000-0008-0000-02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1657350</xdr:colOff>
      <xdr:row>35</xdr:row>
      <xdr:rowOff>0</xdr:rowOff>
    </xdr:from>
    <xdr:ext cx="638175" cy="0"/>
    <xdr:pic>
      <xdr:nvPicPr>
        <xdr:cNvPr id="15" name="image2.jpg" descr="D540VF-web.jpg">
          <a:extLst>
            <a:ext uri="{FF2B5EF4-FFF2-40B4-BE49-F238E27FC236}">
              <a16:creationId xmlns:a16="http://schemas.microsoft.com/office/drawing/2014/main" id="{CAB4FDB5-A067-48FA-AB92-528DB270C0AF}"/>
            </a:ext>
          </a:extLst>
        </xdr:cNvPr>
        <xdr:cNvPicPr preferRelativeResize="0"/>
      </xdr:nvPicPr>
      <xdr:blipFill>
        <a:blip xmlns:r="http://schemas.openxmlformats.org/officeDocument/2006/relationships" r:embed="rId1" cstate="print"/>
        <a:stretch>
          <a:fillRect/>
        </a:stretch>
      </xdr:blipFill>
      <xdr:spPr>
        <a:xfrm>
          <a:off x="468630" y="23269575"/>
          <a:ext cx="638175" cy="0"/>
        </a:xfrm>
        <a:prstGeom prst="rect">
          <a:avLst/>
        </a:prstGeom>
        <a:noFill/>
      </xdr:spPr>
    </xdr:pic>
    <xdr:clientData fLocksWithSheet="0"/>
  </xdr:oneCellAnchor>
  <xdr:oneCellAnchor>
    <xdr:from>
      <xdr:col>0</xdr:col>
      <xdr:colOff>1657350</xdr:colOff>
      <xdr:row>35</xdr:row>
      <xdr:rowOff>0</xdr:rowOff>
    </xdr:from>
    <xdr:ext cx="638175" cy="0"/>
    <xdr:pic>
      <xdr:nvPicPr>
        <xdr:cNvPr id="16" name="image2.jpg" descr="D540VF-web.jpg">
          <a:extLst>
            <a:ext uri="{FF2B5EF4-FFF2-40B4-BE49-F238E27FC236}">
              <a16:creationId xmlns:a16="http://schemas.microsoft.com/office/drawing/2014/main" id="{50AE04D9-3B53-40D2-8192-67C90850E06F}"/>
            </a:ext>
          </a:extLst>
        </xdr:cNvPr>
        <xdr:cNvPicPr preferRelativeResize="0"/>
      </xdr:nvPicPr>
      <xdr:blipFill>
        <a:blip xmlns:r="http://schemas.openxmlformats.org/officeDocument/2006/relationships" r:embed="rId1" cstate="print"/>
        <a:stretch>
          <a:fillRect/>
        </a:stretch>
      </xdr:blipFill>
      <xdr:spPr>
        <a:xfrm>
          <a:off x="468630" y="23269575"/>
          <a:ext cx="638175" cy="0"/>
        </a:xfrm>
        <a:prstGeom prst="rect">
          <a:avLst/>
        </a:prstGeom>
        <a:noFill/>
      </xdr:spPr>
    </xdr:pic>
    <xdr:clientData fLocksWithSheet="0"/>
  </xdr:oneCellAnchor>
  <xdr:oneCellAnchor>
    <xdr:from>
      <xdr:col>0</xdr:col>
      <xdr:colOff>1809750</xdr:colOff>
      <xdr:row>35</xdr:row>
      <xdr:rowOff>0</xdr:rowOff>
    </xdr:from>
    <xdr:ext cx="609600" cy="0"/>
    <xdr:pic>
      <xdr:nvPicPr>
        <xdr:cNvPr id="17" name="image2.jpg" descr="D540VF-web.jpg">
          <a:extLst>
            <a:ext uri="{FF2B5EF4-FFF2-40B4-BE49-F238E27FC236}">
              <a16:creationId xmlns:a16="http://schemas.microsoft.com/office/drawing/2014/main" id="{53B947B3-FFBF-4D6F-829B-FAD439FF4E09}"/>
            </a:ext>
          </a:extLst>
        </xdr:cNvPr>
        <xdr:cNvPicPr preferRelativeResize="0"/>
      </xdr:nvPicPr>
      <xdr:blipFill>
        <a:blip xmlns:r="http://schemas.openxmlformats.org/officeDocument/2006/relationships" r:embed="rId1" cstate="print"/>
        <a:stretch>
          <a:fillRect/>
        </a:stretch>
      </xdr:blipFill>
      <xdr:spPr>
        <a:xfrm>
          <a:off x="468630" y="23269575"/>
          <a:ext cx="609600" cy="0"/>
        </a:xfrm>
        <a:prstGeom prst="rect">
          <a:avLst/>
        </a:prstGeom>
        <a:noFill/>
      </xdr:spPr>
    </xdr:pic>
    <xdr:clientData fLocksWithSheet="0"/>
  </xdr:oneCellAnchor>
  <xdr:oneCellAnchor>
    <xdr:from>
      <xdr:col>0</xdr:col>
      <xdr:colOff>1657350</xdr:colOff>
      <xdr:row>35</xdr:row>
      <xdr:rowOff>0</xdr:rowOff>
    </xdr:from>
    <xdr:ext cx="638175" cy="0"/>
    <xdr:pic>
      <xdr:nvPicPr>
        <xdr:cNvPr id="18" name="image2.jpg" descr="D540VF-web.jpg">
          <a:extLst>
            <a:ext uri="{FF2B5EF4-FFF2-40B4-BE49-F238E27FC236}">
              <a16:creationId xmlns:a16="http://schemas.microsoft.com/office/drawing/2014/main" id="{9058F956-2092-43D8-B0A3-7401D342E25F}"/>
            </a:ext>
          </a:extLst>
        </xdr:cNvPr>
        <xdr:cNvPicPr preferRelativeResize="0"/>
      </xdr:nvPicPr>
      <xdr:blipFill>
        <a:blip xmlns:r="http://schemas.openxmlformats.org/officeDocument/2006/relationships" r:embed="rId1" cstate="print"/>
        <a:stretch>
          <a:fillRect/>
        </a:stretch>
      </xdr:blipFill>
      <xdr:spPr>
        <a:xfrm>
          <a:off x="468630" y="23269575"/>
          <a:ext cx="638175" cy="0"/>
        </a:xfrm>
        <a:prstGeom prst="rect">
          <a:avLst/>
        </a:prstGeom>
        <a:noFill/>
      </xdr:spPr>
    </xdr:pic>
    <xdr:clientData fLocksWithSheet="0"/>
  </xdr:oneCellAnchor>
  <xdr:oneCellAnchor>
    <xdr:from>
      <xdr:col>0</xdr:col>
      <xdr:colOff>1657350</xdr:colOff>
      <xdr:row>35</xdr:row>
      <xdr:rowOff>0</xdr:rowOff>
    </xdr:from>
    <xdr:ext cx="638175" cy="0"/>
    <xdr:pic>
      <xdr:nvPicPr>
        <xdr:cNvPr id="19" name="image2.jpg" descr="D540VF-web.jpg">
          <a:extLst>
            <a:ext uri="{FF2B5EF4-FFF2-40B4-BE49-F238E27FC236}">
              <a16:creationId xmlns:a16="http://schemas.microsoft.com/office/drawing/2014/main" id="{11BA26D3-E290-4FA6-8202-EE0AD69241A7}"/>
            </a:ext>
          </a:extLst>
        </xdr:cNvPr>
        <xdr:cNvPicPr preferRelativeResize="0"/>
      </xdr:nvPicPr>
      <xdr:blipFill>
        <a:blip xmlns:r="http://schemas.openxmlformats.org/officeDocument/2006/relationships" r:embed="rId1" cstate="print"/>
        <a:stretch>
          <a:fillRect/>
        </a:stretch>
      </xdr:blipFill>
      <xdr:spPr>
        <a:xfrm>
          <a:off x="468630" y="23269575"/>
          <a:ext cx="638175" cy="0"/>
        </a:xfrm>
        <a:prstGeom prst="rect">
          <a:avLst/>
        </a:prstGeom>
        <a:noFill/>
      </xdr:spPr>
    </xdr:pic>
    <xdr:clientData fLocksWithSheet="0"/>
  </xdr:oneCellAnchor>
  <xdr:twoCellAnchor editAs="oneCell">
    <xdr:from>
      <xdr:col>0</xdr:col>
      <xdr:colOff>0</xdr:colOff>
      <xdr:row>0</xdr:row>
      <xdr:rowOff>0</xdr:rowOff>
    </xdr:from>
    <xdr:to>
      <xdr:col>0</xdr:col>
      <xdr:colOff>0</xdr:colOff>
      <xdr:row>0</xdr:row>
      <xdr:rowOff>0</xdr:rowOff>
    </xdr:to>
    <xdr:pic>
      <xdr:nvPicPr>
        <xdr:cNvPr id="4097" name="image2.jpg" descr="D540VF-web.jpg">
          <a:extLst>
            <a:ext uri="{FF2B5EF4-FFF2-40B4-BE49-F238E27FC236}">
              <a16:creationId xmlns:a16="http://schemas.microsoft.com/office/drawing/2014/main" id="{7C73F40A-398D-48D5-453B-4D87E299C371}"/>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4.xml><?xml version="1.0" encoding="utf-8"?>
<xdr:wsDr xmlns:xdr="http://schemas.openxmlformats.org/drawingml/2006/spreadsheetDrawing" xmlns:a="http://schemas.openxmlformats.org/drawingml/2006/main">
  <xdr:oneCellAnchor>
    <xdr:from>
      <xdr:col>0</xdr:col>
      <xdr:colOff>1657350</xdr:colOff>
      <xdr:row>31</xdr:row>
      <xdr:rowOff>0</xdr:rowOff>
    </xdr:from>
    <xdr:ext cx="638175" cy="0"/>
    <xdr:pic>
      <xdr:nvPicPr>
        <xdr:cNvPr id="2" name="image2.jpg" descr="D540VF-web.jpg">
          <a:extLst>
            <a:ext uri="{FF2B5EF4-FFF2-40B4-BE49-F238E27FC236}">
              <a16:creationId xmlns:a16="http://schemas.microsoft.com/office/drawing/2014/main" id="{DE0BF561-22CB-422B-B869-F2DCA3C23C59}"/>
            </a:ext>
          </a:extLst>
        </xdr:cNvPr>
        <xdr:cNvPicPr preferRelativeResize="0"/>
      </xdr:nvPicPr>
      <xdr:blipFill>
        <a:blip xmlns:r="http://schemas.openxmlformats.org/officeDocument/2006/relationships" r:embed="rId1" cstate="print"/>
        <a:stretch>
          <a:fillRect/>
        </a:stretch>
      </xdr:blipFill>
      <xdr:spPr>
        <a:xfrm>
          <a:off x="468630" y="23241000"/>
          <a:ext cx="638175" cy="0"/>
        </a:xfrm>
        <a:prstGeom prst="rect">
          <a:avLst/>
        </a:prstGeom>
        <a:noFill/>
      </xdr:spPr>
    </xdr:pic>
    <xdr:clientData fLocksWithSheet="0"/>
  </xdr:oneCellAnchor>
  <xdr:oneCellAnchor>
    <xdr:from>
      <xdr:col>0</xdr:col>
      <xdr:colOff>1657350</xdr:colOff>
      <xdr:row>31</xdr:row>
      <xdr:rowOff>0</xdr:rowOff>
    </xdr:from>
    <xdr:ext cx="638175" cy="0"/>
    <xdr:pic>
      <xdr:nvPicPr>
        <xdr:cNvPr id="3" name="image2.jpg" descr="D540VF-web.jpg">
          <a:extLst>
            <a:ext uri="{FF2B5EF4-FFF2-40B4-BE49-F238E27FC236}">
              <a16:creationId xmlns:a16="http://schemas.microsoft.com/office/drawing/2014/main" id="{7EC98E4E-766E-4930-90F6-56D9AA5D853D}"/>
            </a:ext>
          </a:extLst>
        </xdr:cNvPr>
        <xdr:cNvPicPr preferRelativeResize="0"/>
      </xdr:nvPicPr>
      <xdr:blipFill>
        <a:blip xmlns:r="http://schemas.openxmlformats.org/officeDocument/2006/relationships" r:embed="rId1" cstate="print"/>
        <a:stretch>
          <a:fillRect/>
        </a:stretch>
      </xdr:blipFill>
      <xdr:spPr>
        <a:xfrm>
          <a:off x="468630" y="23241000"/>
          <a:ext cx="638175" cy="0"/>
        </a:xfrm>
        <a:prstGeom prst="rect">
          <a:avLst/>
        </a:prstGeom>
        <a:noFill/>
      </xdr:spPr>
    </xdr:pic>
    <xdr:clientData fLocksWithSheet="0"/>
  </xdr:oneCellAnchor>
  <xdr:oneCellAnchor>
    <xdr:from>
      <xdr:col>0</xdr:col>
      <xdr:colOff>1809750</xdr:colOff>
      <xdr:row>31</xdr:row>
      <xdr:rowOff>0</xdr:rowOff>
    </xdr:from>
    <xdr:ext cx="609600" cy="0"/>
    <xdr:pic>
      <xdr:nvPicPr>
        <xdr:cNvPr id="4" name="image2.jpg" descr="D540VF-web.jpg">
          <a:extLst>
            <a:ext uri="{FF2B5EF4-FFF2-40B4-BE49-F238E27FC236}">
              <a16:creationId xmlns:a16="http://schemas.microsoft.com/office/drawing/2014/main" id="{F77651F0-A998-4539-BA1C-3B51E4C779BA}"/>
            </a:ext>
          </a:extLst>
        </xdr:cNvPr>
        <xdr:cNvPicPr preferRelativeResize="0"/>
      </xdr:nvPicPr>
      <xdr:blipFill>
        <a:blip xmlns:r="http://schemas.openxmlformats.org/officeDocument/2006/relationships" r:embed="rId1" cstate="print"/>
        <a:stretch>
          <a:fillRect/>
        </a:stretch>
      </xdr:blipFill>
      <xdr:spPr>
        <a:xfrm>
          <a:off x="468630" y="23241000"/>
          <a:ext cx="609600" cy="0"/>
        </a:xfrm>
        <a:prstGeom prst="rect">
          <a:avLst/>
        </a:prstGeom>
        <a:noFill/>
      </xdr:spPr>
    </xdr:pic>
    <xdr:clientData fLocksWithSheet="0"/>
  </xdr:oneCellAnchor>
  <xdr:oneCellAnchor>
    <xdr:from>
      <xdr:col>0</xdr:col>
      <xdr:colOff>1657350</xdr:colOff>
      <xdr:row>31</xdr:row>
      <xdr:rowOff>0</xdr:rowOff>
    </xdr:from>
    <xdr:ext cx="638175" cy="0"/>
    <xdr:pic>
      <xdr:nvPicPr>
        <xdr:cNvPr id="5" name="image2.jpg" descr="D540VF-web.jpg">
          <a:extLst>
            <a:ext uri="{FF2B5EF4-FFF2-40B4-BE49-F238E27FC236}">
              <a16:creationId xmlns:a16="http://schemas.microsoft.com/office/drawing/2014/main" id="{952A2DE2-2099-4D57-9A35-55017B120AED}"/>
            </a:ext>
          </a:extLst>
        </xdr:cNvPr>
        <xdr:cNvPicPr preferRelativeResize="0"/>
      </xdr:nvPicPr>
      <xdr:blipFill>
        <a:blip xmlns:r="http://schemas.openxmlformats.org/officeDocument/2006/relationships" r:embed="rId1" cstate="print"/>
        <a:stretch>
          <a:fillRect/>
        </a:stretch>
      </xdr:blipFill>
      <xdr:spPr>
        <a:xfrm>
          <a:off x="468630" y="23241000"/>
          <a:ext cx="638175" cy="0"/>
        </a:xfrm>
        <a:prstGeom prst="rect">
          <a:avLst/>
        </a:prstGeom>
        <a:noFill/>
      </xdr:spPr>
    </xdr:pic>
    <xdr:clientData fLocksWithSheet="0"/>
  </xdr:oneCellAnchor>
  <xdr:oneCellAnchor>
    <xdr:from>
      <xdr:col>0</xdr:col>
      <xdr:colOff>1657350</xdr:colOff>
      <xdr:row>31</xdr:row>
      <xdr:rowOff>0</xdr:rowOff>
    </xdr:from>
    <xdr:ext cx="638175" cy="0"/>
    <xdr:pic>
      <xdr:nvPicPr>
        <xdr:cNvPr id="6" name="image2.jpg" descr="D540VF-web.jpg">
          <a:extLst>
            <a:ext uri="{FF2B5EF4-FFF2-40B4-BE49-F238E27FC236}">
              <a16:creationId xmlns:a16="http://schemas.microsoft.com/office/drawing/2014/main" id="{BF3282B6-B6D4-49C0-A70B-E207B8FA547F}"/>
            </a:ext>
          </a:extLst>
        </xdr:cNvPr>
        <xdr:cNvPicPr preferRelativeResize="0"/>
      </xdr:nvPicPr>
      <xdr:blipFill>
        <a:blip xmlns:r="http://schemas.openxmlformats.org/officeDocument/2006/relationships" r:embed="rId1" cstate="print"/>
        <a:stretch>
          <a:fillRect/>
        </a:stretch>
      </xdr:blipFill>
      <xdr:spPr>
        <a:xfrm>
          <a:off x="468630" y="23241000"/>
          <a:ext cx="638175" cy="0"/>
        </a:xfrm>
        <a:prstGeom prst="rect">
          <a:avLst/>
        </a:prstGeom>
        <a:noFill/>
      </xdr:spPr>
    </xdr:pic>
    <xdr:clientData fLocksWithSheet="0"/>
  </xdr:oneCellAnchor>
  <xdr:oneCellAnchor>
    <xdr:from>
      <xdr:col>2</xdr:col>
      <xdr:colOff>0</xdr:colOff>
      <xdr:row>33</xdr:row>
      <xdr:rowOff>0</xdr:rowOff>
    </xdr:from>
    <xdr:ext cx="638175" cy="0"/>
    <xdr:pic>
      <xdr:nvPicPr>
        <xdr:cNvPr id="7" name="image2.jpg" descr="D540VF-web.jpg">
          <a:extLst>
            <a:ext uri="{FF2B5EF4-FFF2-40B4-BE49-F238E27FC236}">
              <a16:creationId xmlns:a16="http://schemas.microsoft.com/office/drawing/2014/main" id="{C76D317A-A077-4BDA-8DAD-0BA85E6B1F3B}"/>
            </a:ext>
          </a:extLst>
        </xdr:cNvPr>
        <xdr:cNvPicPr preferRelativeResize="0"/>
      </xdr:nvPicPr>
      <xdr:blipFill>
        <a:blip xmlns:r="http://schemas.openxmlformats.org/officeDocument/2006/relationships" r:embed="rId1" cstate="print"/>
        <a:stretch>
          <a:fillRect/>
        </a:stretch>
      </xdr:blipFill>
      <xdr:spPr>
        <a:xfrm>
          <a:off x="1120140" y="26890980"/>
          <a:ext cx="638175" cy="0"/>
        </a:xfrm>
        <a:prstGeom prst="rect">
          <a:avLst/>
        </a:prstGeom>
        <a:noFill/>
      </xdr:spPr>
    </xdr:pic>
    <xdr:clientData fLocksWithSheet="0"/>
  </xdr:oneCellAnchor>
  <xdr:oneCellAnchor>
    <xdr:from>
      <xdr:col>2</xdr:col>
      <xdr:colOff>0</xdr:colOff>
      <xdr:row>33</xdr:row>
      <xdr:rowOff>0</xdr:rowOff>
    </xdr:from>
    <xdr:ext cx="609600" cy="0"/>
    <xdr:pic>
      <xdr:nvPicPr>
        <xdr:cNvPr id="8" name="image2.jpg" descr="D540VF-web.jpg">
          <a:extLst>
            <a:ext uri="{FF2B5EF4-FFF2-40B4-BE49-F238E27FC236}">
              <a16:creationId xmlns:a16="http://schemas.microsoft.com/office/drawing/2014/main" id="{D5515980-FA76-4635-827A-80A332DC0907}"/>
            </a:ext>
          </a:extLst>
        </xdr:cNvPr>
        <xdr:cNvPicPr preferRelativeResize="0"/>
      </xdr:nvPicPr>
      <xdr:blipFill>
        <a:blip xmlns:r="http://schemas.openxmlformats.org/officeDocument/2006/relationships" r:embed="rId1" cstate="print"/>
        <a:stretch>
          <a:fillRect/>
        </a:stretch>
      </xdr:blipFill>
      <xdr:spPr>
        <a:xfrm>
          <a:off x="1120140" y="26890980"/>
          <a:ext cx="609600" cy="0"/>
        </a:xfrm>
        <a:prstGeom prst="rect">
          <a:avLst/>
        </a:prstGeom>
        <a:noFill/>
      </xdr:spPr>
    </xdr:pic>
    <xdr:clientData fLocksWithSheet="0"/>
  </xdr:oneCellAnchor>
  <xdr:oneCellAnchor>
    <xdr:from>
      <xdr:col>2</xdr:col>
      <xdr:colOff>0</xdr:colOff>
      <xdr:row>33</xdr:row>
      <xdr:rowOff>0</xdr:rowOff>
    </xdr:from>
    <xdr:ext cx="638175" cy="0"/>
    <xdr:pic>
      <xdr:nvPicPr>
        <xdr:cNvPr id="9" name="image2.jpg" descr="D540VF-web.jpg">
          <a:extLst>
            <a:ext uri="{FF2B5EF4-FFF2-40B4-BE49-F238E27FC236}">
              <a16:creationId xmlns:a16="http://schemas.microsoft.com/office/drawing/2014/main" id="{DF9DAD0D-5235-49FA-9638-8E5F52873E3B}"/>
            </a:ext>
          </a:extLst>
        </xdr:cNvPr>
        <xdr:cNvPicPr preferRelativeResize="0"/>
      </xdr:nvPicPr>
      <xdr:blipFill>
        <a:blip xmlns:r="http://schemas.openxmlformats.org/officeDocument/2006/relationships" r:embed="rId1" cstate="print"/>
        <a:stretch>
          <a:fillRect/>
        </a:stretch>
      </xdr:blipFill>
      <xdr:spPr>
        <a:xfrm>
          <a:off x="1120140" y="26890980"/>
          <a:ext cx="638175" cy="0"/>
        </a:xfrm>
        <a:prstGeom prst="rect">
          <a:avLst/>
        </a:prstGeom>
        <a:noFill/>
      </xdr:spPr>
    </xdr:pic>
    <xdr:clientData fLocksWithSheet="0"/>
  </xdr:oneCellAnchor>
  <xdr:oneCellAnchor>
    <xdr:from>
      <xdr:col>2</xdr:col>
      <xdr:colOff>0</xdr:colOff>
      <xdr:row>33</xdr:row>
      <xdr:rowOff>0</xdr:rowOff>
    </xdr:from>
    <xdr:ext cx="638175" cy="0"/>
    <xdr:pic>
      <xdr:nvPicPr>
        <xdr:cNvPr id="10" name="image2.jpg" descr="D540VF-web.jpg">
          <a:extLst>
            <a:ext uri="{FF2B5EF4-FFF2-40B4-BE49-F238E27FC236}">
              <a16:creationId xmlns:a16="http://schemas.microsoft.com/office/drawing/2014/main" id="{F193D983-7F7B-484D-915F-ED5D7AF780A7}"/>
            </a:ext>
          </a:extLst>
        </xdr:cNvPr>
        <xdr:cNvPicPr preferRelativeResize="0"/>
      </xdr:nvPicPr>
      <xdr:blipFill>
        <a:blip xmlns:r="http://schemas.openxmlformats.org/officeDocument/2006/relationships" r:embed="rId1" cstate="print"/>
        <a:stretch>
          <a:fillRect/>
        </a:stretch>
      </xdr:blipFill>
      <xdr:spPr>
        <a:xfrm>
          <a:off x="1120140" y="26890980"/>
          <a:ext cx="638175" cy="0"/>
        </a:xfrm>
        <a:prstGeom prst="rect">
          <a:avLst/>
        </a:prstGeom>
        <a:noFill/>
      </xdr:spPr>
    </xdr:pic>
    <xdr:clientData fLocksWithSheet="0"/>
  </xdr:oneCellAnchor>
  <xdr:oneCellAnchor>
    <xdr:from>
      <xdr:col>2</xdr:col>
      <xdr:colOff>0</xdr:colOff>
      <xdr:row>33</xdr:row>
      <xdr:rowOff>0</xdr:rowOff>
    </xdr:from>
    <xdr:ext cx="609600" cy="0"/>
    <xdr:pic>
      <xdr:nvPicPr>
        <xdr:cNvPr id="11" name="image2.jpg" descr="D540VF-web.jpg">
          <a:extLst>
            <a:ext uri="{FF2B5EF4-FFF2-40B4-BE49-F238E27FC236}">
              <a16:creationId xmlns:a16="http://schemas.microsoft.com/office/drawing/2014/main" id="{8E82B123-9F99-4523-836F-C573D88661B7}"/>
            </a:ext>
          </a:extLst>
        </xdr:cNvPr>
        <xdr:cNvPicPr preferRelativeResize="0"/>
      </xdr:nvPicPr>
      <xdr:blipFill>
        <a:blip xmlns:r="http://schemas.openxmlformats.org/officeDocument/2006/relationships" r:embed="rId1" cstate="print"/>
        <a:stretch>
          <a:fillRect/>
        </a:stretch>
      </xdr:blipFill>
      <xdr:spPr>
        <a:xfrm>
          <a:off x="1120140" y="26890980"/>
          <a:ext cx="609600" cy="0"/>
        </a:xfrm>
        <a:prstGeom prst="rect">
          <a:avLst/>
        </a:prstGeom>
        <a:noFill/>
      </xdr:spPr>
    </xdr:pic>
    <xdr:clientData fLocksWithSheet="0"/>
  </xdr:oneCellAnchor>
  <xdr:oneCellAnchor>
    <xdr:from>
      <xdr:col>2</xdr:col>
      <xdr:colOff>0</xdr:colOff>
      <xdr:row>33</xdr:row>
      <xdr:rowOff>0</xdr:rowOff>
    </xdr:from>
    <xdr:ext cx="638175" cy="0"/>
    <xdr:pic>
      <xdr:nvPicPr>
        <xdr:cNvPr id="12" name="image2.jpg" descr="D540VF-web.jpg">
          <a:extLst>
            <a:ext uri="{FF2B5EF4-FFF2-40B4-BE49-F238E27FC236}">
              <a16:creationId xmlns:a16="http://schemas.microsoft.com/office/drawing/2014/main" id="{2D1443A7-7678-454C-80EE-AD5DBCEE86DE}"/>
            </a:ext>
          </a:extLst>
        </xdr:cNvPr>
        <xdr:cNvPicPr preferRelativeResize="0"/>
      </xdr:nvPicPr>
      <xdr:blipFill>
        <a:blip xmlns:r="http://schemas.openxmlformats.org/officeDocument/2006/relationships" r:embed="rId1" cstate="print"/>
        <a:stretch>
          <a:fillRect/>
        </a:stretch>
      </xdr:blipFill>
      <xdr:spPr>
        <a:xfrm>
          <a:off x="1120140" y="26890980"/>
          <a:ext cx="638175" cy="0"/>
        </a:xfrm>
        <a:prstGeom prst="rect">
          <a:avLst/>
        </a:prstGeom>
        <a:noFill/>
      </xdr:spPr>
    </xdr:pic>
    <xdr:clientData fLocksWithSheet="0"/>
  </xdr:oneCellAnchor>
  <xdr:oneCellAnchor>
    <xdr:from>
      <xdr:col>2</xdr:col>
      <xdr:colOff>0</xdr:colOff>
      <xdr:row>33</xdr:row>
      <xdr:rowOff>0</xdr:rowOff>
    </xdr:from>
    <xdr:ext cx="638175" cy="0"/>
    <xdr:pic>
      <xdr:nvPicPr>
        <xdr:cNvPr id="13" name="image2.jpg" descr="D540VF-web.jpg">
          <a:extLst>
            <a:ext uri="{FF2B5EF4-FFF2-40B4-BE49-F238E27FC236}">
              <a16:creationId xmlns:a16="http://schemas.microsoft.com/office/drawing/2014/main" id="{15704B92-DE05-49CB-8FF4-25FC240E6A36}"/>
            </a:ext>
          </a:extLst>
        </xdr:cNvPr>
        <xdr:cNvPicPr preferRelativeResize="0"/>
      </xdr:nvPicPr>
      <xdr:blipFill>
        <a:blip xmlns:r="http://schemas.openxmlformats.org/officeDocument/2006/relationships" r:embed="rId1" cstate="print"/>
        <a:stretch>
          <a:fillRect/>
        </a:stretch>
      </xdr:blipFill>
      <xdr:spPr>
        <a:xfrm>
          <a:off x="1120140" y="26890980"/>
          <a:ext cx="638175" cy="0"/>
        </a:xfrm>
        <a:prstGeom prst="rect">
          <a:avLst/>
        </a:prstGeom>
        <a:noFill/>
      </xdr:spPr>
    </xdr:pic>
    <xdr:clientData fLocksWithSheet="0"/>
  </xdr:oneCellAnchor>
  <xdr:oneCellAnchor>
    <xdr:from>
      <xdr:col>2</xdr:col>
      <xdr:colOff>0</xdr:colOff>
      <xdr:row>33</xdr:row>
      <xdr:rowOff>0</xdr:rowOff>
    </xdr:from>
    <xdr:ext cx="609600" cy="0"/>
    <xdr:pic>
      <xdr:nvPicPr>
        <xdr:cNvPr id="14" name="image2.jpg" descr="D540VF-web.jpg">
          <a:extLst>
            <a:ext uri="{FF2B5EF4-FFF2-40B4-BE49-F238E27FC236}">
              <a16:creationId xmlns:a16="http://schemas.microsoft.com/office/drawing/2014/main" id="{11F08B6D-FC51-4ECC-B81D-B8B27D65DFF2}"/>
            </a:ext>
          </a:extLst>
        </xdr:cNvPr>
        <xdr:cNvPicPr preferRelativeResize="0"/>
      </xdr:nvPicPr>
      <xdr:blipFill>
        <a:blip xmlns:r="http://schemas.openxmlformats.org/officeDocument/2006/relationships" r:embed="rId1" cstate="print"/>
        <a:stretch>
          <a:fillRect/>
        </a:stretch>
      </xdr:blipFill>
      <xdr:spPr>
        <a:xfrm>
          <a:off x="1120140" y="26890980"/>
          <a:ext cx="609600" cy="0"/>
        </a:xfrm>
        <a:prstGeom prst="rect">
          <a:avLst/>
        </a:prstGeom>
        <a:noFill/>
      </xdr:spPr>
    </xdr:pic>
    <xdr:clientData fLocksWithSheet="0"/>
  </xdr:oneCellAnchor>
  <xdr:oneCellAnchor>
    <xdr:from>
      <xdr:col>0</xdr:col>
      <xdr:colOff>1657350</xdr:colOff>
      <xdr:row>5</xdr:row>
      <xdr:rowOff>0</xdr:rowOff>
    </xdr:from>
    <xdr:ext cx="638175" cy="0"/>
    <xdr:pic>
      <xdr:nvPicPr>
        <xdr:cNvPr id="15" name="image2.jpg" descr="D540VF-web.jpg">
          <a:extLst>
            <a:ext uri="{FF2B5EF4-FFF2-40B4-BE49-F238E27FC236}">
              <a16:creationId xmlns:a16="http://schemas.microsoft.com/office/drawing/2014/main" id="{C6BBBBDC-4AB0-4C51-BE88-E63119F29CA9}"/>
            </a:ext>
          </a:extLst>
        </xdr:cNvPr>
        <xdr:cNvPicPr preferRelativeResize="0"/>
      </xdr:nvPicPr>
      <xdr:blipFill>
        <a:blip xmlns:r="http://schemas.openxmlformats.org/officeDocument/2006/relationships" r:embed="rId1" cstate="print"/>
        <a:stretch>
          <a:fillRect/>
        </a:stretch>
      </xdr:blipFill>
      <xdr:spPr>
        <a:xfrm>
          <a:off x="468630" y="12085320"/>
          <a:ext cx="638175" cy="0"/>
        </a:xfrm>
        <a:prstGeom prst="rect">
          <a:avLst/>
        </a:prstGeom>
        <a:noFill/>
      </xdr:spPr>
    </xdr:pic>
    <xdr:clientData fLocksWithSheet="0"/>
  </xdr:oneCellAnchor>
  <xdr:oneCellAnchor>
    <xdr:from>
      <xdr:col>0</xdr:col>
      <xdr:colOff>1657350</xdr:colOff>
      <xdr:row>5</xdr:row>
      <xdr:rowOff>0</xdr:rowOff>
    </xdr:from>
    <xdr:ext cx="638175" cy="0"/>
    <xdr:pic>
      <xdr:nvPicPr>
        <xdr:cNvPr id="16" name="image2.jpg" descr="D540VF-web.jpg">
          <a:extLst>
            <a:ext uri="{FF2B5EF4-FFF2-40B4-BE49-F238E27FC236}">
              <a16:creationId xmlns:a16="http://schemas.microsoft.com/office/drawing/2014/main" id="{C389E206-EFAC-4566-91CB-2C2F6D8C9B9A}"/>
            </a:ext>
          </a:extLst>
        </xdr:cNvPr>
        <xdr:cNvPicPr preferRelativeResize="0"/>
      </xdr:nvPicPr>
      <xdr:blipFill>
        <a:blip xmlns:r="http://schemas.openxmlformats.org/officeDocument/2006/relationships" r:embed="rId1" cstate="print"/>
        <a:stretch>
          <a:fillRect/>
        </a:stretch>
      </xdr:blipFill>
      <xdr:spPr>
        <a:xfrm>
          <a:off x="468630" y="12085320"/>
          <a:ext cx="638175" cy="0"/>
        </a:xfrm>
        <a:prstGeom prst="rect">
          <a:avLst/>
        </a:prstGeom>
        <a:noFill/>
      </xdr:spPr>
    </xdr:pic>
    <xdr:clientData fLocksWithSheet="0"/>
  </xdr:oneCellAnchor>
  <xdr:oneCellAnchor>
    <xdr:from>
      <xdr:col>0</xdr:col>
      <xdr:colOff>1809750</xdr:colOff>
      <xdr:row>5</xdr:row>
      <xdr:rowOff>0</xdr:rowOff>
    </xdr:from>
    <xdr:ext cx="609600" cy="0"/>
    <xdr:pic>
      <xdr:nvPicPr>
        <xdr:cNvPr id="17" name="image2.jpg" descr="D540VF-web.jpg">
          <a:extLst>
            <a:ext uri="{FF2B5EF4-FFF2-40B4-BE49-F238E27FC236}">
              <a16:creationId xmlns:a16="http://schemas.microsoft.com/office/drawing/2014/main" id="{659125F1-09F1-4FBC-85D7-5EA23C4BC0FA}"/>
            </a:ext>
          </a:extLst>
        </xdr:cNvPr>
        <xdr:cNvPicPr preferRelativeResize="0"/>
      </xdr:nvPicPr>
      <xdr:blipFill>
        <a:blip xmlns:r="http://schemas.openxmlformats.org/officeDocument/2006/relationships" r:embed="rId1" cstate="print"/>
        <a:stretch>
          <a:fillRect/>
        </a:stretch>
      </xdr:blipFill>
      <xdr:spPr>
        <a:xfrm>
          <a:off x="468630" y="12085320"/>
          <a:ext cx="609600" cy="0"/>
        </a:xfrm>
        <a:prstGeom prst="rect">
          <a:avLst/>
        </a:prstGeom>
        <a:noFill/>
      </xdr:spPr>
    </xdr:pic>
    <xdr:clientData fLocksWithSheet="0"/>
  </xdr:oneCellAnchor>
  <xdr:oneCellAnchor>
    <xdr:from>
      <xdr:col>0</xdr:col>
      <xdr:colOff>1657350</xdr:colOff>
      <xdr:row>5</xdr:row>
      <xdr:rowOff>0</xdr:rowOff>
    </xdr:from>
    <xdr:ext cx="638175" cy="0"/>
    <xdr:pic>
      <xdr:nvPicPr>
        <xdr:cNvPr id="18" name="image2.jpg" descr="D540VF-web.jpg">
          <a:extLst>
            <a:ext uri="{FF2B5EF4-FFF2-40B4-BE49-F238E27FC236}">
              <a16:creationId xmlns:a16="http://schemas.microsoft.com/office/drawing/2014/main" id="{098AE5D6-E3F2-4DB8-9443-19D462D4DDD2}"/>
            </a:ext>
          </a:extLst>
        </xdr:cNvPr>
        <xdr:cNvPicPr preferRelativeResize="0"/>
      </xdr:nvPicPr>
      <xdr:blipFill>
        <a:blip xmlns:r="http://schemas.openxmlformats.org/officeDocument/2006/relationships" r:embed="rId1" cstate="print"/>
        <a:stretch>
          <a:fillRect/>
        </a:stretch>
      </xdr:blipFill>
      <xdr:spPr>
        <a:xfrm>
          <a:off x="468630" y="12085320"/>
          <a:ext cx="638175" cy="0"/>
        </a:xfrm>
        <a:prstGeom prst="rect">
          <a:avLst/>
        </a:prstGeom>
        <a:noFill/>
      </xdr:spPr>
    </xdr:pic>
    <xdr:clientData fLocksWithSheet="0"/>
  </xdr:oneCellAnchor>
  <xdr:oneCellAnchor>
    <xdr:from>
      <xdr:col>0</xdr:col>
      <xdr:colOff>1657350</xdr:colOff>
      <xdr:row>5</xdr:row>
      <xdr:rowOff>0</xdr:rowOff>
    </xdr:from>
    <xdr:ext cx="638175" cy="0"/>
    <xdr:pic>
      <xdr:nvPicPr>
        <xdr:cNvPr id="19" name="image2.jpg" descr="D540VF-web.jpg">
          <a:extLst>
            <a:ext uri="{FF2B5EF4-FFF2-40B4-BE49-F238E27FC236}">
              <a16:creationId xmlns:a16="http://schemas.microsoft.com/office/drawing/2014/main" id="{A9EDDAA5-2815-4D7C-A987-E99D1042DD9E}"/>
            </a:ext>
          </a:extLst>
        </xdr:cNvPr>
        <xdr:cNvPicPr preferRelativeResize="0"/>
      </xdr:nvPicPr>
      <xdr:blipFill>
        <a:blip xmlns:r="http://schemas.openxmlformats.org/officeDocument/2006/relationships" r:embed="rId1" cstate="print"/>
        <a:stretch>
          <a:fillRect/>
        </a:stretch>
      </xdr:blipFill>
      <xdr:spPr>
        <a:xfrm>
          <a:off x="468630" y="12085320"/>
          <a:ext cx="638175" cy="0"/>
        </a:xfrm>
        <a:prstGeom prst="rect">
          <a:avLst/>
        </a:prstGeom>
        <a:noFill/>
      </xdr:spPr>
    </xdr:pic>
    <xdr:clientData fLocksWithSheet="0"/>
  </xdr:oneCellAnchor>
  <xdr:twoCellAnchor editAs="oneCell">
    <xdr:from>
      <xdr:col>0</xdr:col>
      <xdr:colOff>257175</xdr:colOff>
      <xdr:row>30</xdr:row>
      <xdr:rowOff>85725</xdr:rowOff>
    </xdr:from>
    <xdr:to>
      <xdr:col>2</xdr:col>
      <xdr:colOff>1838325</xdr:colOff>
      <xdr:row>42</xdr:row>
      <xdr:rowOff>175440</xdr:rowOff>
    </xdr:to>
    <xdr:pic>
      <xdr:nvPicPr>
        <xdr:cNvPr id="20" name="Imagen 19">
          <a:extLst>
            <a:ext uri="{FF2B5EF4-FFF2-40B4-BE49-F238E27FC236}">
              <a16:creationId xmlns:a16="http://schemas.microsoft.com/office/drawing/2014/main" id="{E3928DB1-CE54-4CEB-AA12-42C307755663}"/>
            </a:ext>
          </a:extLst>
        </xdr:cNvPr>
        <xdr:cNvPicPr>
          <a:picLocks noChangeAspect="1"/>
        </xdr:cNvPicPr>
      </xdr:nvPicPr>
      <xdr:blipFill>
        <a:blip xmlns:r="http://schemas.openxmlformats.org/officeDocument/2006/relationships" r:embed="rId2"/>
        <a:stretch>
          <a:fillRect/>
        </a:stretch>
      </xdr:blipFill>
      <xdr:spPr>
        <a:xfrm>
          <a:off x="257175" y="6629400"/>
          <a:ext cx="2819400" cy="27090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500549</xdr:colOff>
      <xdr:row>54</xdr:row>
      <xdr:rowOff>85384</xdr:rowOff>
    </xdr:from>
    <xdr:to>
      <xdr:col>14</xdr:col>
      <xdr:colOff>1245209</xdr:colOff>
      <xdr:row>82</xdr:row>
      <xdr:rowOff>154379</xdr:rowOff>
    </xdr:to>
    <xdr:pic>
      <xdr:nvPicPr>
        <xdr:cNvPr id="2" name="Imagen 1">
          <a:extLst>
            <a:ext uri="{FF2B5EF4-FFF2-40B4-BE49-F238E27FC236}">
              <a16:creationId xmlns:a16="http://schemas.microsoft.com/office/drawing/2014/main" id="{E5B50564-D3B1-4A3B-9B5E-C640CCF49D96}"/>
            </a:ext>
          </a:extLst>
        </xdr:cNvPr>
        <xdr:cNvPicPr>
          <a:picLocks noChangeAspect="1"/>
        </xdr:cNvPicPr>
      </xdr:nvPicPr>
      <xdr:blipFill>
        <a:blip xmlns:r="http://schemas.openxmlformats.org/officeDocument/2006/relationships" r:embed="rId1"/>
        <a:stretch>
          <a:fillRect/>
        </a:stretch>
      </xdr:blipFill>
      <xdr:spPr>
        <a:xfrm>
          <a:off x="11580228" y="10440667"/>
          <a:ext cx="7939594" cy="5389141"/>
        </a:xfrm>
        <a:prstGeom prst="rect">
          <a:avLst/>
        </a:prstGeom>
      </xdr:spPr>
    </xdr:pic>
    <xdr:clientData/>
  </xdr:twoCellAnchor>
  <xdr:twoCellAnchor editAs="oneCell">
    <xdr:from>
      <xdr:col>0</xdr:col>
      <xdr:colOff>41564</xdr:colOff>
      <xdr:row>615</xdr:row>
      <xdr:rowOff>103909</xdr:rowOff>
    </xdr:from>
    <xdr:to>
      <xdr:col>2</xdr:col>
      <xdr:colOff>1108364</xdr:colOff>
      <xdr:row>628</xdr:row>
      <xdr:rowOff>184099</xdr:rowOff>
    </xdr:to>
    <xdr:pic>
      <xdr:nvPicPr>
        <xdr:cNvPr id="3" name="Imagen 2">
          <a:extLst>
            <a:ext uri="{FF2B5EF4-FFF2-40B4-BE49-F238E27FC236}">
              <a16:creationId xmlns:a16="http://schemas.microsoft.com/office/drawing/2014/main" id="{A179D17A-F8C5-464C-ADAD-D47632972179}"/>
            </a:ext>
          </a:extLst>
        </xdr:cNvPr>
        <xdr:cNvPicPr>
          <a:picLocks noChangeAspect="1"/>
        </xdr:cNvPicPr>
      </xdr:nvPicPr>
      <xdr:blipFill>
        <a:blip xmlns:r="http://schemas.openxmlformats.org/officeDocument/2006/relationships" r:embed="rId2"/>
        <a:stretch>
          <a:fillRect/>
        </a:stretch>
      </xdr:blipFill>
      <xdr:spPr>
        <a:xfrm>
          <a:off x="41564" y="119474672"/>
          <a:ext cx="2549237" cy="271255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52</xdr:row>
      <xdr:rowOff>64460</xdr:rowOff>
    </xdr:from>
    <xdr:to>
      <xdr:col>2</xdr:col>
      <xdr:colOff>1608666</xdr:colOff>
      <xdr:row>61</xdr:row>
      <xdr:rowOff>143690</xdr:rowOff>
    </xdr:to>
    <xdr:pic>
      <xdr:nvPicPr>
        <xdr:cNvPr id="2" name="Imagen 1">
          <a:extLst>
            <a:ext uri="{FF2B5EF4-FFF2-40B4-BE49-F238E27FC236}">
              <a16:creationId xmlns:a16="http://schemas.microsoft.com/office/drawing/2014/main" id="{727380AC-4BDC-4122-9FE4-8F919B8B4595}"/>
            </a:ext>
          </a:extLst>
        </xdr:cNvPr>
        <xdr:cNvPicPr>
          <a:picLocks noChangeAspect="1"/>
        </xdr:cNvPicPr>
      </xdr:nvPicPr>
      <xdr:blipFill>
        <a:blip xmlns:r="http://schemas.openxmlformats.org/officeDocument/2006/relationships" r:embed="rId1"/>
        <a:stretch>
          <a:fillRect/>
        </a:stretch>
      </xdr:blipFill>
      <xdr:spPr>
        <a:xfrm>
          <a:off x="0" y="9691060"/>
          <a:ext cx="2302933" cy="221283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16934</xdr:colOff>
      <xdr:row>36</xdr:row>
      <xdr:rowOff>93133</xdr:rowOff>
    </xdr:from>
    <xdr:to>
      <xdr:col>1</xdr:col>
      <xdr:colOff>2116667</xdr:colOff>
      <xdr:row>48</xdr:row>
      <xdr:rowOff>146963</xdr:rowOff>
    </xdr:to>
    <xdr:pic>
      <xdr:nvPicPr>
        <xdr:cNvPr id="2" name="Imagen 1">
          <a:extLst>
            <a:ext uri="{FF2B5EF4-FFF2-40B4-BE49-F238E27FC236}">
              <a16:creationId xmlns:a16="http://schemas.microsoft.com/office/drawing/2014/main" id="{4E06506A-7EC6-44DF-A1B8-CD4BEDE0F6CC}"/>
            </a:ext>
          </a:extLst>
        </xdr:cNvPr>
        <xdr:cNvPicPr>
          <a:picLocks noChangeAspect="1"/>
        </xdr:cNvPicPr>
      </xdr:nvPicPr>
      <xdr:blipFill>
        <a:blip xmlns:r="http://schemas.openxmlformats.org/officeDocument/2006/relationships" r:embed="rId1"/>
        <a:stretch>
          <a:fillRect/>
        </a:stretch>
      </xdr:blipFill>
      <xdr:spPr>
        <a:xfrm>
          <a:off x="16934" y="8111066"/>
          <a:ext cx="2302933" cy="221283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justicia13/Downloads/Users/vias1/Downloads/claudia/APU%20PLANEACION%20MUNICIPAL%20NEIVA/ing.%20CLAUDIA/PRESUPUESTO%20ANDEN%20CARRERA%204%20ENTRE%20CALLE%2021%20Y%20AV%20LA%20TOMA.xls" TargetMode="External"/><Relationship Id="rId1" Type="http://schemas.openxmlformats.org/officeDocument/2006/relationships/externalLinkPath" Target="/Users/justicia13/Downloads/Users/vias1/Downloads/claudia/APU%20PLANEACION%20MUNICIPAL%20NEIVA/ing.%20CLAUDIA/PRESUPUESTO%20ANDEN%20CARRERA%204%20ENTRE%20CALLE%2021%20Y%20AV%20LA%20TOM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justicia13/Downloads/claudia/APU%20PLANEACION%20MUNICIPAL%20NEIVA/ing.%20CLAUDIA/Presupuesto%20%20+%20APU%20GRANJAS.xls" TargetMode="External"/><Relationship Id="rId1" Type="http://schemas.openxmlformats.org/officeDocument/2006/relationships/externalLinkPath" Target="/Users/justicia13/Downloads/claudia/APU%20PLANEACION%20MUNICIPAL%20NEIVA/ing.%20CLAUDIA/Presupuesto%20%20+%20APU%20GRANJA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justicia13/Downloads/claudia/APU%20PLANEACION%20MUNICIPAL%20NEIVA/PRESUPUESTO%20ANDEN%20CARRERA%204%20ENTRE%20CALLE%2021%20Y%20AV%20LA%20TOMA.xls" TargetMode="External"/><Relationship Id="rId1" Type="http://schemas.openxmlformats.org/officeDocument/2006/relationships/externalLinkPath" Target="/Users/justicia13/Downloads/claudia/APU%20PLANEACION%20MUNICIPAL%20NEIVA/PRESUPUESTO%20ANDEN%20CARRERA%204%20ENTRE%20CALLE%2021%20Y%20AV%20LA%20TOMA.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justicia13/Downloads/DOCUMENTACION%20ALCALDIA%20NEIVA%202011/AULA%20MULTI%20PERSONERIA%2017-ENE-2011/Presupuesto%20Auditorio%20Personeria.xls" TargetMode="External"/><Relationship Id="rId1" Type="http://schemas.openxmlformats.org/officeDocument/2006/relationships/externalLinkPath" Target="/Users/justicia13/Downloads/DOCUMENTACION%20ALCALDIA%20NEIVA%202011/AULA%20MULTI%20PERSONERIA%2017-ENE-2011/Presupuesto%20Auditorio%20Personeria.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justicia13/Downloads/Users/vias1/Downloads/Users/Usuario/Dropbox/DOCUMENTOS/JOHAN/NEIVA/PROYECTOS/PARQUE%20LIZBURG/PRESUPUESTO%20PARQUE%20LIZBURT%20-%20JOHAN.xls" TargetMode="External"/><Relationship Id="rId1" Type="http://schemas.openxmlformats.org/officeDocument/2006/relationships/externalLinkPath" Target="/Users/justicia13/Downloads/Users/vias1/Downloads/Users/Usuario/Dropbox/DOCUMENTOS/JOHAN/NEIVA/PROYECTOS/PARQUE%20LIZBURG/PRESUPUESTO%20PARQUE%20LIZBURT%20-%20JOHAN.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PP/PROGRAMACION%20DE%20OBRAS.xls" TargetMode="External"/><Relationship Id="rId1" Type="http://schemas.openxmlformats.org/officeDocument/2006/relationships/externalLinkPath" Target="/FIPP/PROGRAMACION%20DE%20OBRAS.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Users/user/Downloads/VILLA%20TAKOA/Presupuesto/APUS%20VILLA%20TAKOA.xls" TargetMode="External"/><Relationship Id="rId1" Type="http://schemas.openxmlformats.org/officeDocument/2006/relationships/externalLinkPath" Target="/Users/user/Downloads/VILLA%20TAKOA/Presupuesto/APUS%20VILLA%20TAKO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JOHAN/Documents/Documents/DOCUMENTOS%20JOHAN/DISE&#209;OS%20TELLO%20-%20AULAS/PRES.%20RESTAURANTE%20C30-%20MAYO%206%20DE%202010.xls" TargetMode="External"/><Relationship Id="rId1" Type="http://schemas.openxmlformats.org/officeDocument/2006/relationships/externalLinkPath" Target="/JOHAN/Documents/Documents/DOCUMENTOS%20JOHAN/DISE&#209;OS%20TELLO%20-%20AULAS/PRES.%20RESTAURANTE%20C30-%20MAYO%206%20DE%202010.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justicia13/Downloads/Users/Usuario/Dropbox/DOCUMENTOS/JOHAN/NEIVA/PROYECTOS/PARQUE%20LIZBURG/PRESUPUESTO%20PARQUE%20LIZBURT%20-%20JOHAN.xls" TargetMode="External"/><Relationship Id="rId1" Type="http://schemas.openxmlformats.org/officeDocument/2006/relationships/externalLinkPath" Target="/Users/justicia13/Downloads/Users/Usuario/Dropbox/DOCUMENTOS/JOHAN/NEIVA/PROYECTOS/PARQUE%20LIZBURG/PRESUPUESTO%20PARQUE%20LIZBURT%20-%20JOHAN.xls" TargetMode="External"/></Relationships>
</file>

<file path=xl/externalLinks/_rels/externalLink12.xml.rels><?xml version="1.0" encoding="UTF-8" standalone="yes"?>
<Relationships xmlns="http://schemas.openxmlformats.org/package/2006/relationships"><Relationship Id="rId3" Type="http://schemas.openxmlformats.org/officeDocument/2006/relationships/externalLinkPath" Target="https://d.docs.live.net/16b48fcb479b9829/8.%20SDR%20-%20ALCALDIA%20DE%20NEIVA/14.%20PROYECTOS_2026/1.%20ESTADIO%20GPA/1.%20DEMOLICION%20TRIBUNA%20OCCIDENTAL%20GPA/ANEXO%202A%20OCCIDENTE%20A3%20Formato%20presupuesto%20demolici&#243;n%20Metodo%20implosi&#243;n%20GPA.xlsx" TargetMode="External"/><Relationship Id="rId2" Type="http://schemas.microsoft.com/office/2019/04/relationships/externalLinkLongPath" Target="https://d.docs.live.net/16b48fcb479b9829/8.%20SDR%20-%20ALCALDIA%20DE%20NEIVA/14.%20PROYECTOS_2026/1.%20ESTADIO%20GPA/1.%20DEMOLICION%20TRIBUNA%20OCCIDENTAL%20GPA/1.%20ESTUDIO%20PREVIO/ANEXO%202A%20OCCIDENTE%20A3%20Formato%20presupuesto%20demolici&#243;n%20Metodo%20implosi&#243;n%20GPA.xlsx?F4E9AAD9" TargetMode="External"/><Relationship Id="rId1" Type="http://schemas.openxmlformats.org/officeDocument/2006/relationships/externalLinkPath" Target="file:///\\F4E9AAD9\ANEXO%202A%20OCCIDENTE%20A3%20Formato%20presupuesto%20demolici&#243;n%20Metodo%20implosi&#243;n%20GPA.xlsx"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https://d.docs.live.net/16b48fcb479b9829/8.%20SDR%20-%20ALCALDIA%20DE%20NEIVA/14.%20PROYECTOS_2026/1.%20ESTADIO%20GPA/1.%20DEMOLICION%20TRIBUNA%20OCCIDENTAL%20GPA/PPTO%20FORMULARIO%201_DEMOLICION_OCC.xlsx" TargetMode="External"/><Relationship Id="rId1" Type="http://schemas.openxmlformats.org/officeDocument/2006/relationships/externalLinkPath" Target="https://d.docs.live.net/16b48fcb479b9829/8.%20SDR%20-%20ALCALDIA%20DE%20NEIVA/14.%20PROYECTOS_2026/1.%20ESTADIO%20GPA/1.%20DEMOLICION%20TRIBUNA%20OCCIDENTAL%20GPA/PPTO%20FORMULARIO%201_DEMOLICION_OCC.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C:\Users\USUARIO\Downloads\PRESUPUESTO%20IMPLOSI&#211;N%20Y%20DEMOLICION%20OCC%20(VF_2).xlsx" TargetMode="External"/><Relationship Id="rId1" Type="http://schemas.openxmlformats.org/officeDocument/2006/relationships/externalLinkPath" Target="file:///C:\Users\USUARIO\Downloads\PRESUPUESTO%20IMPLOSI&#211;N%20Y%20DEMOLICION%20OCC%20(VF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cell r="J62">
            <v>20000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280000 Crude"/>
      <sheetName val="PRESUPUESTO"/>
      <sheetName val="BD"/>
      <sheetName val="CANTIDADES DE OBRA"/>
      <sheetName val="PVC_BOC_4&quot;_"/>
      <sheetName val="PTE_IMP_Y_ESMALT"/>
      <sheetName val="CTO_BOCA_300_PSI"/>
      <sheetName val="CTO_CICLOP_"/>
      <sheetName val="AC_3_D_8&quot;"/>
      <sheetName val="AC_1_D_2"/>
      <sheetName val="AC_5_D_8"/>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280000_Crude"/>
      <sheetName val="CANTIDADES_DE_OBRA"/>
      <sheetName val="PVC_BOC_4&quot;_1"/>
      <sheetName val="PTE_IMP_Y_ESMALT1"/>
      <sheetName val="CTO_BOCA_300_PSI1"/>
      <sheetName val="CTO_CICLOP_1"/>
      <sheetName val="AC_3_D_8&quot;1"/>
      <sheetName val="AC_1_D_21"/>
      <sheetName val="AC_5_D_8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280000_Crude1"/>
      <sheetName val="CANTIDADES_DE_OBRA1"/>
      <sheetName val="PVC_BOC_4&quot;_2"/>
      <sheetName val="PTE_IMP_Y_ESMALT2"/>
      <sheetName val="CTO_BOCA_300_PSI2"/>
      <sheetName val="CTO_CICLOP_2"/>
      <sheetName val="AC_3_D_8&quot;2"/>
      <sheetName val="AC_1_D_22"/>
      <sheetName val="AC_5_D_8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280000_Crude2"/>
      <sheetName val="CANTIDADES_DE_OBRA2"/>
      <sheetName val="PVC_BOC_4&quot;_4"/>
      <sheetName val="PTE_IMP_Y_ESMALT4"/>
      <sheetName val="CTO_BOCA_300_PSI4"/>
      <sheetName val="CTO_CICLOP_4"/>
      <sheetName val="AC_3_D_8&quot;4"/>
      <sheetName val="AC_1_D_24"/>
      <sheetName val="AC_5_D_8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280000_Crude4"/>
      <sheetName val="CANTIDADES_DE_OBRA4"/>
      <sheetName val="PVC_BOC_4&quot;_3"/>
      <sheetName val="PTE_IMP_Y_ESMALT3"/>
      <sheetName val="CTO_BOCA_300_PSI3"/>
      <sheetName val="CTO_CICLOP_3"/>
      <sheetName val="AC_3_D_8&quot;3"/>
      <sheetName val="AC_1_D_23"/>
      <sheetName val="AC_5_D_8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280000_Crude3"/>
      <sheetName val="CANTIDADES_DE_OBRA3"/>
      <sheetName val="CONTENIDO GENERAL"/>
      <sheetName val="A.P.U."/>
      <sheetName val="ANALISIS BASICOS"/>
      <sheetName val="$MATERIALES"/>
      <sheetName val="EQUIPO"/>
      <sheetName val="PERSONAL"/>
      <sheetName val="C"/>
      <sheetName val="5.2"/>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16">
          <cell r="B16" t="str">
            <v>NOMBRE DEL PROYECTO</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 val="L_PRECIOS"/>
      <sheetName val="MOR_1-5"/>
      <sheetName val="ACERO0_A-37"/>
      <sheetName val="ACERO_PDR-60"/>
      <sheetName val="REPLANTEO_Y_TRAZADO"/>
      <sheetName val="EXCAV__REDES"/>
      <sheetName val="EXCAV_CIMIENTO"/>
      <sheetName val="RELLENO__RECEBO_COMPAC"/>
      <sheetName val="ALISTADO_DE_PISO_e=_0,04"/>
      <sheetName val="VIGA_CIMENTA,15_x_20"/>
      <sheetName val="VIGA_AEREA_(0,15x_20)_"/>
      <sheetName val="COL(,15X_20)"/>
      <sheetName val="VIGA_CINTA_DE_AMARRE"/>
      <sheetName val="MAMPOSTERIA__TOLETE"/>
      <sheetName val="MAMPOSTERIA_BLOQUE_N°5"/>
      <sheetName val="CUBIE_ASBESTO_CEMEN_TEJ_N°6_"/>
      <sheetName val="CUBIE_ASBESTO_CEMEN_TEJ_N°8"/>
      <sheetName val="PAÑETE_LISO"/>
      <sheetName val="PLACA_DE_CONTRAPISO_e=0,06"/>
      <sheetName val="PLACA_TANQUE_e=0,10"/>
      <sheetName val="INST_MARCOS"/>
      <sheetName val="INSTAL__VENTANA_"/>
      <sheetName val="INSTAL__PUERTAS"/>
      <sheetName val="ENCNAPE_COCINA"/>
      <sheetName val="ENCHAPE_BAÑO_PISO"/>
      <sheetName val="ENCHAPE_BAÑO_PARED"/>
      <sheetName val="PISO_CERAMICA"/>
      <sheetName val="INST__VIDRIOS"/>
      <sheetName val="ESTUCO_Y_PINTURA_TIPO1"/>
      <sheetName val="VINILO_S-PAÑETE_2_MANOS"/>
      <sheetName val="LADRIL_A_LA_VISTA"/>
      <sheetName val="INST__Y_SUMINISTRO_BAÑO"/>
      <sheetName val="INST__TANQUE"/>
      <sheetName val="ASEO_GENERAL"/>
      <sheetName val="PUNTO_SANITARIO_3&quot;"/>
      <sheetName val="PUNTO_SANIT2&quot;"/>
      <sheetName val="PUNTO_SANIT_4&quot;"/>
      <sheetName val="PUNTO_SANITN_6&quot;"/>
      <sheetName val="RED_HIDRAULICA"/>
      <sheetName val="TUBERIA_GRES_4&quot;"/>
      <sheetName val="CINSPEC_7x_7"/>
      <sheetName val="LAMPARA_TOMECON"/>
      <sheetName val="POLO_TIERRA"/>
      <sheetName val="TABLER_PARCIAL4CIRC"/>
      <sheetName val="RED_ELECTRICA"/>
      <sheetName val="LAVADERO_PREFABRICADO"/>
      <sheetName val="EXPLAN_Y_COMP_VIA"/>
      <sheetName val="BASE_RECEBO"/>
      <sheetName val="SUB_BASE"/>
      <sheetName val="EXCAVACION_BORDILLO"/>
      <sheetName val="INSTL_BORDILLO_PREFABRICADO"/>
      <sheetName val="ESTADO_VÍA-CRIT_TECNICO"/>
      <sheetName val="L_PRECIOS1"/>
      <sheetName val="MOR_1-51"/>
      <sheetName val="ACERO0_A-371"/>
      <sheetName val="ACERO_PDR-601"/>
      <sheetName val="REPLANTEO_Y_TRAZADO1"/>
      <sheetName val="EXCAV__REDES1"/>
      <sheetName val="EXCAV_CIMIENTO1"/>
      <sheetName val="RELLENO__RECEBO_COMPAC1"/>
      <sheetName val="ALISTADO_DE_PISO_e=_0,041"/>
      <sheetName val="VIGA_CIMENTA,15_x_201"/>
      <sheetName val="VIGA_AEREA_(0,15x_20)_1"/>
      <sheetName val="COL(,15X_20)1"/>
      <sheetName val="VIGA_CINTA_DE_AMARRE1"/>
      <sheetName val="MAMPOSTERIA__TOLETE1"/>
      <sheetName val="MAMPOSTERIA_BLOQUE_N°51"/>
      <sheetName val="CUBIE_ASBESTO_CEMEN_TEJ_N°6_1"/>
      <sheetName val="CUBIE_ASBESTO_CEMEN_TEJ_N°81"/>
      <sheetName val="PAÑETE_LISO1"/>
      <sheetName val="PLACA_DE_CONTRAPISO_e=0,061"/>
      <sheetName val="PLACA_TANQUE_e=0,101"/>
      <sheetName val="INST_MARCOS1"/>
      <sheetName val="INSTAL__VENTANA_1"/>
      <sheetName val="INSTAL__PUERTAS1"/>
      <sheetName val="ENCNAPE_COCINA1"/>
      <sheetName val="ENCHAPE_BAÑO_PISO1"/>
      <sheetName val="ENCHAPE_BAÑO_PARED1"/>
      <sheetName val="PISO_CERAMICA1"/>
      <sheetName val="INST__VIDRIOS1"/>
      <sheetName val="ESTUCO_Y_PINTURA_TIPO11"/>
      <sheetName val="VINILO_S-PAÑETE_2_MANOS1"/>
      <sheetName val="LADRIL_A_LA_VISTA1"/>
      <sheetName val="INST__Y_SUMINISTRO_BAÑO1"/>
      <sheetName val="INST__TANQUE1"/>
      <sheetName val="ASEO_GENERAL1"/>
      <sheetName val="PUNTO_SANITARIO_3&quot;1"/>
      <sheetName val="PUNTO_SANIT2&quot;1"/>
      <sheetName val="PUNTO_SANIT_4&quot;1"/>
      <sheetName val="PUNTO_SANITN_6&quot;1"/>
      <sheetName val="RED_HIDRAULICA1"/>
      <sheetName val="TUBERIA_GRES_4&quot;1"/>
      <sheetName val="CINSPEC_7x_71"/>
      <sheetName val="LAMPARA_TOMECON1"/>
      <sheetName val="POLO_TIERRA1"/>
      <sheetName val="TABLER_PARCIAL4CIRC1"/>
      <sheetName val="RED_ELECTRICA1"/>
      <sheetName val="LAVADERO_PREFABRICADO1"/>
      <sheetName val="EXPLAN_Y_COMP_VIA1"/>
      <sheetName val="BASE_RECEBO1"/>
      <sheetName val="SUB_BASE1"/>
      <sheetName val="EXCAVACION_BORDILLO1"/>
      <sheetName val="INSTL_BORDILLO_PREFABRICADO1"/>
      <sheetName val="ESTADO_VÍA-CRIT_TECNICO1"/>
      <sheetName val="L_PRECIOS2"/>
      <sheetName val="MOR_1-52"/>
      <sheetName val="ACERO0_A-372"/>
      <sheetName val="ACERO_PDR-602"/>
      <sheetName val="REPLANTEO_Y_TRAZADO2"/>
      <sheetName val="EXCAV__REDES2"/>
      <sheetName val="EXCAV_CIMIENTO2"/>
      <sheetName val="RELLENO__RECEBO_COMPAC2"/>
      <sheetName val="ALISTADO_DE_PISO_e=_0,042"/>
      <sheetName val="VIGA_CIMENTA,15_x_202"/>
      <sheetName val="VIGA_AEREA_(0,15x_20)_2"/>
      <sheetName val="COL(,15X_20)2"/>
      <sheetName val="VIGA_CINTA_DE_AMARRE2"/>
      <sheetName val="MAMPOSTERIA__TOLETE2"/>
      <sheetName val="MAMPOSTERIA_BLOQUE_N°52"/>
      <sheetName val="CUBIE_ASBESTO_CEMEN_TEJ_N°6_2"/>
      <sheetName val="CUBIE_ASBESTO_CEMEN_TEJ_N°82"/>
      <sheetName val="PAÑETE_LISO2"/>
      <sheetName val="PLACA_DE_CONTRAPISO_e=0,062"/>
      <sheetName val="PLACA_TANQUE_e=0,102"/>
      <sheetName val="INST_MARCOS2"/>
      <sheetName val="INSTAL__VENTANA_2"/>
      <sheetName val="INSTAL__PUERTAS2"/>
      <sheetName val="ENCNAPE_COCINA2"/>
      <sheetName val="ENCHAPE_BAÑO_PISO2"/>
      <sheetName val="ENCHAPE_BAÑO_PARED2"/>
      <sheetName val="PISO_CERAMICA2"/>
      <sheetName val="INST__VIDRIOS2"/>
      <sheetName val="ESTUCO_Y_PINTURA_TIPO12"/>
      <sheetName val="VINILO_S-PAÑETE_2_MANOS2"/>
      <sheetName val="LADRIL_A_LA_VISTA2"/>
      <sheetName val="INST__Y_SUMINISTRO_BAÑO2"/>
      <sheetName val="INST__TANQUE2"/>
      <sheetName val="ASEO_GENERAL2"/>
      <sheetName val="PUNTO_SANITARIO_3&quot;2"/>
      <sheetName val="PUNTO_SANIT2&quot;2"/>
      <sheetName val="PUNTO_SANIT_4&quot;2"/>
      <sheetName val="PUNTO_SANITN_6&quot;2"/>
      <sheetName val="RED_HIDRAULICA2"/>
      <sheetName val="TUBERIA_GRES_4&quot;2"/>
      <sheetName val="CINSPEC_7x_72"/>
      <sheetName val="LAMPARA_TOMECON2"/>
      <sheetName val="POLO_TIERRA2"/>
      <sheetName val="TABLER_PARCIAL4CIRC2"/>
      <sheetName val="RED_ELECTRICA2"/>
      <sheetName val="LAVADERO_PREFABRICADO2"/>
      <sheetName val="EXPLAN_Y_COMP_VIA2"/>
      <sheetName val="BASE_RECEBO2"/>
      <sheetName val="SUB_BASE2"/>
      <sheetName val="EXCAVACION_BORDILLO2"/>
      <sheetName val="INSTL_BORDILLO_PREFABRICADO2"/>
      <sheetName val="ESTADO_VÍA-CRIT_TECNICO2"/>
      <sheetName val="L_PRECIOS4"/>
      <sheetName val="MOR_1-54"/>
      <sheetName val="ACERO0_A-374"/>
      <sheetName val="ACERO_PDR-604"/>
      <sheetName val="REPLANTEO_Y_TRAZADO4"/>
      <sheetName val="EXCAV__REDES4"/>
      <sheetName val="EXCAV_CIMIENTO4"/>
      <sheetName val="RELLENO__RECEBO_COMPAC4"/>
      <sheetName val="ALISTADO_DE_PISO_e=_0,044"/>
      <sheetName val="VIGA_CIMENTA,15_x_204"/>
      <sheetName val="VIGA_AEREA_(0,15x_20)_4"/>
      <sheetName val="COL(,15X_20)4"/>
      <sheetName val="VIGA_CINTA_DE_AMARRE4"/>
      <sheetName val="MAMPOSTERIA__TOLETE4"/>
      <sheetName val="MAMPOSTERIA_BLOQUE_N°54"/>
      <sheetName val="CUBIE_ASBESTO_CEMEN_TEJ_N°6_4"/>
      <sheetName val="CUBIE_ASBESTO_CEMEN_TEJ_N°84"/>
      <sheetName val="PAÑETE_LISO4"/>
      <sheetName val="PLACA_DE_CONTRAPISO_e=0,064"/>
      <sheetName val="PLACA_TANQUE_e=0,104"/>
      <sheetName val="INST_MARCOS4"/>
      <sheetName val="INSTAL__VENTANA_4"/>
      <sheetName val="INSTAL__PUERTAS4"/>
      <sheetName val="ENCNAPE_COCINA4"/>
      <sheetName val="ENCHAPE_BAÑO_PISO4"/>
      <sheetName val="ENCHAPE_BAÑO_PARED4"/>
      <sheetName val="PISO_CERAMICA4"/>
      <sheetName val="INST__VIDRIOS4"/>
      <sheetName val="ESTUCO_Y_PINTURA_TIPO14"/>
      <sheetName val="VINILO_S-PAÑETE_2_MANOS4"/>
      <sheetName val="LADRIL_A_LA_VISTA4"/>
      <sheetName val="INST__Y_SUMINISTRO_BAÑO4"/>
      <sheetName val="INST__TANQUE4"/>
      <sheetName val="ASEO_GENERAL4"/>
      <sheetName val="PUNTO_SANITARIO_3&quot;4"/>
      <sheetName val="PUNTO_SANIT2&quot;4"/>
      <sheetName val="PUNTO_SANIT_4&quot;4"/>
      <sheetName val="PUNTO_SANITN_6&quot;4"/>
      <sheetName val="RED_HIDRAULICA4"/>
      <sheetName val="TUBERIA_GRES_4&quot;4"/>
      <sheetName val="CINSPEC_7x_74"/>
      <sheetName val="LAMPARA_TOMECON4"/>
      <sheetName val="POLO_TIERRA4"/>
      <sheetName val="TABLER_PARCIAL4CIRC4"/>
      <sheetName val="RED_ELECTRICA4"/>
      <sheetName val="LAVADERO_PREFABRICADO4"/>
      <sheetName val="EXPLAN_Y_COMP_VIA4"/>
      <sheetName val="BASE_RECEBO4"/>
      <sheetName val="SUB_BASE4"/>
      <sheetName val="EXCAVACION_BORDILLO4"/>
      <sheetName val="INSTL_BORDILLO_PREFABRICADO4"/>
      <sheetName val="ESTADO_VÍA-CRIT_TECNICO4"/>
      <sheetName val="L_PRECIOS3"/>
      <sheetName val="MOR_1-53"/>
      <sheetName val="ACERO0_A-373"/>
      <sheetName val="ACERO_PDR-603"/>
      <sheetName val="REPLANTEO_Y_TRAZADO3"/>
      <sheetName val="EXCAV__REDES3"/>
      <sheetName val="EXCAV_CIMIENTO3"/>
      <sheetName val="RELLENO__RECEBO_COMPAC3"/>
      <sheetName val="ALISTADO_DE_PISO_e=_0,043"/>
      <sheetName val="VIGA_CIMENTA,15_x_203"/>
      <sheetName val="VIGA_AEREA_(0,15x_20)_3"/>
      <sheetName val="COL(,15X_20)3"/>
      <sheetName val="VIGA_CINTA_DE_AMARRE3"/>
      <sheetName val="MAMPOSTERIA__TOLETE3"/>
      <sheetName val="MAMPOSTERIA_BLOQUE_N°53"/>
      <sheetName val="CUBIE_ASBESTO_CEMEN_TEJ_N°6_3"/>
      <sheetName val="CUBIE_ASBESTO_CEMEN_TEJ_N°83"/>
      <sheetName val="PAÑETE_LISO3"/>
      <sheetName val="PLACA_DE_CONTRAPISO_e=0,063"/>
      <sheetName val="PLACA_TANQUE_e=0,103"/>
      <sheetName val="INST_MARCOS3"/>
      <sheetName val="INSTAL__VENTANA_3"/>
      <sheetName val="INSTAL__PUERTAS3"/>
      <sheetName val="ENCNAPE_COCINA3"/>
      <sheetName val="ENCHAPE_BAÑO_PISO3"/>
      <sheetName val="ENCHAPE_BAÑO_PARED3"/>
      <sheetName val="PISO_CERAMICA3"/>
      <sheetName val="INST__VIDRIOS3"/>
      <sheetName val="ESTUCO_Y_PINTURA_TIPO13"/>
      <sheetName val="VINILO_S-PAÑETE_2_MANOS3"/>
      <sheetName val="LADRIL_A_LA_VISTA3"/>
      <sheetName val="INST__Y_SUMINISTRO_BAÑO3"/>
      <sheetName val="INST__TANQUE3"/>
      <sheetName val="ASEO_GENERAL3"/>
      <sheetName val="PUNTO_SANITARIO_3&quot;3"/>
      <sheetName val="PUNTO_SANIT2&quot;3"/>
      <sheetName val="PUNTO_SANIT_4&quot;3"/>
      <sheetName val="PUNTO_SANITN_6&quot;3"/>
      <sheetName val="RED_HIDRAULICA3"/>
      <sheetName val="TUBERIA_GRES_4&quot;3"/>
      <sheetName val="CINSPEC_7x_73"/>
      <sheetName val="LAMPARA_TOMECON3"/>
      <sheetName val="POLO_TIERRA3"/>
      <sheetName val="TABLER_PARCIAL4CIRC3"/>
      <sheetName val="RED_ELECTRICA3"/>
      <sheetName val="LAVADERO_PREFABRICADO3"/>
      <sheetName val="EXPLAN_Y_COMP_VIA3"/>
      <sheetName val="BASE_RECEBO3"/>
      <sheetName val="SUB_BASE3"/>
      <sheetName val="EXCAVACION_BORDILLO3"/>
      <sheetName val="INSTL_BORDILLO_PREFABRICADO3"/>
      <sheetName val="ESTADO_VÍA-CRIT_TECNICO3"/>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RESUMEN"/>
      <sheetName val="PPTO OBRA PLIEGO TIPO"/>
      <sheetName val="MATRIZ CENTRAL"/>
      <sheetName val="AIU"/>
      <sheetName val="FACTOR PRESTACIONAL"/>
      <sheetName val="APU CAP 1"/>
      <sheetName val="APU CAP 2"/>
      <sheetName val="APU CAP 3"/>
      <sheetName val="APU CAP 4"/>
      <sheetName val="APU CAP 5"/>
      <sheetName val="APU CAP 6"/>
    </sheetNames>
    <sheetDataSet>
      <sheetData sheetId="0"/>
      <sheetData sheetId="1"/>
      <sheetData sheetId="2"/>
      <sheetData sheetId="3"/>
      <sheetData sheetId="4">
        <row r="11">
          <cell r="D11">
            <v>1423500</v>
          </cell>
        </row>
        <row r="13">
          <cell r="D13">
            <v>1623500</v>
          </cell>
        </row>
      </sheetData>
      <sheetData sheetId="5"/>
      <sheetData sheetId="6"/>
      <sheetData sheetId="7"/>
      <sheetData sheetId="8"/>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OBRA PLIEGO TIPO"/>
    </sheetNames>
    <sheetDataSet>
      <sheetData sheetId="0">
        <row r="14">
          <cell r="K14">
            <v>27522583.109999999</v>
          </cell>
        </row>
        <row r="15">
          <cell r="K15">
            <v>8641140.4299999997</v>
          </cell>
        </row>
        <row r="16">
          <cell r="K16">
            <v>6757311.9299999997</v>
          </cell>
        </row>
        <row r="17">
          <cell r="K17">
            <v>11728188.9</v>
          </cell>
        </row>
        <row r="18">
          <cell r="K18">
            <v>12890954.34</v>
          </cell>
        </row>
        <row r="19">
          <cell r="K19">
            <v>67540178.709999993</v>
          </cell>
        </row>
        <row r="21">
          <cell r="K21">
            <v>535747564.72000003</v>
          </cell>
        </row>
        <row r="22">
          <cell r="K22">
            <v>581357880.89999998</v>
          </cell>
        </row>
        <row r="23">
          <cell r="K23">
            <v>408688425.13999999</v>
          </cell>
        </row>
        <row r="24">
          <cell r="K24">
            <v>42174467.789999999</v>
          </cell>
        </row>
        <row r="25">
          <cell r="K25">
            <v>368324987.18000001</v>
          </cell>
        </row>
        <row r="26">
          <cell r="K26">
            <v>30942184.77</v>
          </cell>
        </row>
        <row r="27">
          <cell r="K27">
            <v>62033629.579999998</v>
          </cell>
        </row>
        <row r="28">
          <cell r="K28">
            <v>8531904.5299999993</v>
          </cell>
        </row>
        <row r="29">
          <cell r="K29">
            <v>2037801044.6099997</v>
          </cell>
        </row>
        <row r="31">
          <cell r="K31">
            <v>508169104.77999997</v>
          </cell>
        </row>
        <row r="32">
          <cell r="K32">
            <v>83184401.140000001</v>
          </cell>
        </row>
        <row r="33">
          <cell r="K33">
            <v>21308060.219999999</v>
          </cell>
        </row>
        <row r="34">
          <cell r="K34">
            <v>612661566.13999999</v>
          </cell>
        </row>
        <row r="36">
          <cell r="K36">
            <v>2105293069.03</v>
          </cell>
        </row>
        <row r="37">
          <cell r="K37">
            <v>288028324.55000001</v>
          </cell>
        </row>
        <row r="38">
          <cell r="K38">
            <v>661705866.13</v>
          </cell>
        </row>
        <row r="39">
          <cell r="K39">
            <v>90528978.969999999</v>
          </cell>
        </row>
        <row r="40">
          <cell r="K40">
            <v>49260108.109999999</v>
          </cell>
        </row>
        <row r="41">
          <cell r="K41">
            <v>588443049.65999997</v>
          </cell>
        </row>
        <row r="42">
          <cell r="K42">
            <v>3783259396.4499998</v>
          </cell>
        </row>
        <row r="44">
          <cell r="K44">
            <v>39665000</v>
          </cell>
        </row>
        <row r="45">
          <cell r="K45">
            <v>67530080</v>
          </cell>
        </row>
        <row r="46">
          <cell r="K46">
            <v>34325000</v>
          </cell>
        </row>
        <row r="47">
          <cell r="K47">
            <v>134660999.90000001</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sheetName val="PPTO_OBRA_GENERAL"/>
      <sheetName val="APUS"/>
      <sheetName val="PPTO_PLANES"/>
      <sheetName val="CUADRILLA"/>
      <sheetName val="MEMORIA_IMPLOSION"/>
      <sheetName val="AIU"/>
      <sheetName val="FACTOR PRESTACIONAL"/>
    </sheetNames>
    <sheetDataSet>
      <sheetData sheetId="0"/>
      <sheetData sheetId="1"/>
      <sheetData sheetId="2"/>
      <sheetData sheetId="3"/>
      <sheetData sheetId="4"/>
      <sheetData sheetId="5"/>
      <sheetData sheetId="6"/>
      <sheetData sheetId="7">
        <row r="39">
          <cell r="E39">
            <v>1.9701</v>
          </cell>
        </row>
      </sheetData>
    </sheetDataSet>
  </externalBook>
</externalLink>
</file>

<file path=xl/pivotCache/_rels/pivotCacheDefinition1.xml.rels><?xml version="1.0" encoding="UTF-8" standalone="yes"?>
<Relationships xmlns="http://schemas.openxmlformats.org/package/2006/relationships"><Relationship Id="rId3" Type="http://schemas.microsoft.com/office/2019/04/relationships/externalLinkLongPath" Target="https://d.docs.live.net/16b48fcb479b9829/8.%20SDR%20-%20ALCALDIA%20DE%20NEIVA/14.%20PROYECTOS_2026/1.%20ESTADIO%20GPA/1.%20DEMOLICION%20TRIBUNA%20OCCIDENTAL%20GPA/2.%20PRESUPUESTO/2.%20AJUSTADO%20SDR/OBERVACIONES/RTAS/Archivos%20anexos%20demolicion%20EGPA/Anexo%203%20CANTIDADES%20DE%20DEMOLICI&#211;N%20TRIBUNA%20OCCIDENTAL%20GPAV2.xlsx?FF2CB4CB" TargetMode="External"/><Relationship Id="rId2" Type="http://schemas.openxmlformats.org/officeDocument/2006/relationships/externalLinkPath" Target="file:///\\FF2CB4CB\Anexo%203%20CANTIDADES%20DE%20DEMOLICI&#211;N%20TRIBUNA%20OCCIDENTAL%20GPAV2.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elson Chiquiza" refreshedDate="46076.691145949073" createdVersion="8" refreshedVersion="8" minRefreshableVersion="3" recordCount="612" xr:uid="{CE27017B-9A02-4061-819D-BE1AD4042470}">
  <cacheSource type="worksheet">
    <worksheetSource name="OCCIDENTAL" r:id="rId2"/>
  </cacheSource>
  <cacheFields count="6">
    <cacheField name="TRIBUNA" numFmtId="4">
      <sharedItems count="1">
        <s v="OCCIDENTAL"/>
      </sharedItems>
    </cacheField>
    <cacheField name="UBICACIÓN" numFmtId="4">
      <sharedItems count="7">
        <s v="PAÑOLETA NORTE"/>
        <s v="ESTRUCTURA CENTRAL"/>
        <s v="PAÑOLETA SUR"/>
        <s v="GRADAS"/>
        <s v="CAMERINOS"/>
        <s v="CIMENTACIÓN TRIBUNA OCCIDENTAL"/>
        <s v="CIMENTACIÓN CAMERINOS"/>
      </sharedItems>
    </cacheField>
    <cacheField name="AREA" numFmtId="4">
      <sharedItems count="9">
        <s v="VIGA"/>
        <s v="COLUMNA"/>
        <s v="VIGUETA"/>
        <s v="PLACA"/>
        <s v="RIOSTRA"/>
        <s v="MURO"/>
        <s v="ESCALERA"/>
        <s v="RAMPA"/>
        <s v="CIMENTACIÓN"/>
      </sharedItems>
    </cacheField>
    <cacheField name="ALTERNATIVA 3" numFmtId="4">
      <sharedItems/>
    </cacheField>
    <cacheField name="ELEMENTO" numFmtId="4">
      <sharedItems/>
    </cacheField>
    <cacheField name="VOLUMEN ESTRUCTURA" numFmtId="193">
      <sharedItems containsSemiMixedTypes="0" containsString="0" containsNumber="1" minValue="0.23899999999999999" maxValue="149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12">
  <r>
    <x v="0"/>
    <x v="0"/>
    <x v="0"/>
    <s v="ELIMINAR"/>
    <s v="VG 515"/>
    <n v="4.8460000000000001"/>
  </r>
  <r>
    <x v="0"/>
    <x v="0"/>
    <x v="0"/>
    <s v="ELIMINAR"/>
    <s v="VG 506"/>
    <n v="1.7310000000000001"/>
  </r>
  <r>
    <x v="0"/>
    <x v="0"/>
    <x v="0"/>
    <s v="ELIMINAR"/>
    <s v="VG 511"/>
    <n v="3.92"/>
  </r>
  <r>
    <x v="0"/>
    <x v="0"/>
    <x v="0"/>
    <s v="ELIMINAR"/>
    <s v="VG 506"/>
    <n v="6.3639999999999999"/>
  </r>
  <r>
    <x v="0"/>
    <x v="0"/>
    <x v="0"/>
    <s v="ELIMINAR"/>
    <s v="VG 507"/>
    <n v="6.3639999999999999"/>
  </r>
  <r>
    <x v="0"/>
    <x v="1"/>
    <x v="0"/>
    <s v="ELIMINAR"/>
    <s v="VG 507"/>
    <n v="6.3639999999999999"/>
  </r>
  <r>
    <x v="0"/>
    <x v="0"/>
    <x v="1"/>
    <s v="ELIMINAR"/>
    <s v="CL 501"/>
    <n v="5.78"/>
  </r>
  <r>
    <x v="0"/>
    <x v="0"/>
    <x v="1"/>
    <s v="ELIMINAR"/>
    <s v="CL 502"/>
    <n v="5.78"/>
  </r>
  <r>
    <x v="0"/>
    <x v="0"/>
    <x v="1"/>
    <s v="ELIMINAR"/>
    <s v="CL 503"/>
    <n v="5.78"/>
  </r>
  <r>
    <x v="0"/>
    <x v="0"/>
    <x v="1"/>
    <s v="ELIMINAR"/>
    <s v="CL 504"/>
    <n v="5.78"/>
  </r>
  <r>
    <x v="0"/>
    <x v="0"/>
    <x v="1"/>
    <s v="ELIMINAR"/>
    <s v="CL 505"/>
    <n v="5.78"/>
  </r>
  <r>
    <x v="0"/>
    <x v="0"/>
    <x v="1"/>
    <s v="ELIMINAR"/>
    <s v="CL 506"/>
    <n v="6.343"/>
  </r>
  <r>
    <x v="0"/>
    <x v="0"/>
    <x v="1"/>
    <s v="ELIMINAR"/>
    <s v="CL 507"/>
    <n v="5.766"/>
  </r>
  <r>
    <x v="0"/>
    <x v="0"/>
    <x v="1"/>
    <s v="ELIMINAR"/>
    <s v="CL 508"/>
    <n v="5.766"/>
  </r>
  <r>
    <x v="0"/>
    <x v="0"/>
    <x v="0"/>
    <s v="ELIMINAR"/>
    <s v="VG 415"/>
    <n v="15.486000000000001"/>
  </r>
  <r>
    <x v="0"/>
    <x v="0"/>
    <x v="0"/>
    <s v="ELIMINAR"/>
    <s v="VG 406"/>
    <n v="1.7410000000000001"/>
  </r>
  <r>
    <x v="0"/>
    <x v="0"/>
    <x v="0"/>
    <s v="ELIMINAR"/>
    <s v="VG 412"/>
    <n v="3.7719999999999998"/>
  </r>
  <r>
    <x v="0"/>
    <x v="0"/>
    <x v="0"/>
    <s v="ELIMINAR"/>
    <s v="VG 406"/>
    <n v="6.36"/>
  </r>
  <r>
    <x v="0"/>
    <x v="1"/>
    <x v="0"/>
    <s v="ELIMINAR"/>
    <s v="VG 406"/>
    <n v="12.966000000000001"/>
  </r>
  <r>
    <x v="0"/>
    <x v="0"/>
    <x v="0"/>
    <s v="ELIMINAR"/>
    <s v="VG 408"/>
    <n v="6.36"/>
  </r>
  <r>
    <x v="0"/>
    <x v="1"/>
    <x v="0"/>
    <s v="ELIMINAR"/>
    <s v="VG 408"/>
    <n v="12.559000000000001"/>
  </r>
  <r>
    <x v="0"/>
    <x v="0"/>
    <x v="0"/>
    <s v="ELIMINAR"/>
    <s v="VG 409"/>
    <n v="4.5970000000000004"/>
  </r>
  <r>
    <x v="0"/>
    <x v="0"/>
    <x v="0"/>
    <s v="ELIMINAR"/>
    <s v="VG 410"/>
    <n v="2.9670000000000001"/>
  </r>
  <r>
    <x v="0"/>
    <x v="0"/>
    <x v="0"/>
    <s v="ELIMINAR"/>
    <s v="VG 411"/>
    <n v="1.36"/>
  </r>
  <r>
    <x v="0"/>
    <x v="0"/>
    <x v="2"/>
    <s v="ELIMINAR"/>
    <s v="VGT 29 2"/>
    <n v="0.50800000000000001"/>
  </r>
  <r>
    <x v="0"/>
    <x v="0"/>
    <x v="0"/>
    <s v="ELIMINAR"/>
    <s v="VG 413"/>
    <n v="3.7509999999999999"/>
  </r>
  <r>
    <x v="0"/>
    <x v="0"/>
    <x v="0"/>
    <s v="ELIMINAR"/>
    <s v="VG 413"/>
    <n v="6.4960000000000004"/>
  </r>
  <r>
    <x v="0"/>
    <x v="0"/>
    <x v="1"/>
    <s v="ELIMINAR"/>
    <s v="CL 401"/>
    <n v="5.78"/>
  </r>
  <r>
    <x v="0"/>
    <x v="0"/>
    <x v="1"/>
    <s v="ELIMINAR"/>
    <s v="CL 402"/>
    <n v="5.78"/>
  </r>
  <r>
    <x v="0"/>
    <x v="0"/>
    <x v="1"/>
    <s v="ELIMINAR"/>
    <s v="CL 403"/>
    <n v="5.78"/>
  </r>
  <r>
    <x v="0"/>
    <x v="0"/>
    <x v="1"/>
    <s v="ELIMINAR"/>
    <s v="CL 404"/>
    <n v="5.78"/>
  </r>
  <r>
    <x v="0"/>
    <x v="0"/>
    <x v="1"/>
    <s v="ELIMINAR"/>
    <s v="CL 405"/>
    <n v="5.78"/>
  </r>
  <r>
    <x v="0"/>
    <x v="0"/>
    <x v="1"/>
    <s v="ELIMINAR"/>
    <s v="CL 406"/>
    <n v="6.3579999999999997"/>
  </r>
  <r>
    <x v="0"/>
    <x v="0"/>
    <x v="1"/>
    <s v="ELIMINAR"/>
    <s v="CL 407"/>
    <n v="5.78"/>
  </r>
  <r>
    <x v="0"/>
    <x v="0"/>
    <x v="1"/>
    <s v="ELIMINAR"/>
    <s v="CL 408"/>
    <n v="5.78"/>
  </r>
  <r>
    <x v="0"/>
    <x v="0"/>
    <x v="3"/>
    <s v="ELIMINAR"/>
    <s v="PL3 1N"/>
    <n v="17.665552402800003"/>
  </r>
  <r>
    <x v="0"/>
    <x v="0"/>
    <x v="0"/>
    <s v="ELIMINAR"/>
    <s v="VG 315"/>
    <n v="15.503"/>
  </r>
  <r>
    <x v="0"/>
    <x v="0"/>
    <x v="0"/>
    <s v="ELIMINAR"/>
    <s v="VG 306"/>
    <n v="2.0009999999999999"/>
  </r>
  <r>
    <x v="0"/>
    <x v="0"/>
    <x v="0"/>
    <s v="ELIMINAR"/>
    <s v="VG 311-2"/>
    <n v="3.6720000000000002"/>
  </r>
  <r>
    <x v="0"/>
    <x v="0"/>
    <x v="0"/>
    <s v="ELIMINAR"/>
    <s v="VG 306"/>
    <n v="7.6580000000000004"/>
  </r>
  <r>
    <x v="0"/>
    <x v="0"/>
    <x v="2"/>
    <s v="ELIMINAR"/>
    <s v="VT 35"/>
    <n v="1.2709999999999999"/>
  </r>
  <r>
    <x v="0"/>
    <x v="0"/>
    <x v="2"/>
    <s v="ELIMINAR"/>
    <s v="VT 38"/>
    <n v="1.2709999999999999"/>
  </r>
  <r>
    <x v="0"/>
    <x v="0"/>
    <x v="2"/>
    <s v="ELIMINAR"/>
    <s v="VT 39"/>
    <n v="1.2709999999999999"/>
  </r>
  <r>
    <x v="0"/>
    <x v="0"/>
    <x v="2"/>
    <s v="ELIMINAR"/>
    <s v="VT 310"/>
    <n v="1.252"/>
  </r>
  <r>
    <x v="0"/>
    <x v="0"/>
    <x v="2"/>
    <s v="ELIMINAR"/>
    <s v="VT 311"/>
    <n v="1.2490000000000001"/>
  </r>
  <r>
    <x v="0"/>
    <x v="0"/>
    <x v="2"/>
    <s v="ELIMINAR"/>
    <s v="VT 312"/>
    <n v="1.2470000000000001"/>
  </r>
  <r>
    <x v="0"/>
    <x v="0"/>
    <x v="0"/>
    <s v="ELIMINAR"/>
    <s v="VG 307"/>
    <n v="5.9139999999999997"/>
  </r>
  <r>
    <x v="0"/>
    <x v="0"/>
    <x v="2"/>
    <s v="ELIMINAR"/>
    <s v="VT 313"/>
    <n v="1.2290000000000001"/>
  </r>
  <r>
    <x v="0"/>
    <x v="0"/>
    <x v="2"/>
    <s v="ELIMINAR"/>
    <s v="VT 314"/>
    <n v="1.17"/>
  </r>
  <r>
    <x v="0"/>
    <x v="0"/>
    <x v="2"/>
    <s v="ELIMINAR"/>
    <s v="VT 315"/>
    <n v="1.121"/>
  </r>
  <r>
    <x v="0"/>
    <x v="0"/>
    <x v="2"/>
    <s v="ELIMINAR"/>
    <s v="VT 316"/>
    <n v="1.0720000000000001"/>
  </r>
  <r>
    <x v="0"/>
    <x v="0"/>
    <x v="2"/>
    <s v="ELIMINAR"/>
    <s v="VT 317"/>
    <n v="1.0229999999999999"/>
  </r>
  <r>
    <x v="0"/>
    <x v="0"/>
    <x v="0"/>
    <s v="ELIMINAR"/>
    <s v="VG 308"/>
    <n v="5.4619999999999997"/>
  </r>
  <r>
    <x v="0"/>
    <x v="0"/>
    <x v="2"/>
    <s v="ELIMINAR"/>
    <s v="VT 318"/>
    <n v="0.94399999999999995"/>
  </r>
  <r>
    <x v="0"/>
    <x v="0"/>
    <x v="2"/>
    <s v="ELIMINAR"/>
    <s v="VT 319"/>
    <n v="0.86599999999999999"/>
  </r>
  <r>
    <x v="0"/>
    <x v="0"/>
    <x v="2"/>
    <s v="ELIMINAR"/>
    <s v="VT 320"/>
    <n v="0.81699999999999995"/>
  </r>
  <r>
    <x v="0"/>
    <x v="0"/>
    <x v="2"/>
    <s v="ELIMINAR"/>
    <s v="VT 321"/>
    <n v="0.87"/>
  </r>
  <r>
    <x v="0"/>
    <x v="0"/>
    <x v="2"/>
    <s v="ELIMINAR"/>
    <s v="VT 322"/>
    <n v="0.72899999999999998"/>
  </r>
  <r>
    <x v="0"/>
    <x v="0"/>
    <x v="0"/>
    <s v="ELIMINAR"/>
    <s v="VG 309"/>
    <n v="2.91"/>
  </r>
  <r>
    <x v="0"/>
    <x v="0"/>
    <x v="2"/>
    <s v="ELIMINAR"/>
    <s v="VT 323"/>
    <n v="0.56299999999999994"/>
  </r>
  <r>
    <x v="0"/>
    <x v="0"/>
    <x v="2"/>
    <s v="ELIMINAR"/>
    <s v="VT 324"/>
    <n v="0.56899999999999995"/>
  </r>
  <r>
    <x v="0"/>
    <x v="0"/>
    <x v="2"/>
    <s v="ELIMINAR"/>
    <s v="VT 325"/>
    <n v="0.51800000000000002"/>
  </r>
  <r>
    <x v="0"/>
    <x v="0"/>
    <x v="2"/>
    <s v="ELIMINAR"/>
    <s v="VT 326"/>
    <n v="0.56699999999999995"/>
  </r>
  <r>
    <x v="0"/>
    <x v="0"/>
    <x v="2"/>
    <s v="ELIMINAR"/>
    <s v="VT 327"/>
    <n v="0.38100000000000001"/>
  </r>
  <r>
    <x v="0"/>
    <x v="0"/>
    <x v="0"/>
    <s v="ELIMINAR"/>
    <s v="VG 310"/>
    <n v="1.298"/>
  </r>
  <r>
    <x v="0"/>
    <x v="0"/>
    <x v="2"/>
    <s v="ELIMINAR"/>
    <s v="VT 328"/>
    <n v="0.23899999999999999"/>
  </r>
  <r>
    <x v="0"/>
    <x v="0"/>
    <x v="2"/>
    <s v="ELIMINAR"/>
    <s v="VT 328"/>
    <n v="0.28999999999999998"/>
  </r>
  <r>
    <x v="0"/>
    <x v="0"/>
    <x v="2"/>
    <s v="ELIMINAR"/>
    <s v="VT 329 2"/>
    <n v="0.50700000000000001"/>
  </r>
  <r>
    <x v="0"/>
    <x v="0"/>
    <x v="4"/>
    <s v="ELIMINAR"/>
    <s v="R 34"/>
    <n v="2.1040000000000001"/>
  </r>
  <r>
    <x v="0"/>
    <x v="0"/>
    <x v="4"/>
    <s v="ELIMINAR"/>
    <s v="R 33"/>
    <n v="3.1760000000000002"/>
  </r>
  <r>
    <x v="0"/>
    <x v="0"/>
    <x v="0"/>
    <s v="ELIMINAR"/>
    <s v="VG 312"/>
    <n v="11.24"/>
  </r>
  <r>
    <x v="0"/>
    <x v="0"/>
    <x v="1"/>
    <s v="ELIMINAR"/>
    <s v="CL 301"/>
    <n v="6.0060000000000002"/>
  </r>
  <r>
    <x v="0"/>
    <x v="0"/>
    <x v="1"/>
    <s v="ELIMINAR"/>
    <s v="CL 302"/>
    <n v="6.0060000000000002"/>
  </r>
  <r>
    <x v="0"/>
    <x v="0"/>
    <x v="1"/>
    <s v="ELIMINAR"/>
    <s v="CL 303"/>
    <n v="6.0060000000000002"/>
  </r>
  <r>
    <x v="0"/>
    <x v="0"/>
    <x v="1"/>
    <s v="ELIMINAR"/>
    <s v="CL 304"/>
    <n v="6.0060000000000002"/>
  </r>
  <r>
    <x v="0"/>
    <x v="0"/>
    <x v="1"/>
    <s v="ELIMINAR"/>
    <s v="CL 305"/>
    <n v="6.0060000000000002"/>
  </r>
  <r>
    <x v="0"/>
    <x v="0"/>
    <x v="1"/>
    <s v="ELIMINAR"/>
    <s v="CL 306"/>
    <n v="6.6719999999999997"/>
  </r>
  <r>
    <x v="0"/>
    <x v="0"/>
    <x v="1"/>
    <s v="ELIMINAR"/>
    <s v="CL 307"/>
    <n v="6.0060000000000002"/>
  </r>
  <r>
    <x v="0"/>
    <x v="0"/>
    <x v="1"/>
    <s v="ELIMINAR"/>
    <s v="CL 308"/>
    <n v="6.0060000000000002"/>
  </r>
  <r>
    <x v="0"/>
    <x v="0"/>
    <x v="5"/>
    <s v="ELIMINAR"/>
    <s v="MURO L 3 N"/>
    <n v="18.24363"/>
  </r>
  <r>
    <x v="0"/>
    <x v="0"/>
    <x v="5"/>
    <s v="ELIMINAR"/>
    <s v="MURO  F 3 N"/>
    <n v="2.2077"/>
  </r>
  <r>
    <x v="0"/>
    <x v="0"/>
    <x v="5"/>
    <s v="ELIMINAR"/>
    <s v="MURO LI 3 N"/>
    <n v="7.7369849999999998"/>
  </r>
  <r>
    <x v="0"/>
    <x v="0"/>
    <x v="5"/>
    <s v="ELIMINAR"/>
    <s v="MURO P 3 N"/>
    <n v="9.6335999999999995"/>
  </r>
  <r>
    <x v="0"/>
    <x v="0"/>
    <x v="3"/>
    <s v="ELIMINAR"/>
    <s v="PL2 1N"/>
    <n v="17.665552402800003"/>
  </r>
  <r>
    <x v="0"/>
    <x v="0"/>
    <x v="0"/>
    <s v="ELIMINAR"/>
    <s v="VG 215"/>
    <n v="19.366"/>
  </r>
  <r>
    <x v="0"/>
    <x v="0"/>
    <x v="0"/>
    <s v="ELIMINAR"/>
    <s v="VG 206"/>
    <n v="2.0009999999999999"/>
  </r>
  <r>
    <x v="0"/>
    <x v="0"/>
    <x v="0"/>
    <s v="ELIMINAR"/>
    <s v="VG 206"/>
    <n v="7.6580000000000004"/>
  </r>
  <r>
    <x v="0"/>
    <x v="0"/>
    <x v="0"/>
    <s v="ELIMINAR"/>
    <s v="VG 211"/>
    <n v="4.7759999999999998"/>
  </r>
  <r>
    <x v="0"/>
    <x v="0"/>
    <x v="2"/>
    <s v="ELIMINAR"/>
    <s v="VT 28"/>
    <n v="1.2529999999999999"/>
  </r>
  <r>
    <x v="0"/>
    <x v="0"/>
    <x v="2"/>
    <s v="ELIMINAR"/>
    <s v="VT 29"/>
    <n v="1.2529999999999999"/>
  </r>
  <r>
    <x v="0"/>
    <x v="0"/>
    <x v="2"/>
    <s v="ELIMINAR"/>
    <s v="VT 210"/>
    <n v="1.25"/>
  </r>
  <r>
    <x v="0"/>
    <x v="0"/>
    <x v="2"/>
    <s v="ELIMINAR"/>
    <s v="VT 211"/>
    <n v="1.2470000000000001"/>
  </r>
  <r>
    <x v="0"/>
    <x v="0"/>
    <x v="2"/>
    <s v="ELIMINAR"/>
    <s v="VT 212"/>
    <n v="1.244"/>
  </r>
  <r>
    <x v="0"/>
    <x v="0"/>
    <x v="2"/>
    <s v="ELIMINAR"/>
    <s v="VT 27"/>
    <n v="1.242"/>
  </r>
  <r>
    <x v="0"/>
    <x v="0"/>
    <x v="0"/>
    <s v="ELIMINAR"/>
    <s v="VG 207"/>
    <n v="6.1269999999999998"/>
  </r>
  <r>
    <x v="0"/>
    <x v="0"/>
    <x v="2"/>
    <s v="ELIMINAR"/>
    <s v="VT 213"/>
    <n v="1.206"/>
  </r>
  <r>
    <x v="0"/>
    <x v="0"/>
    <x v="2"/>
    <s v="ELIMINAR"/>
    <s v="VT 214"/>
    <n v="1.1579999999999999"/>
  </r>
  <r>
    <x v="0"/>
    <x v="0"/>
    <x v="2"/>
    <s v="ELIMINAR"/>
    <s v="VT 215"/>
    <n v="1.1100000000000001"/>
  </r>
  <r>
    <x v="0"/>
    <x v="0"/>
    <x v="2"/>
    <s v="ELIMINAR"/>
    <s v="VT 216"/>
    <n v="1.0620000000000001"/>
  </r>
  <r>
    <x v="0"/>
    <x v="0"/>
    <x v="2"/>
    <s v="ELIMINAR"/>
    <s v="VT 217"/>
    <n v="1.014"/>
  </r>
  <r>
    <x v="0"/>
    <x v="0"/>
    <x v="0"/>
    <s v="ELIMINAR"/>
    <s v="VG 208"/>
    <n v="4.6020000000000003"/>
  </r>
  <r>
    <x v="0"/>
    <x v="0"/>
    <x v="2"/>
    <s v="ELIMINAR"/>
    <s v="VT 218"/>
    <n v="0.90900000000000003"/>
  </r>
  <r>
    <x v="0"/>
    <x v="0"/>
    <x v="2"/>
    <s v="ELIMINAR"/>
    <s v="VT 219"/>
    <n v="0.85899999999999999"/>
  </r>
  <r>
    <x v="0"/>
    <x v="0"/>
    <x v="2"/>
    <s v="ELIMINAR"/>
    <s v="VT 220"/>
    <n v="0.82599999999999996"/>
  </r>
  <r>
    <x v="0"/>
    <x v="0"/>
    <x v="2"/>
    <s v="ELIMINAR"/>
    <s v="VT 221"/>
    <n v="0.77500000000000002"/>
  </r>
  <r>
    <x v="0"/>
    <x v="0"/>
    <x v="2"/>
    <s v="ELIMINAR"/>
    <s v="VT 222"/>
    <n v="0.72499999999999998"/>
  </r>
  <r>
    <x v="0"/>
    <x v="0"/>
    <x v="0"/>
    <s v="ELIMINAR"/>
    <s v="VG 209"/>
    <n v="3.024"/>
  </r>
  <r>
    <x v="0"/>
    <x v="0"/>
    <x v="2"/>
    <s v="ELIMINAR"/>
    <s v="VT 223"/>
    <n v="0.61799999999999999"/>
  </r>
  <r>
    <x v="0"/>
    <x v="0"/>
    <x v="2"/>
    <s v="ELIMINAR"/>
    <s v="VT 224"/>
    <n v="0.56799999999999995"/>
  </r>
  <r>
    <x v="0"/>
    <x v="0"/>
    <x v="2"/>
    <s v="ELIMINAR"/>
    <s v="VT 225"/>
    <n v="0.51800000000000002"/>
  </r>
  <r>
    <x v="0"/>
    <x v="0"/>
    <x v="2"/>
    <s v="ELIMINAR"/>
    <s v="VT 226"/>
    <n v="0.46800000000000003"/>
  </r>
  <r>
    <x v="0"/>
    <x v="0"/>
    <x v="2"/>
    <s v="ELIMINAR"/>
    <s v="VT 227"/>
    <n v="0.41099999999999998"/>
  </r>
  <r>
    <x v="0"/>
    <x v="0"/>
    <x v="0"/>
    <s v="ELIMINAR"/>
    <s v="VG 210"/>
    <n v="1.4"/>
  </r>
  <r>
    <x v="0"/>
    <x v="0"/>
    <x v="2"/>
    <s v="ELIMINAR"/>
    <s v="VT 228"/>
    <n v="0.29599999999999999"/>
  </r>
  <r>
    <x v="0"/>
    <x v="0"/>
    <x v="2"/>
    <s v="ELIMINAR"/>
    <s v="VT 228"/>
    <n v="0.29499999999999998"/>
  </r>
  <r>
    <x v="0"/>
    <x v="0"/>
    <x v="2"/>
    <s v="ELIMINAR"/>
    <s v="VT 229"/>
    <n v="0.34100000000000003"/>
  </r>
  <r>
    <x v="0"/>
    <x v="0"/>
    <x v="4"/>
    <s v="ELIMINAR"/>
    <s v="R 24"/>
    <n v="2.0700000000000003"/>
  </r>
  <r>
    <x v="0"/>
    <x v="0"/>
    <x v="4"/>
    <s v="ELIMINAR"/>
    <s v="R 23"/>
    <n v="3.1830000000000003"/>
  </r>
  <r>
    <x v="0"/>
    <x v="0"/>
    <x v="0"/>
    <s v="ELIMINAR"/>
    <s v="VG 212"/>
    <n v="10.459"/>
  </r>
  <r>
    <x v="0"/>
    <x v="0"/>
    <x v="1"/>
    <s v="ELIMINAR"/>
    <s v="CL 201"/>
    <n v="6.27"/>
  </r>
  <r>
    <x v="0"/>
    <x v="0"/>
    <x v="1"/>
    <s v="ELIMINAR"/>
    <s v="CL 202"/>
    <n v="6.27"/>
  </r>
  <r>
    <x v="0"/>
    <x v="0"/>
    <x v="1"/>
    <s v="ELIMINAR"/>
    <s v="CL 203"/>
    <n v="6.27"/>
  </r>
  <r>
    <x v="0"/>
    <x v="0"/>
    <x v="1"/>
    <s v="ELIMINAR"/>
    <s v="CL 204"/>
    <n v="6.27"/>
  </r>
  <r>
    <x v="0"/>
    <x v="0"/>
    <x v="1"/>
    <s v="ELIMINAR"/>
    <s v="CL 205"/>
    <n v="6.27"/>
  </r>
  <r>
    <x v="0"/>
    <x v="0"/>
    <x v="1"/>
    <s v="ELIMINAR"/>
    <s v="CL 206"/>
    <n v="6.8970000000000002"/>
  </r>
  <r>
    <x v="0"/>
    <x v="0"/>
    <x v="1"/>
    <s v="ELIMINAR"/>
    <s v="CL 207"/>
    <n v="6.27"/>
  </r>
  <r>
    <x v="0"/>
    <x v="0"/>
    <x v="1"/>
    <s v="ELIMINAR"/>
    <s v="CL 208"/>
    <n v="6.27"/>
  </r>
  <r>
    <x v="0"/>
    <x v="0"/>
    <x v="5"/>
    <s v="ELIMINAR"/>
    <s v="MURO L 2 N"/>
    <n v="18.24363"/>
  </r>
  <r>
    <x v="0"/>
    <x v="0"/>
    <x v="5"/>
    <s v="ELIMINAR"/>
    <s v="MURO  F 2 N"/>
    <n v="2.2077"/>
  </r>
  <r>
    <x v="0"/>
    <x v="0"/>
    <x v="5"/>
    <s v="ELIMINAR"/>
    <s v="MURO LI 2 N"/>
    <n v="7.7369849999999998"/>
  </r>
  <r>
    <x v="0"/>
    <x v="0"/>
    <x v="5"/>
    <s v="ELIMINAR"/>
    <s v="MURO P 2 N"/>
    <n v="9.6335999999999995"/>
  </r>
  <r>
    <x v="0"/>
    <x v="0"/>
    <x v="3"/>
    <s v="ELIMINAR"/>
    <s v="PL1 1N"/>
    <n v="17.665552402800003"/>
  </r>
  <r>
    <x v="0"/>
    <x v="0"/>
    <x v="0"/>
    <s v="ELIMINAR"/>
    <s v="VG 115"/>
    <n v="19.366"/>
  </r>
  <r>
    <x v="0"/>
    <x v="0"/>
    <x v="0"/>
    <s v="ELIMINAR"/>
    <s v="VG 106"/>
    <n v="2.0009999999999999"/>
  </r>
  <r>
    <x v="0"/>
    <x v="0"/>
    <x v="0"/>
    <s v="ELIMINAR"/>
    <s v="VG 106"/>
    <n v="7.6580000000000004"/>
  </r>
  <r>
    <x v="0"/>
    <x v="0"/>
    <x v="0"/>
    <s v="ELIMINAR"/>
    <s v="VG 111"/>
    <n v="4.7759999999999998"/>
  </r>
  <r>
    <x v="0"/>
    <x v="0"/>
    <x v="0"/>
    <s v="ELIMINAR"/>
    <s v="VG 18"/>
    <n v="1.2529999999999999"/>
  </r>
  <r>
    <x v="0"/>
    <x v="0"/>
    <x v="0"/>
    <s v="ELIMINAR"/>
    <s v="VG 19"/>
    <n v="1.2529999999999999"/>
  </r>
  <r>
    <x v="0"/>
    <x v="0"/>
    <x v="0"/>
    <s v="ELIMINAR"/>
    <s v="VG 110"/>
    <n v="1.25"/>
  </r>
  <r>
    <x v="0"/>
    <x v="0"/>
    <x v="0"/>
    <s v="ELIMINAR"/>
    <s v="VG 111"/>
    <n v="1.2470000000000001"/>
  </r>
  <r>
    <x v="0"/>
    <x v="0"/>
    <x v="0"/>
    <s v="ELIMINAR"/>
    <s v="VG 112"/>
    <n v="1.244"/>
  </r>
  <r>
    <x v="0"/>
    <x v="0"/>
    <x v="0"/>
    <s v="ELIMINAR"/>
    <s v="VG 17"/>
    <n v="1.242"/>
  </r>
  <r>
    <x v="0"/>
    <x v="0"/>
    <x v="0"/>
    <s v="ELIMINAR"/>
    <s v="VG 107"/>
    <n v="6.1269999999999998"/>
  </r>
  <r>
    <x v="0"/>
    <x v="0"/>
    <x v="0"/>
    <s v="ELIMINAR"/>
    <s v="VG 113"/>
    <n v="1.206"/>
  </r>
  <r>
    <x v="0"/>
    <x v="0"/>
    <x v="0"/>
    <s v="ELIMINAR"/>
    <s v="VG 114"/>
    <n v="1.1579999999999999"/>
  </r>
  <r>
    <x v="0"/>
    <x v="0"/>
    <x v="0"/>
    <s v="ELIMINAR"/>
    <s v="VG 115"/>
    <n v="1.1100000000000001"/>
  </r>
  <r>
    <x v="0"/>
    <x v="0"/>
    <x v="0"/>
    <s v="ELIMINAR"/>
    <s v="VG 116"/>
    <n v="1.0620000000000001"/>
  </r>
  <r>
    <x v="0"/>
    <x v="0"/>
    <x v="0"/>
    <s v="ELIMINAR"/>
    <s v="VG 117"/>
    <n v="1.014"/>
  </r>
  <r>
    <x v="0"/>
    <x v="0"/>
    <x v="0"/>
    <s v="ELIMINAR"/>
    <s v="VG 108"/>
    <n v="4.6020000000000003"/>
  </r>
  <r>
    <x v="0"/>
    <x v="0"/>
    <x v="0"/>
    <s v="ELIMINAR"/>
    <s v="VG 118"/>
    <n v="0.90900000000000003"/>
  </r>
  <r>
    <x v="0"/>
    <x v="0"/>
    <x v="0"/>
    <s v="ELIMINAR"/>
    <s v="VG 119"/>
    <n v="0.85899999999999999"/>
  </r>
  <r>
    <x v="0"/>
    <x v="0"/>
    <x v="0"/>
    <s v="ELIMINAR"/>
    <s v="VG 120"/>
    <n v="0.82599999999999996"/>
  </r>
  <r>
    <x v="0"/>
    <x v="0"/>
    <x v="0"/>
    <s v="ELIMINAR"/>
    <s v="VG 121"/>
    <n v="0.77500000000000002"/>
  </r>
  <r>
    <x v="0"/>
    <x v="0"/>
    <x v="0"/>
    <s v="ELIMINAR"/>
    <s v="VG 122"/>
    <n v="0.72499999999999998"/>
  </r>
  <r>
    <x v="0"/>
    <x v="0"/>
    <x v="0"/>
    <s v="ELIMINAR"/>
    <s v="VG 109"/>
    <n v="3.024"/>
  </r>
  <r>
    <x v="0"/>
    <x v="0"/>
    <x v="0"/>
    <s v="ELIMINAR"/>
    <s v="VG 123"/>
    <n v="0.61799999999999999"/>
  </r>
  <r>
    <x v="0"/>
    <x v="0"/>
    <x v="0"/>
    <s v="ELIMINAR"/>
    <s v="VG 124"/>
    <n v="0.56799999999999995"/>
  </r>
  <r>
    <x v="0"/>
    <x v="0"/>
    <x v="0"/>
    <s v="ELIMINAR"/>
    <s v="VG 125"/>
    <n v="0.51800000000000002"/>
  </r>
  <r>
    <x v="0"/>
    <x v="0"/>
    <x v="0"/>
    <s v="ELIMINAR"/>
    <s v="VG 126"/>
    <n v="0.46800000000000003"/>
  </r>
  <r>
    <x v="0"/>
    <x v="0"/>
    <x v="0"/>
    <s v="ELIMINAR"/>
    <s v="VG 127"/>
    <n v="0.41099999999999998"/>
  </r>
  <r>
    <x v="0"/>
    <x v="0"/>
    <x v="0"/>
    <s v="ELIMINAR"/>
    <s v="VG 110"/>
    <n v="1.4"/>
  </r>
  <r>
    <x v="0"/>
    <x v="0"/>
    <x v="0"/>
    <s v="ELIMINAR"/>
    <s v="VG 128"/>
    <n v="0.29599999999999999"/>
  </r>
  <r>
    <x v="0"/>
    <x v="0"/>
    <x v="0"/>
    <s v="ELIMINAR"/>
    <s v="VG 128"/>
    <n v="0.29499999999999998"/>
  </r>
  <r>
    <x v="0"/>
    <x v="0"/>
    <x v="0"/>
    <s v="ELIMINAR"/>
    <s v="VG 129"/>
    <n v="0.34100000000000003"/>
  </r>
  <r>
    <x v="0"/>
    <x v="0"/>
    <x v="4"/>
    <s v="ELIMINAR"/>
    <s v="R 14"/>
    <n v="2.0700000000000003"/>
  </r>
  <r>
    <x v="0"/>
    <x v="0"/>
    <x v="4"/>
    <s v="ELIMINAR"/>
    <s v="R 13"/>
    <n v="3.1830000000000003"/>
  </r>
  <r>
    <x v="0"/>
    <x v="0"/>
    <x v="0"/>
    <s v="ELIMINAR"/>
    <s v="VG 112"/>
    <n v="10.459"/>
  </r>
  <r>
    <x v="0"/>
    <x v="0"/>
    <x v="1"/>
    <s v="ELIMINAR"/>
    <s v="CL 101"/>
    <n v="5.3460000000000001"/>
  </r>
  <r>
    <x v="0"/>
    <x v="0"/>
    <x v="1"/>
    <s v="ELIMINAR"/>
    <s v="CL 102"/>
    <n v="5.3289999999999997"/>
  </r>
  <r>
    <x v="0"/>
    <x v="0"/>
    <x v="1"/>
    <s v="ELIMINAR"/>
    <s v="CL 103"/>
    <n v="5.7130000000000001"/>
  </r>
  <r>
    <x v="0"/>
    <x v="0"/>
    <x v="1"/>
    <s v="ELIMINAR"/>
    <s v="CL 104"/>
    <n v="5.726"/>
  </r>
  <r>
    <x v="0"/>
    <x v="0"/>
    <x v="1"/>
    <s v="ELIMINAR"/>
    <s v="CL 105"/>
    <n v="5.9080000000000004"/>
  </r>
  <r>
    <x v="0"/>
    <x v="0"/>
    <x v="1"/>
    <s v="ELIMINAR"/>
    <s v="CL 106"/>
    <n v="5.78"/>
  </r>
  <r>
    <x v="0"/>
    <x v="0"/>
    <x v="1"/>
    <s v="ELIMINAR"/>
    <s v="CL 107"/>
    <n v="5.3170000000000002"/>
  </r>
  <r>
    <x v="0"/>
    <x v="0"/>
    <x v="1"/>
    <s v="ELIMINAR"/>
    <s v="CL 108"/>
    <n v="5.3170000000000002"/>
  </r>
  <r>
    <x v="0"/>
    <x v="0"/>
    <x v="5"/>
    <s v="ELIMINAR"/>
    <s v="MURO L 1 N"/>
    <n v="16.361999999999998"/>
  </r>
  <r>
    <x v="0"/>
    <x v="0"/>
    <x v="5"/>
    <s v="ELIMINAR"/>
    <s v="MURO  F 1 N"/>
    <n v="1.9799999999999998"/>
  </r>
  <r>
    <x v="0"/>
    <x v="0"/>
    <x v="5"/>
    <s v="ELIMINAR"/>
    <s v="MURO LI 1 N"/>
    <n v="6.9390000000000009"/>
  </r>
  <r>
    <x v="0"/>
    <x v="0"/>
    <x v="5"/>
    <s v="ELIMINAR"/>
    <s v="MURO P 1 N"/>
    <n v="8.64"/>
  </r>
  <r>
    <x v="0"/>
    <x v="2"/>
    <x v="1"/>
    <s v="ELIMINAR"/>
    <s v="CL 601"/>
    <n v="5.984"/>
  </r>
  <r>
    <x v="0"/>
    <x v="2"/>
    <x v="1"/>
    <s v="ELIMINAR"/>
    <s v="CL 602"/>
    <n v="5.984"/>
  </r>
  <r>
    <x v="0"/>
    <x v="2"/>
    <x v="1"/>
    <s v="ELIMINAR"/>
    <s v="CL 603"/>
    <n v="5.984"/>
  </r>
  <r>
    <x v="0"/>
    <x v="2"/>
    <x v="1"/>
    <s v="ELIMINAR"/>
    <s v="CL 604"/>
    <n v="5.984"/>
  </r>
  <r>
    <x v="0"/>
    <x v="2"/>
    <x v="1"/>
    <s v="ELIMINAR"/>
    <s v="CL 605"/>
    <n v="5.984"/>
  </r>
  <r>
    <x v="0"/>
    <x v="2"/>
    <x v="1"/>
    <s v="ELIMINAR"/>
    <s v="CL 606"/>
    <n v="5.984"/>
  </r>
  <r>
    <x v="0"/>
    <x v="2"/>
    <x v="1"/>
    <s v="ELIMINAR"/>
    <s v="CL 608"/>
    <n v="7.181"/>
  </r>
  <r>
    <x v="0"/>
    <x v="2"/>
    <x v="1"/>
    <s v="ELIMINAR"/>
    <s v="CL 609"/>
    <n v="5.984"/>
  </r>
  <r>
    <x v="0"/>
    <x v="2"/>
    <x v="1"/>
    <s v="ELIMINAR"/>
    <s v="CL 610"/>
    <n v="5.9180000000000001"/>
  </r>
  <r>
    <x v="0"/>
    <x v="2"/>
    <x v="0"/>
    <s v="ELIMINAR"/>
    <s v="VG 506"/>
    <n v="8.1639999999999997"/>
  </r>
  <r>
    <x v="0"/>
    <x v="2"/>
    <x v="0"/>
    <s v="ELIMINAR"/>
    <s v="VG 507"/>
    <n v="6.21"/>
  </r>
  <r>
    <x v="0"/>
    <x v="2"/>
    <x v="0"/>
    <s v="ELIMINAR"/>
    <s v="VG 508"/>
    <n v="4.6890000000000001"/>
  </r>
  <r>
    <x v="0"/>
    <x v="2"/>
    <x v="0"/>
    <s v="ELIMINAR"/>
    <s v="VG 509"/>
    <n v="2.9969999999999999"/>
  </r>
  <r>
    <x v="0"/>
    <x v="2"/>
    <x v="0"/>
    <s v="ELIMINAR"/>
    <s v="VG 510"/>
    <n v="1.3839999999999999"/>
  </r>
  <r>
    <x v="0"/>
    <x v="2"/>
    <x v="2"/>
    <s v="ELIMINAR"/>
    <s v="VT 529 2"/>
    <n v="0.44800000000000001"/>
  </r>
  <r>
    <x v="0"/>
    <x v="2"/>
    <x v="0"/>
    <s v="ELIMINAR"/>
    <s v="VG 515"/>
    <n v="15.651999999999999"/>
  </r>
  <r>
    <x v="0"/>
    <x v="2"/>
    <x v="0"/>
    <s v="ELIMINAR"/>
    <s v="VG 511"/>
    <n v="3.8290000000000002"/>
  </r>
  <r>
    <x v="0"/>
    <x v="2"/>
    <x v="0"/>
    <s v="ELIMINAR"/>
    <s v="VG 512"/>
    <n v="8.8360000000000003"/>
  </r>
  <r>
    <x v="0"/>
    <x v="2"/>
    <x v="1"/>
    <s v="ELIMINAR"/>
    <s v="CL 501"/>
    <n v="5.766"/>
  </r>
  <r>
    <x v="0"/>
    <x v="2"/>
    <x v="1"/>
    <s v="ELIMINAR"/>
    <s v="CL 502"/>
    <n v="5.766"/>
  </r>
  <r>
    <x v="0"/>
    <x v="2"/>
    <x v="1"/>
    <s v="ELIMINAR"/>
    <s v="CL 503"/>
    <n v="5.766"/>
  </r>
  <r>
    <x v="0"/>
    <x v="2"/>
    <x v="1"/>
    <s v="ELIMINAR"/>
    <s v="CL 504"/>
    <n v="5.766"/>
  </r>
  <r>
    <x v="0"/>
    <x v="2"/>
    <x v="1"/>
    <s v="ELIMINAR"/>
    <s v="CL 505"/>
    <n v="5.766"/>
  </r>
  <r>
    <x v="0"/>
    <x v="2"/>
    <x v="1"/>
    <s v="ELIMINAR"/>
    <s v="CL 506"/>
    <n v="5.766"/>
  </r>
  <r>
    <x v="0"/>
    <x v="2"/>
    <x v="1"/>
    <s v="ELIMINAR"/>
    <s v="CL 507"/>
    <n v="5.766"/>
  </r>
  <r>
    <x v="0"/>
    <x v="2"/>
    <x v="1"/>
    <s v="ELIMINAR"/>
    <s v="CL 508"/>
    <n v="6.92"/>
  </r>
  <r>
    <x v="0"/>
    <x v="2"/>
    <x v="0"/>
    <s v="ELIMINAR"/>
    <s v="VG 406"/>
    <n v="8.1639999999999997"/>
  </r>
  <r>
    <x v="0"/>
    <x v="2"/>
    <x v="0"/>
    <s v="ELIMINAR"/>
    <s v="VG 407"/>
    <n v="6.21"/>
  </r>
  <r>
    <x v="0"/>
    <x v="2"/>
    <x v="0"/>
    <s v="ELIMINAR"/>
    <s v="VG 408"/>
    <n v="4.6890000000000001"/>
  </r>
  <r>
    <x v="0"/>
    <x v="2"/>
    <x v="0"/>
    <s v="ELIMINAR"/>
    <s v="VG 409"/>
    <n v="2.9969999999999999"/>
  </r>
  <r>
    <x v="0"/>
    <x v="2"/>
    <x v="0"/>
    <s v="ELIMINAR"/>
    <s v="VG 410"/>
    <n v="1.3839999999999999"/>
  </r>
  <r>
    <x v="0"/>
    <x v="2"/>
    <x v="2"/>
    <s v="ELIMINAR"/>
    <s v="VT 429 2"/>
    <n v="0.44800000000000001"/>
  </r>
  <r>
    <x v="0"/>
    <x v="2"/>
    <x v="0"/>
    <s v="ELIMINAR"/>
    <s v="VG 415"/>
    <n v="15.651999999999999"/>
  </r>
  <r>
    <x v="0"/>
    <x v="2"/>
    <x v="0"/>
    <s v="ELIMINAR"/>
    <s v="VG 411"/>
    <n v="3.8290000000000002"/>
  </r>
  <r>
    <x v="0"/>
    <x v="2"/>
    <x v="0"/>
    <s v="ELIMINAR"/>
    <s v="VG 412"/>
    <n v="8.8360000000000003"/>
  </r>
  <r>
    <x v="0"/>
    <x v="2"/>
    <x v="1"/>
    <s v="ELIMINAR"/>
    <s v="CL 401"/>
    <n v="5.78"/>
  </r>
  <r>
    <x v="0"/>
    <x v="2"/>
    <x v="1"/>
    <s v="ELIMINAR"/>
    <s v="CL 402"/>
    <n v="5.78"/>
  </r>
  <r>
    <x v="0"/>
    <x v="2"/>
    <x v="1"/>
    <s v="ELIMINAR"/>
    <s v="CL 403"/>
    <n v="5.78"/>
  </r>
  <r>
    <x v="0"/>
    <x v="2"/>
    <x v="1"/>
    <s v="ELIMINAR"/>
    <s v="CL 404"/>
    <n v="5.78"/>
  </r>
  <r>
    <x v="0"/>
    <x v="2"/>
    <x v="1"/>
    <s v="ELIMINAR"/>
    <s v="CL 405"/>
    <n v="5.78"/>
  </r>
  <r>
    <x v="0"/>
    <x v="2"/>
    <x v="1"/>
    <s v="ELIMINAR"/>
    <s v="CL 406"/>
    <n v="5.78"/>
  </r>
  <r>
    <x v="0"/>
    <x v="2"/>
    <x v="1"/>
    <s v="ELIMINAR"/>
    <s v="CL 407"/>
    <n v="5.78"/>
  </r>
  <r>
    <x v="0"/>
    <x v="2"/>
    <x v="1"/>
    <s v="ELIMINAR"/>
    <s v="CL 408"/>
    <n v="6.9359999999999999"/>
  </r>
  <r>
    <x v="0"/>
    <x v="2"/>
    <x v="5"/>
    <s v="ELIMINAR"/>
    <s v="MURO L 4 S"/>
    <n v="17.384625"/>
  </r>
  <r>
    <x v="0"/>
    <x v="2"/>
    <x v="5"/>
    <s v="ELIMINAR"/>
    <s v="MURO  F 4 S"/>
    <n v="2.1037499999999998"/>
  </r>
  <r>
    <x v="0"/>
    <x v="2"/>
    <x v="5"/>
    <s v="ELIMINAR"/>
    <s v="MURO LI 4 S"/>
    <n v="7.3726875000000005"/>
  </r>
  <r>
    <x v="0"/>
    <x v="2"/>
    <x v="5"/>
    <s v="ELIMINAR"/>
    <s v="MURO P 4 S"/>
    <n v="9.2015999999999991"/>
  </r>
  <r>
    <x v="0"/>
    <x v="2"/>
    <x v="3"/>
    <s v="ELIMINAR"/>
    <s v="PL3 1 S"/>
    <n v="17.779199999999999"/>
  </r>
  <r>
    <x v="0"/>
    <x v="2"/>
    <x v="0"/>
    <s v="ELIMINAR"/>
    <s v="VG 306"/>
    <n v="9.4269999999999996"/>
  </r>
  <r>
    <x v="0"/>
    <x v="2"/>
    <x v="2"/>
    <s v="ELIMINAR"/>
    <s v="VT 305"/>
    <n v="1.2290000000000001"/>
  </r>
  <r>
    <x v="0"/>
    <x v="2"/>
    <x v="2"/>
    <s v="ELIMINAR"/>
    <s v="VT 308"/>
    <n v="1.2270000000000001"/>
  </r>
  <r>
    <x v="0"/>
    <x v="2"/>
    <x v="2"/>
    <s v="ELIMINAR"/>
    <s v="VT 309"/>
    <n v="1.2250000000000001"/>
  </r>
  <r>
    <x v="0"/>
    <x v="2"/>
    <x v="2"/>
    <s v="ELIMINAR"/>
    <s v="VT 310"/>
    <n v="1.2230000000000001"/>
  </r>
  <r>
    <x v="0"/>
    <x v="2"/>
    <x v="2"/>
    <s v="ELIMINAR"/>
    <s v="VT 311"/>
    <n v="1.2210000000000001"/>
  </r>
  <r>
    <x v="0"/>
    <x v="2"/>
    <x v="2"/>
    <s v="ELIMINAR"/>
    <s v="VT 312"/>
    <n v="1.2190000000000001"/>
  </r>
  <r>
    <x v="0"/>
    <x v="2"/>
    <x v="0"/>
    <s v="ELIMINAR"/>
    <s v="VG 307"/>
    <n v="5.931"/>
  </r>
  <r>
    <x v="0"/>
    <x v="2"/>
    <x v="2"/>
    <s v="ELIMINAR"/>
    <s v="VT 313"/>
    <n v="1.1910000000000001"/>
  </r>
  <r>
    <x v="0"/>
    <x v="2"/>
    <x v="2"/>
    <s v="ELIMINAR"/>
    <s v="VT 314"/>
    <n v="1.143"/>
  </r>
  <r>
    <x v="0"/>
    <x v="2"/>
    <x v="2"/>
    <s v="ELIMINAR"/>
    <s v="VT 315"/>
    <n v="1.0940000000000001"/>
  </r>
  <r>
    <x v="0"/>
    <x v="2"/>
    <x v="2"/>
    <s v="ELIMINAR"/>
    <s v="VT 316"/>
    <n v="1.046"/>
  </r>
  <r>
    <x v="0"/>
    <x v="2"/>
    <x v="2"/>
    <s v="ELIMINAR"/>
    <s v="VT 317"/>
    <n v="0.997"/>
  </r>
  <r>
    <x v="0"/>
    <x v="2"/>
    <x v="0"/>
    <s v="ELIMINAR"/>
    <s v="VG 308"/>
    <n v="5.6760000000000002"/>
  </r>
  <r>
    <x v="0"/>
    <x v="2"/>
    <x v="2"/>
    <s v="ELIMINAR"/>
    <s v="VT 318"/>
    <n v="0.877"/>
  </r>
  <r>
    <x v="0"/>
    <x v="2"/>
    <x v="2"/>
    <s v="ELIMINAR"/>
    <s v="VT 319"/>
    <n v="0.84299999999999997"/>
  </r>
  <r>
    <x v="0"/>
    <x v="2"/>
    <x v="2"/>
    <s v="ELIMINAR"/>
    <s v="VT 320"/>
    <n v="0.79200000000000004"/>
  </r>
  <r>
    <x v="0"/>
    <x v="2"/>
    <x v="2"/>
    <s v="ELIMINAR"/>
    <s v="VT 321"/>
    <n v="0.74099999999999999"/>
  </r>
  <r>
    <x v="0"/>
    <x v="2"/>
    <x v="2"/>
    <s v="ELIMINAR"/>
    <s v="VT 322"/>
    <n v="0.69099999999999995"/>
  </r>
  <r>
    <x v="0"/>
    <x v="2"/>
    <x v="0"/>
    <s v="ELIMINAR"/>
    <s v="VG 309"/>
    <n v="2.9060000000000001"/>
  </r>
  <r>
    <x v="0"/>
    <x v="2"/>
    <x v="2"/>
    <s v="ELIMINAR"/>
    <s v="VT 323"/>
    <n v="0.58199999999999996"/>
  </r>
  <r>
    <x v="0"/>
    <x v="2"/>
    <x v="2"/>
    <s v="ELIMINAR"/>
    <s v="VT 324"/>
    <n v="0.53200000000000003"/>
  </r>
  <r>
    <x v="0"/>
    <x v="2"/>
    <x v="2"/>
    <s v="ELIMINAR"/>
    <s v="VT 325"/>
    <n v="0.48099999999999998"/>
  </r>
  <r>
    <x v="0"/>
    <x v="2"/>
    <x v="2"/>
    <s v="ELIMINAR"/>
    <s v="VT 326"/>
    <n v="0.433"/>
  </r>
  <r>
    <x v="0"/>
    <x v="2"/>
    <x v="2"/>
    <s v="ELIMINAR"/>
    <s v="VT 327"/>
    <n v="0.39600000000000002"/>
  </r>
  <r>
    <x v="0"/>
    <x v="2"/>
    <x v="0"/>
    <s v="ELIMINAR"/>
    <s v="VG 310"/>
    <n v="1.3140000000000001"/>
  </r>
  <r>
    <x v="0"/>
    <x v="2"/>
    <x v="2"/>
    <s v="ELIMINAR"/>
    <s v="VT 328"/>
    <n v="0.26600000000000001"/>
  </r>
  <r>
    <x v="0"/>
    <x v="2"/>
    <x v="2"/>
    <s v="ELIMINAR"/>
    <s v="VT 328"/>
    <n v="0.247"/>
  </r>
  <r>
    <x v="0"/>
    <x v="2"/>
    <x v="2"/>
    <s v="ELIMINAR"/>
    <s v="VT 329"/>
    <n v="0.27700000000000002"/>
  </r>
  <r>
    <x v="0"/>
    <x v="2"/>
    <x v="0"/>
    <s v="ELIMINAR"/>
    <s v="VG 315"/>
    <n v="15.566000000000001"/>
  </r>
  <r>
    <x v="0"/>
    <x v="2"/>
    <x v="0"/>
    <s v="ELIMINAR"/>
    <s v="VG 311"/>
    <n v="4.7270000000000003"/>
  </r>
  <r>
    <x v="0"/>
    <x v="2"/>
    <x v="4"/>
    <s v="ELIMINAR"/>
    <s v="R 34"/>
    <n v="2.02"/>
  </r>
  <r>
    <x v="0"/>
    <x v="2"/>
    <x v="4"/>
    <s v="ELIMINAR"/>
    <s v="R 33"/>
    <n v="3.0999999999999996"/>
  </r>
  <r>
    <x v="0"/>
    <x v="2"/>
    <x v="0"/>
    <s v="ELIMINAR"/>
    <s v="VG 312"/>
    <n v="8.8360000000000003"/>
  </r>
  <r>
    <x v="0"/>
    <x v="2"/>
    <x v="1"/>
    <s v="ELIMINAR"/>
    <s v="CL 301"/>
    <n v="6.0659999999999998"/>
  </r>
  <r>
    <x v="0"/>
    <x v="2"/>
    <x v="1"/>
    <s v="ELIMINAR"/>
    <s v="CL 302"/>
    <n v="6.0659999999999998"/>
  </r>
  <r>
    <x v="0"/>
    <x v="2"/>
    <x v="1"/>
    <s v="ELIMINAR"/>
    <s v="CL 303"/>
    <n v="6.0659999999999998"/>
  </r>
  <r>
    <x v="0"/>
    <x v="2"/>
    <x v="1"/>
    <s v="ELIMINAR"/>
    <s v="CL 304"/>
    <n v="6.0659999999999998"/>
  </r>
  <r>
    <x v="0"/>
    <x v="2"/>
    <x v="1"/>
    <s v="ELIMINAR"/>
    <s v="CL 305"/>
    <n v="6.0659999999999998"/>
  </r>
  <r>
    <x v="0"/>
    <x v="2"/>
    <x v="1"/>
    <s v="ELIMINAR"/>
    <s v="CL 306"/>
    <n v="6.0659999999999998"/>
  </r>
  <r>
    <x v="0"/>
    <x v="2"/>
    <x v="1"/>
    <s v="ELIMINAR"/>
    <s v="CL 307"/>
    <n v="6.0659999999999998"/>
  </r>
  <r>
    <x v="0"/>
    <x v="2"/>
    <x v="1"/>
    <s v="ELIMINAR"/>
    <s v="CL 308"/>
    <n v="7.2619999999999996"/>
  </r>
  <r>
    <x v="0"/>
    <x v="2"/>
    <x v="5"/>
    <s v="ELIMINAR"/>
    <s v="MURO L 3 S"/>
    <n v="18.24363"/>
  </r>
  <r>
    <x v="0"/>
    <x v="2"/>
    <x v="5"/>
    <s v="ELIMINAR"/>
    <s v="MURO  F 3 S"/>
    <n v="2.2077"/>
  </r>
  <r>
    <x v="0"/>
    <x v="2"/>
    <x v="5"/>
    <s v="ELIMINAR"/>
    <s v="MURO LI 3 S"/>
    <n v="7.7369849999999998"/>
  </r>
  <r>
    <x v="0"/>
    <x v="2"/>
    <x v="5"/>
    <s v="ELIMINAR"/>
    <s v="MURO P 3 S"/>
    <n v="9.6335999999999995"/>
  </r>
  <r>
    <x v="0"/>
    <x v="2"/>
    <x v="3"/>
    <s v="ELIMINAR"/>
    <s v="PL2 1 S"/>
    <n v="17.779199999999999"/>
  </r>
  <r>
    <x v="0"/>
    <x v="2"/>
    <x v="0"/>
    <s v="ELIMINAR"/>
    <s v="VG 206"/>
    <n v="9.4269999999999996"/>
  </r>
  <r>
    <x v="0"/>
    <x v="2"/>
    <x v="2"/>
    <s v="ELIMINAR"/>
    <s v="VT 205"/>
    <n v="1.2290000000000001"/>
  </r>
  <r>
    <x v="0"/>
    <x v="2"/>
    <x v="2"/>
    <s v="ELIMINAR"/>
    <s v="VT 208"/>
    <n v="1.2270000000000001"/>
  </r>
  <r>
    <x v="0"/>
    <x v="2"/>
    <x v="2"/>
    <s v="ELIMINAR"/>
    <s v="VT 209"/>
    <n v="1.2250000000000001"/>
  </r>
  <r>
    <x v="0"/>
    <x v="2"/>
    <x v="2"/>
    <s v="ELIMINAR"/>
    <s v="VT 210"/>
    <n v="1.2230000000000001"/>
  </r>
  <r>
    <x v="0"/>
    <x v="2"/>
    <x v="2"/>
    <s v="ELIMINAR"/>
    <s v="VT 211"/>
    <n v="1.2210000000000001"/>
  </r>
  <r>
    <x v="0"/>
    <x v="2"/>
    <x v="2"/>
    <s v="ELIMINAR"/>
    <s v="VT 212"/>
    <n v="1.2190000000000001"/>
  </r>
  <r>
    <x v="0"/>
    <x v="2"/>
    <x v="0"/>
    <s v="ELIMINAR"/>
    <s v="VG 207"/>
    <n v="5.931"/>
  </r>
  <r>
    <x v="0"/>
    <x v="2"/>
    <x v="2"/>
    <s v="ELIMINAR"/>
    <s v="VT 213"/>
    <n v="1.1910000000000001"/>
  </r>
  <r>
    <x v="0"/>
    <x v="2"/>
    <x v="2"/>
    <s v="ELIMINAR"/>
    <s v="VT 214"/>
    <n v="1.143"/>
  </r>
  <r>
    <x v="0"/>
    <x v="2"/>
    <x v="2"/>
    <s v="ELIMINAR"/>
    <s v="VT 215"/>
    <n v="1.0940000000000001"/>
  </r>
  <r>
    <x v="0"/>
    <x v="2"/>
    <x v="2"/>
    <s v="ELIMINAR"/>
    <s v="VT 216"/>
    <n v="1.046"/>
  </r>
  <r>
    <x v="0"/>
    <x v="2"/>
    <x v="2"/>
    <s v="ELIMINAR"/>
    <s v="VT 217"/>
    <n v="0.997"/>
  </r>
  <r>
    <x v="0"/>
    <x v="2"/>
    <x v="0"/>
    <s v="ELIMINAR"/>
    <s v="VG 208"/>
    <n v="5.6760000000000002"/>
  </r>
  <r>
    <x v="0"/>
    <x v="2"/>
    <x v="2"/>
    <s v="ELIMINAR"/>
    <s v="VT 218"/>
    <n v="0.877"/>
  </r>
  <r>
    <x v="0"/>
    <x v="2"/>
    <x v="2"/>
    <s v="ELIMINAR"/>
    <s v="VT 219"/>
    <n v="0.84299999999999997"/>
  </r>
  <r>
    <x v="0"/>
    <x v="2"/>
    <x v="2"/>
    <s v="ELIMINAR"/>
    <s v="VT 220"/>
    <n v="0.79200000000000004"/>
  </r>
  <r>
    <x v="0"/>
    <x v="2"/>
    <x v="2"/>
    <s v="ELIMINAR"/>
    <s v="VT 221"/>
    <n v="0.74099999999999999"/>
  </r>
  <r>
    <x v="0"/>
    <x v="2"/>
    <x v="2"/>
    <s v="ELIMINAR"/>
    <s v="VT 222"/>
    <n v="0.69099999999999995"/>
  </r>
  <r>
    <x v="0"/>
    <x v="2"/>
    <x v="0"/>
    <s v="ELIMINAR"/>
    <s v="VG 209"/>
    <n v="2.9060000000000001"/>
  </r>
  <r>
    <x v="0"/>
    <x v="2"/>
    <x v="2"/>
    <s v="ELIMINAR"/>
    <s v="VT 223"/>
    <n v="0.58199999999999996"/>
  </r>
  <r>
    <x v="0"/>
    <x v="2"/>
    <x v="2"/>
    <s v="ELIMINAR"/>
    <s v="VT 224"/>
    <n v="0.53200000000000003"/>
  </r>
  <r>
    <x v="0"/>
    <x v="2"/>
    <x v="2"/>
    <s v="ELIMINAR"/>
    <s v="VT 225"/>
    <n v="0.48099999999999998"/>
  </r>
  <r>
    <x v="0"/>
    <x v="2"/>
    <x v="2"/>
    <s v="ELIMINAR"/>
    <s v="VT 226"/>
    <n v="0.433"/>
  </r>
  <r>
    <x v="0"/>
    <x v="2"/>
    <x v="2"/>
    <s v="ELIMINAR"/>
    <s v="VT 227"/>
    <n v="0.39600000000000002"/>
  </r>
  <r>
    <x v="0"/>
    <x v="2"/>
    <x v="0"/>
    <s v="ELIMINAR"/>
    <s v="VG 210"/>
    <n v="1.3140000000000001"/>
  </r>
  <r>
    <x v="0"/>
    <x v="2"/>
    <x v="2"/>
    <s v="ELIMINAR"/>
    <s v="VT 228"/>
    <n v="0.26600000000000001"/>
  </r>
  <r>
    <x v="0"/>
    <x v="2"/>
    <x v="2"/>
    <s v="ELIMINAR"/>
    <s v="VT 228"/>
    <n v="0.247"/>
  </r>
  <r>
    <x v="0"/>
    <x v="2"/>
    <x v="2"/>
    <s v="ELIMINAR"/>
    <s v="VT 229"/>
    <n v="0.27700000000000002"/>
  </r>
  <r>
    <x v="0"/>
    <x v="2"/>
    <x v="0"/>
    <s v="ELIMINAR"/>
    <s v="VG 215"/>
    <n v="15.566000000000001"/>
  </r>
  <r>
    <x v="0"/>
    <x v="2"/>
    <x v="0"/>
    <s v="ELIMINAR"/>
    <s v="VG 211"/>
    <n v="4.7270000000000003"/>
  </r>
  <r>
    <x v="0"/>
    <x v="2"/>
    <x v="4"/>
    <s v="ELIMINAR"/>
    <s v="R 24"/>
    <n v="2.02"/>
  </r>
  <r>
    <x v="0"/>
    <x v="2"/>
    <x v="4"/>
    <s v="ELIMINAR"/>
    <s v="R 23"/>
    <n v="3.0999999999999996"/>
  </r>
  <r>
    <x v="0"/>
    <x v="2"/>
    <x v="0"/>
    <s v="ELIMINAR"/>
    <s v="VG 212"/>
    <n v="8.8360000000000003"/>
  </r>
  <r>
    <x v="0"/>
    <x v="2"/>
    <x v="1"/>
    <s v="ELIMINAR"/>
    <s v="CL 201"/>
    <n v="6.27"/>
  </r>
  <r>
    <x v="0"/>
    <x v="2"/>
    <x v="1"/>
    <s v="ELIMINAR"/>
    <s v="CL 202"/>
    <n v="6.27"/>
  </r>
  <r>
    <x v="0"/>
    <x v="2"/>
    <x v="1"/>
    <s v="ELIMINAR"/>
    <s v="CL 203"/>
    <n v="6.27"/>
  </r>
  <r>
    <x v="0"/>
    <x v="2"/>
    <x v="1"/>
    <s v="ELIMINAR"/>
    <s v="CL 204"/>
    <n v="6.27"/>
  </r>
  <r>
    <x v="0"/>
    <x v="2"/>
    <x v="1"/>
    <s v="ELIMINAR"/>
    <s v="CL 205"/>
    <n v="6.27"/>
  </r>
  <r>
    <x v="0"/>
    <x v="2"/>
    <x v="1"/>
    <s v="ELIMINAR"/>
    <s v="CL 206"/>
    <n v="6.27"/>
  </r>
  <r>
    <x v="0"/>
    <x v="2"/>
    <x v="1"/>
    <s v="ELIMINAR"/>
    <s v="CL 207"/>
    <n v="6.27"/>
  </r>
  <r>
    <x v="0"/>
    <x v="2"/>
    <x v="1"/>
    <s v="ELIMINAR"/>
    <s v="CL 208"/>
    <n v="7.524"/>
  </r>
  <r>
    <x v="0"/>
    <x v="2"/>
    <x v="5"/>
    <s v="ELIMINAR"/>
    <s v="MURO L 2 S"/>
    <n v="18.24363"/>
  </r>
  <r>
    <x v="0"/>
    <x v="2"/>
    <x v="5"/>
    <s v="ELIMINAR"/>
    <s v="MURO  F 2 S"/>
    <n v="2.2077"/>
  </r>
  <r>
    <x v="0"/>
    <x v="2"/>
    <x v="5"/>
    <s v="ELIMINAR"/>
    <s v="MURO LI 2 S"/>
    <n v="7.7369849999999998"/>
  </r>
  <r>
    <x v="0"/>
    <x v="2"/>
    <x v="5"/>
    <s v="ELIMINAR"/>
    <s v="MURO P 2 S"/>
    <n v="9.6335999999999995"/>
  </r>
  <r>
    <x v="0"/>
    <x v="2"/>
    <x v="3"/>
    <s v="ELIMINAR"/>
    <s v="PL1 1 S"/>
    <n v="17.779199999999999"/>
  </r>
  <r>
    <x v="0"/>
    <x v="2"/>
    <x v="0"/>
    <s v="ELIMINAR"/>
    <s v="VG 106"/>
    <n v="9.4269999999999996"/>
  </r>
  <r>
    <x v="0"/>
    <x v="2"/>
    <x v="2"/>
    <s v="ELIMINAR"/>
    <s v="VT 105"/>
    <n v="1.2290000000000001"/>
  </r>
  <r>
    <x v="0"/>
    <x v="2"/>
    <x v="2"/>
    <s v="ELIMINAR"/>
    <s v="VT 108"/>
    <n v="1.2270000000000001"/>
  </r>
  <r>
    <x v="0"/>
    <x v="2"/>
    <x v="2"/>
    <s v="ELIMINAR"/>
    <s v="VT 109"/>
    <n v="1.2250000000000001"/>
  </r>
  <r>
    <x v="0"/>
    <x v="2"/>
    <x v="2"/>
    <s v="ELIMINAR"/>
    <s v="VT 110"/>
    <n v="1.2230000000000001"/>
  </r>
  <r>
    <x v="0"/>
    <x v="2"/>
    <x v="2"/>
    <s v="ELIMINAR"/>
    <s v="VT 111"/>
    <n v="1.2210000000000001"/>
  </r>
  <r>
    <x v="0"/>
    <x v="2"/>
    <x v="2"/>
    <s v="ELIMINAR"/>
    <s v="VT 112"/>
    <n v="1.2190000000000001"/>
  </r>
  <r>
    <x v="0"/>
    <x v="2"/>
    <x v="0"/>
    <s v="ELIMINAR"/>
    <s v="VG 107"/>
    <n v="5.931"/>
  </r>
  <r>
    <x v="0"/>
    <x v="2"/>
    <x v="2"/>
    <s v="ELIMINAR"/>
    <s v="VT 113"/>
    <n v="1.1910000000000001"/>
  </r>
  <r>
    <x v="0"/>
    <x v="2"/>
    <x v="2"/>
    <s v="ELIMINAR"/>
    <s v="VT 114"/>
    <n v="1.143"/>
  </r>
  <r>
    <x v="0"/>
    <x v="2"/>
    <x v="2"/>
    <s v="ELIMINAR"/>
    <s v="VT 115"/>
    <n v="1.0940000000000001"/>
  </r>
  <r>
    <x v="0"/>
    <x v="2"/>
    <x v="2"/>
    <s v="ELIMINAR"/>
    <s v="VT 116"/>
    <n v="1.046"/>
  </r>
  <r>
    <x v="0"/>
    <x v="2"/>
    <x v="2"/>
    <s v="ELIMINAR"/>
    <s v="VT 117"/>
    <n v="0.997"/>
  </r>
  <r>
    <x v="0"/>
    <x v="2"/>
    <x v="0"/>
    <s v="ELIMINAR"/>
    <s v="VG 108"/>
    <n v="5.6760000000000002"/>
  </r>
  <r>
    <x v="0"/>
    <x v="2"/>
    <x v="2"/>
    <s v="ELIMINAR"/>
    <s v="VT 118"/>
    <n v="0.877"/>
  </r>
  <r>
    <x v="0"/>
    <x v="2"/>
    <x v="2"/>
    <s v="ELIMINAR"/>
    <s v="VT 119"/>
    <n v="0.84299999999999997"/>
  </r>
  <r>
    <x v="0"/>
    <x v="2"/>
    <x v="2"/>
    <s v="ELIMINAR"/>
    <s v="VT 120"/>
    <n v="0.79200000000000004"/>
  </r>
  <r>
    <x v="0"/>
    <x v="2"/>
    <x v="2"/>
    <s v="ELIMINAR"/>
    <s v="VT 121"/>
    <n v="0.74099999999999999"/>
  </r>
  <r>
    <x v="0"/>
    <x v="2"/>
    <x v="2"/>
    <s v="ELIMINAR"/>
    <s v="VT 122"/>
    <n v="0.69099999999999995"/>
  </r>
  <r>
    <x v="0"/>
    <x v="2"/>
    <x v="0"/>
    <s v="ELIMINAR"/>
    <s v="VG 109"/>
    <n v="2.9060000000000001"/>
  </r>
  <r>
    <x v="0"/>
    <x v="2"/>
    <x v="2"/>
    <s v="ELIMINAR"/>
    <s v="VT 123"/>
    <n v="0.58199999999999996"/>
  </r>
  <r>
    <x v="0"/>
    <x v="2"/>
    <x v="2"/>
    <s v="ELIMINAR"/>
    <s v="VT 124"/>
    <n v="0.53200000000000003"/>
  </r>
  <r>
    <x v="0"/>
    <x v="2"/>
    <x v="2"/>
    <s v="ELIMINAR"/>
    <s v="VT 125"/>
    <n v="0.48099999999999998"/>
  </r>
  <r>
    <x v="0"/>
    <x v="2"/>
    <x v="2"/>
    <s v="ELIMINAR"/>
    <s v="VT 126"/>
    <n v="0.433"/>
  </r>
  <r>
    <x v="0"/>
    <x v="2"/>
    <x v="2"/>
    <s v="ELIMINAR"/>
    <s v="VT 127"/>
    <n v="0.39600000000000002"/>
  </r>
  <r>
    <x v="0"/>
    <x v="2"/>
    <x v="0"/>
    <s v="ELIMINAR"/>
    <s v="VG 110"/>
    <n v="1.3140000000000001"/>
  </r>
  <r>
    <x v="0"/>
    <x v="2"/>
    <x v="2"/>
    <s v="ELIMINAR"/>
    <s v="VT 128"/>
    <n v="0.26600000000000001"/>
  </r>
  <r>
    <x v="0"/>
    <x v="2"/>
    <x v="2"/>
    <s v="ELIMINAR"/>
    <s v="VT 128"/>
    <n v="0.247"/>
  </r>
  <r>
    <x v="0"/>
    <x v="2"/>
    <x v="2"/>
    <s v="ELIMINAR"/>
    <s v="VT 129"/>
    <n v="0.27700000000000002"/>
  </r>
  <r>
    <x v="0"/>
    <x v="2"/>
    <x v="0"/>
    <s v="ELIMINAR"/>
    <s v="VG 115"/>
    <n v="15.566000000000001"/>
  </r>
  <r>
    <x v="0"/>
    <x v="2"/>
    <x v="0"/>
    <s v="ELIMINAR"/>
    <s v="VG 111"/>
    <n v="4.7270000000000003"/>
  </r>
  <r>
    <x v="0"/>
    <x v="2"/>
    <x v="4"/>
    <s v="ELIMINAR"/>
    <s v="R 14"/>
    <n v="2.02"/>
  </r>
  <r>
    <x v="0"/>
    <x v="2"/>
    <x v="4"/>
    <s v="ELIMINAR"/>
    <s v="R 13"/>
    <n v="3.0999999999999996"/>
  </r>
  <r>
    <x v="0"/>
    <x v="2"/>
    <x v="0"/>
    <s v="ELIMINAR"/>
    <s v="VG 112"/>
    <n v="8.8360000000000003"/>
  </r>
  <r>
    <x v="0"/>
    <x v="2"/>
    <x v="1"/>
    <s v="ELIMINAR"/>
    <s v="CL 101"/>
    <n v="5.399"/>
  </r>
  <r>
    <x v="0"/>
    <x v="2"/>
    <x v="1"/>
    <s v="ELIMINAR"/>
    <s v="CL 102"/>
    <n v="5.399"/>
  </r>
  <r>
    <x v="0"/>
    <x v="2"/>
    <x v="1"/>
    <s v="ELIMINAR"/>
    <s v="CL 103"/>
    <n v="5.399"/>
  </r>
  <r>
    <x v="0"/>
    <x v="2"/>
    <x v="1"/>
    <s v="ELIMINAR"/>
    <s v="CL 104"/>
    <n v="5.399"/>
  </r>
  <r>
    <x v="0"/>
    <x v="2"/>
    <x v="1"/>
    <s v="ELIMINAR"/>
    <s v="CL 105"/>
    <n v="5.399"/>
  </r>
  <r>
    <x v="0"/>
    <x v="2"/>
    <x v="1"/>
    <s v="ELIMINAR"/>
    <s v="CL 106"/>
    <n v="5.399"/>
  </r>
  <r>
    <x v="0"/>
    <x v="2"/>
    <x v="1"/>
    <s v="ELIMINAR"/>
    <s v="CL 107"/>
    <n v="5.399"/>
  </r>
  <r>
    <x v="0"/>
    <x v="2"/>
    <x v="1"/>
    <s v="ELIMINAR"/>
    <s v="CL 108"/>
    <n v="6.3810000000000002"/>
  </r>
  <r>
    <x v="0"/>
    <x v="2"/>
    <x v="5"/>
    <s v="ELIMINAR"/>
    <s v="MURO L 1 S"/>
    <n v="16.361999999999998"/>
  </r>
  <r>
    <x v="0"/>
    <x v="2"/>
    <x v="5"/>
    <s v="ELIMINAR"/>
    <s v="MURO  F 1 S"/>
    <n v="1.9799999999999998"/>
  </r>
  <r>
    <x v="0"/>
    <x v="2"/>
    <x v="5"/>
    <s v="ELIMINAR"/>
    <s v="MURO LI 1 S"/>
    <n v="6.9390000000000009"/>
  </r>
  <r>
    <x v="0"/>
    <x v="2"/>
    <x v="5"/>
    <s v="ELIMINAR"/>
    <s v="MURO P 1 S"/>
    <n v="8.64"/>
  </r>
  <r>
    <x v="0"/>
    <x v="1"/>
    <x v="1"/>
    <s v="ELIMINAR"/>
    <s v="CL 701"/>
    <n v="2.992"/>
  </r>
  <r>
    <x v="0"/>
    <x v="1"/>
    <x v="1"/>
    <s v="ELIMINAR"/>
    <s v="CL 702"/>
    <n v="2.992"/>
  </r>
  <r>
    <x v="0"/>
    <x v="1"/>
    <x v="1"/>
    <s v="ELIMINAR"/>
    <s v="CL 703"/>
    <n v="4.0039999999999996"/>
  </r>
  <r>
    <x v="0"/>
    <x v="1"/>
    <x v="1"/>
    <s v="ELIMINAR"/>
    <s v="CL 704"/>
    <n v="2.2879999999999998"/>
  </r>
  <r>
    <x v="0"/>
    <x v="1"/>
    <x v="1"/>
    <s v="ELIMINAR"/>
    <s v="CL 705"/>
    <n v="2.992"/>
  </r>
  <r>
    <x v="0"/>
    <x v="1"/>
    <x v="1"/>
    <s v="ELIMINAR"/>
    <s v="CL 706"/>
    <n v="2.992"/>
  </r>
  <r>
    <x v="0"/>
    <x v="1"/>
    <x v="1"/>
    <s v="ELIMINAR"/>
    <s v="CL 707"/>
    <n v="2.992"/>
  </r>
  <r>
    <x v="0"/>
    <x v="1"/>
    <x v="1"/>
    <s v="ELIMINAR"/>
    <s v="CL 708"/>
    <n v="2.992"/>
  </r>
  <r>
    <x v="0"/>
    <x v="1"/>
    <x v="1"/>
    <s v="ELIMINAR"/>
    <s v="CL 709"/>
    <n v="2.2879999999999998"/>
  </r>
  <r>
    <x v="0"/>
    <x v="1"/>
    <x v="1"/>
    <s v="ELIMINAR"/>
    <s v="CL 710"/>
    <n v="4.0039999999999996"/>
  </r>
  <r>
    <x v="0"/>
    <x v="1"/>
    <x v="1"/>
    <s v="ELIMINAR"/>
    <s v="CL 711"/>
    <n v="2.992"/>
  </r>
  <r>
    <x v="0"/>
    <x v="1"/>
    <x v="1"/>
    <s v="ELIMINAR"/>
    <s v="CL 712"/>
    <n v="3.2160000000000002"/>
  </r>
  <r>
    <x v="0"/>
    <x v="1"/>
    <x v="3"/>
    <s v="ELIMINAR"/>
    <s v="PL C 6"/>
    <n v="30.98"/>
  </r>
  <r>
    <x v="0"/>
    <x v="1"/>
    <x v="0"/>
    <s v="ELIMINAR"/>
    <s v="VG 702"/>
    <n v="72.728999999999999"/>
  </r>
  <r>
    <x v="0"/>
    <x v="1"/>
    <x v="2"/>
    <s v="ELIMINAR"/>
    <s v="VT 701"/>
    <n v="13.21"/>
  </r>
  <r>
    <x v="0"/>
    <x v="1"/>
    <x v="2"/>
    <s v="ELIMINAR"/>
    <s v="VT 702"/>
    <n v="13.209"/>
  </r>
  <r>
    <x v="0"/>
    <x v="1"/>
    <x v="0"/>
    <s v="ELIMINAR"/>
    <s v="VG 701"/>
    <n v="70.504000000000005"/>
  </r>
  <r>
    <x v="0"/>
    <x v="1"/>
    <x v="0"/>
    <s v="ELIMINAR"/>
    <s v="VGD 1A"/>
    <n v="3.097"/>
  </r>
  <r>
    <x v="0"/>
    <x v="1"/>
    <x v="0"/>
    <s v="ELIMINAR"/>
    <s v="VGD 1B"/>
    <n v="7.234"/>
  </r>
  <r>
    <x v="0"/>
    <x v="1"/>
    <x v="0"/>
    <s v="ELIMINAR"/>
    <s v="VGD 1C"/>
    <n v="2.7909999999999999"/>
  </r>
  <r>
    <x v="0"/>
    <x v="1"/>
    <x v="0"/>
    <s v="ELIMINAR"/>
    <s v="VGD 1D"/>
    <n v="4.1550000000000002"/>
  </r>
  <r>
    <x v="0"/>
    <x v="1"/>
    <x v="2"/>
    <s v="ELIMINAR"/>
    <s v="VT 601 - 633"/>
    <n v="11.946"/>
  </r>
  <r>
    <x v="0"/>
    <x v="1"/>
    <x v="0"/>
    <s v="ELIMINAR"/>
    <s v="VGD H 11"/>
    <n v="4.3730000000000002"/>
  </r>
  <r>
    <x v="0"/>
    <x v="1"/>
    <x v="0"/>
    <s v="ELIMINAR"/>
    <s v="VGD H 12"/>
    <n v="2.266"/>
  </r>
  <r>
    <x v="0"/>
    <x v="1"/>
    <x v="0"/>
    <s v="ELIMINAR"/>
    <s v="VGD H 13"/>
    <n v="2.266"/>
  </r>
  <r>
    <x v="0"/>
    <x v="1"/>
    <x v="0"/>
    <s v="ELIMINAR"/>
    <s v="VGD H 14"/>
    <n v="4.2610000000000001"/>
  </r>
  <r>
    <x v="0"/>
    <x v="1"/>
    <x v="0"/>
    <s v="ELIMINAR"/>
    <s v="VGD 2A"/>
    <n v="6.194"/>
  </r>
  <r>
    <x v="0"/>
    <x v="1"/>
    <x v="0"/>
    <s v="ELIMINAR"/>
    <s v="VGD 2B"/>
    <n v="14.468"/>
  </r>
  <r>
    <x v="0"/>
    <x v="1"/>
    <x v="0"/>
    <s v="ELIMINAR"/>
    <s v="VGD 2C"/>
    <n v="5.5819999999999999"/>
  </r>
  <r>
    <x v="0"/>
    <x v="1"/>
    <x v="0"/>
    <s v="ELIMINAR"/>
    <s v="VGD 2D"/>
    <n v="8.31"/>
  </r>
  <r>
    <x v="0"/>
    <x v="1"/>
    <x v="0"/>
    <s v="ELIMINAR"/>
    <s v="VGD H 21"/>
    <n v="4.1029999999999998"/>
  </r>
  <r>
    <x v="0"/>
    <x v="1"/>
    <x v="0"/>
    <s v="ELIMINAR"/>
    <s v="VGD H 22"/>
    <n v="2.23"/>
  </r>
  <r>
    <x v="0"/>
    <x v="1"/>
    <x v="0"/>
    <s v="ELIMINAR"/>
    <s v="VGD H 23"/>
    <n v="2.2629999999999999"/>
  </r>
  <r>
    <x v="0"/>
    <x v="1"/>
    <x v="0"/>
    <s v="ELIMINAR"/>
    <s v="VGD H 24"/>
    <n v="4.1520000000000001"/>
  </r>
  <r>
    <x v="0"/>
    <x v="1"/>
    <x v="0"/>
    <s v="ELIMINAR"/>
    <s v="VGD 3A"/>
    <n v="3.097"/>
  </r>
  <r>
    <x v="0"/>
    <x v="1"/>
    <x v="0"/>
    <s v="ELIMINAR"/>
    <s v="VGD 3B"/>
    <n v="7.234"/>
  </r>
  <r>
    <x v="0"/>
    <x v="1"/>
    <x v="0"/>
    <s v="ELIMINAR"/>
    <s v="VGD 3C"/>
    <n v="2.7909999999999999"/>
  </r>
  <r>
    <x v="0"/>
    <x v="1"/>
    <x v="0"/>
    <s v="ELIMINAR"/>
    <s v="VGD 3D"/>
    <n v="4.1550000000000002"/>
  </r>
  <r>
    <x v="0"/>
    <x v="1"/>
    <x v="0"/>
    <s v="ELIMINAR"/>
    <s v="VGD 4A"/>
    <n v="3.097"/>
  </r>
  <r>
    <x v="0"/>
    <x v="1"/>
    <x v="0"/>
    <s v="ELIMINAR"/>
    <s v="VGD 4B"/>
    <n v="7.234"/>
  </r>
  <r>
    <x v="0"/>
    <x v="1"/>
    <x v="0"/>
    <s v="ELIMINAR"/>
    <s v="VGD 4C"/>
    <n v="2.7909999999999999"/>
  </r>
  <r>
    <x v="0"/>
    <x v="1"/>
    <x v="0"/>
    <s v="ELIMINAR"/>
    <s v="VGD 4D"/>
    <n v="4.1550000000000002"/>
  </r>
  <r>
    <x v="0"/>
    <x v="1"/>
    <x v="0"/>
    <s v="ELIMINAR"/>
    <s v="VGD H 31"/>
    <n v="4.4009999999999998"/>
  </r>
  <r>
    <x v="0"/>
    <x v="1"/>
    <x v="0"/>
    <s v="ELIMINAR"/>
    <s v="VGD H 32"/>
    <n v="2.254"/>
  </r>
  <r>
    <x v="0"/>
    <x v="1"/>
    <x v="0"/>
    <s v="ELIMINAR"/>
    <s v="VGD H 33"/>
    <n v="2.23"/>
  </r>
  <r>
    <x v="0"/>
    <x v="1"/>
    <x v="0"/>
    <s v="ELIMINAR"/>
    <s v="VGD H 34"/>
    <n v="4.2"/>
  </r>
  <r>
    <x v="0"/>
    <x v="1"/>
    <x v="0"/>
    <s v="ELIMINAR"/>
    <s v="VGD 5A"/>
    <n v="3.097"/>
  </r>
  <r>
    <x v="0"/>
    <x v="1"/>
    <x v="0"/>
    <s v="ELIMINAR"/>
    <s v="VGD 5B"/>
    <n v="7.234"/>
  </r>
  <r>
    <x v="0"/>
    <x v="1"/>
    <x v="0"/>
    <s v="ELIMINAR"/>
    <s v="VGD 5C"/>
    <n v="2.7909999999999999"/>
  </r>
  <r>
    <x v="0"/>
    <x v="1"/>
    <x v="0"/>
    <s v="ELIMINAR"/>
    <s v="VGD 5D"/>
    <n v="4.1550000000000002"/>
  </r>
  <r>
    <x v="0"/>
    <x v="1"/>
    <x v="0"/>
    <s v="ELIMINAR"/>
    <s v="VGD 6A"/>
    <n v="3.097"/>
  </r>
  <r>
    <x v="0"/>
    <x v="1"/>
    <x v="0"/>
    <s v="ELIMINAR"/>
    <s v="VGD 6B"/>
    <n v="7.234"/>
  </r>
  <r>
    <x v="0"/>
    <x v="1"/>
    <x v="0"/>
    <s v="ELIMINAR"/>
    <s v="VGD 6C"/>
    <n v="2.7909999999999999"/>
  </r>
  <r>
    <x v="0"/>
    <x v="1"/>
    <x v="0"/>
    <s v="ELIMINAR"/>
    <s v="VGD 6D"/>
    <n v="4.1550000000000002"/>
  </r>
  <r>
    <x v="0"/>
    <x v="1"/>
    <x v="0"/>
    <s v="ELIMINAR"/>
    <s v="VGD H 41"/>
    <n v="4.298"/>
  </r>
  <r>
    <x v="0"/>
    <x v="1"/>
    <x v="0"/>
    <s v="ELIMINAR"/>
    <s v="VGD H 42"/>
    <n v="2.169"/>
  </r>
  <r>
    <x v="0"/>
    <x v="1"/>
    <x v="0"/>
    <s v="ELIMINAR"/>
    <s v="VGD H 43"/>
    <n v="2.202"/>
  </r>
  <r>
    <x v="0"/>
    <x v="1"/>
    <x v="0"/>
    <s v="ELIMINAR"/>
    <s v="VGD H 44"/>
    <n v="4.1660000000000004"/>
  </r>
  <r>
    <x v="0"/>
    <x v="1"/>
    <x v="0"/>
    <s v="ELIMINAR"/>
    <s v="VGD 7A"/>
    <n v="3.097"/>
  </r>
  <r>
    <x v="0"/>
    <x v="1"/>
    <x v="0"/>
    <s v="ELIMINAR"/>
    <s v="VGD 7B"/>
    <n v="7.234"/>
  </r>
  <r>
    <x v="0"/>
    <x v="1"/>
    <x v="0"/>
    <s v="ELIMINAR"/>
    <s v="VGD 7C"/>
    <n v="2.7909999999999999"/>
  </r>
  <r>
    <x v="0"/>
    <x v="1"/>
    <x v="0"/>
    <s v="ELIMINAR"/>
    <s v="VGD 7D"/>
    <n v="4.1550000000000002"/>
  </r>
  <r>
    <x v="0"/>
    <x v="1"/>
    <x v="0"/>
    <s v="ELIMINAR"/>
    <s v="VGD 8A"/>
    <n v="3.097"/>
  </r>
  <r>
    <x v="0"/>
    <x v="1"/>
    <x v="0"/>
    <s v="ELIMINAR"/>
    <s v="VGD 8B"/>
    <n v="7.234"/>
  </r>
  <r>
    <x v="0"/>
    <x v="1"/>
    <x v="0"/>
    <s v="ELIMINAR"/>
    <s v="VGD 8C"/>
    <n v="2.7909999999999999"/>
  </r>
  <r>
    <x v="0"/>
    <x v="1"/>
    <x v="0"/>
    <s v="ELIMINAR"/>
    <s v="VGD 8D"/>
    <n v="4.1550000000000002"/>
  </r>
  <r>
    <x v="0"/>
    <x v="1"/>
    <x v="0"/>
    <s v="ELIMINAR"/>
    <s v="VGD H 51"/>
    <n v="4.3170000000000002"/>
  </r>
  <r>
    <x v="0"/>
    <x v="1"/>
    <x v="0"/>
    <s v="ELIMINAR"/>
    <s v="VGD H 52"/>
    <n v="2.2519999999999998"/>
  </r>
  <r>
    <x v="0"/>
    <x v="1"/>
    <x v="0"/>
    <s v="ELIMINAR"/>
    <s v="VGD H 53"/>
    <n v="2.238"/>
  </r>
  <r>
    <x v="0"/>
    <x v="1"/>
    <x v="0"/>
    <s v="ELIMINAR"/>
    <s v="VGD H 54"/>
    <n v="4.0830000000000002"/>
  </r>
  <r>
    <x v="0"/>
    <x v="1"/>
    <x v="0"/>
    <s v="ELIMINAR"/>
    <s v="VGD 9A"/>
    <n v="6.194"/>
  </r>
  <r>
    <x v="0"/>
    <x v="1"/>
    <x v="0"/>
    <s v="ELIMINAR"/>
    <s v="VGD 9B"/>
    <n v="14.468"/>
  </r>
  <r>
    <x v="0"/>
    <x v="1"/>
    <x v="0"/>
    <s v="ELIMINAR"/>
    <s v="VGD 9C"/>
    <n v="5.5819999999999999"/>
  </r>
  <r>
    <x v="0"/>
    <x v="1"/>
    <x v="0"/>
    <s v="ELIMINAR"/>
    <s v="VGD 9D"/>
    <n v="8.31"/>
  </r>
  <r>
    <x v="0"/>
    <x v="1"/>
    <x v="0"/>
    <s v="ELIMINAR"/>
    <s v="VGD 10A"/>
    <n v="3.097"/>
  </r>
  <r>
    <x v="0"/>
    <x v="1"/>
    <x v="0"/>
    <s v="ELIMINAR"/>
    <s v="VGD 10B"/>
    <n v="7.234"/>
  </r>
  <r>
    <x v="0"/>
    <x v="1"/>
    <x v="0"/>
    <s v="ELIMINAR"/>
    <s v="VGD 10C"/>
    <n v="2.7909999999999999"/>
  </r>
  <r>
    <x v="0"/>
    <x v="1"/>
    <x v="0"/>
    <s v="ELIMINAR"/>
    <s v="VGD 10D"/>
    <n v="4.1550000000000002"/>
  </r>
  <r>
    <x v="0"/>
    <x v="1"/>
    <x v="0"/>
    <s v="ELIMINAR"/>
    <s v="VGD H 61"/>
    <n v="4.5339999999999998"/>
  </r>
  <r>
    <x v="0"/>
    <x v="1"/>
    <x v="0"/>
    <s v="ELIMINAR"/>
    <s v="VGD H 62"/>
    <n v="2.2570000000000001"/>
  </r>
  <r>
    <x v="0"/>
    <x v="1"/>
    <x v="0"/>
    <s v="ELIMINAR"/>
    <s v="VGD H 63"/>
    <n v="2.2589999999999999"/>
  </r>
  <r>
    <x v="0"/>
    <x v="1"/>
    <x v="0"/>
    <s v="ELIMINAR"/>
    <s v="VGD H 64"/>
    <n v="4.3680000000000003"/>
  </r>
  <r>
    <x v="0"/>
    <x v="1"/>
    <x v="0"/>
    <s v="ELIMINAR"/>
    <s v="VGD 11A"/>
    <n v="3.097"/>
  </r>
  <r>
    <x v="0"/>
    <x v="1"/>
    <x v="0"/>
    <s v="ELIMINAR"/>
    <s v="VGD 11B"/>
    <n v="7.234"/>
  </r>
  <r>
    <x v="0"/>
    <x v="1"/>
    <x v="0"/>
    <s v="ELIMINAR"/>
    <s v="VGD 11C"/>
    <n v="2.7909999999999999"/>
  </r>
  <r>
    <x v="0"/>
    <x v="1"/>
    <x v="0"/>
    <s v="ELIMINAR"/>
    <s v="VGD 11D"/>
    <n v="4.1550000000000002"/>
  </r>
  <r>
    <x v="0"/>
    <x v="1"/>
    <x v="1"/>
    <s v="ELIMINAR"/>
    <s v="CL 701"/>
    <n v="5.984"/>
  </r>
  <r>
    <x v="0"/>
    <x v="1"/>
    <x v="1"/>
    <s v="ELIMINAR"/>
    <s v="CL 702"/>
    <n v="5.984"/>
  </r>
  <r>
    <x v="0"/>
    <x v="1"/>
    <x v="1"/>
    <s v="ELIMINAR"/>
    <s v="CL 703"/>
    <n v="8.0079999999999991"/>
  </r>
  <r>
    <x v="0"/>
    <x v="1"/>
    <x v="1"/>
    <s v="ELIMINAR"/>
    <s v="CL 704"/>
    <n v="4.5759999999999996"/>
  </r>
  <r>
    <x v="0"/>
    <x v="1"/>
    <x v="1"/>
    <s v="ELIMINAR"/>
    <s v="CL 705"/>
    <n v="5.984"/>
  </r>
  <r>
    <x v="0"/>
    <x v="1"/>
    <x v="1"/>
    <s v="ELIMINAR"/>
    <s v="CL 706"/>
    <n v="5.984"/>
  </r>
  <r>
    <x v="0"/>
    <x v="1"/>
    <x v="1"/>
    <s v="ELIMINAR"/>
    <s v="CL 707"/>
    <n v="5.984"/>
  </r>
  <r>
    <x v="0"/>
    <x v="1"/>
    <x v="1"/>
    <s v="ELIMINAR"/>
    <s v="CL 708"/>
    <n v="5.984"/>
  </r>
  <r>
    <x v="0"/>
    <x v="1"/>
    <x v="1"/>
    <s v="ELIMINAR"/>
    <s v="CL 709"/>
    <n v="4.5759999999999996"/>
  </r>
  <r>
    <x v="0"/>
    <x v="1"/>
    <x v="1"/>
    <s v="ELIMINAR"/>
    <s v="CL 710"/>
    <n v="8.0079999999999991"/>
  </r>
  <r>
    <x v="0"/>
    <x v="1"/>
    <x v="1"/>
    <s v="ELIMINAR"/>
    <s v="CL 711"/>
    <n v="5.984"/>
  </r>
  <r>
    <x v="0"/>
    <x v="1"/>
    <x v="1"/>
    <s v="ELIMINAR"/>
    <s v="CL 712"/>
    <n v="6.4329999999999998"/>
  </r>
  <r>
    <x v="0"/>
    <x v="1"/>
    <x v="1"/>
    <s v="ELIMINAR"/>
    <s v="CL 713"/>
    <n v="6.4329999999999998"/>
  </r>
  <r>
    <x v="0"/>
    <x v="1"/>
    <x v="1"/>
    <s v="ELIMINAR"/>
    <s v="CL 714"/>
    <n v="2.72"/>
  </r>
  <r>
    <x v="0"/>
    <x v="1"/>
    <x v="1"/>
    <s v="ELIMINAR"/>
    <s v="CL 715"/>
    <n v="3.64"/>
  </r>
  <r>
    <x v="0"/>
    <x v="1"/>
    <x v="1"/>
    <s v="ELIMINAR"/>
    <s v="CL 716"/>
    <n v="2.907"/>
  </r>
  <r>
    <x v="0"/>
    <x v="1"/>
    <x v="1"/>
    <s v="ELIMINAR"/>
    <s v="CL 717"/>
    <n v="2.38"/>
  </r>
  <r>
    <x v="0"/>
    <x v="1"/>
    <x v="1"/>
    <s v="ELIMINAR"/>
    <s v="CL 718"/>
    <n v="2.3180000000000001"/>
  </r>
  <r>
    <x v="0"/>
    <x v="1"/>
    <x v="1"/>
    <s v="ELIMINAR"/>
    <s v="CL 719"/>
    <n v="2.2850000000000001"/>
  </r>
  <r>
    <x v="0"/>
    <x v="1"/>
    <x v="1"/>
    <s v="ELIMINAR"/>
    <s v="CL 720"/>
    <n v="2.6880000000000002"/>
  </r>
  <r>
    <x v="0"/>
    <x v="1"/>
    <x v="1"/>
    <s v="ELIMINAR"/>
    <s v="CL 721"/>
    <n v="2.72"/>
  </r>
  <r>
    <x v="0"/>
    <x v="1"/>
    <x v="1"/>
    <s v="ELIMINAR"/>
    <s v="CL 722"/>
    <n v="4.0920000000000005"/>
  </r>
  <r>
    <x v="0"/>
    <x v="1"/>
    <x v="1"/>
    <s v="ELIMINAR"/>
    <s v="CL 723"/>
    <n v="2.72"/>
  </r>
  <r>
    <x v="0"/>
    <x v="1"/>
    <x v="1"/>
    <s v="ELIMINAR"/>
    <s v="CL 724"/>
    <n v="2.72"/>
  </r>
  <r>
    <x v="0"/>
    <x v="3"/>
    <x v="0"/>
    <s v="ELIMINAR"/>
    <s v="VG P2 1"/>
    <n v="59.017999999999972"/>
  </r>
  <r>
    <x v="0"/>
    <x v="3"/>
    <x v="5"/>
    <s v="ELIMINAR"/>
    <s v="ENTRADA 1"/>
    <n v="9.84"/>
  </r>
  <r>
    <x v="0"/>
    <x v="3"/>
    <x v="0"/>
    <s v="ELIMINAR"/>
    <s v="VG P2 2"/>
    <n v="34.557000000000002"/>
  </r>
  <r>
    <x v="0"/>
    <x v="3"/>
    <x v="0"/>
    <s v="ELIMINAR"/>
    <s v="VG P2 3"/>
    <n v="34.054000000000016"/>
  </r>
  <r>
    <x v="0"/>
    <x v="3"/>
    <x v="5"/>
    <s v="ELIMINAR"/>
    <s v="ENTRADA 2"/>
    <n v="9.84"/>
  </r>
  <r>
    <x v="0"/>
    <x v="3"/>
    <x v="0"/>
    <s v="ELIMINAR"/>
    <s v="VG P2 4"/>
    <n v="31.77600000000001"/>
  </r>
  <r>
    <x v="0"/>
    <x v="3"/>
    <x v="0"/>
    <s v="ELIMINAR"/>
    <s v="VG P2 5"/>
    <n v="34.034000000000013"/>
  </r>
  <r>
    <x v="0"/>
    <x v="3"/>
    <x v="5"/>
    <s v="ELIMINAR"/>
    <s v="ENTRADA 3"/>
    <n v="9.84"/>
  </r>
  <r>
    <x v="0"/>
    <x v="3"/>
    <x v="0"/>
    <s v="ELIMINAR"/>
    <s v="VG P2 6"/>
    <n v="34.558000000000007"/>
  </r>
  <r>
    <x v="0"/>
    <x v="3"/>
    <x v="0"/>
    <s v="ELIMINAR"/>
    <s v="VG P2 7"/>
    <n v="31.77600000000001"/>
  </r>
  <r>
    <x v="0"/>
    <x v="3"/>
    <x v="5"/>
    <s v="ELIMINAR"/>
    <s v="ENTRADA 4"/>
    <n v="9.84"/>
  </r>
  <r>
    <x v="0"/>
    <x v="3"/>
    <x v="0"/>
    <s v="ELIMINAR"/>
    <s v="VG P2 8"/>
    <n v="23.426000000000002"/>
  </r>
  <r>
    <x v="0"/>
    <x v="3"/>
    <x v="0"/>
    <s v="ELIMINAR"/>
    <s v="VG P2 9"/>
    <n v="31.77600000000001"/>
  </r>
  <r>
    <x v="0"/>
    <x v="3"/>
    <x v="5"/>
    <s v="ELIMINAR"/>
    <s v="ENTRADA 5"/>
    <n v="9.84"/>
  </r>
  <r>
    <x v="0"/>
    <x v="3"/>
    <x v="0"/>
    <s v="ELIMINAR"/>
    <s v="VG P2 10"/>
    <n v="34.558000000000007"/>
  </r>
  <r>
    <x v="0"/>
    <x v="3"/>
    <x v="0"/>
    <s v="ELIMINAR"/>
    <s v="VG P2 11"/>
    <n v="31.77600000000001"/>
  </r>
  <r>
    <x v="0"/>
    <x v="3"/>
    <x v="5"/>
    <s v="ELIMINAR"/>
    <s v="ENTRADA 6"/>
    <n v="9.84"/>
  </r>
  <r>
    <x v="0"/>
    <x v="3"/>
    <x v="6"/>
    <s v="ELIMINAR"/>
    <s v="ESCALERA GRADAS 1"/>
    <n v="3.54"/>
  </r>
  <r>
    <x v="0"/>
    <x v="3"/>
    <x v="0"/>
    <s v="ELIMINAR"/>
    <s v="VGD2 1A"/>
    <n v="5.6749999999999998"/>
  </r>
  <r>
    <x v="0"/>
    <x v="3"/>
    <x v="0"/>
    <s v="ELIMINAR"/>
    <s v="VGD2 1B"/>
    <n v="5.24"/>
  </r>
  <r>
    <x v="0"/>
    <x v="3"/>
    <x v="0"/>
    <s v="ELIMINAR"/>
    <s v="VGD2 1C"/>
    <n v="0.78900000000000003"/>
  </r>
  <r>
    <x v="0"/>
    <x v="3"/>
    <x v="6"/>
    <s v="ELIMINAR"/>
    <s v="ESCALERA GRADAS 2"/>
    <n v="5.2510000000000003"/>
  </r>
  <r>
    <x v="0"/>
    <x v="3"/>
    <x v="0"/>
    <s v="ELIMINAR"/>
    <s v="VGD2 2A"/>
    <n v="5.6749999999999998"/>
  </r>
  <r>
    <x v="0"/>
    <x v="3"/>
    <x v="0"/>
    <s v="ELIMINAR"/>
    <s v="VGD2 2B"/>
    <n v="5.24"/>
  </r>
  <r>
    <x v="0"/>
    <x v="3"/>
    <x v="0"/>
    <s v="ELIMINAR"/>
    <s v="VGD2 2C"/>
    <n v="0.78900000000000003"/>
  </r>
  <r>
    <x v="0"/>
    <x v="3"/>
    <x v="6"/>
    <s v="ELIMINAR"/>
    <s v="ESCALERA GRADAS 3"/>
    <n v="5.2189999999999994"/>
  </r>
  <r>
    <x v="0"/>
    <x v="3"/>
    <x v="0"/>
    <s v="ELIMINAR"/>
    <s v="VGD2 3A"/>
    <n v="5.6749999999999998"/>
  </r>
  <r>
    <x v="0"/>
    <x v="3"/>
    <x v="0"/>
    <s v="ELIMINAR"/>
    <s v="VGD2 3B"/>
    <n v="5.24"/>
  </r>
  <r>
    <x v="0"/>
    <x v="3"/>
    <x v="0"/>
    <s v="ELIMINAR"/>
    <s v="VGD2 3C"/>
    <n v="0.78900000000000003"/>
  </r>
  <r>
    <x v="0"/>
    <x v="3"/>
    <x v="6"/>
    <s v="ELIMINAR"/>
    <s v="ESCALERA GRADAS 4"/>
    <n v="5.2189999999999994"/>
  </r>
  <r>
    <x v="0"/>
    <x v="3"/>
    <x v="0"/>
    <s v="ELIMINAR"/>
    <s v="VGD2 4A"/>
    <n v="5.6749999999999998"/>
  </r>
  <r>
    <x v="0"/>
    <x v="3"/>
    <x v="0"/>
    <s v="ELIMINAR"/>
    <s v="VGD2 4B"/>
    <n v="5.24"/>
  </r>
  <r>
    <x v="0"/>
    <x v="3"/>
    <x v="0"/>
    <s v="ELIMINAR"/>
    <s v="VGD2 4C"/>
    <n v="0.78900000000000003"/>
  </r>
  <r>
    <x v="0"/>
    <x v="3"/>
    <x v="6"/>
    <s v="ELIMINAR"/>
    <s v="ESCALERA GRADAS 5"/>
    <n v="5.2189999999999994"/>
  </r>
  <r>
    <x v="0"/>
    <x v="3"/>
    <x v="0"/>
    <s v="ELIMINAR"/>
    <s v="VGD2 5A"/>
    <n v="5.6749999999999998"/>
  </r>
  <r>
    <x v="0"/>
    <x v="3"/>
    <x v="0"/>
    <s v="ELIMINAR"/>
    <s v="VGD2 5B"/>
    <n v="5.24"/>
  </r>
  <r>
    <x v="0"/>
    <x v="3"/>
    <x v="0"/>
    <s v="ELIMINAR"/>
    <s v="VGD2 5C"/>
    <n v="0.78900000000000003"/>
  </r>
  <r>
    <x v="0"/>
    <x v="3"/>
    <x v="6"/>
    <s v="ELIMINAR"/>
    <s v="ESCALERA GRADAS 6"/>
    <n v="5.2189999999999994"/>
  </r>
  <r>
    <x v="0"/>
    <x v="3"/>
    <x v="0"/>
    <s v="ELIMINAR"/>
    <s v="VGD2 6A"/>
    <n v="5.6749999999999998"/>
  </r>
  <r>
    <x v="0"/>
    <x v="3"/>
    <x v="0"/>
    <s v="ELIMINAR"/>
    <s v="VGD2 6B"/>
    <n v="5.24"/>
  </r>
  <r>
    <x v="0"/>
    <x v="3"/>
    <x v="0"/>
    <s v="ELIMINAR"/>
    <s v="VGD2 6C"/>
    <n v="0.78900000000000003"/>
  </r>
  <r>
    <x v="0"/>
    <x v="3"/>
    <x v="6"/>
    <s v="ELIMINAR"/>
    <s v="ESCALERA GRADAS 7"/>
    <n v="5.2189999999999994"/>
  </r>
  <r>
    <x v="0"/>
    <x v="3"/>
    <x v="0"/>
    <s v="ELIMINAR"/>
    <s v="VGD2 7A"/>
    <n v="5.6749999999999998"/>
  </r>
  <r>
    <x v="0"/>
    <x v="3"/>
    <x v="0"/>
    <s v="ELIMINAR"/>
    <s v="VGD2 7B"/>
    <n v="5.24"/>
  </r>
  <r>
    <x v="0"/>
    <x v="3"/>
    <x v="0"/>
    <s v="ELIMINAR"/>
    <s v="VGD2 7C"/>
    <n v="0.78900000000000003"/>
  </r>
  <r>
    <x v="0"/>
    <x v="3"/>
    <x v="6"/>
    <s v="ELIMINAR"/>
    <s v="ESCALERA GRADAS 8"/>
    <n v="5.2189999999999994"/>
  </r>
  <r>
    <x v="0"/>
    <x v="3"/>
    <x v="0"/>
    <s v="ELIMINAR"/>
    <s v="VGD2 8A"/>
    <n v="5.6749999999999998"/>
  </r>
  <r>
    <x v="0"/>
    <x v="3"/>
    <x v="0"/>
    <s v="ELIMINAR"/>
    <s v="VGD2 8B"/>
    <n v="5.24"/>
  </r>
  <r>
    <x v="0"/>
    <x v="3"/>
    <x v="0"/>
    <s v="ELIMINAR"/>
    <s v="VGD2 8C"/>
    <n v="0.78900000000000003"/>
  </r>
  <r>
    <x v="0"/>
    <x v="3"/>
    <x v="6"/>
    <s v="ELIMINAR"/>
    <s v="ESCALERA GRADAS 9"/>
    <n v="5.2189999999999994"/>
  </r>
  <r>
    <x v="0"/>
    <x v="3"/>
    <x v="0"/>
    <s v="ELIMINAR"/>
    <s v="VGD2 9A"/>
    <n v="5.6749999999999998"/>
  </r>
  <r>
    <x v="0"/>
    <x v="3"/>
    <x v="0"/>
    <s v="ELIMINAR"/>
    <s v="VGD2 9B"/>
    <n v="5.24"/>
  </r>
  <r>
    <x v="0"/>
    <x v="3"/>
    <x v="0"/>
    <s v="ELIMINAR"/>
    <s v="VGD2 9C"/>
    <n v="0.78900000000000003"/>
  </r>
  <r>
    <x v="0"/>
    <x v="3"/>
    <x v="6"/>
    <s v="ELIMINAR"/>
    <s v="ESCALERA GRADAS 10"/>
    <n v="5.2189999999999994"/>
  </r>
  <r>
    <x v="0"/>
    <x v="3"/>
    <x v="0"/>
    <s v="ELIMINAR"/>
    <s v="VGD2 10A"/>
    <n v="5.6749999999999998"/>
  </r>
  <r>
    <x v="0"/>
    <x v="3"/>
    <x v="0"/>
    <s v="ELIMINAR"/>
    <s v="VGD2 10B"/>
    <n v="5.24"/>
  </r>
  <r>
    <x v="0"/>
    <x v="3"/>
    <x v="0"/>
    <s v="ELIMINAR"/>
    <s v="VGD2 10C"/>
    <n v="0.78900000000000003"/>
  </r>
  <r>
    <x v="0"/>
    <x v="3"/>
    <x v="6"/>
    <s v="ELIMINAR"/>
    <s v="ESCALERA GRADAS 11"/>
    <n v="5.2189999999999994"/>
  </r>
  <r>
    <x v="0"/>
    <x v="3"/>
    <x v="0"/>
    <s v="ELIMINAR"/>
    <s v="VGD2 11A"/>
    <n v="5.6749999999999998"/>
  </r>
  <r>
    <x v="0"/>
    <x v="3"/>
    <x v="0"/>
    <s v="ELIMINAR"/>
    <s v="VGD2 11B"/>
    <n v="5.24"/>
  </r>
  <r>
    <x v="0"/>
    <x v="3"/>
    <x v="0"/>
    <s v="ELIMINAR"/>
    <s v="VGD2 11C"/>
    <n v="0.78900000000000003"/>
  </r>
  <r>
    <x v="0"/>
    <x v="3"/>
    <x v="6"/>
    <s v="ELIMINAR"/>
    <s v="ESCALERA GRADAS 12"/>
    <n v="5.2189999999999994"/>
  </r>
  <r>
    <x v="0"/>
    <x v="3"/>
    <x v="0"/>
    <s v="ELIMINAR"/>
    <s v="VGD2 12A"/>
    <n v="5.6749999999999998"/>
  </r>
  <r>
    <x v="0"/>
    <x v="3"/>
    <x v="0"/>
    <s v="ELIMINAR"/>
    <s v="VGD2 12B"/>
    <n v="5.24"/>
  </r>
  <r>
    <x v="0"/>
    <x v="3"/>
    <x v="0"/>
    <s v="ELIMINAR"/>
    <s v="VGD2 12C"/>
    <n v="0.78900000000000003"/>
  </r>
  <r>
    <x v="0"/>
    <x v="4"/>
    <x v="3"/>
    <s v="ELIMINAR"/>
    <s v="LOSA"/>
    <n v="288.51199999999994"/>
  </r>
  <r>
    <x v="0"/>
    <x v="4"/>
    <x v="0"/>
    <s v="ELIMINAR"/>
    <s v="VGS 1"/>
    <n v="5.2030000000000003"/>
  </r>
  <r>
    <x v="0"/>
    <x v="4"/>
    <x v="5"/>
    <s v="ELIMINAR"/>
    <s v="MRS 1"/>
    <n v="11.312999999999999"/>
  </r>
  <r>
    <x v="0"/>
    <x v="4"/>
    <x v="0"/>
    <s v="ELIMINAR"/>
    <s v="VGS 2"/>
    <n v="0.47399999999999998"/>
  </r>
  <r>
    <x v="0"/>
    <x v="4"/>
    <x v="0"/>
    <s v="ELIMINAR"/>
    <s v="VGS 3"/>
    <n v="0.90199999999999991"/>
  </r>
  <r>
    <x v="0"/>
    <x v="4"/>
    <x v="2"/>
    <s v="ELIMINAR"/>
    <s v="VTS 1"/>
    <n v="1.4550000000000001"/>
  </r>
  <r>
    <x v="0"/>
    <x v="4"/>
    <x v="0"/>
    <s v="ELIMINAR"/>
    <s v="VGS 4"/>
    <n v="2.323"/>
  </r>
  <r>
    <x v="0"/>
    <x v="4"/>
    <x v="0"/>
    <s v="ELIMINAR"/>
    <s v="VGS 5"/>
    <n v="3.1269999999999998"/>
  </r>
  <r>
    <x v="0"/>
    <x v="4"/>
    <x v="2"/>
    <s v="ELIMINAR"/>
    <s v="VTS 2"/>
    <n v="5.5620000000000003"/>
  </r>
  <r>
    <x v="0"/>
    <x v="4"/>
    <x v="0"/>
    <s v="ELIMINAR"/>
    <s v="VGS 6"/>
    <n v="5.8890000000000002"/>
  </r>
  <r>
    <x v="0"/>
    <x v="4"/>
    <x v="2"/>
    <s v="ELIMINAR"/>
    <s v="VTS 3"/>
    <n v="3.72"/>
  </r>
  <r>
    <x v="0"/>
    <x v="4"/>
    <x v="0"/>
    <s v="ELIMINAR"/>
    <s v="VGS 7"/>
    <n v="7.625"/>
  </r>
  <r>
    <x v="0"/>
    <x v="4"/>
    <x v="2"/>
    <s v="ELIMINAR"/>
    <s v="VTS 4"/>
    <n v="0.42599999999999999"/>
  </r>
  <r>
    <x v="0"/>
    <x v="4"/>
    <x v="0"/>
    <s v="ELIMINAR"/>
    <s v="VGS 006"/>
    <n v="0.33"/>
  </r>
  <r>
    <x v="0"/>
    <x v="4"/>
    <x v="0"/>
    <s v="ELIMINAR"/>
    <s v="VGS 8"/>
    <n v="10.695"/>
  </r>
  <r>
    <x v="0"/>
    <x v="4"/>
    <x v="2"/>
    <s v="ELIMINAR"/>
    <s v="VTS T1"/>
    <n v="51.970099999999988"/>
  </r>
  <r>
    <x v="0"/>
    <x v="4"/>
    <x v="0"/>
    <s v="ELIMINAR"/>
    <s v="VGS 9"/>
    <n v="28.615000000000002"/>
  </r>
  <r>
    <x v="0"/>
    <x v="4"/>
    <x v="0"/>
    <s v="ELIMINAR"/>
    <s v="VGS 10"/>
    <n v="39.628999999999998"/>
  </r>
  <r>
    <x v="0"/>
    <x v="4"/>
    <x v="0"/>
    <s v="ELIMINAR"/>
    <s v="VGS 11"/>
    <n v="38.119"/>
  </r>
  <r>
    <x v="0"/>
    <x v="4"/>
    <x v="0"/>
    <s v="ELIMINAR"/>
    <s v="VGS 12"/>
    <n v="66.286999999999992"/>
  </r>
  <r>
    <x v="0"/>
    <x v="4"/>
    <x v="0"/>
    <s v="ELIMINAR"/>
    <s v="VGS 13"/>
    <n v="15.923999999999999"/>
  </r>
  <r>
    <x v="0"/>
    <x v="4"/>
    <x v="2"/>
    <s v="ELIMINAR"/>
    <s v="VTS T2"/>
    <n v="57.694999999999972"/>
  </r>
  <r>
    <x v="0"/>
    <x v="4"/>
    <x v="0"/>
    <s v="ELIMINAR"/>
    <s v="VGS 14"/>
    <n v="120.44599999999997"/>
  </r>
  <r>
    <x v="0"/>
    <x v="4"/>
    <x v="6"/>
    <s v="ELIMINAR"/>
    <s v="ESCS"/>
    <n v="31.318478599999999"/>
  </r>
  <r>
    <x v="0"/>
    <x v="4"/>
    <x v="7"/>
    <s v="ELIMINAR"/>
    <s v="RAMPAS"/>
    <n v="46.583572000000004"/>
  </r>
  <r>
    <x v="0"/>
    <x v="4"/>
    <x v="3"/>
    <s v="ELIMINAR"/>
    <s v="CONTRAPISO SOTANO"/>
    <n v="237.62"/>
  </r>
  <r>
    <x v="0"/>
    <x v="4"/>
    <x v="5"/>
    <s v="ELIMINAR"/>
    <s v="MUROS"/>
    <n v="55.698999999999998"/>
  </r>
  <r>
    <x v="0"/>
    <x v="4"/>
    <x v="1"/>
    <s v="ELIMINAR"/>
    <s v="CLS"/>
    <n v="60.9696"/>
  </r>
  <r>
    <x v="0"/>
    <x v="1"/>
    <x v="3"/>
    <s v="ELIMINAR"/>
    <s v="PL 0 "/>
    <n v="284.904"/>
  </r>
  <r>
    <x v="0"/>
    <x v="1"/>
    <x v="3"/>
    <s v="ELIMINAR"/>
    <s v="PL 1 BL1"/>
    <n v="75.971999999999994"/>
  </r>
  <r>
    <x v="0"/>
    <x v="1"/>
    <x v="0"/>
    <s v="ELIMINAR"/>
    <s v="BL1 VG 01"/>
    <n v="32.737000000000002"/>
  </r>
  <r>
    <x v="0"/>
    <x v="1"/>
    <x v="0"/>
    <s v="ELIMINAR"/>
    <s v="BL1 VG 02"/>
    <n v="4.5810000000000004"/>
  </r>
  <r>
    <x v="0"/>
    <x v="1"/>
    <x v="0"/>
    <s v="ELIMINAR"/>
    <s v="BL1 VG 03"/>
    <n v="33.651000000000003"/>
  </r>
  <r>
    <x v="0"/>
    <x v="1"/>
    <x v="2"/>
    <s v="ELIMINAR"/>
    <s v="BL1 VT P1 "/>
    <n v="137.51153799999994"/>
  </r>
  <r>
    <x v="0"/>
    <x v="1"/>
    <x v="0"/>
    <s v="ELIMINAR"/>
    <s v="BL1 VG 04"/>
    <n v="3.92"/>
  </r>
  <r>
    <x v="0"/>
    <x v="1"/>
    <x v="0"/>
    <s v="ELIMINAR"/>
    <s v="BL1 VG 05"/>
    <n v="2.0030000000000001"/>
  </r>
  <r>
    <x v="0"/>
    <x v="1"/>
    <x v="0"/>
    <s v="ELIMINAR"/>
    <s v="BL1 VG 06"/>
    <n v="3.242"/>
  </r>
  <r>
    <x v="0"/>
    <x v="1"/>
    <x v="0"/>
    <s v="ELIMINAR"/>
    <s v="BL1 VG 07"/>
    <n v="3.3380000000000001"/>
  </r>
  <r>
    <x v="0"/>
    <x v="1"/>
    <x v="0"/>
    <s v="ELIMINAR"/>
    <s v="BL1 VG 08"/>
    <n v="1.9730000000000001"/>
  </r>
  <r>
    <x v="0"/>
    <x v="1"/>
    <x v="1"/>
    <s v="ELIMINAR"/>
    <s v="BL1 CL P2"/>
    <n v="32.702999999999996"/>
  </r>
  <r>
    <x v="0"/>
    <x v="1"/>
    <x v="1"/>
    <s v="ELIMINAR"/>
    <s v="BL1 CL P1"/>
    <n v="26.167000000000002"/>
  </r>
  <r>
    <x v="0"/>
    <x v="1"/>
    <x v="1"/>
    <s v="ELIMINAR"/>
    <s v="BL2 CL P5"/>
    <n v="143.17600000000004"/>
  </r>
  <r>
    <x v="0"/>
    <x v="1"/>
    <x v="0"/>
    <s v="ELIMINAR"/>
    <s v="BL2 VG P5"/>
    <n v="160.273"/>
  </r>
  <r>
    <x v="0"/>
    <x v="1"/>
    <x v="2"/>
    <s v="ELIMINAR"/>
    <s v="BL2 VT P5"/>
    <n v="116.358"/>
  </r>
  <r>
    <x v="0"/>
    <x v="1"/>
    <x v="3"/>
    <s v="ELIMINAR"/>
    <s v="BL2 PL P5"/>
    <n v="72.05"/>
  </r>
  <r>
    <x v="0"/>
    <x v="1"/>
    <x v="5"/>
    <s v="ELIMINAR"/>
    <s v="MURO P5"/>
    <n v="38.785499999999999"/>
  </r>
  <r>
    <x v="0"/>
    <x v="1"/>
    <x v="3"/>
    <s v="ELIMINAR"/>
    <s v="BL2 PL P4"/>
    <n v="36.961999999999996"/>
  </r>
  <r>
    <x v="0"/>
    <x v="1"/>
    <x v="0"/>
    <s v="ELIMINAR"/>
    <s v="BL2 VG P4"/>
    <n v="194.79800000000003"/>
  </r>
  <r>
    <x v="0"/>
    <x v="1"/>
    <x v="6"/>
    <s v="ELIMINAR"/>
    <s v="BL2 ESC P4"/>
    <n v="22.855999999999998"/>
  </r>
  <r>
    <x v="0"/>
    <x v="1"/>
    <x v="2"/>
    <s v="ELIMINAR"/>
    <s v="BL2 VT P4"/>
    <n v="41.577703999999997"/>
  </r>
  <r>
    <x v="0"/>
    <x v="1"/>
    <x v="5"/>
    <s v="ELIMINAR"/>
    <s v="MURO P4"/>
    <n v="45.854100000000003"/>
  </r>
  <r>
    <x v="0"/>
    <x v="1"/>
    <x v="1"/>
    <s v="ELIMINAR"/>
    <s v="BL2 CL P4"/>
    <n v="153.19600000000003"/>
  </r>
  <r>
    <x v="0"/>
    <x v="1"/>
    <x v="0"/>
    <s v="ELIMINAR"/>
    <s v="BL2 VG P3"/>
    <n v="322.46099999999996"/>
  </r>
  <r>
    <x v="0"/>
    <x v="1"/>
    <x v="2"/>
    <s v="ELIMINAR"/>
    <s v="BL2 VT P3"/>
    <n v="122.367"/>
  </r>
  <r>
    <x v="0"/>
    <x v="1"/>
    <x v="6"/>
    <s v="ELIMINAR"/>
    <s v="BL2 ESC P3"/>
    <n v="45.711999999999996"/>
  </r>
  <r>
    <x v="0"/>
    <x v="1"/>
    <x v="1"/>
    <s v="ELIMINAR"/>
    <s v="BL2 CL P3"/>
    <n v="176.86500000000004"/>
  </r>
  <r>
    <x v="0"/>
    <x v="1"/>
    <x v="3"/>
    <s v="ELIMINAR"/>
    <s v="BL2 PL P3"/>
    <n v="85.799400000000006"/>
  </r>
  <r>
    <x v="0"/>
    <x v="1"/>
    <x v="3"/>
    <s v="ELIMINAR"/>
    <s v="BL2 PL P2"/>
    <n v="100.91940000000001"/>
  </r>
  <r>
    <x v="0"/>
    <x v="1"/>
    <x v="0"/>
    <s v="ELIMINAR"/>
    <s v="BL2 VG P2"/>
    <n v="301.53199999999998"/>
  </r>
  <r>
    <x v="0"/>
    <x v="1"/>
    <x v="2"/>
    <s v="ELIMINAR"/>
    <s v="BL2 VT P2"/>
    <n v="147.21064500000003"/>
  </r>
  <r>
    <x v="0"/>
    <x v="1"/>
    <x v="6"/>
    <s v="ELIMINAR"/>
    <s v="BL2 ESC P2"/>
    <n v="45.711999999999996"/>
  </r>
  <r>
    <x v="0"/>
    <x v="1"/>
    <x v="1"/>
    <s v="ELIMINAR"/>
    <s v="BL2 CL P2"/>
    <n v="185.3"/>
  </r>
  <r>
    <x v="0"/>
    <x v="1"/>
    <x v="3"/>
    <s v="ELIMINAR"/>
    <s v="BL2 PL P1"/>
    <n v="85.799400000000006"/>
  </r>
  <r>
    <x v="0"/>
    <x v="1"/>
    <x v="0"/>
    <s v="ELIMINAR"/>
    <s v="BL2 VG P1"/>
    <n v="241.69800000000001"/>
  </r>
  <r>
    <x v="0"/>
    <x v="1"/>
    <x v="2"/>
    <s v="ELIMINAR"/>
    <s v="BL2 VT P1"/>
    <n v="143.62399999999997"/>
  </r>
  <r>
    <x v="0"/>
    <x v="1"/>
    <x v="6"/>
    <s v="ELIMINAR"/>
    <s v="BL2 ESC P1"/>
    <n v="45.711999999999996"/>
  </r>
  <r>
    <x v="0"/>
    <x v="1"/>
    <x v="1"/>
    <s v="ELIMINAR"/>
    <s v="BL2 CL P1"/>
    <n v="157.07700000000003"/>
  </r>
  <r>
    <x v="0"/>
    <x v="1"/>
    <x v="3"/>
    <s v="ELIMINAR"/>
    <s v="BL2 PL P0"/>
    <n v="312.95400000000001"/>
  </r>
  <r>
    <x v="0"/>
    <x v="5"/>
    <x v="8"/>
    <s v="ELIMINAR"/>
    <s v="CIMENTACIÓN"/>
    <n v="1474"/>
  </r>
  <r>
    <x v="0"/>
    <x v="6"/>
    <x v="8"/>
    <s v="ELIMINAR"/>
    <s v="CIMENTACIÓN"/>
    <n v="149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8BE122B-DD1B-4B2B-904D-8A71C44F94FB}" name="TablaDinámica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J29:K40" firstHeaderRow="1" firstDataRow="1" firstDataCol="1"/>
  <pivotFields count="6">
    <pivotField axis="axisRow" showAll="0">
      <items count="2">
        <item x="0"/>
        <item t="default"/>
      </items>
    </pivotField>
    <pivotField showAll="0">
      <items count="8">
        <item x="4"/>
        <item x="6"/>
        <item x="5"/>
        <item x="1"/>
        <item x="3"/>
        <item x="0"/>
        <item x="2"/>
        <item t="default"/>
      </items>
    </pivotField>
    <pivotField axis="axisRow" showAll="0">
      <items count="10">
        <item x="8"/>
        <item x="1"/>
        <item x="6"/>
        <item x="5"/>
        <item x="3"/>
        <item x="7"/>
        <item x="4"/>
        <item x="0"/>
        <item x="2"/>
        <item t="default"/>
      </items>
    </pivotField>
    <pivotField showAll="0"/>
    <pivotField showAll="0"/>
    <pivotField dataField="1" numFmtId="193" showAll="0"/>
  </pivotFields>
  <rowFields count="2">
    <field x="0"/>
    <field x="2"/>
  </rowFields>
  <rowItems count="11">
    <i>
      <x/>
    </i>
    <i r="1">
      <x/>
    </i>
    <i r="1">
      <x v="1"/>
    </i>
    <i r="1">
      <x v="2"/>
    </i>
    <i r="1">
      <x v="3"/>
    </i>
    <i r="1">
      <x v="4"/>
    </i>
    <i r="1">
      <x v="5"/>
    </i>
    <i r="1">
      <x v="6"/>
    </i>
    <i r="1">
      <x v="7"/>
    </i>
    <i r="1">
      <x v="8"/>
    </i>
    <i t="grand">
      <x/>
    </i>
  </rowItems>
  <colItems count="1">
    <i/>
  </colItems>
  <dataFields count="1">
    <dataField name="Suma de VOLUMEN ESTRUCTURA" fld="5" baseField="0" baseItem="0" numFmtId="193"/>
  </dataFields>
  <formats count="25">
    <format dxfId="24">
      <pivotArea outline="0" collapsedLevelsAreSubtotals="1" fieldPosition="0"/>
    </format>
    <format dxfId="23">
      <pivotArea type="all" dataOnly="0" outline="0" fieldPosition="0"/>
    </format>
    <format dxfId="22">
      <pivotArea outline="0" collapsedLevelsAreSubtotals="1" fieldPosition="0"/>
    </format>
    <format dxfId="21">
      <pivotArea field="0" type="button" dataOnly="0" labelOnly="1" outline="0" axis="axisRow" fieldPosition="0"/>
    </format>
    <format dxfId="20">
      <pivotArea dataOnly="0" labelOnly="1" fieldPosition="0">
        <references count="1">
          <reference field="0" count="0"/>
        </references>
      </pivotArea>
    </format>
    <format dxfId="19">
      <pivotArea dataOnly="0" labelOnly="1" grandRow="1" outline="0" fieldPosition="0"/>
    </format>
    <format dxfId="18">
      <pivotArea dataOnly="0" labelOnly="1" fieldPosition="0">
        <references count="2">
          <reference field="0" count="0" selected="0"/>
          <reference field="2" count="0"/>
        </references>
      </pivotArea>
    </format>
    <format dxfId="17">
      <pivotArea dataOnly="0" labelOnly="1" outline="0" axis="axisValues" fieldPosition="0"/>
    </format>
    <format dxfId="16">
      <pivotArea type="all" dataOnly="0" outline="0" fieldPosition="0"/>
    </format>
    <format dxfId="15">
      <pivotArea outline="0" collapsedLevelsAreSubtotals="1" fieldPosition="0"/>
    </format>
    <format dxfId="14">
      <pivotArea field="0" type="button" dataOnly="0" labelOnly="1" outline="0" axis="axisRow" fieldPosition="0"/>
    </format>
    <format dxfId="13">
      <pivotArea dataOnly="0" labelOnly="1" fieldPosition="0">
        <references count="1">
          <reference field="0" count="0"/>
        </references>
      </pivotArea>
    </format>
    <format dxfId="12">
      <pivotArea dataOnly="0" labelOnly="1" grandRow="1" outline="0" fieldPosition="0"/>
    </format>
    <format dxfId="11">
      <pivotArea dataOnly="0" labelOnly="1" fieldPosition="0">
        <references count="2">
          <reference field="0" count="0" selected="0"/>
          <reference field="2" count="0"/>
        </references>
      </pivotArea>
    </format>
    <format dxfId="10">
      <pivotArea dataOnly="0" labelOnly="1" outline="0" axis="axisValues" fieldPosition="0"/>
    </format>
    <format dxfId="9">
      <pivotArea collapsedLevelsAreSubtotals="1" fieldPosition="0">
        <references count="1">
          <reference field="0" count="0"/>
        </references>
      </pivotArea>
    </format>
    <format dxfId="8">
      <pivotArea field="0" type="button" dataOnly="0" labelOnly="1" outline="0" axis="axisRow" fieldPosition="0"/>
    </format>
    <format dxfId="7">
      <pivotArea dataOnly="0" labelOnly="1" fieldPosition="0">
        <references count="1">
          <reference field="0" count="0"/>
        </references>
      </pivotArea>
    </format>
    <format dxfId="6">
      <pivotArea dataOnly="0" labelOnly="1" outline="0" axis="axisValues" fieldPosition="0"/>
    </format>
    <format dxfId="5">
      <pivotArea field="0" type="button" dataOnly="0" labelOnly="1" outline="0" axis="axisRow" fieldPosition="0"/>
    </format>
    <format dxfId="4">
      <pivotArea dataOnly="0" labelOnly="1" fieldPosition="0">
        <references count="1">
          <reference field="0" count="0"/>
        </references>
      </pivotArea>
    </format>
    <format dxfId="3">
      <pivotArea dataOnly="0" labelOnly="1" outline="0" axis="axisValues" fieldPosition="0"/>
    </format>
    <format dxfId="2">
      <pivotArea collapsedLevelsAreSubtotals="1" fieldPosition="0">
        <references count="1">
          <reference field="0" count="0"/>
        </references>
      </pivotArea>
    </format>
    <format dxfId="1">
      <pivotArea field="2" dataOnly="0" grandRow="1" axis="axisRow" fieldPosition="1">
        <references count="1">
          <reference field="2" count="0" defaultSubtotal="1" sumSubtotal="1" countASubtotal="1" avgSubtotal="1" maxSubtotal="1" minSubtotal="1" productSubtotal="1" countSubtotal="1" stdDevSubtotal="1" stdDevPSubtotal="1" varSubtotal="1" varPSubtotal="1"/>
        </references>
      </pivotArea>
    </format>
    <format dxfId="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4E072-5344-4F2E-BA8F-AB1A3860D2E0}">
  <sheetPr>
    <tabColor rgb="FFFFE285"/>
    <pageSetUpPr fitToPage="1"/>
  </sheetPr>
  <dimension ref="A1:AB86"/>
  <sheetViews>
    <sheetView tabSelected="1" view="pageBreakPreview" topLeftCell="A6" zoomScale="30" zoomScaleNormal="30" zoomScaleSheetLayoutView="30" workbookViewId="0">
      <selection activeCell="J15" sqref="J15"/>
    </sheetView>
  </sheetViews>
  <sheetFormatPr baseColWidth="10" defaultColWidth="11.44140625" defaultRowHeight="30" x14ac:dyDescent="0.5"/>
  <cols>
    <col min="1" max="1" width="5.44140625" style="660" customWidth="1"/>
    <col min="2" max="2" width="6.6640625" style="660" customWidth="1"/>
    <col min="3" max="3" width="16.88671875" style="660" bestFit="1" customWidth="1"/>
    <col min="4" max="4" width="40.5546875" style="660" bestFit="1" customWidth="1"/>
    <col min="5" max="5" width="23.44140625" style="660" bestFit="1" customWidth="1"/>
    <col min="6" max="6" width="30.33203125" style="660" customWidth="1"/>
    <col min="7" max="7" width="87.88671875" style="660" customWidth="1"/>
    <col min="8" max="8" width="15.44140625" style="660" bestFit="1" customWidth="1"/>
    <col min="9" max="9" width="32" style="661" bestFit="1" customWidth="1"/>
    <col min="10" max="10" width="41.88671875" style="660" customWidth="1"/>
    <col min="11" max="11" width="56.33203125" style="662" bestFit="1" customWidth="1"/>
    <col min="12" max="12" width="7.109375" style="663" customWidth="1"/>
    <col min="13" max="13" width="11" style="664" customWidth="1"/>
    <col min="14" max="14" width="57.6640625" style="664" customWidth="1"/>
    <col min="15" max="15" width="18.33203125" style="754" bestFit="1" customWidth="1"/>
    <col min="16" max="17" width="11.44140625" style="665"/>
    <col min="18" max="18" width="66.5546875" style="665" bestFit="1" customWidth="1"/>
    <col min="19" max="244" width="11.44140625" style="665"/>
    <col min="245" max="245" width="5.44140625" style="665" customWidth="1"/>
    <col min="246" max="246" width="6.6640625" style="665" customWidth="1"/>
    <col min="247" max="247" width="11.44140625" style="665"/>
    <col min="248" max="248" width="18.6640625" style="665" customWidth="1"/>
    <col min="249" max="249" width="20.6640625" style="665" customWidth="1"/>
    <col min="250" max="250" width="18.5546875" style="665" customWidth="1"/>
    <col min="251" max="251" width="61.109375" style="665" customWidth="1"/>
    <col min="252" max="252" width="18.5546875" style="665" customWidth="1"/>
    <col min="253" max="263" width="0" style="665" hidden="1" customWidth="1"/>
    <col min="264" max="264" width="38.109375" style="665" customWidth="1"/>
    <col min="265" max="265" width="14.109375" style="665" customWidth="1"/>
    <col min="266" max="266" width="24.88671875" style="665" customWidth="1"/>
    <col min="267" max="267" width="7.109375" style="665" customWidth="1"/>
    <col min="268" max="268" width="7.6640625" style="665" customWidth="1"/>
    <col min="269" max="270" width="23.33203125" style="665" customWidth="1"/>
    <col min="271" max="271" width="18.33203125" style="665" bestFit="1" customWidth="1"/>
    <col min="272" max="500" width="11.44140625" style="665"/>
    <col min="501" max="501" width="5.44140625" style="665" customWidth="1"/>
    <col min="502" max="502" width="6.6640625" style="665" customWidth="1"/>
    <col min="503" max="503" width="11.44140625" style="665"/>
    <col min="504" max="504" width="18.6640625" style="665" customWidth="1"/>
    <col min="505" max="505" width="20.6640625" style="665" customWidth="1"/>
    <col min="506" max="506" width="18.5546875" style="665" customWidth="1"/>
    <col min="507" max="507" width="61.109375" style="665" customWidth="1"/>
    <col min="508" max="508" width="18.5546875" style="665" customWidth="1"/>
    <col min="509" max="519" width="0" style="665" hidden="1" customWidth="1"/>
    <col min="520" max="520" width="38.109375" style="665" customWidth="1"/>
    <col min="521" max="521" width="14.109375" style="665" customWidth="1"/>
    <col min="522" max="522" width="24.88671875" style="665" customWidth="1"/>
    <col min="523" max="523" width="7.109375" style="665" customWidth="1"/>
    <col min="524" max="524" width="7.6640625" style="665" customWidth="1"/>
    <col min="525" max="526" width="23.33203125" style="665" customWidth="1"/>
    <col min="527" max="527" width="18.33203125" style="665" bestFit="1" customWidth="1"/>
    <col min="528" max="756" width="11.44140625" style="665"/>
    <col min="757" max="757" width="5.44140625" style="665" customWidth="1"/>
    <col min="758" max="758" width="6.6640625" style="665" customWidth="1"/>
    <col min="759" max="759" width="11.44140625" style="665"/>
    <col min="760" max="760" width="18.6640625" style="665" customWidth="1"/>
    <col min="761" max="761" width="20.6640625" style="665" customWidth="1"/>
    <col min="762" max="762" width="18.5546875" style="665" customWidth="1"/>
    <col min="763" max="763" width="61.109375" style="665" customWidth="1"/>
    <col min="764" max="764" width="18.5546875" style="665" customWidth="1"/>
    <col min="765" max="775" width="0" style="665" hidden="1" customWidth="1"/>
    <col min="776" max="776" width="38.109375" style="665" customWidth="1"/>
    <col min="777" max="777" width="14.109375" style="665" customWidth="1"/>
    <col min="778" max="778" width="24.88671875" style="665" customWidth="1"/>
    <col min="779" max="779" width="7.109375" style="665" customWidth="1"/>
    <col min="780" max="780" width="7.6640625" style="665" customWidth="1"/>
    <col min="781" max="782" width="23.33203125" style="665" customWidth="1"/>
    <col min="783" max="783" width="18.33203125" style="665" bestFit="1" customWidth="1"/>
    <col min="784" max="1012" width="11.44140625" style="665"/>
    <col min="1013" max="1013" width="5.44140625" style="665" customWidth="1"/>
    <col min="1014" max="1014" width="6.6640625" style="665" customWidth="1"/>
    <col min="1015" max="1015" width="11.44140625" style="665"/>
    <col min="1016" max="1016" width="18.6640625" style="665" customWidth="1"/>
    <col min="1017" max="1017" width="20.6640625" style="665" customWidth="1"/>
    <col min="1018" max="1018" width="18.5546875" style="665" customWidth="1"/>
    <col min="1019" max="1019" width="61.109375" style="665" customWidth="1"/>
    <col min="1020" max="1020" width="18.5546875" style="665" customWidth="1"/>
    <col min="1021" max="1031" width="0" style="665" hidden="1" customWidth="1"/>
    <col min="1032" max="1032" width="38.109375" style="665" customWidth="1"/>
    <col min="1033" max="1033" width="14.109375" style="665" customWidth="1"/>
    <col min="1034" max="1034" width="24.88671875" style="665" customWidth="1"/>
    <col min="1035" max="1035" width="7.109375" style="665" customWidth="1"/>
    <col min="1036" max="1036" width="7.6640625" style="665" customWidth="1"/>
    <col min="1037" max="1038" width="23.33203125" style="665" customWidth="1"/>
    <col min="1039" max="1039" width="18.33203125" style="665" bestFit="1" customWidth="1"/>
    <col min="1040" max="1268" width="11.44140625" style="665"/>
    <col min="1269" max="1269" width="5.44140625" style="665" customWidth="1"/>
    <col min="1270" max="1270" width="6.6640625" style="665" customWidth="1"/>
    <col min="1271" max="1271" width="11.44140625" style="665"/>
    <col min="1272" max="1272" width="18.6640625" style="665" customWidth="1"/>
    <col min="1273" max="1273" width="20.6640625" style="665" customWidth="1"/>
    <col min="1274" max="1274" width="18.5546875" style="665" customWidth="1"/>
    <col min="1275" max="1275" width="61.109375" style="665" customWidth="1"/>
    <col min="1276" max="1276" width="18.5546875" style="665" customWidth="1"/>
    <col min="1277" max="1287" width="0" style="665" hidden="1" customWidth="1"/>
    <col min="1288" max="1288" width="38.109375" style="665" customWidth="1"/>
    <col min="1289" max="1289" width="14.109375" style="665" customWidth="1"/>
    <col min="1290" max="1290" width="24.88671875" style="665" customWidth="1"/>
    <col min="1291" max="1291" width="7.109375" style="665" customWidth="1"/>
    <col min="1292" max="1292" width="7.6640625" style="665" customWidth="1"/>
    <col min="1293" max="1294" width="23.33203125" style="665" customWidth="1"/>
    <col min="1295" max="1295" width="18.33203125" style="665" bestFit="1" customWidth="1"/>
    <col min="1296" max="1524" width="11.44140625" style="665"/>
    <col min="1525" max="1525" width="5.44140625" style="665" customWidth="1"/>
    <col min="1526" max="1526" width="6.6640625" style="665" customWidth="1"/>
    <col min="1527" max="1527" width="11.44140625" style="665"/>
    <col min="1528" max="1528" width="18.6640625" style="665" customWidth="1"/>
    <col min="1529" max="1529" width="20.6640625" style="665" customWidth="1"/>
    <col min="1530" max="1530" width="18.5546875" style="665" customWidth="1"/>
    <col min="1531" max="1531" width="61.109375" style="665" customWidth="1"/>
    <col min="1532" max="1532" width="18.5546875" style="665" customWidth="1"/>
    <col min="1533" max="1543" width="0" style="665" hidden="1" customWidth="1"/>
    <col min="1544" max="1544" width="38.109375" style="665" customWidth="1"/>
    <col min="1545" max="1545" width="14.109375" style="665" customWidth="1"/>
    <col min="1546" max="1546" width="24.88671875" style="665" customWidth="1"/>
    <col min="1547" max="1547" width="7.109375" style="665" customWidth="1"/>
    <col min="1548" max="1548" width="7.6640625" style="665" customWidth="1"/>
    <col min="1549" max="1550" width="23.33203125" style="665" customWidth="1"/>
    <col min="1551" max="1551" width="18.33203125" style="665" bestFit="1" customWidth="1"/>
    <col min="1552" max="1780" width="11.44140625" style="665"/>
    <col min="1781" max="1781" width="5.44140625" style="665" customWidth="1"/>
    <col min="1782" max="1782" width="6.6640625" style="665" customWidth="1"/>
    <col min="1783" max="1783" width="11.44140625" style="665"/>
    <col min="1784" max="1784" width="18.6640625" style="665" customWidth="1"/>
    <col min="1785" max="1785" width="20.6640625" style="665" customWidth="1"/>
    <col min="1786" max="1786" width="18.5546875" style="665" customWidth="1"/>
    <col min="1787" max="1787" width="61.109375" style="665" customWidth="1"/>
    <col min="1788" max="1788" width="18.5546875" style="665" customWidth="1"/>
    <col min="1789" max="1799" width="0" style="665" hidden="1" customWidth="1"/>
    <col min="1800" max="1800" width="38.109375" style="665" customWidth="1"/>
    <col min="1801" max="1801" width="14.109375" style="665" customWidth="1"/>
    <col min="1802" max="1802" width="24.88671875" style="665" customWidth="1"/>
    <col min="1803" max="1803" width="7.109375" style="665" customWidth="1"/>
    <col min="1804" max="1804" width="7.6640625" style="665" customWidth="1"/>
    <col min="1805" max="1806" width="23.33203125" style="665" customWidth="1"/>
    <col min="1807" max="1807" width="18.33203125" style="665" bestFit="1" customWidth="1"/>
    <col min="1808" max="2036" width="11.44140625" style="665"/>
    <col min="2037" max="2037" width="5.44140625" style="665" customWidth="1"/>
    <col min="2038" max="2038" width="6.6640625" style="665" customWidth="1"/>
    <col min="2039" max="2039" width="11.44140625" style="665"/>
    <col min="2040" max="2040" width="18.6640625" style="665" customWidth="1"/>
    <col min="2041" max="2041" width="20.6640625" style="665" customWidth="1"/>
    <col min="2042" max="2042" width="18.5546875" style="665" customWidth="1"/>
    <col min="2043" max="2043" width="61.109375" style="665" customWidth="1"/>
    <col min="2044" max="2044" width="18.5546875" style="665" customWidth="1"/>
    <col min="2045" max="2055" width="0" style="665" hidden="1" customWidth="1"/>
    <col min="2056" max="2056" width="38.109375" style="665" customWidth="1"/>
    <col min="2057" max="2057" width="14.109375" style="665" customWidth="1"/>
    <col min="2058" max="2058" width="24.88671875" style="665" customWidth="1"/>
    <col min="2059" max="2059" width="7.109375" style="665" customWidth="1"/>
    <col min="2060" max="2060" width="7.6640625" style="665" customWidth="1"/>
    <col min="2061" max="2062" width="23.33203125" style="665" customWidth="1"/>
    <col min="2063" max="2063" width="18.33203125" style="665" bestFit="1" customWidth="1"/>
    <col min="2064" max="2292" width="11.44140625" style="665"/>
    <col min="2293" max="2293" width="5.44140625" style="665" customWidth="1"/>
    <col min="2294" max="2294" width="6.6640625" style="665" customWidth="1"/>
    <col min="2295" max="2295" width="11.44140625" style="665"/>
    <col min="2296" max="2296" width="18.6640625" style="665" customWidth="1"/>
    <col min="2297" max="2297" width="20.6640625" style="665" customWidth="1"/>
    <col min="2298" max="2298" width="18.5546875" style="665" customWidth="1"/>
    <col min="2299" max="2299" width="61.109375" style="665" customWidth="1"/>
    <col min="2300" max="2300" width="18.5546875" style="665" customWidth="1"/>
    <col min="2301" max="2311" width="0" style="665" hidden="1" customWidth="1"/>
    <col min="2312" max="2312" width="38.109375" style="665" customWidth="1"/>
    <col min="2313" max="2313" width="14.109375" style="665" customWidth="1"/>
    <col min="2314" max="2314" width="24.88671875" style="665" customWidth="1"/>
    <col min="2315" max="2315" width="7.109375" style="665" customWidth="1"/>
    <col min="2316" max="2316" width="7.6640625" style="665" customWidth="1"/>
    <col min="2317" max="2318" width="23.33203125" style="665" customWidth="1"/>
    <col min="2319" max="2319" width="18.33203125" style="665" bestFit="1" customWidth="1"/>
    <col min="2320" max="2548" width="11.44140625" style="665"/>
    <col min="2549" max="2549" width="5.44140625" style="665" customWidth="1"/>
    <col min="2550" max="2550" width="6.6640625" style="665" customWidth="1"/>
    <col min="2551" max="2551" width="11.44140625" style="665"/>
    <col min="2552" max="2552" width="18.6640625" style="665" customWidth="1"/>
    <col min="2553" max="2553" width="20.6640625" style="665" customWidth="1"/>
    <col min="2554" max="2554" width="18.5546875" style="665" customWidth="1"/>
    <col min="2555" max="2555" width="61.109375" style="665" customWidth="1"/>
    <col min="2556" max="2556" width="18.5546875" style="665" customWidth="1"/>
    <col min="2557" max="2567" width="0" style="665" hidden="1" customWidth="1"/>
    <col min="2568" max="2568" width="38.109375" style="665" customWidth="1"/>
    <col min="2569" max="2569" width="14.109375" style="665" customWidth="1"/>
    <col min="2570" max="2570" width="24.88671875" style="665" customWidth="1"/>
    <col min="2571" max="2571" width="7.109375" style="665" customWidth="1"/>
    <col min="2572" max="2572" width="7.6640625" style="665" customWidth="1"/>
    <col min="2573" max="2574" width="23.33203125" style="665" customWidth="1"/>
    <col min="2575" max="2575" width="18.33203125" style="665" bestFit="1" customWidth="1"/>
    <col min="2576" max="2804" width="11.44140625" style="665"/>
    <col min="2805" max="2805" width="5.44140625" style="665" customWidth="1"/>
    <col min="2806" max="2806" width="6.6640625" style="665" customWidth="1"/>
    <col min="2807" max="2807" width="11.44140625" style="665"/>
    <col min="2808" max="2808" width="18.6640625" style="665" customWidth="1"/>
    <col min="2809" max="2809" width="20.6640625" style="665" customWidth="1"/>
    <col min="2810" max="2810" width="18.5546875" style="665" customWidth="1"/>
    <col min="2811" max="2811" width="61.109375" style="665" customWidth="1"/>
    <col min="2812" max="2812" width="18.5546875" style="665" customWidth="1"/>
    <col min="2813" max="2823" width="0" style="665" hidden="1" customWidth="1"/>
    <col min="2824" max="2824" width="38.109375" style="665" customWidth="1"/>
    <col min="2825" max="2825" width="14.109375" style="665" customWidth="1"/>
    <col min="2826" max="2826" width="24.88671875" style="665" customWidth="1"/>
    <col min="2827" max="2827" width="7.109375" style="665" customWidth="1"/>
    <col min="2828" max="2828" width="7.6640625" style="665" customWidth="1"/>
    <col min="2829" max="2830" width="23.33203125" style="665" customWidth="1"/>
    <col min="2831" max="2831" width="18.33203125" style="665" bestFit="1" customWidth="1"/>
    <col min="2832" max="3060" width="11.44140625" style="665"/>
    <col min="3061" max="3061" width="5.44140625" style="665" customWidth="1"/>
    <col min="3062" max="3062" width="6.6640625" style="665" customWidth="1"/>
    <col min="3063" max="3063" width="11.44140625" style="665"/>
    <col min="3064" max="3064" width="18.6640625" style="665" customWidth="1"/>
    <col min="3065" max="3065" width="20.6640625" style="665" customWidth="1"/>
    <col min="3066" max="3066" width="18.5546875" style="665" customWidth="1"/>
    <col min="3067" max="3067" width="61.109375" style="665" customWidth="1"/>
    <col min="3068" max="3068" width="18.5546875" style="665" customWidth="1"/>
    <col min="3069" max="3079" width="0" style="665" hidden="1" customWidth="1"/>
    <col min="3080" max="3080" width="38.109375" style="665" customWidth="1"/>
    <col min="3081" max="3081" width="14.109375" style="665" customWidth="1"/>
    <col min="3082" max="3082" width="24.88671875" style="665" customWidth="1"/>
    <col min="3083" max="3083" width="7.109375" style="665" customWidth="1"/>
    <col min="3084" max="3084" width="7.6640625" style="665" customWidth="1"/>
    <col min="3085" max="3086" width="23.33203125" style="665" customWidth="1"/>
    <col min="3087" max="3087" width="18.33203125" style="665" bestFit="1" customWidth="1"/>
    <col min="3088" max="3316" width="11.44140625" style="665"/>
    <col min="3317" max="3317" width="5.44140625" style="665" customWidth="1"/>
    <col min="3318" max="3318" width="6.6640625" style="665" customWidth="1"/>
    <col min="3319" max="3319" width="11.44140625" style="665"/>
    <col min="3320" max="3320" width="18.6640625" style="665" customWidth="1"/>
    <col min="3321" max="3321" width="20.6640625" style="665" customWidth="1"/>
    <col min="3322" max="3322" width="18.5546875" style="665" customWidth="1"/>
    <col min="3323" max="3323" width="61.109375" style="665" customWidth="1"/>
    <col min="3324" max="3324" width="18.5546875" style="665" customWidth="1"/>
    <col min="3325" max="3335" width="0" style="665" hidden="1" customWidth="1"/>
    <col min="3336" max="3336" width="38.109375" style="665" customWidth="1"/>
    <col min="3337" max="3337" width="14.109375" style="665" customWidth="1"/>
    <col min="3338" max="3338" width="24.88671875" style="665" customWidth="1"/>
    <col min="3339" max="3339" width="7.109375" style="665" customWidth="1"/>
    <col min="3340" max="3340" width="7.6640625" style="665" customWidth="1"/>
    <col min="3341" max="3342" width="23.33203125" style="665" customWidth="1"/>
    <col min="3343" max="3343" width="18.33203125" style="665" bestFit="1" customWidth="1"/>
    <col min="3344" max="3572" width="11.44140625" style="665"/>
    <col min="3573" max="3573" width="5.44140625" style="665" customWidth="1"/>
    <col min="3574" max="3574" width="6.6640625" style="665" customWidth="1"/>
    <col min="3575" max="3575" width="11.44140625" style="665"/>
    <col min="3576" max="3576" width="18.6640625" style="665" customWidth="1"/>
    <col min="3577" max="3577" width="20.6640625" style="665" customWidth="1"/>
    <col min="3578" max="3578" width="18.5546875" style="665" customWidth="1"/>
    <col min="3579" max="3579" width="61.109375" style="665" customWidth="1"/>
    <col min="3580" max="3580" width="18.5546875" style="665" customWidth="1"/>
    <col min="3581" max="3591" width="0" style="665" hidden="1" customWidth="1"/>
    <col min="3592" max="3592" width="38.109375" style="665" customWidth="1"/>
    <col min="3593" max="3593" width="14.109375" style="665" customWidth="1"/>
    <col min="3594" max="3594" width="24.88671875" style="665" customWidth="1"/>
    <col min="3595" max="3595" width="7.109375" style="665" customWidth="1"/>
    <col min="3596" max="3596" width="7.6640625" style="665" customWidth="1"/>
    <col min="3597" max="3598" width="23.33203125" style="665" customWidth="1"/>
    <col min="3599" max="3599" width="18.33203125" style="665" bestFit="1" customWidth="1"/>
    <col min="3600" max="3828" width="11.44140625" style="665"/>
    <col min="3829" max="3829" width="5.44140625" style="665" customWidth="1"/>
    <col min="3830" max="3830" width="6.6640625" style="665" customWidth="1"/>
    <col min="3831" max="3831" width="11.44140625" style="665"/>
    <col min="3832" max="3832" width="18.6640625" style="665" customWidth="1"/>
    <col min="3833" max="3833" width="20.6640625" style="665" customWidth="1"/>
    <col min="3834" max="3834" width="18.5546875" style="665" customWidth="1"/>
    <col min="3835" max="3835" width="61.109375" style="665" customWidth="1"/>
    <col min="3836" max="3836" width="18.5546875" style="665" customWidth="1"/>
    <col min="3837" max="3847" width="0" style="665" hidden="1" customWidth="1"/>
    <col min="3848" max="3848" width="38.109375" style="665" customWidth="1"/>
    <col min="3849" max="3849" width="14.109375" style="665" customWidth="1"/>
    <col min="3850" max="3850" width="24.88671875" style="665" customWidth="1"/>
    <col min="3851" max="3851" width="7.109375" style="665" customWidth="1"/>
    <col min="3852" max="3852" width="7.6640625" style="665" customWidth="1"/>
    <col min="3853" max="3854" width="23.33203125" style="665" customWidth="1"/>
    <col min="3855" max="3855" width="18.33203125" style="665" bestFit="1" customWidth="1"/>
    <col min="3856" max="4084" width="11.44140625" style="665"/>
    <col min="4085" max="4085" width="5.44140625" style="665" customWidth="1"/>
    <col min="4086" max="4086" width="6.6640625" style="665" customWidth="1"/>
    <col min="4087" max="4087" width="11.44140625" style="665"/>
    <col min="4088" max="4088" width="18.6640625" style="665" customWidth="1"/>
    <col min="4089" max="4089" width="20.6640625" style="665" customWidth="1"/>
    <col min="4090" max="4090" width="18.5546875" style="665" customWidth="1"/>
    <col min="4091" max="4091" width="61.109375" style="665" customWidth="1"/>
    <col min="4092" max="4092" width="18.5546875" style="665" customWidth="1"/>
    <col min="4093" max="4103" width="0" style="665" hidden="1" customWidth="1"/>
    <col min="4104" max="4104" width="38.109375" style="665" customWidth="1"/>
    <col min="4105" max="4105" width="14.109375" style="665" customWidth="1"/>
    <col min="4106" max="4106" width="24.88671875" style="665" customWidth="1"/>
    <col min="4107" max="4107" width="7.109375" style="665" customWidth="1"/>
    <col min="4108" max="4108" width="7.6640625" style="665" customWidth="1"/>
    <col min="4109" max="4110" width="23.33203125" style="665" customWidth="1"/>
    <col min="4111" max="4111" width="18.33203125" style="665" bestFit="1" customWidth="1"/>
    <col min="4112" max="4340" width="11.44140625" style="665"/>
    <col min="4341" max="4341" width="5.44140625" style="665" customWidth="1"/>
    <col min="4342" max="4342" width="6.6640625" style="665" customWidth="1"/>
    <col min="4343" max="4343" width="11.44140625" style="665"/>
    <col min="4344" max="4344" width="18.6640625" style="665" customWidth="1"/>
    <col min="4345" max="4345" width="20.6640625" style="665" customWidth="1"/>
    <col min="4346" max="4346" width="18.5546875" style="665" customWidth="1"/>
    <col min="4347" max="4347" width="61.109375" style="665" customWidth="1"/>
    <col min="4348" max="4348" width="18.5546875" style="665" customWidth="1"/>
    <col min="4349" max="4359" width="0" style="665" hidden="1" customWidth="1"/>
    <col min="4360" max="4360" width="38.109375" style="665" customWidth="1"/>
    <col min="4361" max="4361" width="14.109375" style="665" customWidth="1"/>
    <col min="4362" max="4362" width="24.88671875" style="665" customWidth="1"/>
    <col min="4363" max="4363" width="7.109375" style="665" customWidth="1"/>
    <col min="4364" max="4364" width="7.6640625" style="665" customWidth="1"/>
    <col min="4365" max="4366" width="23.33203125" style="665" customWidth="1"/>
    <col min="4367" max="4367" width="18.33203125" style="665" bestFit="1" customWidth="1"/>
    <col min="4368" max="4596" width="11.44140625" style="665"/>
    <col min="4597" max="4597" width="5.44140625" style="665" customWidth="1"/>
    <col min="4598" max="4598" width="6.6640625" style="665" customWidth="1"/>
    <col min="4599" max="4599" width="11.44140625" style="665"/>
    <col min="4600" max="4600" width="18.6640625" style="665" customWidth="1"/>
    <col min="4601" max="4601" width="20.6640625" style="665" customWidth="1"/>
    <col min="4602" max="4602" width="18.5546875" style="665" customWidth="1"/>
    <col min="4603" max="4603" width="61.109375" style="665" customWidth="1"/>
    <col min="4604" max="4604" width="18.5546875" style="665" customWidth="1"/>
    <col min="4605" max="4615" width="0" style="665" hidden="1" customWidth="1"/>
    <col min="4616" max="4616" width="38.109375" style="665" customWidth="1"/>
    <col min="4617" max="4617" width="14.109375" style="665" customWidth="1"/>
    <col min="4618" max="4618" width="24.88671875" style="665" customWidth="1"/>
    <col min="4619" max="4619" width="7.109375" style="665" customWidth="1"/>
    <col min="4620" max="4620" width="7.6640625" style="665" customWidth="1"/>
    <col min="4621" max="4622" width="23.33203125" style="665" customWidth="1"/>
    <col min="4623" max="4623" width="18.33203125" style="665" bestFit="1" customWidth="1"/>
    <col min="4624" max="4852" width="11.44140625" style="665"/>
    <col min="4853" max="4853" width="5.44140625" style="665" customWidth="1"/>
    <col min="4854" max="4854" width="6.6640625" style="665" customWidth="1"/>
    <col min="4855" max="4855" width="11.44140625" style="665"/>
    <col min="4856" max="4856" width="18.6640625" style="665" customWidth="1"/>
    <col min="4857" max="4857" width="20.6640625" style="665" customWidth="1"/>
    <col min="4858" max="4858" width="18.5546875" style="665" customWidth="1"/>
    <col min="4859" max="4859" width="61.109375" style="665" customWidth="1"/>
    <col min="4860" max="4860" width="18.5546875" style="665" customWidth="1"/>
    <col min="4861" max="4871" width="0" style="665" hidden="1" customWidth="1"/>
    <col min="4872" max="4872" width="38.109375" style="665" customWidth="1"/>
    <col min="4873" max="4873" width="14.109375" style="665" customWidth="1"/>
    <col min="4874" max="4874" width="24.88671875" style="665" customWidth="1"/>
    <col min="4875" max="4875" width="7.109375" style="665" customWidth="1"/>
    <col min="4876" max="4876" width="7.6640625" style="665" customWidth="1"/>
    <col min="4877" max="4878" width="23.33203125" style="665" customWidth="1"/>
    <col min="4879" max="4879" width="18.33203125" style="665" bestFit="1" customWidth="1"/>
    <col min="4880" max="5108" width="11.44140625" style="665"/>
    <col min="5109" max="5109" width="5.44140625" style="665" customWidth="1"/>
    <col min="5110" max="5110" width="6.6640625" style="665" customWidth="1"/>
    <col min="5111" max="5111" width="11.44140625" style="665"/>
    <col min="5112" max="5112" width="18.6640625" style="665" customWidth="1"/>
    <col min="5113" max="5113" width="20.6640625" style="665" customWidth="1"/>
    <col min="5114" max="5114" width="18.5546875" style="665" customWidth="1"/>
    <col min="5115" max="5115" width="61.109375" style="665" customWidth="1"/>
    <col min="5116" max="5116" width="18.5546875" style="665" customWidth="1"/>
    <col min="5117" max="5127" width="0" style="665" hidden="1" customWidth="1"/>
    <col min="5128" max="5128" width="38.109375" style="665" customWidth="1"/>
    <col min="5129" max="5129" width="14.109375" style="665" customWidth="1"/>
    <col min="5130" max="5130" width="24.88671875" style="665" customWidth="1"/>
    <col min="5131" max="5131" width="7.109375" style="665" customWidth="1"/>
    <col min="5132" max="5132" width="7.6640625" style="665" customWidth="1"/>
    <col min="5133" max="5134" width="23.33203125" style="665" customWidth="1"/>
    <col min="5135" max="5135" width="18.33203125" style="665" bestFit="1" customWidth="1"/>
    <col min="5136" max="5364" width="11.44140625" style="665"/>
    <col min="5365" max="5365" width="5.44140625" style="665" customWidth="1"/>
    <col min="5366" max="5366" width="6.6640625" style="665" customWidth="1"/>
    <col min="5367" max="5367" width="11.44140625" style="665"/>
    <col min="5368" max="5368" width="18.6640625" style="665" customWidth="1"/>
    <col min="5369" max="5369" width="20.6640625" style="665" customWidth="1"/>
    <col min="5370" max="5370" width="18.5546875" style="665" customWidth="1"/>
    <col min="5371" max="5371" width="61.109375" style="665" customWidth="1"/>
    <col min="5372" max="5372" width="18.5546875" style="665" customWidth="1"/>
    <col min="5373" max="5383" width="0" style="665" hidden="1" customWidth="1"/>
    <col min="5384" max="5384" width="38.109375" style="665" customWidth="1"/>
    <col min="5385" max="5385" width="14.109375" style="665" customWidth="1"/>
    <col min="5386" max="5386" width="24.88671875" style="665" customWidth="1"/>
    <col min="5387" max="5387" width="7.109375" style="665" customWidth="1"/>
    <col min="5388" max="5388" width="7.6640625" style="665" customWidth="1"/>
    <col min="5389" max="5390" width="23.33203125" style="665" customWidth="1"/>
    <col min="5391" max="5391" width="18.33203125" style="665" bestFit="1" customWidth="1"/>
    <col min="5392" max="5620" width="11.44140625" style="665"/>
    <col min="5621" max="5621" width="5.44140625" style="665" customWidth="1"/>
    <col min="5622" max="5622" width="6.6640625" style="665" customWidth="1"/>
    <col min="5623" max="5623" width="11.44140625" style="665"/>
    <col min="5624" max="5624" width="18.6640625" style="665" customWidth="1"/>
    <col min="5625" max="5625" width="20.6640625" style="665" customWidth="1"/>
    <col min="5626" max="5626" width="18.5546875" style="665" customWidth="1"/>
    <col min="5627" max="5627" width="61.109375" style="665" customWidth="1"/>
    <col min="5628" max="5628" width="18.5546875" style="665" customWidth="1"/>
    <col min="5629" max="5639" width="0" style="665" hidden="1" customWidth="1"/>
    <col min="5640" max="5640" width="38.109375" style="665" customWidth="1"/>
    <col min="5641" max="5641" width="14.109375" style="665" customWidth="1"/>
    <col min="5642" max="5642" width="24.88671875" style="665" customWidth="1"/>
    <col min="5643" max="5643" width="7.109375" style="665" customWidth="1"/>
    <col min="5644" max="5644" width="7.6640625" style="665" customWidth="1"/>
    <col min="5645" max="5646" width="23.33203125" style="665" customWidth="1"/>
    <col min="5647" max="5647" width="18.33203125" style="665" bestFit="1" customWidth="1"/>
    <col min="5648" max="5876" width="11.44140625" style="665"/>
    <col min="5877" max="5877" width="5.44140625" style="665" customWidth="1"/>
    <col min="5878" max="5878" width="6.6640625" style="665" customWidth="1"/>
    <col min="5879" max="5879" width="11.44140625" style="665"/>
    <col min="5880" max="5880" width="18.6640625" style="665" customWidth="1"/>
    <col min="5881" max="5881" width="20.6640625" style="665" customWidth="1"/>
    <col min="5882" max="5882" width="18.5546875" style="665" customWidth="1"/>
    <col min="5883" max="5883" width="61.109375" style="665" customWidth="1"/>
    <col min="5884" max="5884" width="18.5546875" style="665" customWidth="1"/>
    <col min="5885" max="5895" width="0" style="665" hidden="1" customWidth="1"/>
    <col min="5896" max="5896" width="38.109375" style="665" customWidth="1"/>
    <col min="5897" max="5897" width="14.109375" style="665" customWidth="1"/>
    <col min="5898" max="5898" width="24.88671875" style="665" customWidth="1"/>
    <col min="5899" max="5899" width="7.109375" style="665" customWidth="1"/>
    <col min="5900" max="5900" width="7.6640625" style="665" customWidth="1"/>
    <col min="5901" max="5902" width="23.33203125" style="665" customWidth="1"/>
    <col min="5903" max="5903" width="18.33203125" style="665" bestFit="1" customWidth="1"/>
    <col min="5904" max="6132" width="11.44140625" style="665"/>
    <col min="6133" max="6133" width="5.44140625" style="665" customWidth="1"/>
    <col min="6134" max="6134" width="6.6640625" style="665" customWidth="1"/>
    <col min="6135" max="6135" width="11.44140625" style="665"/>
    <col min="6136" max="6136" width="18.6640625" style="665" customWidth="1"/>
    <col min="6137" max="6137" width="20.6640625" style="665" customWidth="1"/>
    <col min="6138" max="6138" width="18.5546875" style="665" customWidth="1"/>
    <col min="6139" max="6139" width="61.109375" style="665" customWidth="1"/>
    <col min="6140" max="6140" width="18.5546875" style="665" customWidth="1"/>
    <col min="6141" max="6151" width="0" style="665" hidden="1" customWidth="1"/>
    <col min="6152" max="6152" width="38.109375" style="665" customWidth="1"/>
    <col min="6153" max="6153" width="14.109375" style="665" customWidth="1"/>
    <col min="6154" max="6154" width="24.88671875" style="665" customWidth="1"/>
    <col min="6155" max="6155" width="7.109375" style="665" customWidth="1"/>
    <col min="6156" max="6156" width="7.6640625" style="665" customWidth="1"/>
    <col min="6157" max="6158" width="23.33203125" style="665" customWidth="1"/>
    <col min="6159" max="6159" width="18.33203125" style="665" bestFit="1" customWidth="1"/>
    <col min="6160" max="6388" width="11.44140625" style="665"/>
    <col min="6389" max="6389" width="5.44140625" style="665" customWidth="1"/>
    <col min="6390" max="6390" width="6.6640625" style="665" customWidth="1"/>
    <col min="6391" max="6391" width="11.44140625" style="665"/>
    <col min="6392" max="6392" width="18.6640625" style="665" customWidth="1"/>
    <col min="6393" max="6393" width="20.6640625" style="665" customWidth="1"/>
    <col min="6394" max="6394" width="18.5546875" style="665" customWidth="1"/>
    <col min="6395" max="6395" width="61.109375" style="665" customWidth="1"/>
    <col min="6396" max="6396" width="18.5546875" style="665" customWidth="1"/>
    <col min="6397" max="6407" width="0" style="665" hidden="1" customWidth="1"/>
    <col min="6408" max="6408" width="38.109375" style="665" customWidth="1"/>
    <col min="6409" max="6409" width="14.109375" style="665" customWidth="1"/>
    <col min="6410" max="6410" width="24.88671875" style="665" customWidth="1"/>
    <col min="6411" max="6411" width="7.109375" style="665" customWidth="1"/>
    <col min="6412" max="6412" width="7.6640625" style="665" customWidth="1"/>
    <col min="6413" max="6414" width="23.33203125" style="665" customWidth="1"/>
    <col min="6415" max="6415" width="18.33203125" style="665" bestFit="1" customWidth="1"/>
    <col min="6416" max="6644" width="11.44140625" style="665"/>
    <col min="6645" max="6645" width="5.44140625" style="665" customWidth="1"/>
    <col min="6646" max="6646" width="6.6640625" style="665" customWidth="1"/>
    <col min="6647" max="6647" width="11.44140625" style="665"/>
    <col min="6648" max="6648" width="18.6640625" style="665" customWidth="1"/>
    <col min="6649" max="6649" width="20.6640625" style="665" customWidth="1"/>
    <col min="6650" max="6650" width="18.5546875" style="665" customWidth="1"/>
    <col min="6651" max="6651" width="61.109375" style="665" customWidth="1"/>
    <col min="6652" max="6652" width="18.5546875" style="665" customWidth="1"/>
    <col min="6653" max="6663" width="0" style="665" hidden="1" customWidth="1"/>
    <col min="6664" max="6664" width="38.109375" style="665" customWidth="1"/>
    <col min="6665" max="6665" width="14.109375" style="665" customWidth="1"/>
    <col min="6666" max="6666" width="24.88671875" style="665" customWidth="1"/>
    <col min="6667" max="6667" width="7.109375" style="665" customWidth="1"/>
    <col min="6668" max="6668" width="7.6640625" style="665" customWidth="1"/>
    <col min="6669" max="6670" width="23.33203125" style="665" customWidth="1"/>
    <col min="6671" max="6671" width="18.33203125" style="665" bestFit="1" customWidth="1"/>
    <col min="6672" max="6900" width="11.44140625" style="665"/>
    <col min="6901" max="6901" width="5.44140625" style="665" customWidth="1"/>
    <col min="6902" max="6902" width="6.6640625" style="665" customWidth="1"/>
    <col min="6903" max="6903" width="11.44140625" style="665"/>
    <col min="6904" max="6904" width="18.6640625" style="665" customWidth="1"/>
    <col min="6905" max="6905" width="20.6640625" style="665" customWidth="1"/>
    <col min="6906" max="6906" width="18.5546875" style="665" customWidth="1"/>
    <col min="6907" max="6907" width="61.109375" style="665" customWidth="1"/>
    <col min="6908" max="6908" width="18.5546875" style="665" customWidth="1"/>
    <col min="6909" max="6919" width="0" style="665" hidden="1" customWidth="1"/>
    <col min="6920" max="6920" width="38.109375" style="665" customWidth="1"/>
    <col min="6921" max="6921" width="14.109375" style="665" customWidth="1"/>
    <col min="6922" max="6922" width="24.88671875" style="665" customWidth="1"/>
    <col min="6923" max="6923" width="7.109375" style="665" customWidth="1"/>
    <col min="6924" max="6924" width="7.6640625" style="665" customWidth="1"/>
    <col min="6925" max="6926" width="23.33203125" style="665" customWidth="1"/>
    <col min="6927" max="6927" width="18.33203125" style="665" bestFit="1" customWidth="1"/>
    <col min="6928" max="7156" width="11.44140625" style="665"/>
    <col min="7157" max="7157" width="5.44140625" style="665" customWidth="1"/>
    <col min="7158" max="7158" width="6.6640625" style="665" customWidth="1"/>
    <col min="7159" max="7159" width="11.44140625" style="665"/>
    <col min="7160" max="7160" width="18.6640625" style="665" customWidth="1"/>
    <col min="7161" max="7161" width="20.6640625" style="665" customWidth="1"/>
    <col min="7162" max="7162" width="18.5546875" style="665" customWidth="1"/>
    <col min="7163" max="7163" width="61.109375" style="665" customWidth="1"/>
    <col min="7164" max="7164" width="18.5546875" style="665" customWidth="1"/>
    <col min="7165" max="7175" width="0" style="665" hidden="1" customWidth="1"/>
    <col min="7176" max="7176" width="38.109375" style="665" customWidth="1"/>
    <col min="7177" max="7177" width="14.109375" style="665" customWidth="1"/>
    <col min="7178" max="7178" width="24.88671875" style="665" customWidth="1"/>
    <col min="7179" max="7179" width="7.109375" style="665" customWidth="1"/>
    <col min="7180" max="7180" width="7.6640625" style="665" customWidth="1"/>
    <col min="7181" max="7182" width="23.33203125" style="665" customWidth="1"/>
    <col min="7183" max="7183" width="18.33203125" style="665" bestFit="1" customWidth="1"/>
    <col min="7184" max="7412" width="11.44140625" style="665"/>
    <col min="7413" max="7413" width="5.44140625" style="665" customWidth="1"/>
    <col min="7414" max="7414" width="6.6640625" style="665" customWidth="1"/>
    <col min="7415" max="7415" width="11.44140625" style="665"/>
    <col min="7416" max="7416" width="18.6640625" style="665" customWidth="1"/>
    <col min="7417" max="7417" width="20.6640625" style="665" customWidth="1"/>
    <col min="7418" max="7418" width="18.5546875" style="665" customWidth="1"/>
    <col min="7419" max="7419" width="61.109375" style="665" customWidth="1"/>
    <col min="7420" max="7420" width="18.5546875" style="665" customWidth="1"/>
    <col min="7421" max="7431" width="0" style="665" hidden="1" customWidth="1"/>
    <col min="7432" max="7432" width="38.109375" style="665" customWidth="1"/>
    <col min="7433" max="7433" width="14.109375" style="665" customWidth="1"/>
    <col min="7434" max="7434" width="24.88671875" style="665" customWidth="1"/>
    <col min="7435" max="7435" width="7.109375" style="665" customWidth="1"/>
    <col min="7436" max="7436" width="7.6640625" style="665" customWidth="1"/>
    <col min="7437" max="7438" width="23.33203125" style="665" customWidth="1"/>
    <col min="7439" max="7439" width="18.33203125" style="665" bestFit="1" customWidth="1"/>
    <col min="7440" max="7668" width="11.44140625" style="665"/>
    <col min="7669" max="7669" width="5.44140625" style="665" customWidth="1"/>
    <col min="7670" max="7670" width="6.6640625" style="665" customWidth="1"/>
    <col min="7671" max="7671" width="11.44140625" style="665"/>
    <col min="7672" max="7672" width="18.6640625" style="665" customWidth="1"/>
    <col min="7673" max="7673" width="20.6640625" style="665" customWidth="1"/>
    <col min="7674" max="7674" width="18.5546875" style="665" customWidth="1"/>
    <col min="7675" max="7675" width="61.109375" style="665" customWidth="1"/>
    <col min="7676" max="7676" width="18.5546875" style="665" customWidth="1"/>
    <col min="7677" max="7687" width="0" style="665" hidden="1" customWidth="1"/>
    <col min="7688" max="7688" width="38.109375" style="665" customWidth="1"/>
    <col min="7689" max="7689" width="14.109375" style="665" customWidth="1"/>
    <col min="7690" max="7690" width="24.88671875" style="665" customWidth="1"/>
    <col min="7691" max="7691" width="7.109375" style="665" customWidth="1"/>
    <col min="7692" max="7692" width="7.6640625" style="665" customWidth="1"/>
    <col min="7693" max="7694" width="23.33203125" style="665" customWidth="1"/>
    <col min="7695" max="7695" width="18.33203125" style="665" bestFit="1" customWidth="1"/>
    <col min="7696" max="7924" width="11.44140625" style="665"/>
    <col min="7925" max="7925" width="5.44140625" style="665" customWidth="1"/>
    <col min="7926" max="7926" width="6.6640625" style="665" customWidth="1"/>
    <col min="7927" max="7927" width="11.44140625" style="665"/>
    <col min="7928" max="7928" width="18.6640625" style="665" customWidth="1"/>
    <col min="7929" max="7929" width="20.6640625" style="665" customWidth="1"/>
    <col min="7930" max="7930" width="18.5546875" style="665" customWidth="1"/>
    <col min="7931" max="7931" width="61.109375" style="665" customWidth="1"/>
    <col min="7932" max="7932" width="18.5546875" style="665" customWidth="1"/>
    <col min="7933" max="7943" width="0" style="665" hidden="1" customWidth="1"/>
    <col min="7944" max="7944" width="38.109375" style="665" customWidth="1"/>
    <col min="7945" max="7945" width="14.109375" style="665" customWidth="1"/>
    <col min="7946" max="7946" width="24.88671875" style="665" customWidth="1"/>
    <col min="7947" max="7947" width="7.109375" style="665" customWidth="1"/>
    <col min="7948" max="7948" width="7.6640625" style="665" customWidth="1"/>
    <col min="7949" max="7950" width="23.33203125" style="665" customWidth="1"/>
    <col min="7951" max="7951" width="18.33203125" style="665" bestFit="1" customWidth="1"/>
    <col min="7952" max="8180" width="11.44140625" style="665"/>
    <col min="8181" max="8181" width="5.44140625" style="665" customWidth="1"/>
    <col min="8182" max="8182" width="6.6640625" style="665" customWidth="1"/>
    <col min="8183" max="8183" width="11.44140625" style="665"/>
    <col min="8184" max="8184" width="18.6640625" style="665" customWidth="1"/>
    <col min="8185" max="8185" width="20.6640625" style="665" customWidth="1"/>
    <col min="8186" max="8186" width="18.5546875" style="665" customWidth="1"/>
    <col min="8187" max="8187" width="61.109375" style="665" customWidth="1"/>
    <col min="8188" max="8188" width="18.5546875" style="665" customWidth="1"/>
    <col min="8189" max="8199" width="0" style="665" hidden="1" customWidth="1"/>
    <col min="8200" max="8200" width="38.109375" style="665" customWidth="1"/>
    <col min="8201" max="8201" width="14.109375" style="665" customWidth="1"/>
    <col min="8202" max="8202" width="24.88671875" style="665" customWidth="1"/>
    <col min="8203" max="8203" width="7.109375" style="665" customWidth="1"/>
    <col min="8204" max="8204" width="7.6640625" style="665" customWidth="1"/>
    <col min="8205" max="8206" width="23.33203125" style="665" customWidth="1"/>
    <col min="8207" max="8207" width="18.33203125" style="665" bestFit="1" customWidth="1"/>
    <col min="8208" max="8436" width="11.44140625" style="665"/>
    <col min="8437" max="8437" width="5.44140625" style="665" customWidth="1"/>
    <col min="8438" max="8438" width="6.6640625" style="665" customWidth="1"/>
    <col min="8439" max="8439" width="11.44140625" style="665"/>
    <col min="8440" max="8440" width="18.6640625" style="665" customWidth="1"/>
    <col min="8441" max="8441" width="20.6640625" style="665" customWidth="1"/>
    <col min="8442" max="8442" width="18.5546875" style="665" customWidth="1"/>
    <col min="8443" max="8443" width="61.109375" style="665" customWidth="1"/>
    <col min="8444" max="8444" width="18.5546875" style="665" customWidth="1"/>
    <col min="8445" max="8455" width="0" style="665" hidden="1" customWidth="1"/>
    <col min="8456" max="8456" width="38.109375" style="665" customWidth="1"/>
    <col min="8457" max="8457" width="14.109375" style="665" customWidth="1"/>
    <col min="8458" max="8458" width="24.88671875" style="665" customWidth="1"/>
    <col min="8459" max="8459" width="7.109375" style="665" customWidth="1"/>
    <col min="8460" max="8460" width="7.6640625" style="665" customWidth="1"/>
    <col min="8461" max="8462" width="23.33203125" style="665" customWidth="1"/>
    <col min="8463" max="8463" width="18.33203125" style="665" bestFit="1" customWidth="1"/>
    <col min="8464" max="8692" width="11.44140625" style="665"/>
    <col min="8693" max="8693" width="5.44140625" style="665" customWidth="1"/>
    <col min="8694" max="8694" width="6.6640625" style="665" customWidth="1"/>
    <col min="8695" max="8695" width="11.44140625" style="665"/>
    <col min="8696" max="8696" width="18.6640625" style="665" customWidth="1"/>
    <col min="8697" max="8697" width="20.6640625" style="665" customWidth="1"/>
    <col min="8698" max="8698" width="18.5546875" style="665" customWidth="1"/>
    <col min="8699" max="8699" width="61.109375" style="665" customWidth="1"/>
    <col min="8700" max="8700" width="18.5546875" style="665" customWidth="1"/>
    <col min="8701" max="8711" width="0" style="665" hidden="1" customWidth="1"/>
    <col min="8712" max="8712" width="38.109375" style="665" customWidth="1"/>
    <col min="8713" max="8713" width="14.109375" style="665" customWidth="1"/>
    <col min="8714" max="8714" width="24.88671875" style="665" customWidth="1"/>
    <col min="8715" max="8715" width="7.109375" style="665" customWidth="1"/>
    <col min="8716" max="8716" width="7.6640625" style="665" customWidth="1"/>
    <col min="8717" max="8718" width="23.33203125" style="665" customWidth="1"/>
    <col min="8719" max="8719" width="18.33203125" style="665" bestFit="1" customWidth="1"/>
    <col min="8720" max="8948" width="11.44140625" style="665"/>
    <col min="8949" max="8949" width="5.44140625" style="665" customWidth="1"/>
    <col min="8950" max="8950" width="6.6640625" style="665" customWidth="1"/>
    <col min="8951" max="8951" width="11.44140625" style="665"/>
    <col min="8952" max="8952" width="18.6640625" style="665" customWidth="1"/>
    <col min="8953" max="8953" width="20.6640625" style="665" customWidth="1"/>
    <col min="8954" max="8954" width="18.5546875" style="665" customWidth="1"/>
    <col min="8955" max="8955" width="61.109375" style="665" customWidth="1"/>
    <col min="8956" max="8956" width="18.5546875" style="665" customWidth="1"/>
    <col min="8957" max="8967" width="0" style="665" hidden="1" customWidth="1"/>
    <col min="8968" max="8968" width="38.109375" style="665" customWidth="1"/>
    <col min="8969" max="8969" width="14.109375" style="665" customWidth="1"/>
    <col min="8970" max="8970" width="24.88671875" style="665" customWidth="1"/>
    <col min="8971" max="8971" width="7.109375" style="665" customWidth="1"/>
    <col min="8972" max="8972" width="7.6640625" style="665" customWidth="1"/>
    <col min="8973" max="8974" width="23.33203125" style="665" customWidth="1"/>
    <col min="8975" max="8975" width="18.33203125" style="665" bestFit="1" customWidth="1"/>
    <col min="8976" max="9204" width="11.44140625" style="665"/>
    <col min="9205" max="9205" width="5.44140625" style="665" customWidth="1"/>
    <col min="9206" max="9206" width="6.6640625" style="665" customWidth="1"/>
    <col min="9207" max="9207" width="11.44140625" style="665"/>
    <col min="9208" max="9208" width="18.6640625" style="665" customWidth="1"/>
    <col min="9209" max="9209" width="20.6640625" style="665" customWidth="1"/>
    <col min="9210" max="9210" width="18.5546875" style="665" customWidth="1"/>
    <col min="9211" max="9211" width="61.109375" style="665" customWidth="1"/>
    <col min="9212" max="9212" width="18.5546875" style="665" customWidth="1"/>
    <col min="9213" max="9223" width="0" style="665" hidden="1" customWidth="1"/>
    <col min="9224" max="9224" width="38.109375" style="665" customWidth="1"/>
    <col min="9225" max="9225" width="14.109375" style="665" customWidth="1"/>
    <col min="9226" max="9226" width="24.88671875" style="665" customWidth="1"/>
    <col min="9227" max="9227" width="7.109375" style="665" customWidth="1"/>
    <col min="9228" max="9228" width="7.6640625" style="665" customWidth="1"/>
    <col min="9229" max="9230" width="23.33203125" style="665" customWidth="1"/>
    <col min="9231" max="9231" width="18.33203125" style="665" bestFit="1" customWidth="1"/>
    <col min="9232" max="9460" width="11.44140625" style="665"/>
    <col min="9461" max="9461" width="5.44140625" style="665" customWidth="1"/>
    <col min="9462" max="9462" width="6.6640625" style="665" customWidth="1"/>
    <col min="9463" max="9463" width="11.44140625" style="665"/>
    <col min="9464" max="9464" width="18.6640625" style="665" customWidth="1"/>
    <col min="9465" max="9465" width="20.6640625" style="665" customWidth="1"/>
    <col min="9466" max="9466" width="18.5546875" style="665" customWidth="1"/>
    <col min="9467" max="9467" width="61.109375" style="665" customWidth="1"/>
    <col min="9468" max="9468" width="18.5546875" style="665" customWidth="1"/>
    <col min="9469" max="9479" width="0" style="665" hidden="1" customWidth="1"/>
    <col min="9480" max="9480" width="38.109375" style="665" customWidth="1"/>
    <col min="9481" max="9481" width="14.109375" style="665" customWidth="1"/>
    <col min="9482" max="9482" width="24.88671875" style="665" customWidth="1"/>
    <col min="9483" max="9483" width="7.109375" style="665" customWidth="1"/>
    <col min="9484" max="9484" width="7.6640625" style="665" customWidth="1"/>
    <col min="9485" max="9486" width="23.33203125" style="665" customWidth="1"/>
    <col min="9487" max="9487" width="18.33203125" style="665" bestFit="1" customWidth="1"/>
    <col min="9488" max="9716" width="11.44140625" style="665"/>
    <col min="9717" max="9717" width="5.44140625" style="665" customWidth="1"/>
    <col min="9718" max="9718" width="6.6640625" style="665" customWidth="1"/>
    <col min="9719" max="9719" width="11.44140625" style="665"/>
    <col min="9720" max="9720" width="18.6640625" style="665" customWidth="1"/>
    <col min="9721" max="9721" width="20.6640625" style="665" customWidth="1"/>
    <col min="9722" max="9722" width="18.5546875" style="665" customWidth="1"/>
    <col min="9723" max="9723" width="61.109375" style="665" customWidth="1"/>
    <col min="9724" max="9724" width="18.5546875" style="665" customWidth="1"/>
    <col min="9725" max="9735" width="0" style="665" hidden="1" customWidth="1"/>
    <col min="9736" max="9736" width="38.109375" style="665" customWidth="1"/>
    <col min="9737" max="9737" width="14.109375" style="665" customWidth="1"/>
    <col min="9738" max="9738" width="24.88671875" style="665" customWidth="1"/>
    <col min="9739" max="9739" width="7.109375" style="665" customWidth="1"/>
    <col min="9740" max="9740" width="7.6640625" style="665" customWidth="1"/>
    <col min="9741" max="9742" width="23.33203125" style="665" customWidth="1"/>
    <col min="9743" max="9743" width="18.33203125" style="665" bestFit="1" customWidth="1"/>
    <col min="9744" max="9972" width="11.44140625" style="665"/>
    <col min="9973" max="9973" width="5.44140625" style="665" customWidth="1"/>
    <col min="9974" max="9974" width="6.6640625" style="665" customWidth="1"/>
    <col min="9975" max="9975" width="11.44140625" style="665"/>
    <col min="9976" max="9976" width="18.6640625" style="665" customWidth="1"/>
    <col min="9977" max="9977" width="20.6640625" style="665" customWidth="1"/>
    <col min="9978" max="9978" width="18.5546875" style="665" customWidth="1"/>
    <col min="9979" max="9979" width="61.109375" style="665" customWidth="1"/>
    <col min="9980" max="9980" width="18.5546875" style="665" customWidth="1"/>
    <col min="9981" max="9991" width="0" style="665" hidden="1" customWidth="1"/>
    <col min="9992" max="9992" width="38.109375" style="665" customWidth="1"/>
    <col min="9993" max="9993" width="14.109375" style="665" customWidth="1"/>
    <col min="9994" max="9994" width="24.88671875" style="665" customWidth="1"/>
    <col min="9995" max="9995" width="7.109375" style="665" customWidth="1"/>
    <col min="9996" max="9996" width="7.6640625" style="665" customWidth="1"/>
    <col min="9997" max="9998" width="23.33203125" style="665" customWidth="1"/>
    <col min="9999" max="9999" width="18.33203125" style="665" bestFit="1" customWidth="1"/>
    <col min="10000" max="10228" width="11.44140625" style="665"/>
    <col min="10229" max="10229" width="5.44140625" style="665" customWidth="1"/>
    <col min="10230" max="10230" width="6.6640625" style="665" customWidth="1"/>
    <col min="10231" max="10231" width="11.44140625" style="665"/>
    <col min="10232" max="10232" width="18.6640625" style="665" customWidth="1"/>
    <col min="10233" max="10233" width="20.6640625" style="665" customWidth="1"/>
    <col min="10234" max="10234" width="18.5546875" style="665" customWidth="1"/>
    <col min="10235" max="10235" width="61.109375" style="665" customWidth="1"/>
    <col min="10236" max="10236" width="18.5546875" style="665" customWidth="1"/>
    <col min="10237" max="10247" width="0" style="665" hidden="1" customWidth="1"/>
    <col min="10248" max="10248" width="38.109375" style="665" customWidth="1"/>
    <col min="10249" max="10249" width="14.109375" style="665" customWidth="1"/>
    <col min="10250" max="10250" width="24.88671875" style="665" customWidth="1"/>
    <col min="10251" max="10251" width="7.109375" style="665" customWidth="1"/>
    <col min="10252" max="10252" width="7.6640625" style="665" customWidth="1"/>
    <col min="10253" max="10254" width="23.33203125" style="665" customWidth="1"/>
    <col min="10255" max="10255" width="18.33203125" style="665" bestFit="1" customWidth="1"/>
    <col min="10256" max="10484" width="11.44140625" style="665"/>
    <col min="10485" max="10485" width="5.44140625" style="665" customWidth="1"/>
    <col min="10486" max="10486" width="6.6640625" style="665" customWidth="1"/>
    <col min="10487" max="10487" width="11.44140625" style="665"/>
    <col min="10488" max="10488" width="18.6640625" style="665" customWidth="1"/>
    <col min="10489" max="10489" width="20.6640625" style="665" customWidth="1"/>
    <col min="10490" max="10490" width="18.5546875" style="665" customWidth="1"/>
    <col min="10491" max="10491" width="61.109375" style="665" customWidth="1"/>
    <col min="10492" max="10492" width="18.5546875" style="665" customWidth="1"/>
    <col min="10493" max="10503" width="0" style="665" hidden="1" customWidth="1"/>
    <col min="10504" max="10504" width="38.109375" style="665" customWidth="1"/>
    <col min="10505" max="10505" width="14.109375" style="665" customWidth="1"/>
    <col min="10506" max="10506" width="24.88671875" style="665" customWidth="1"/>
    <col min="10507" max="10507" width="7.109375" style="665" customWidth="1"/>
    <col min="10508" max="10508" width="7.6640625" style="665" customWidth="1"/>
    <col min="10509" max="10510" width="23.33203125" style="665" customWidth="1"/>
    <col min="10511" max="10511" width="18.33203125" style="665" bestFit="1" customWidth="1"/>
    <col min="10512" max="10740" width="11.44140625" style="665"/>
    <col min="10741" max="10741" width="5.44140625" style="665" customWidth="1"/>
    <col min="10742" max="10742" width="6.6640625" style="665" customWidth="1"/>
    <col min="10743" max="10743" width="11.44140625" style="665"/>
    <col min="10744" max="10744" width="18.6640625" style="665" customWidth="1"/>
    <col min="10745" max="10745" width="20.6640625" style="665" customWidth="1"/>
    <col min="10746" max="10746" width="18.5546875" style="665" customWidth="1"/>
    <col min="10747" max="10747" width="61.109375" style="665" customWidth="1"/>
    <col min="10748" max="10748" width="18.5546875" style="665" customWidth="1"/>
    <col min="10749" max="10759" width="0" style="665" hidden="1" customWidth="1"/>
    <col min="10760" max="10760" width="38.109375" style="665" customWidth="1"/>
    <col min="10761" max="10761" width="14.109375" style="665" customWidth="1"/>
    <col min="10762" max="10762" width="24.88671875" style="665" customWidth="1"/>
    <col min="10763" max="10763" width="7.109375" style="665" customWidth="1"/>
    <col min="10764" max="10764" width="7.6640625" style="665" customWidth="1"/>
    <col min="10765" max="10766" width="23.33203125" style="665" customWidth="1"/>
    <col min="10767" max="10767" width="18.33203125" style="665" bestFit="1" customWidth="1"/>
    <col min="10768" max="10996" width="11.44140625" style="665"/>
    <col min="10997" max="10997" width="5.44140625" style="665" customWidth="1"/>
    <col min="10998" max="10998" width="6.6640625" style="665" customWidth="1"/>
    <col min="10999" max="10999" width="11.44140625" style="665"/>
    <col min="11000" max="11000" width="18.6640625" style="665" customWidth="1"/>
    <col min="11001" max="11001" width="20.6640625" style="665" customWidth="1"/>
    <col min="11002" max="11002" width="18.5546875" style="665" customWidth="1"/>
    <col min="11003" max="11003" width="61.109375" style="665" customWidth="1"/>
    <col min="11004" max="11004" width="18.5546875" style="665" customWidth="1"/>
    <col min="11005" max="11015" width="0" style="665" hidden="1" customWidth="1"/>
    <col min="11016" max="11016" width="38.109375" style="665" customWidth="1"/>
    <col min="11017" max="11017" width="14.109375" style="665" customWidth="1"/>
    <col min="11018" max="11018" width="24.88671875" style="665" customWidth="1"/>
    <col min="11019" max="11019" width="7.109375" style="665" customWidth="1"/>
    <col min="11020" max="11020" width="7.6640625" style="665" customWidth="1"/>
    <col min="11021" max="11022" width="23.33203125" style="665" customWidth="1"/>
    <col min="11023" max="11023" width="18.33203125" style="665" bestFit="1" customWidth="1"/>
    <col min="11024" max="11252" width="11.44140625" style="665"/>
    <col min="11253" max="11253" width="5.44140625" style="665" customWidth="1"/>
    <col min="11254" max="11254" width="6.6640625" style="665" customWidth="1"/>
    <col min="11255" max="11255" width="11.44140625" style="665"/>
    <col min="11256" max="11256" width="18.6640625" style="665" customWidth="1"/>
    <col min="11257" max="11257" width="20.6640625" style="665" customWidth="1"/>
    <col min="11258" max="11258" width="18.5546875" style="665" customWidth="1"/>
    <col min="11259" max="11259" width="61.109375" style="665" customWidth="1"/>
    <col min="11260" max="11260" width="18.5546875" style="665" customWidth="1"/>
    <col min="11261" max="11271" width="0" style="665" hidden="1" customWidth="1"/>
    <col min="11272" max="11272" width="38.109375" style="665" customWidth="1"/>
    <col min="11273" max="11273" width="14.109375" style="665" customWidth="1"/>
    <col min="11274" max="11274" width="24.88671875" style="665" customWidth="1"/>
    <col min="11275" max="11275" width="7.109375" style="665" customWidth="1"/>
    <col min="11276" max="11276" width="7.6640625" style="665" customWidth="1"/>
    <col min="11277" max="11278" width="23.33203125" style="665" customWidth="1"/>
    <col min="11279" max="11279" width="18.33203125" style="665" bestFit="1" customWidth="1"/>
    <col min="11280" max="11508" width="11.44140625" style="665"/>
    <col min="11509" max="11509" width="5.44140625" style="665" customWidth="1"/>
    <col min="11510" max="11510" width="6.6640625" style="665" customWidth="1"/>
    <col min="11511" max="11511" width="11.44140625" style="665"/>
    <col min="11512" max="11512" width="18.6640625" style="665" customWidth="1"/>
    <col min="11513" max="11513" width="20.6640625" style="665" customWidth="1"/>
    <col min="11514" max="11514" width="18.5546875" style="665" customWidth="1"/>
    <col min="11515" max="11515" width="61.109375" style="665" customWidth="1"/>
    <col min="11516" max="11516" width="18.5546875" style="665" customWidth="1"/>
    <col min="11517" max="11527" width="0" style="665" hidden="1" customWidth="1"/>
    <col min="11528" max="11528" width="38.109375" style="665" customWidth="1"/>
    <col min="11529" max="11529" width="14.109375" style="665" customWidth="1"/>
    <col min="11530" max="11530" width="24.88671875" style="665" customWidth="1"/>
    <col min="11531" max="11531" width="7.109375" style="665" customWidth="1"/>
    <col min="11532" max="11532" width="7.6640625" style="665" customWidth="1"/>
    <col min="11533" max="11534" width="23.33203125" style="665" customWidth="1"/>
    <col min="11535" max="11535" width="18.33203125" style="665" bestFit="1" customWidth="1"/>
    <col min="11536" max="11764" width="11.44140625" style="665"/>
    <col min="11765" max="11765" width="5.44140625" style="665" customWidth="1"/>
    <col min="11766" max="11766" width="6.6640625" style="665" customWidth="1"/>
    <col min="11767" max="11767" width="11.44140625" style="665"/>
    <col min="11768" max="11768" width="18.6640625" style="665" customWidth="1"/>
    <col min="11769" max="11769" width="20.6640625" style="665" customWidth="1"/>
    <col min="11770" max="11770" width="18.5546875" style="665" customWidth="1"/>
    <col min="11771" max="11771" width="61.109375" style="665" customWidth="1"/>
    <col min="11772" max="11772" width="18.5546875" style="665" customWidth="1"/>
    <col min="11773" max="11783" width="0" style="665" hidden="1" customWidth="1"/>
    <col min="11784" max="11784" width="38.109375" style="665" customWidth="1"/>
    <col min="11785" max="11785" width="14.109375" style="665" customWidth="1"/>
    <col min="11786" max="11786" width="24.88671875" style="665" customWidth="1"/>
    <col min="11787" max="11787" width="7.109375" style="665" customWidth="1"/>
    <col min="11788" max="11788" width="7.6640625" style="665" customWidth="1"/>
    <col min="11789" max="11790" width="23.33203125" style="665" customWidth="1"/>
    <col min="11791" max="11791" width="18.33203125" style="665" bestFit="1" customWidth="1"/>
    <col min="11792" max="12020" width="11.44140625" style="665"/>
    <col min="12021" max="12021" width="5.44140625" style="665" customWidth="1"/>
    <col min="12022" max="12022" width="6.6640625" style="665" customWidth="1"/>
    <col min="12023" max="12023" width="11.44140625" style="665"/>
    <col min="12024" max="12024" width="18.6640625" style="665" customWidth="1"/>
    <col min="12025" max="12025" width="20.6640625" style="665" customWidth="1"/>
    <col min="12026" max="12026" width="18.5546875" style="665" customWidth="1"/>
    <col min="12027" max="12027" width="61.109375" style="665" customWidth="1"/>
    <col min="12028" max="12028" width="18.5546875" style="665" customWidth="1"/>
    <col min="12029" max="12039" width="0" style="665" hidden="1" customWidth="1"/>
    <col min="12040" max="12040" width="38.109375" style="665" customWidth="1"/>
    <col min="12041" max="12041" width="14.109375" style="665" customWidth="1"/>
    <col min="12042" max="12042" width="24.88671875" style="665" customWidth="1"/>
    <col min="12043" max="12043" width="7.109375" style="665" customWidth="1"/>
    <col min="12044" max="12044" width="7.6640625" style="665" customWidth="1"/>
    <col min="12045" max="12046" width="23.33203125" style="665" customWidth="1"/>
    <col min="12047" max="12047" width="18.33203125" style="665" bestFit="1" customWidth="1"/>
    <col min="12048" max="12276" width="11.44140625" style="665"/>
    <col min="12277" max="12277" width="5.44140625" style="665" customWidth="1"/>
    <col min="12278" max="12278" width="6.6640625" style="665" customWidth="1"/>
    <col min="12279" max="12279" width="11.44140625" style="665"/>
    <col min="12280" max="12280" width="18.6640625" style="665" customWidth="1"/>
    <col min="12281" max="12281" width="20.6640625" style="665" customWidth="1"/>
    <col min="12282" max="12282" width="18.5546875" style="665" customWidth="1"/>
    <col min="12283" max="12283" width="61.109375" style="665" customWidth="1"/>
    <col min="12284" max="12284" width="18.5546875" style="665" customWidth="1"/>
    <col min="12285" max="12295" width="0" style="665" hidden="1" customWidth="1"/>
    <col min="12296" max="12296" width="38.109375" style="665" customWidth="1"/>
    <col min="12297" max="12297" width="14.109375" style="665" customWidth="1"/>
    <col min="12298" max="12298" width="24.88671875" style="665" customWidth="1"/>
    <col min="12299" max="12299" width="7.109375" style="665" customWidth="1"/>
    <col min="12300" max="12300" width="7.6640625" style="665" customWidth="1"/>
    <col min="12301" max="12302" width="23.33203125" style="665" customWidth="1"/>
    <col min="12303" max="12303" width="18.33203125" style="665" bestFit="1" customWidth="1"/>
    <col min="12304" max="12532" width="11.44140625" style="665"/>
    <col min="12533" max="12533" width="5.44140625" style="665" customWidth="1"/>
    <col min="12534" max="12534" width="6.6640625" style="665" customWidth="1"/>
    <col min="12535" max="12535" width="11.44140625" style="665"/>
    <col min="12536" max="12536" width="18.6640625" style="665" customWidth="1"/>
    <col min="12537" max="12537" width="20.6640625" style="665" customWidth="1"/>
    <col min="12538" max="12538" width="18.5546875" style="665" customWidth="1"/>
    <col min="12539" max="12539" width="61.109375" style="665" customWidth="1"/>
    <col min="12540" max="12540" width="18.5546875" style="665" customWidth="1"/>
    <col min="12541" max="12551" width="0" style="665" hidden="1" customWidth="1"/>
    <col min="12552" max="12552" width="38.109375" style="665" customWidth="1"/>
    <col min="12553" max="12553" width="14.109375" style="665" customWidth="1"/>
    <col min="12554" max="12554" width="24.88671875" style="665" customWidth="1"/>
    <col min="12555" max="12555" width="7.109375" style="665" customWidth="1"/>
    <col min="12556" max="12556" width="7.6640625" style="665" customWidth="1"/>
    <col min="12557" max="12558" width="23.33203125" style="665" customWidth="1"/>
    <col min="12559" max="12559" width="18.33203125" style="665" bestFit="1" customWidth="1"/>
    <col min="12560" max="12788" width="11.44140625" style="665"/>
    <col min="12789" max="12789" width="5.44140625" style="665" customWidth="1"/>
    <col min="12790" max="12790" width="6.6640625" style="665" customWidth="1"/>
    <col min="12791" max="12791" width="11.44140625" style="665"/>
    <col min="12792" max="12792" width="18.6640625" style="665" customWidth="1"/>
    <col min="12793" max="12793" width="20.6640625" style="665" customWidth="1"/>
    <col min="12794" max="12794" width="18.5546875" style="665" customWidth="1"/>
    <col min="12795" max="12795" width="61.109375" style="665" customWidth="1"/>
    <col min="12796" max="12796" width="18.5546875" style="665" customWidth="1"/>
    <col min="12797" max="12807" width="0" style="665" hidden="1" customWidth="1"/>
    <col min="12808" max="12808" width="38.109375" style="665" customWidth="1"/>
    <col min="12809" max="12809" width="14.109375" style="665" customWidth="1"/>
    <col min="12810" max="12810" width="24.88671875" style="665" customWidth="1"/>
    <col min="12811" max="12811" width="7.109375" style="665" customWidth="1"/>
    <col min="12812" max="12812" width="7.6640625" style="665" customWidth="1"/>
    <col min="12813" max="12814" width="23.33203125" style="665" customWidth="1"/>
    <col min="12815" max="12815" width="18.33203125" style="665" bestFit="1" customWidth="1"/>
    <col min="12816" max="13044" width="11.44140625" style="665"/>
    <col min="13045" max="13045" width="5.44140625" style="665" customWidth="1"/>
    <col min="13046" max="13046" width="6.6640625" style="665" customWidth="1"/>
    <col min="13047" max="13047" width="11.44140625" style="665"/>
    <col min="13048" max="13048" width="18.6640625" style="665" customWidth="1"/>
    <col min="13049" max="13049" width="20.6640625" style="665" customWidth="1"/>
    <col min="13050" max="13050" width="18.5546875" style="665" customWidth="1"/>
    <col min="13051" max="13051" width="61.109375" style="665" customWidth="1"/>
    <col min="13052" max="13052" width="18.5546875" style="665" customWidth="1"/>
    <col min="13053" max="13063" width="0" style="665" hidden="1" customWidth="1"/>
    <col min="13064" max="13064" width="38.109375" style="665" customWidth="1"/>
    <col min="13065" max="13065" width="14.109375" style="665" customWidth="1"/>
    <col min="13066" max="13066" width="24.88671875" style="665" customWidth="1"/>
    <col min="13067" max="13067" width="7.109375" style="665" customWidth="1"/>
    <col min="13068" max="13068" width="7.6640625" style="665" customWidth="1"/>
    <col min="13069" max="13070" width="23.33203125" style="665" customWidth="1"/>
    <col min="13071" max="13071" width="18.33203125" style="665" bestFit="1" customWidth="1"/>
    <col min="13072" max="13300" width="11.44140625" style="665"/>
    <col min="13301" max="13301" width="5.44140625" style="665" customWidth="1"/>
    <col min="13302" max="13302" width="6.6640625" style="665" customWidth="1"/>
    <col min="13303" max="13303" width="11.44140625" style="665"/>
    <col min="13304" max="13304" width="18.6640625" style="665" customWidth="1"/>
    <col min="13305" max="13305" width="20.6640625" style="665" customWidth="1"/>
    <col min="13306" max="13306" width="18.5546875" style="665" customWidth="1"/>
    <col min="13307" max="13307" width="61.109375" style="665" customWidth="1"/>
    <col min="13308" max="13308" width="18.5546875" style="665" customWidth="1"/>
    <col min="13309" max="13319" width="0" style="665" hidden="1" customWidth="1"/>
    <col min="13320" max="13320" width="38.109375" style="665" customWidth="1"/>
    <col min="13321" max="13321" width="14.109375" style="665" customWidth="1"/>
    <col min="13322" max="13322" width="24.88671875" style="665" customWidth="1"/>
    <col min="13323" max="13323" width="7.109375" style="665" customWidth="1"/>
    <col min="13324" max="13324" width="7.6640625" style="665" customWidth="1"/>
    <col min="13325" max="13326" width="23.33203125" style="665" customWidth="1"/>
    <col min="13327" max="13327" width="18.33203125" style="665" bestFit="1" customWidth="1"/>
    <col min="13328" max="13556" width="11.44140625" style="665"/>
    <col min="13557" max="13557" width="5.44140625" style="665" customWidth="1"/>
    <col min="13558" max="13558" width="6.6640625" style="665" customWidth="1"/>
    <col min="13559" max="13559" width="11.44140625" style="665"/>
    <col min="13560" max="13560" width="18.6640625" style="665" customWidth="1"/>
    <col min="13561" max="13561" width="20.6640625" style="665" customWidth="1"/>
    <col min="13562" max="13562" width="18.5546875" style="665" customWidth="1"/>
    <col min="13563" max="13563" width="61.109375" style="665" customWidth="1"/>
    <col min="13564" max="13564" width="18.5546875" style="665" customWidth="1"/>
    <col min="13565" max="13575" width="0" style="665" hidden="1" customWidth="1"/>
    <col min="13576" max="13576" width="38.109375" style="665" customWidth="1"/>
    <col min="13577" max="13577" width="14.109375" style="665" customWidth="1"/>
    <col min="13578" max="13578" width="24.88671875" style="665" customWidth="1"/>
    <col min="13579" max="13579" width="7.109375" style="665" customWidth="1"/>
    <col min="13580" max="13580" width="7.6640625" style="665" customWidth="1"/>
    <col min="13581" max="13582" width="23.33203125" style="665" customWidth="1"/>
    <col min="13583" max="13583" width="18.33203125" style="665" bestFit="1" customWidth="1"/>
    <col min="13584" max="13812" width="11.44140625" style="665"/>
    <col min="13813" max="13813" width="5.44140625" style="665" customWidth="1"/>
    <col min="13814" max="13814" width="6.6640625" style="665" customWidth="1"/>
    <col min="13815" max="13815" width="11.44140625" style="665"/>
    <col min="13816" max="13816" width="18.6640625" style="665" customWidth="1"/>
    <col min="13817" max="13817" width="20.6640625" style="665" customWidth="1"/>
    <col min="13818" max="13818" width="18.5546875" style="665" customWidth="1"/>
    <col min="13819" max="13819" width="61.109375" style="665" customWidth="1"/>
    <col min="13820" max="13820" width="18.5546875" style="665" customWidth="1"/>
    <col min="13821" max="13831" width="0" style="665" hidden="1" customWidth="1"/>
    <col min="13832" max="13832" width="38.109375" style="665" customWidth="1"/>
    <col min="13833" max="13833" width="14.109375" style="665" customWidth="1"/>
    <col min="13834" max="13834" width="24.88671875" style="665" customWidth="1"/>
    <col min="13835" max="13835" width="7.109375" style="665" customWidth="1"/>
    <col min="13836" max="13836" width="7.6640625" style="665" customWidth="1"/>
    <col min="13837" max="13838" width="23.33203125" style="665" customWidth="1"/>
    <col min="13839" max="13839" width="18.33203125" style="665" bestFit="1" customWidth="1"/>
    <col min="13840" max="14068" width="11.44140625" style="665"/>
    <col min="14069" max="14069" width="5.44140625" style="665" customWidth="1"/>
    <col min="14070" max="14070" width="6.6640625" style="665" customWidth="1"/>
    <col min="14071" max="14071" width="11.44140625" style="665"/>
    <col min="14072" max="14072" width="18.6640625" style="665" customWidth="1"/>
    <col min="14073" max="14073" width="20.6640625" style="665" customWidth="1"/>
    <col min="14074" max="14074" width="18.5546875" style="665" customWidth="1"/>
    <col min="14075" max="14075" width="61.109375" style="665" customWidth="1"/>
    <col min="14076" max="14076" width="18.5546875" style="665" customWidth="1"/>
    <col min="14077" max="14087" width="0" style="665" hidden="1" customWidth="1"/>
    <col min="14088" max="14088" width="38.109375" style="665" customWidth="1"/>
    <col min="14089" max="14089" width="14.109375" style="665" customWidth="1"/>
    <col min="14090" max="14090" width="24.88671875" style="665" customWidth="1"/>
    <col min="14091" max="14091" width="7.109375" style="665" customWidth="1"/>
    <col min="14092" max="14092" width="7.6640625" style="665" customWidth="1"/>
    <col min="14093" max="14094" width="23.33203125" style="665" customWidth="1"/>
    <col min="14095" max="14095" width="18.33203125" style="665" bestFit="1" customWidth="1"/>
    <col min="14096" max="14324" width="11.44140625" style="665"/>
    <col min="14325" max="14325" width="5.44140625" style="665" customWidth="1"/>
    <col min="14326" max="14326" width="6.6640625" style="665" customWidth="1"/>
    <col min="14327" max="14327" width="11.44140625" style="665"/>
    <col min="14328" max="14328" width="18.6640625" style="665" customWidth="1"/>
    <col min="14329" max="14329" width="20.6640625" style="665" customWidth="1"/>
    <col min="14330" max="14330" width="18.5546875" style="665" customWidth="1"/>
    <col min="14331" max="14331" width="61.109375" style="665" customWidth="1"/>
    <col min="14332" max="14332" width="18.5546875" style="665" customWidth="1"/>
    <col min="14333" max="14343" width="0" style="665" hidden="1" customWidth="1"/>
    <col min="14344" max="14344" width="38.109375" style="665" customWidth="1"/>
    <col min="14345" max="14345" width="14.109375" style="665" customWidth="1"/>
    <col min="14346" max="14346" width="24.88671875" style="665" customWidth="1"/>
    <col min="14347" max="14347" width="7.109375" style="665" customWidth="1"/>
    <col min="14348" max="14348" width="7.6640625" style="665" customWidth="1"/>
    <col min="14349" max="14350" width="23.33203125" style="665" customWidth="1"/>
    <col min="14351" max="14351" width="18.33203125" style="665" bestFit="1" customWidth="1"/>
    <col min="14352" max="14580" width="11.44140625" style="665"/>
    <col min="14581" max="14581" width="5.44140625" style="665" customWidth="1"/>
    <col min="14582" max="14582" width="6.6640625" style="665" customWidth="1"/>
    <col min="14583" max="14583" width="11.44140625" style="665"/>
    <col min="14584" max="14584" width="18.6640625" style="665" customWidth="1"/>
    <col min="14585" max="14585" width="20.6640625" style="665" customWidth="1"/>
    <col min="14586" max="14586" width="18.5546875" style="665" customWidth="1"/>
    <col min="14587" max="14587" width="61.109375" style="665" customWidth="1"/>
    <col min="14588" max="14588" width="18.5546875" style="665" customWidth="1"/>
    <col min="14589" max="14599" width="0" style="665" hidden="1" customWidth="1"/>
    <col min="14600" max="14600" width="38.109375" style="665" customWidth="1"/>
    <col min="14601" max="14601" width="14.109375" style="665" customWidth="1"/>
    <col min="14602" max="14602" width="24.88671875" style="665" customWidth="1"/>
    <col min="14603" max="14603" width="7.109375" style="665" customWidth="1"/>
    <col min="14604" max="14604" width="7.6640625" style="665" customWidth="1"/>
    <col min="14605" max="14606" width="23.33203125" style="665" customWidth="1"/>
    <col min="14607" max="14607" width="18.33203125" style="665" bestFit="1" customWidth="1"/>
    <col min="14608" max="14836" width="11.44140625" style="665"/>
    <col min="14837" max="14837" width="5.44140625" style="665" customWidth="1"/>
    <col min="14838" max="14838" width="6.6640625" style="665" customWidth="1"/>
    <col min="14839" max="14839" width="11.44140625" style="665"/>
    <col min="14840" max="14840" width="18.6640625" style="665" customWidth="1"/>
    <col min="14841" max="14841" width="20.6640625" style="665" customWidth="1"/>
    <col min="14842" max="14842" width="18.5546875" style="665" customWidth="1"/>
    <col min="14843" max="14843" width="61.109375" style="665" customWidth="1"/>
    <col min="14844" max="14844" width="18.5546875" style="665" customWidth="1"/>
    <col min="14845" max="14855" width="0" style="665" hidden="1" customWidth="1"/>
    <col min="14856" max="14856" width="38.109375" style="665" customWidth="1"/>
    <col min="14857" max="14857" width="14.109375" style="665" customWidth="1"/>
    <col min="14858" max="14858" width="24.88671875" style="665" customWidth="1"/>
    <col min="14859" max="14859" width="7.109375" style="665" customWidth="1"/>
    <col min="14860" max="14860" width="7.6640625" style="665" customWidth="1"/>
    <col min="14861" max="14862" width="23.33203125" style="665" customWidth="1"/>
    <col min="14863" max="14863" width="18.33203125" style="665" bestFit="1" customWidth="1"/>
    <col min="14864" max="15092" width="11.44140625" style="665"/>
    <col min="15093" max="15093" width="5.44140625" style="665" customWidth="1"/>
    <col min="15094" max="15094" width="6.6640625" style="665" customWidth="1"/>
    <col min="15095" max="15095" width="11.44140625" style="665"/>
    <col min="15096" max="15096" width="18.6640625" style="665" customWidth="1"/>
    <col min="15097" max="15097" width="20.6640625" style="665" customWidth="1"/>
    <col min="15098" max="15098" width="18.5546875" style="665" customWidth="1"/>
    <col min="15099" max="15099" width="61.109375" style="665" customWidth="1"/>
    <col min="15100" max="15100" width="18.5546875" style="665" customWidth="1"/>
    <col min="15101" max="15111" width="0" style="665" hidden="1" customWidth="1"/>
    <col min="15112" max="15112" width="38.109375" style="665" customWidth="1"/>
    <col min="15113" max="15113" width="14.109375" style="665" customWidth="1"/>
    <col min="15114" max="15114" width="24.88671875" style="665" customWidth="1"/>
    <col min="15115" max="15115" width="7.109375" style="665" customWidth="1"/>
    <col min="15116" max="15116" width="7.6640625" style="665" customWidth="1"/>
    <col min="15117" max="15118" width="23.33203125" style="665" customWidth="1"/>
    <col min="15119" max="15119" width="18.33203125" style="665" bestFit="1" customWidth="1"/>
    <col min="15120" max="15348" width="11.44140625" style="665"/>
    <col min="15349" max="15349" width="5.44140625" style="665" customWidth="1"/>
    <col min="15350" max="15350" width="6.6640625" style="665" customWidth="1"/>
    <col min="15351" max="15351" width="11.44140625" style="665"/>
    <col min="15352" max="15352" width="18.6640625" style="665" customWidth="1"/>
    <col min="15353" max="15353" width="20.6640625" style="665" customWidth="1"/>
    <col min="15354" max="15354" width="18.5546875" style="665" customWidth="1"/>
    <col min="15355" max="15355" width="61.109375" style="665" customWidth="1"/>
    <col min="15356" max="15356" width="18.5546875" style="665" customWidth="1"/>
    <col min="15357" max="15367" width="0" style="665" hidden="1" customWidth="1"/>
    <col min="15368" max="15368" width="38.109375" style="665" customWidth="1"/>
    <col min="15369" max="15369" width="14.109375" style="665" customWidth="1"/>
    <col min="15370" max="15370" width="24.88671875" style="665" customWidth="1"/>
    <col min="15371" max="15371" width="7.109375" style="665" customWidth="1"/>
    <col min="15372" max="15372" width="7.6640625" style="665" customWidth="1"/>
    <col min="15373" max="15374" width="23.33203125" style="665" customWidth="1"/>
    <col min="15375" max="15375" width="18.33203125" style="665" bestFit="1" customWidth="1"/>
    <col min="15376" max="15604" width="11.44140625" style="665"/>
    <col min="15605" max="15605" width="5.44140625" style="665" customWidth="1"/>
    <col min="15606" max="15606" width="6.6640625" style="665" customWidth="1"/>
    <col min="15607" max="15607" width="11.44140625" style="665"/>
    <col min="15608" max="15608" width="18.6640625" style="665" customWidth="1"/>
    <col min="15609" max="15609" width="20.6640625" style="665" customWidth="1"/>
    <col min="15610" max="15610" width="18.5546875" style="665" customWidth="1"/>
    <col min="15611" max="15611" width="61.109375" style="665" customWidth="1"/>
    <col min="15612" max="15612" width="18.5546875" style="665" customWidth="1"/>
    <col min="15613" max="15623" width="0" style="665" hidden="1" customWidth="1"/>
    <col min="15624" max="15624" width="38.109375" style="665" customWidth="1"/>
    <col min="15625" max="15625" width="14.109375" style="665" customWidth="1"/>
    <col min="15626" max="15626" width="24.88671875" style="665" customWidth="1"/>
    <col min="15627" max="15627" width="7.109375" style="665" customWidth="1"/>
    <col min="15628" max="15628" width="7.6640625" style="665" customWidth="1"/>
    <col min="15629" max="15630" width="23.33203125" style="665" customWidth="1"/>
    <col min="15631" max="15631" width="18.33203125" style="665" bestFit="1" customWidth="1"/>
    <col min="15632" max="15860" width="11.44140625" style="665"/>
    <col min="15861" max="15861" width="5.44140625" style="665" customWidth="1"/>
    <col min="15862" max="15862" width="6.6640625" style="665" customWidth="1"/>
    <col min="15863" max="15863" width="11.44140625" style="665"/>
    <col min="15864" max="15864" width="18.6640625" style="665" customWidth="1"/>
    <col min="15865" max="15865" width="20.6640625" style="665" customWidth="1"/>
    <col min="15866" max="15866" width="18.5546875" style="665" customWidth="1"/>
    <col min="15867" max="15867" width="61.109375" style="665" customWidth="1"/>
    <col min="15868" max="15868" width="18.5546875" style="665" customWidth="1"/>
    <col min="15869" max="15879" width="0" style="665" hidden="1" customWidth="1"/>
    <col min="15880" max="15880" width="38.109375" style="665" customWidth="1"/>
    <col min="15881" max="15881" width="14.109375" style="665" customWidth="1"/>
    <col min="15882" max="15882" width="24.88671875" style="665" customWidth="1"/>
    <col min="15883" max="15883" width="7.109375" style="665" customWidth="1"/>
    <col min="15884" max="15884" width="7.6640625" style="665" customWidth="1"/>
    <col min="15885" max="15886" width="23.33203125" style="665" customWidth="1"/>
    <col min="15887" max="15887" width="18.33203125" style="665" bestFit="1" customWidth="1"/>
    <col min="15888" max="16116" width="11.44140625" style="665"/>
    <col min="16117" max="16117" width="5.44140625" style="665" customWidth="1"/>
    <col min="16118" max="16118" width="6.6640625" style="665" customWidth="1"/>
    <col min="16119" max="16119" width="11.44140625" style="665"/>
    <col min="16120" max="16120" width="18.6640625" style="665" customWidth="1"/>
    <col min="16121" max="16121" width="20.6640625" style="665" customWidth="1"/>
    <col min="16122" max="16122" width="18.5546875" style="665" customWidth="1"/>
    <col min="16123" max="16123" width="61.109375" style="665" customWidth="1"/>
    <col min="16124" max="16124" width="18.5546875" style="665" customWidth="1"/>
    <col min="16125" max="16135" width="0" style="665" hidden="1" customWidth="1"/>
    <col min="16136" max="16136" width="38.109375" style="665" customWidth="1"/>
    <col min="16137" max="16137" width="14.109375" style="665" customWidth="1"/>
    <col min="16138" max="16138" width="24.88671875" style="665" customWidth="1"/>
    <col min="16139" max="16139" width="7.109375" style="665" customWidth="1"/>
    <col min="16140" max="16140" width="7.6640625" style="665" customWidth="1"/>
    <col min="16141" max="16142" width="23.33203125" style="665" customWidth="1"/>
    <col min="16143" max="16143" width="18.33203125" style="665" bestFit="1" customWidth="1"/>
    <col min="16144" max="16384" width="11.44140625" style="665"/>
  </cols>
  <sheetData>
    <row r="1" spans="2:15" ht="30.6" thickBot="1" x14ac:dyDescent="0.55000000000000004"/>
    <row r="2" spans="2:15" x14ac:dyDescent="0.5">
      <c r="B2" s="666"/>
      <c r="C2" s="667"/>
      <c r="D2" s="667"/>
      <c r="E2" s="667"/>
      <c r="F2" s="667"/>
      <c r="G2" s="667"/>
      <c r="H2" s="668"/>
      <c r="I2" s="667"/>
      <c r="J2" s="667"/>
      <c r="K2" s="669"/>
      <c r="L2" s="670"/>
      <c r="M2" s="671"/>
      <c r="N2" s="671"/>
    </row>
    <row r="3" spans="2:15" ht="26.4" customHeight="1" x14ac:dyDescent="0.5">
      <c r="B3" s="672"/>
      <c r="C3" s="760" t="s">
        <v>950</v>
      </c>
      <c r="D3" s="760"/>
      <c r="E3" s="760"/>
      <c r="F3" s="760"/>
      <c r="L3" s="673"/>
      <c r="M3" s="671"/>
      <c r="N3" s="671"/>
    </row>
    <row r="4" spans="2:15" x14ac:dyDescent="0.5">
      <c r="B4" s="672"/>
      <c r="C4" s="674" t="s">
        <v>951</v>
      </c>
      <c r="D4" s="675" t="s">
        <v>952</v>
      </c>
      <c r="E4" s="674" t="s">
        <v>953</v>
      </c>
      <c r="F4" s="675">
        <v>1</v>
      </c>
      <c r="L4" s="673"/>
      <c r="M4" s="671"/>
      <c r="N4" s="671"/>
    </row>
    <row r="5" spans="2:15" x14ac:dyDescent="0.5">
      <c r="B5" s="672"/>
      <c r="C5" s="676"/>
      <c r="D5" s="676"/>
      <c r="E5" s="676"/>
      <c r="F5" s="676"/>
      <c r="G5" s="761"/>
      <c r="H5" s="761"/>
      <c r="L5" s="673"/>
      <c r="M5" s="671"/>
      <c r="N5" s="671"/>
    </row>
    <row r="6" spans="2:15" x14ac:dyDescent="0.5">
      <c r="B6" s="672"/>
      <c r="C6" s="676"/>
      <c r="D6" s="676"/>
      <c r="E6" s="676"/>
      <c r="F6" s="676"/>
      <c r="G6" s="761"/>
      <c r="H6" s="761"/>
      <c r="I6" s="761"/>
      <c r="J6" s="761"/>
      <c r="K6" s="761"/>
      <c r="L6" s="673"/>
      <c r="M6" s="671"/>
      <c r="N6" s="671"/>
    </row>
    <row r="7" spans="2:15" x14ac:dyDescent="0.5">
      <c r="B7" s="672"/>
      <c r="C7" s="762"/>
      <c r="D7" s="762"/>
      <c r="E7" s="762"/>
      <c r="F7" s="762"/>
      <c r="G7" s="762"/>
      <c r="H7" s="762"/>
      <c r="I7" s="762"/>
      <c r="J7" s="762"/>
      <c r="K7" s="762"/>
      <c r="L7" s="673"/>
    </row>
    <row r="8" spans="2:15" ht="89.1" customHeight="1" x14ac:dyDescent="0.5">
      <c r="B8" s="672"/>
      <c r="C8" s="762"/>
      <c r="D8" s="762"/>
      <c r="E8" s="762"/>
      <c r="F8" s="762"/>
      <c r="G8" s="762"/>
      <c r="H8" s="762"/>
      <c r="I8" s="762"/>
      <c r="J8" s="762"/>
      <c r="K8" s="762"/>
      <c r="L8" s="673"/>
    </row>
    <row r="9" spans="2:15" ht="75" customHeight="1" x14ac:dyDescent="0.5">
      <c r="B9" s="672"/>
      <c r="C9" s="763" t="s">
        <v>1002</v>
      </c>
      <c r="D9" s="763"/>
      <c r="E9" s="763"/>
      <c r="F9" s="763"/>
      <c r="G9" s="763"/>
      <c r="H9" s="763"/>
      <c r="I9" s="763"/>
      <c r="J9" s="763"/>
      <c r="K9" s="763"/>
      <c r="L9" s="673"/>
    </row>
    <row r="10" spans="2:15" x14ac:dyDescent="0.5">
      <c r="B10" s="672"/>
      <c r="C10" s="677"/>
      <c r="D10" s="677"/>
      <c r="E10" s="677"/>
      <c r="F10" s="677"/>
      <c r="G10" s="677"/>
      <c r="H10" s="677"/>
      <c r="I10" s="677"/>
      <c r="J10" s="677"/>
      <c r="K10" s="678"/>
      <c r="L10" s="673"/>
    </row>
    <row r="11" spans="2:15" x14ac:dyDescent="0.5">
      <c r="B11" s="672"/>
      <c r="C11" s="765" t="s">
        <v>955</v>
      </c>
      <c r="D11" s="765" t="s">
        <v>956</v>
      </c>
      <c r="E11" s="766" t="s">
        <v>957</v>
      </c>
      <c r="F11" s="766"/>
      <c r="G11" s="767" t="s">
        <v>36</v>
      </c>
      <c r="H11" s="767" t="s">
        <v>290</v>
      </c>
      <c r="I11" s="768" t="s">
        <v>19</v>
      </c>
      <c r="J11" s="766" t="s">
        <v>20</v>
      </c>
      <c r="K11" s="770" t="s">
        <v>21</v>
      </c>
      <c r="L11" s="673"/>
    </row>
    <row r="12" spans="2:15" ht="120" customHeight="1" x14ac:dyDescent="0.5">
      <c r="B12" s="672"/>
      <c r="C12" s="765"/>
      <c r="D12" s="765"/>
      <c r="E12" s="679" t="s">
        <v>958</v>
      </c>
      <c r="F12" s="679" t="s">
        <v>959</v>
      </c>
      <c r="G12" s="767"/>
      <c r="H12" s="767"/>
      <c r="I12" s="769"/>
      <c r="J12" s="766"/>
      <c r="K12" s="770"/>
      <c r="L12" s="673"/>
    </row>
    <row r="13" spans="2:15" x14ac:dyDescent="0.5">
      <c r="B13" s="672"/>
      <c r="C13" s="764" t="s">
        <v>960</v>
      </c>
      <c r="D13" s="764"/>
      <c r="E13" s="764"/>
      <c r="F13" s="764"/>
      <c r="G13" s="764"/>
      <c r="H13" s="764"/>
      <c r="I13" s="764"/>
      <c r="J13" s="764"/>
      <c r="K13" s="764"/>
      <c r="L13" s="673"/>
    </row>
    <row r="14" spans="2:15" x14ac:dyDescent="0.5">
      <c r="B14" s="672"/>
      <c r="C14" s="680" t="s">
        <v>961</v>
      </c>
      <c r="D14" s="681" t="s">
        <v>961</v>
      </c>
      <c r="E14" s="681" t="s">
        <v>962</v>
      </c>
      <c r="F14" s="681" t="s">
        <v>962</v>
      </c>
      <c r="G14" s="682" t="s">
        <v>320</v>
      </c>
      <c r="H14" s="683" t="s">
        <v>25</v>
      </c>
      <c r="I14" s="684">
        <v>15435.59</v>
      </c>
      <c r="J14" s="685"/>
      <c r="K14" s="686"/>
      <c r="L14" s="673"/>
      <c r="N14" s="753"/>
      <c r="O14" s="755"/>
    </row>
    <row r="15" spans="2:15" ht="82.8" x14ac:dyDescent="0.5">
      <c r="B15" s="672"/>
      <c r="C15" s="680" t="s">
        <v>963</v>
      </c>
      <c r="D15" s="681" t="s">
        <v>963</v>
      </c>
      <c r="E15" s="681" t="s">
        <v>962</v>
      </c>
      <c r="F15" s="681" t="s">
        <v>962</v>
      </c>
      <c r="G15" s="682" t="s">
        <v>206</v>
      </c>
      <c r="H15" s="683" t="s">
        <v>849</v>
      </c>
      <c r="I15" s="684">
        <v>1</v>
      </c>
      <c r="J15" s="685"/>
      <c r="K15" s="686"/>
      <c r="L15" s="673"/>
      <c r="N15" s="753"/>
      <c r="O15" s="755"/>
    </row>
    <row r="16" spans="2:15" ht="70.05" customHeight="1" x14ac:dyDescent="0.5">
      <c r="B16" s="672"/>
      <c r="C16" s="680" t="s">
        <v>964</v>
      </c>
      <c r="D16" s="681" t="s">
        <v>964</v>
      </c>
      <c r="E16" s="681" t="s">
        <v>962</v>
      </c>
      <c r="F16" s="681" t="s">
        <v>962</v>
      </c>
      <c r="G16" s="682" t="s">
        <v>214</v>
      </c>
      <c r="H16" s="683" t="s">
        <v>849</v>
      </c>
      <c r="I16" s="684">
        <v>1</v>
      </c>
      <c r="J16" s="685"/>
      <c r="K16" s="686"/>
      <c r="L16" s="673"/>
      <c r="N16" s="753"/>
      <c r="O16" s="755"/>
    </row>
    <row r="17" spans="2:15" ht="72.599999999999994" customHeight="1" x14ac:dyDescent="0.5">
      <c r="B17" s="672"/>
      <c r="C17" s="680" t="s">
        <v>965</v>
      </c>
      <c r="D17" s="681" t="s">
        <v>965</v>
      </c>
      <c r="E17" s="681" t="s">
        <v>962</v>
      </c>
      <c r="F17" s="681" t="s">
        <v>962</v>
      </c>
      <c r="G17" s="687" t="s">
        <v>126</v>
      </c>
      <c r="H17" s="681" t="s">
        <v>849</v>
      </c>
      <c r="I17" s="684">
        <v>90</v>
      </c>
      <c r="J17" s="688"/>
      <c r="K17" s="686"/>
      <c r="L17" s="673"/>
      <c r="N17" s="753"/>
      <c r="O17" s="755"/>
    </row>
    <row r="18" spans="2:15" x14ac:dyDescent="0.5">
      <c r="B18" s="672"/>
      <c r="C18" s="680" t="s">
        <v>966</v>
      </c>
      <c r="D18" s="681" t="s">
        <v>966</v>
      </c>
      <c r="E18" s="681" t="s">
        <v>962</v>
      </c>
      <c r="F18" s="681" t="s">
        <v>962</v>
      </c>
      <c r="G18" s="689" t="s">
        <v>128</v>
      </c>
      <c r="H18" s="681" t="s">
        <v>849</v>
      </c>
      <c r="I18" s="684">
        <v>1</v>
      </c>
      <c r="J18" s="688"/>
      <c r="K18" s="686"/>
      <c r="L18" s="673"/>
      <c r="N18" s="753"/>
      <c r="O18" s="755"/>
    </row>
    <row r="19" spans="2:15" x14ac:dyDescent="0.5">
      <c r="B19" s="672"/>
      <c r="C19" s="771" t="s">
        <v>153</v>
      </c>
      <c r="D19" s="772"/>
      <c r="E19" s="772"/>
      <c r="F19" s="772"/>
      <c r="G19" s="772"/>
      <c r="H19" s="772"/>
      <c r="I19" s="772"/>
      <c r="J19" s="773"/>
      <c r="K19" s="690"/>
      <c r="L19" s="673"/>
      <c r="N19" s="753"/>
      <c r="O19" s="755"/>
    </row>
    <row r="20" spans="2:15" x14ac:dyDescent="0.5">
      <c r="B20" s="672"/>
      <c r="C20" s="764" t="s">
        <v>967</v>
      </c>
      <c r="D20" s="764"/>
      <c r="E20" s="764"/>
      <c r="F20" s="764"/>
      <c r="G20" s="764"/>
      <c r="H20" s="764"/>
      <c r="I20" s="764"/>
      <c r="J20" s="764"/>
      <c r="K20" s="764"/>
      <c r="L20" s="673"/>
      <c r="N20" s="753"/>
      <c r="O20" s="755"/>
    </row>
    <row r="21" spans="2:15" ht="165.6" x14ac:dyDescent="0.5">
      <c r="B21" s="672"/>
      <c r="C21" s="680" t="s">
        <v>968</v>
      </c>
      <c r="D21" s="680" t="str">
        <f>+C21</f>
        <v>2,1</v>
      </c>
      <c r="E21" s="681" t="s">
        <v>962</v>
      </c>
      <c r="F21" s="681" t="s">
        <v>962</v>
      </c>
      <c r="G21" s="689" t="s">
        <v>945</v>
      </c>
      <c r="H21" s="681" t="s">
        <v>25</v>
      </c>
      <c r="I21" s="684">
        <v>15435.59</v>
      </c>
      <c r="J21" s="685"/>
      <c r="K21" s="686"/>
      <c r="L21" s="673"/>
      <c r="N21" s="753"/>
      <c r="O21" s="755"/>
    </row>
    <row r="22" spans="2:15" ht="165.6" x14ac:dyDescent="0.5">
      <c r="B22" s="672"/>
      <c r="C22" s="680" t="s">
        <v>969</v>
      </c>
      <c r="D22" s="680" t="str">
        <f t="shared" ref="D22:D28" si="0">+C22</f>
        <v>2,2</v>
      </c>
      <c r="E22" s="681" t="s">
        <v>962</v>
      </c>
      <c r="F22" s="681" t="s">
        <v>962</v>
      </c>
      <c r="G22" s="689" t="s">
        <v>863</v>
      </c>
      <c r="H22" s="681" t="s">
        <v>25</v>
      </c>
      <c r="I22" s="684">
        <v>15435.59</v>
      </c>
      <c r="J22" s="685"/>
      <c r="K22" s="686"/>
      <c r="L22" s="673"/>
      <c r="N22" s="753"/>
      <c r="O22" s="755"/>
    </row>
    <row r="23" spans="2:15" ht="138" x14ac:dyDescent="0.5">
      <c r="B23" s="672"/>
      <c r="C23" s="680" t="s">
        <v>970</v>
      </c>
      <c r="D23" s="680" t="str">
        <f t="shared" si="0"/>
        <v>2,3</v>
      </c>
      <c r="E23" s="681" t="s">
        <v>962</v>
      </c>
      <c r="F23" s="681" t="s">
        <v>962</v>
      </c>
      <c r="G23" s="689" t="s">
        <v>248</v>
      </c>
      <c r="H23" s="681" t="s">
        <v>25</v>
      </c>
      <c r="I23" s="684">
        <v>15435.59</v>
      </c>
      <c r="J23" s="685"/>
      <c r="K23" s="686"/>
      <c r="L23" s="673"/>
      <c r="N23" s="753"/>
      <c r="O23" s="755"/>
    </row>
    <row r="24" spans="2:15" ht="110.4" x14ac:dyDescent="0.5">
      <c r="B24" s="672"/>
      <c r="C24" s="680" t="s">
        <v>971</v>
      </c>
      <c r="D24" s="680" t="str">
        <f t="shared" si="0"/>
        <v>2,4</v>
      </c>
      <c r="E24" s="681" t="s">
        <v>962</v>
      </c>
      <c r="F24" s="681" t="s">
        <v>962</v>
      </c>
      <c r="G24" s="689" t="s">
        <v>247</v>
      </c>
      <c r="H24" s="681" t="s">
        <v>849</v>
      </c>
      <c r="I24" s="684">
        <v>1</v>
      </c>
      <c r="J24" s="685"/>
      <c r="K24" s="686"/>
      <c r="L24" s="673"/>
      <c r="N24" s="753"/>
      <c r="O24" s="755"/>
    </row>
    <row r="25" spans="2:15" ht="110.4" x14ac:dyDescent="0.5">
      <c r="B25" s="672"/>
      <c r="C25" s="680" t="s">
        <v>972</v>
      </c>
      <c r="D25" s="680" t="str">
        <f t="shared" si="0"/>
        <v>2,5</v>
      </c>
      <c r="E25" s="681" t="s">
        <v>962</v>
      </c>
      <c r="F25" s="681" t="s">
        <v>962</v>
      </c>
      <c r="G25" s="689" t="s">
        <v>135</v>
      </c>
      <c r="H25" s="681" t="s">
        <v>849</v>
      </c>
      <c r="I25" s="684">
        <v>1</v>
      </c>
      <c r="J25" s="685"/>
      <c r="K25" s="686"/>
      <c r="L25" s="673"/>
      <c r="N25" s="753"/>
      <c r="O25" s="755"/>
    </row>
    <row r="26" spans="2:15" ht="165.6" x14ac:dyDescent="0.5">
      <c r="B26" s="672"/>
      <c r="C26" s="680" t="s">
        <v>973</v>
      </c>
      <c r="D26" s="680" t="str">
        <f t="shared" si="0"/>
        <v>2,6</v>
      </c>
      <c r="E26" s="681" t="s">
        <v>962</v>
      </c>
      <c r="F26" s="681" t="s">
        <v>962</v>
      </c>
      <c r="G26" s="689" t="s">
        <v>136</v>
      </c>
      <c r="H26" s="681" t="s">
        <v>849</v>
      </c>
      <c r="I26" s="684">
        <v>1</v>
      </c>
      <c r="J26" s="685"/>
      <c r="K26" s="686"/>
      <c r="L26" s="673"/>
      <c r="N26" s="753"/>
      <c r="O26" s="755"/>
    </row>
    <row r="27" spans="2:15" ht="138" x14ac:dyDescent="0.5">
      <c r="B27" s="672"/>
      <c r="C27" s="680" t="s">
        <v>974</v>
      </c>
      <c r="D27" s="680" t="str">
        <f t="shared" si="0"/>
        <v>2,7</v>
      </c>
      <c r="E27" s="681" t="s">
        <v>962</v>
      </c>
      <c r="F27" s="681" t="s">
        <v>962</v>
      </c>
      <c r="G27" s="689" t="s">
        <v>127</v>
      </c>
      <c r="H27" s="681" t="s">
        <v>25</v>
      </c>
      <c r="I27" s="684">
        <v>15435.59</v>
      </c>
      <c r="J27" s="685"/>
      <c r="K27" s="686"/>
      <c r="L27" s="673"/>
      <c r="N27" s="753"/>
      <c r="O27" s="755"/>
    </row>
    <row r="28" spans="2:15" ht="82.8" x14ac:dyDescent="0.5">
      <c r="B28" s="672"/>
      <c r="C28" s="680" t="s">
        <v>975</v>
      </c>
      <c r="D28" s="680" t="str">
        <f t="shared" si="0"/>
        <v>2,8</v>
      </c>
      <c r="E28" s="681" t="s">
        <v>962</v>
      </c>
      <c r="F28" s="681" t="s">
        <v>962</v>
      </c>
      <c r="G28" s="689" t="s">
        <v>137</v>
      </c>
      <c r="H28" s="681" t="s">
        <v>849</v>
      </c>
      <c r="I28" s="684">
        <v>1</v>
      </c>
      <c r="J28" s="685"/>
      <c r="K28" s="686"/>
      <c r="L28" s="673"/>
      <c r="N28" s="753"/>
      <c r="O28" s="755"/>
    </row>
    <row r="29" spans="2:15" x14ac:dyDescent="0.5">
      <c r="B29" s="672"/>
      <c r="C29" s="771" t="s">
        <v>153</v>
      </c>
      <c r="D29" s="772"/>
      <c r="E29" s="772"/>
      <c r="F29" s="772"/>
      <c r="G29" s="772"/>
      <c r="H29" s="772"/>
      <c r="I29" s="772"/>
      <c r="J29" s="773"/>
      <c r="K29" s="690"/>
      <c r="L29" s="673"/>
      <c r="N29" s="753"/>
      <c r="O29" s="755"/>
    </row>
    <row r="30" spans="2:15" x14ac:dyDescent="0.5">
      <c r="B30" s="672"/>
      <c r="C30" s="764" t="s">
        <v>976</v>
      </c>
      <c r="D30" s="764">
        <v>2</v>
      </c>
      <c r="E30" s="764" t="s">
        <v>962</v>
      </c>
      <c r="F30" s="764" t="s">
        <v>962</v>
      </c>
      <c r="G30" s="764" t="s">
        <v>977</v>
      </c>
      <c r="H30" s="764"/>
      <c r="I30" s="764"/>
      <c r="J30" s="764"/>
      <c r="K30" s="764"/>
      <c r="L30" s="673"/>
      <c r="N30" s="753"/>
      <c r="O30" s="755"/>
    </row>
    <row r="31" spans="2:15" ht="118.5" customHeight="1" x14ac:dyDescent="0.5">
      <c r="B31" s="672"/>
      <c r="C31" s="680" t="s">
        <v>978</v>
      </c>
      <c r="D31" s="680" t="str">
        <f>+C31</f>
        <v>3,1</v>
      </c>
      <c r="E31" s="681" t="s">
        <v>962</v>
      </c>
      <c r="F31" s="681" t="s">
        <v>962</v>
      </c>
      <c r="G31" s="689" t="s">
        <v>887</v>
      </c>
      <c r="H31" s="681" t="s">
        <v>25</v>
      </c>
      <c r="I31" s="684">
        <v>15435.59</v>
      </c>
      <c r="J31" s="727"/>
      <c r="K31" s="686"/>
      <c r="L31" s="673"/>
      <c r="N31" s="753"/>
      <c r="O31" s="755"/>
    </row>
    <row r="32" spans="2:15" ht="110.4" x14ac:dyDescent="0.5">
      <c r="B32" s="672"/>
      <c r="C32" s="680" t="s">
        <v>979</v>
      </c>
      <c r="D32" s="680" t="str">
        <f t="shared" ref="D32:D33" si="1">+C32</f>
        <v>3,2</v>
      </c>
      <c r="E32" s="681" t="s">
        <v>962</v>
      </c>
      <c r="F32" s="681" t="s">
        <v>962</v>
      </c>
      <c r="G32" s="689" t="s">
        <v>138</v>
      </c>
      <c r="H32" s="681" t="s">
        <v>25</v>
      </c>
      <c r="I32" s="684">
        <v>15435.59</v>
      </c>
      <c r="J32" s="727"/>
      <c r="K32" s="686"/>
      <c r="L32" s="673"/>
      <c r="N32" s="753"/>
      <c r="O32" s="755"/>
    </row>
    <row r="33" spans="2:28" ht="131.55000000000001" customHeight="1" x14ac:dyDescent="0.5">
      <c r="B33" s="672"/>
      <c r="C33" s="680" t="s">
        <v>980</v>
      </c>
      <c r="D33" s="680" t="str">
        <f t="shared" si="1"/>
        <v>3,3</v>
      </c>
      <c r="E33" s="681" t="s">
        <v>962</v>
      </c>
      <c r="F33" s="681" t="s">
        <v>962</v>
      </c>
      <c r="G33" s="689" t="s">
        <v>139</v>
      </c>
      <c r="H33" s="681" t="s">
        <v>25</v>
      </c>
      <c r="I33" s="684">
        <v>15435.59</v>
      </c>
      <c r="J33" s="727"/>
      <c r="K33" s="686"/>
      <c r="L33" s="673"/>
      <c r="N33" s="753"/>
      <c r="O33" s="755"/>
    </row>
    <row r="34" spans="2:28" x14ac:dyDescent="0.5">
      <c r="B34" s="672"/>
      <c r="C34" s="771" t="s">
        <v>153</v>
      </c>
      <c r="D34" s="772"/>
      <c r="E34" s="772"/>
      <c r="F34" s="772"/>
      <c r="G34" s="772"/>
      <c r="H34" s="772"/>
      <c r="I34" s="772"/>
      <c r="J34" s="773"/>
      <c r="K34" s="690"/>
      <c r="L34" s="673"/>
      <c r="N34" s="753"/>
      <c r="O34" s="755"/>
    </row>
    <row r="35" spans="2:28" x14ac:dyDescent="0.5">
      <c r="B35" s="672"/>
      <c r="C35" s="776" t="s">
        <v>981</v>
      </c>
      <c r="D35" s="777"/>
      <c r="E35" s="777"/>
      <c r="F35" s="777"/>
      <c r="G35" s="777"/>
      <c r="H35" s="777"/>
      <c r="I35" s="777"/>
      <c r="J35" s="777"/>
      <c r="K35" s="778"/>
      <c r="L35" s="673"/>
      <c r="N35" s="753"/>
      <c r="O35" s="755"/>
    </row>
    <row r="36" spans="2:28" ht="262.5" customHeight="1" x14ac:dyDescent="0.5">
      <c r="B36" s="672"/>
      <c r="C36" s="680" t="s">
        <v>982</v>
      </c>
      <c r="D36" s="681" t="str">
        <f>C36</f>
        <v>4,1</v>
      </c>
      <c r="E36" s="681" t="s">
        <v>962</v>
      </c>
      <c r="F36" s="681" t="s">
        <v>962</v>
      </c>
      <c r="G36" s="682" t="str">
        <f>+APUS!C1017</f>
        <v>Demolición mecánica intensiva de elementos implosionados con excavadoras de 21 tonf con martillo hidráulico de 1,5 tonf o equivalente (incluye demolición total, oxicorte de aceros, excavadoras necesarias para la demolición).Incluye descuento por aprovechamiento en disposicion de Acero de refuerzo.</v>
      </c>
      <c r="H36" s="681" t="s">
        <v>24</v>
      </c>
      <c r="I36" s="684">
        <v>8566.2802667083997</v>
      </c>
      <c r="J36" s="685"/>
      <c r="K36" s="686"/>
      <c r="L36" s="673"/>
      <c r="N36" s="753"/>
      <c r="O36" s="755"/>
    </row>
    <row r="37" spans="2:28" ht="110.4" x14ac:dyDescent="0.5">
      <c r="B37" s="672"/>
      <c r="C37" s="680" t="s">
        <v>983</v>
      </c>
      <c r="D37" s="681" t="str">
        <f t="shared" ref="D37:D41" si="2">C37</f>
        <v>4,2</v>
      </c>
      <c r="E37" s="681" t="s">
        <v>962</v>
      </c>
      <c r="F37" s="681" t="s">
        <v>962</v>
      </c>
      <c r="G37" s="682" t="s">
        <v>938</v>
      </c>
      <c r="H37" s="681" t="s">
        <v>24</v>
      </c>
      <c r="I37" s="684">
        <v>8566.2802667083997</v>
      </c>
      <c r="J37" s="685"/>
      <c r="K37" s="686"/>
      <c r="L37" s="673"/>
      <c r="N37" s="753"/>
      <c r="O37" s="755"/>
    </row>
    <row r="38" spans="2:28" ht="138" x14ac:dyDescent="0.5">
      <c r="B38" s="672"/>
      <c r="C38" s="680" t="s">
        <v>984</v>
      </c>
      <c r="D38" s="681" t="str">
        <f t="shared" si="2"/>
        <v>4,3</v>
      </c>
      <c r="E38" s="681" t="s">
        <v>962</v>
      </c>
      <c r="F38" s="681" t="s">
        <v>962</v>
      </c>
      <c r="G38" s="692" t="s">
        <v>939</v>
      </c>
      <c r="H38" s="693" t="s">
        <v>24</v>
      </c>
      <c r="I38" s="684">
        <v>2692.4317505999998</v>
      </c>
      <c r="J38" s="726"/>
      <c r="K38" s="686"/>
      <c r="L38" s="673"/>
      <c r="N38" s="753"/>
      <c r="O38" s="755"/>
    </row>
    <row r="39" spans="2:28" ht="156.9" customHeight="1" x14ac:dyDescent="0.5">
      <c r="B39" s="672"/>
      <c r="C39" s="680" t="s">
        <v>985</v>
      </c>
      <c r="D39" s="681" t="str">
        <f t="shared" si="2"/>
        <v>4,4</v>
      </c>
      <c r="E39" s="681" t="s">
        <v>962</v>
      </c>
      <c r="F39" s="681" t="s">
        <v>962</v>
      </c>
      <c r="G39" s="692" t="s">
        <v>940</v>
      </c>
      <c r="H39" s="693" t="s">
        <v>24</v>
      </c>
      <c r="I39" s="684">
        <v>2692.4317505999998</v>
      </c>
      <c r="J39" s="726"/>
      <c r="K39" s="686"/>
      <c r="L39" s="673"/>
      <c r="N39" s="753"/>
      <c r="O39" s="755"/>
      <c r="P39" s="752"/>
      <c r="Q39" s="752"/>
      <c r="R39" s="752"/>
      <c r="S39" s="752"/>
      <c r="T39" s="752"/>
      <c r="U39" s="752"/>
      <c r="V39" s="752"/>
      <c r="W39" s="752"/>
      <c r="X39" s="752"/>
      <c r="Y39" s="752"/>
      <c r="Z39" s="752"/>
      <c r="AA39" s="752"/>
      <c r="AB39" s="752"/>
    </row>
    <row r="40" spans="2:28" ht="82.8" x14ac:dyDescent="0.5">
      <c r="B40" s="672"/>
      <c r="C40" s="680" t="s">
        <v>986</v>
      </c>
      <c r="D40" s="681" t="str">
        <f t="shared" si="2"/>
        <v>4,5</v>
      </c>
      <c r="E40" s="681" t="s">
        <v>962</v>
      </c>
      <c r="F40" s="681" t="s">
        <v>962</v>
      </c>
      <c r="G40" s="692" t="s">
        <v>145</v>
      </c>
      <c r="H40" s="693" t="s">
        <v>24</v>
      </c>
      <c r="I40" s="684">
        <v>5200.125</v>
      </c>
      <c r="J40" s="726"/>
      <c r="K40" s="686"/>
      <c r="L40" s="673"/>
      <c r="N40" s="753"/>
      <c r="O40" s="755"/>
    </row>
    <row r="41" spans="2:28" ht="106.65" customHeight="1" x14ac:dyDescent="0.5">
      <c r="B41" s="672"/>
      <c r="C41" s="680" t="s">
        <v>987</v>
      </c>
      <c r="D41" s="681" t="str">
        <f t="shared" si="2"/>
        <v>4,6</v>
      </c>
      <c r="E41" s="681" t="s">
        <v>962</v>
      </c>
      <c r="F41" s="681" t="s">
        <v>962</v>
      </c>
      <c r="G41" s="692" t="s">
        <v>941</v>
      </c>
      <c r="H41" s="693" t="s">
        <v>24</v>
      </c>
      <c r="I41" s="684">
        <v>11687.943025962606</v>
      </c>
      <c r="J41" s="726"/>
      <c r="K41" s="686"/>
      <c r="L41" s="673"/>
      <c r="N41" s="753"/>
      <c r="O41" s="755"/>
    </row>
    <row r="42" spans="2:28" x14ac:dyDescent="0.5">
      <c r="B42" s="672"/>
      <c r="C42" s="771" t="s">
        <v>153</v>
      </c>
      <c r="D42" s="772"/>
      <c r="E42" s="772"/>
      <c r="F42" s="772"/>
      <c r="G42" s="772"/>
      <c r="H42" s="772"/>
      <c r="I42" s="772"/>
      <c r="J42" s="773"/>
      <c r="K42" s="690"/>
      <c r="L42" s="673"/>
      <c r="N42" s="753"/>
      <c r="O42" s="755"/>
    </row>
    <row r="43" spans="2:28" x14ac:dyDescent="0.5">
      <c r="B43" s="672"/>
      <c r="C43" s="776" t="s">
        <v>988</v>
      </c>
      <c r="D43" s="777"/>
      <c r="E43" s="777"/>
      <c r="F43" s="777"/>
      <c r="G43" s="777"/>
      <c r="H43" s="777"/>
      <c r="I43" s="777"/>
      <c r="J43" s="777"/>
      <c r="K43" s="778"/>
      <c r="L43" s="673"/>
      <c r="N43" s="753"/>
      <c r="O43" s="755"/>
    </row>
    <row r="44" spans="2:28" x14ac:dyDescent="0.5">
      <c r="B44" s="672"/>
      <c r="C44" s="680" t="s">
        <v>989</v>
      </c>
      <c r="D44" s="680" t="str">
        <f>+C44</f>
        <v>5,1</v>
      </c>
      <c r="E44" s="681" t="s">
        <v>962</v>
      </c>
      <c r="F44" s="681" t="s">
        <v>962</v>
      </c>
      <c r="G44" s="692" t="s">
        <v>310</v>
      </c>
      <c r="H44" s="681" t="s">
        <v>849</v>
      </c>
      <c r="I44" s="684">
        <v>1</v>
      </c>
      <c r="J44" s="691"/>
      <c r="K44" s="686"/>
      <c r="L44" s="673"/>
      <c r="N44" s="753"/>
    </row>
    <row r="45" spans="2:28" x14ac:dyDescent="0.5">
      <c r="B45" s="672"/>
      <c r="C45" s="680" t="s">
        <v>990</v>
      </c>
      <c r="D45" s="680" t="str">
        <f t="shared" ref="D45:D48" si="3">+C45</f>
        <v>5,2</v>
      </c>
      <c r="E45" s="681" t="s">
        <v>962</v>
      </c>
      <c r="F45" s="681" t="s">
        <v>962</v>
      </c>
      <c r="G45" s="692" t="s">
        <v>311</v>
      </c>
      <c r="H45" s="681" t="s">
        <v>849</v>
      </c>
      <c r="I45" s="684">
        <v>1</v>
      </c>
      <c r="J45" s="691"/>
      <c r="K45" s="686"/>
      <c r="L45" s="673"/>
      <c r="N45" s="753"/>
    </row>
    <row r="46" spans="2:28" x14ac:dyDescent="0.5">
      <c r="B46" s="672"/>
      <c r="C46" s="680" t="s">
        <v>991</v>
      </c>
      <c r="D46" s="680" t="str">
        <f t="shared" si="3"/>
        <v>5,3</v>
      </c>
      <c r="E46" s="681" t="s">
        <v>962</v>
      </c>
      <c r="F46" s="681" t="s">
        <v>962</v>
      </c>
      <c r="G46" s="692" t="s">
        <v>312</v>
      </c>
      <c r="H46" s="681" t="s">
        <v>849</v>
      </c>
      <c r="I46" s="684">
        <v>1</v>
      </c>
      <c r="J46" s="691"/>
      <c r="K46" s="686"/>
      <c r="L46" s="673"/>
      <c r="N46" s="753"/>
    </row>
    <row r="47" spans="2:28" x14ac:dyDescent="0.5">
      <c r="B47" s="672"/>
      <c r="C47" s="680" t="s">
        <v>992</v>
      </c>
      <c r="D47" s="680" t="str">
        <f t="shared" si="3"/>
        <v>5,4</v>
      </c>
      <c r="E47" s="681" t="s">
        <v>962</v>
      </c>
      <c r="F47" s="681" t="s">
        <v>962</v>
      </c>
      <c r="G47" s="692" t="s">
        <v>315</v>
      </c>
      <c r="H47" s="681" t="s">
        <v>849</v>
      </c>
      <c r="I47" s="684">
        <v>1</v>
      </c>
      <c r="J47" s="691"/>
      <c r="K47" s="686"/>
      <c r="L47" s="673"/>
      <c r="N47" s="753"/>
    </row>
    <row r="48" spans="2:28" x14ac:dyDescent="0.5">
      <c r="B48" s="672"/>
      <c r="C48" s="680" t="s">
        <v>993</v>
      </c>
      <c r="D48" s="680" t="str">
        <f t="shared" si="3"/>
        <v>5,5</v>
      </c>
      <c r="E48" s="681" t="s">
        <v>962</v>
      </c>
      <c r="F48" s="681" t="s">
        <v>962</v>
      </c>
      <c r="G48" s="692" t="s">
        <v>316</v>
      </c>
      <c r="H48" s="681" t="s">
        <v>849</v>
      </c>
      <c r="I48" s="684">
        <v>1</v>
      </c>
      <c r="J48" s="691"/>
      <c r="K48" s="686"/>
      <c r="L48" s="673"/>
      <c r="N48" s="753"/>
    </row>
    <row r="49" spans="1:18" x14ac:dyDescent="0.5">
      <c r="B49" s="672"/>
      <c r="C49" s="779" t="s">
        <v>153</v>
      </c>
      <c r="D49" s="779"/>
      <c r="E49" s="779"/>
      <c r="F49" s="779"/>
      <c r="G49" s="779"/>
      <c r="H49" s="779"/>
      <c r="I49" s="779"/>
      <c r="J49" s="779"/>
      <c r="K49" s="690"/>
      <c r="L49" s="673"/>
      <c r="N49" s="753"/>
    </row>
    <row r="50" spans="1:18" ht="45" x14ac:dyDescent="0.75">
      <c r="B50" s="672"/>
      <c r="C50" s="780" t="s">
        <v>994</v>
      </c>
      <c r="D50" s="780"/>
      <c r="E50" s="780"/>
      <c r="F50" s="780"/>
      <c r="G50" s="780"/>
      <c r="H50" s="780"/>
      <c r="I50" s="780"/>
      <c r="J50" s="780"/>
      <c r="K50" s="694"/>
      <c r="L50" s="673"/>
      <c r="N50" s="695"/>
      <c r="R50" s="724"/>
    </row>
    <row r="51" spans="1:18" s="700" customFormat="1" ht="30.6" thickBot="1" x14ac:dyDescent="0.55000000000000004">
      <c r="A51" s="696"/>
      <c r="B51" s="672"/>
      <c r="C51" s="697"/>
      <c r="D51" s="696"/>
      <c r="E51" s="696"/>
      <c r="F51" s="696"/>
      <c r="G51" s="696"/>
      <c r="H51" s="696"/>
      <c r="I51" s="697"/>
      <c r="J51" s="697"/>
      <c r="K51" s="698"/>
      <c r="L51" s="673"/>
      <c r="M51" s="699"/>
      <c r="N51" s="699"/>
      <c r="O51" s="756"/>
    </row>
    <row r="52" spans="1:18" s="700" customFormat="1" ht="81" customHeight="1" x14ac:dyDescent="0.75">
      <c r="A52" s="696"/>
      <c r="B52" s="672"/>
      <c r="C52" s="697"/>
      <c r="D52" s="781" t="s">
        <v>1009</v>
      </c>
      <c r="E52" s="782"/>
      <c r="F52" s="782"/>
      <c r="G52" s="782"/>
      <c r="H52" s="782"/>
      <c r="I52" s="783"/>
      <c r="J52" s="783"/>
      <c r="K52" s="701" t="s">
        <v>995</v>
      </c>
      <c r="L52" s="673"/>
      <c r="M52" s="699"/>
      <c r="N52" s="699"/>
      <c r="O52" s="756"/>
      <c r="R52" s="725"/>
    </row>
    <row r="53" spans="1:18" s="700" customFormat="1" ht="105.6" customHeight="1" x14ac:dyDescent="0.5">
      <c r="A53" s="696"/>
      <c r="B53" s="672"/>
      <c r="C53" s="697"/>
      <c r="D53" s="774" t="s">
        <v>996</v>
      </c>
      <c r="E53" s="775"/>
      <c r="F53" s="775"/>
      <c r="G53" s="775"/>
      <c r="H53" s="775"/>
      <c r="I53" s="702"/>
      <c r="J53" s="703" t="s">
        <v>997</v>
      </c>
      <c r="K53" s="704">
        <v>0.21</v>
      </c>
      <c r="L53" s="673"/>
      <c r="M53" s="699"/>
      <c r="N53" s="699"/>
      <c r="O53" s="756"/>
    </row>
    <row r="54" spans="1:18" s="700" customFormat="1" ht="43.2" customHeight="1" x14ac:dyDescent="0.5">
      <c r="A54" s="696"/>
      <c r="B54" s="672"/>
      <c r="C54" s="697"/>
      <c r="D54" s="784" t="s">
        <v>998</v>
      </c>
      <c r="E54" s="785"/>
      <c r="F54" s="785"/>
      <c r="G54" s="785"/>
      <c r="H54" s="786"/>
      <c r="I54" s="705"/>
      <c r="J54" s="703" t="s">
        <v>999</v>
      </c>
      <c r="K54" s="704">
        <v>0.01</v>
      </c>
      <c r="L54" s="673"/>
      <c r="M54" s="699"/>
      <c r="N54" s="699"/>
      <c r="O54" s="756"/>
    </row>
    <row r="55" spans="1:18" s="700" customFormat="1" ht="74.400000000000006" customHeight="1" x14ac:dyDescent="0.5">
      <c r="A55" s="696"/>
      <c r="B55" s="672"/>
      <c r="C55" s="697"/>
      <c r="D55" s="787"/>
      <c r="E55" s="788"/>
      <c r="F55" s="788"/>
      <c r="G55" s="788"/>
      <c r="H55" s="789"/>
      <c r="I55" s="706"/>
      <c r="J55" s="703" t="s">
        <v>1000</v>
      </c>
      <c r="K55" s="704">
        <v>0.04</v>
      </c>
      <c r="L55" s="673"/>
      <c r="M55" s="699"/>
      <c r="N55" s="699"/>
      <c r="O55" s="756"/>
    </row>
    <row r="56" spans="1:18" s="700" customFormat="1" ht="49.95" customHeight="1" thickBot="1" x14ac:dyDescent="0.55000000000000004">
      <c r="A56" s="696"/>
      <c r="B56" s="672"/>
      <c r="C56" s="697"/>
      <c r="D56" s="790"/>
      <c r="E56" s="791"/>
      <c r="F56" s="791"/>
      <c r="G56" s="791"/>
      <c r="H56" s="792"/>
      <c r="I56" s="707"/>
      <c r="J56" s="708" t="s">
        <v>1001</v>
      </c>
      <c r="K56" s="709">
        <f>+K55+K54+K53</f>
        <v>0.26</v>
      </c>
      <c r="L56" s="673"/>
      <c r="M56" s="699"/>
      <c r="N56" s="699"/>
      <c r="O56" s="756"/>
    </row>
    <row r="57" spans="1:18" s="700" customFormat="1" x14ac:dyDescent="0.5">
      <c r="A57" s="696"/>
      <c r="B57" s="672"/>
      <c r="C57" s="697"/>
      <c r="D57" s="697"/>
      <c r="E57" s="697"/>
      <c r="F57" s="697"/>
      <c r="G57" s="697"/>
      <c r="H57" s="697"/>
      <c r="I57" s="697"/>
      <c r="J57" s="697"/>
      <c r="K57" s="698"/>
      <c r="L57" s="673"/>
      <c r="M57" s="699"/>
      <c r="N57" s="699"/>
      <c r="O57" s="756"/>
    </row>
    <row r="58" spans="1:18" s="700" customFormat="1" ht="30.6" thickBot="1" x14ac:dyDescent="0.55000000000000004">
      <c r="A58" s="696"/>
      <c r="B58" s="710"/>
      <c r="C58" s="711"/>
      <c r="D58" s="711"/>
      <c r="E58" s="711"/>
      <c r="F58" s="711"/>
      <c r="G58" s="711"/>
      <c r="H58" s="711"/>
      <c r="I58" s="711"/>
      <c r="J58" s="711"/>
      <c r="K58" s="712"/>
      <c r="L58" s="713"/>
      <c r="M58" s="699"/>
      <c r="N58" s="699"/>
      <c r="O58" s="756"/>
    </row>
    <row r="60" spans="1:18" ht="30" customHeight="1" x14ac:dyDescent="0.5">
      <c r="B60" s="795" t="s">
        <v>1008</v>
      </c>
      <c r="C60" s="795"/>
      <c r="D60" s="795"/>
      <c r="E60" s="795"/>
      <c r="F60" s="795"/>
      <c r="G60" s="795"/>
      <c r="H60" s="795"/>
      <c r="I60" s="795"/>
      <c r="J60" s="795"/>
      <c r="K60" s="795"/>
      <c r="L60" s="795"/>
    </row>
    <row r="61" spans="1:18" x14ac:dyDescent="0.5">
      <c r="B61" s="795"/>
      <c r="C61" s="795"/>
      <c r="D61" s="795"/>
      <c r="E61" s="795"/>
      <c r="F61" s="795"/>
      <c r="G61" s="795"/>
      <c r="H61" s="795"/>
      <c r="I61" s="795"/>
      <c r="J61" s="795"/>
      <c r="K61" s="795"/>
      <c r="L61" s="795"/>
    </row>
    <row r="62" spans="1:18" x14ac:dyDescent="0.5">
      <c r="B62" s="795"/>
      <c r="C62" s="795"/>
      <c r="D62" s="795"/>
      <c r="E62" s="795"/>
      <c r="F62" s="795"/>
      <c r="G62" s="795"/>
      <c r="H62" s="795"/>
      <c r="I62" s="795"/>
      <c r="J62" s="795"/>
      <c r="K62" s="795"/>
      <c r="L62" s="795"/>
    </row>
    <row r="63" spans="1:18" x14ac:dyDescent="0.5">
      <c r="B63" s="795"/>
      <c r="C63" s="795"/>
      <c r="D63" s="795"/>
      <c r="E63" s="795"/>
      <c r="F63" s="795"/>
      <c r="G63" s="795"/>
      <c r="H63" s="795"/>
      <c r="I63" s="795"/>
      <c r="J63" s="795"/>
      <c r="K63" s="795"/>
      <c r="L63" s="795"/>
    </row>
    <row r="64" spans="1:18" x14ac:dyDescent="0.5">
      <c r="B64" s="795"/>
      <c r="C64" s="795"/>
      <c r="D64" s="795"/>
      <c r="E64" s="795"/>
      <c r="F64" s="795"/>
      <c r="G64" s="795"/>
      <c r="H64" s="795"/>
      <c r="I64" s="795"/>
      <c r="J64" s="795"/>
      <c r="K64" s="795"/>
      <c r="L64" s="795"/>
    </row>
    <row r="65" spans="2:24" x14ac:dyDescent="0.5">
      <c r="B65" s="795"/>
      <c r="C65" s="795"/>
      <c r="D65" s="795"/>
      <c r="E65" s="795"/>
      <c r="F65" s="795"/>
      <c r="G65" s="795"/>
      <c r="H65" s="795"/>
      <c r="I65" s="795"/>
      <c r="J65" s="795"/>
      <c r="K65" s="795"/>
      <c r="L65" s="795"/>
    </row>
    <row r="66" spans="2:24" x14ac:dyDescent="0.5">
      <c r="B66" s="795"/>
      <c r="C66" s="795"/>
      <c r="D66" s="795"/>
      <c r="E66" s="795"/>
      <c r="F66" s="795"/>
      <c r="G66" s="795"/>
      <c r="H66" s="795"/>
      <c r="I66" s="795"/>
      <c r="J66" s="795"/>
      <c r="K66" s="795"/>
      <c r="L66" s="795"/>
    </row>
    <row r="67" spans="2:24" x14ac:dyDescent="0.5">
      <c r="B67" s="795"/>
      <c r="C67" s="795"/>
      <c r="D67" s="795"/>
      <c r="E67" s="795"/>
      <c r="F67" s="795"/>
      <c r="G67" s="795"/>
      <c r="H67" s="795"/>
      <c r="I67" s="795"/>
      <c r="J67" s="795"/>
      <c r="K67" s="795"/>
      <c r="L67" s="795"/>
    </row>
    <row r="68" spans="2:24" x14ac:dyDescent="0.5">
      <c r="B68" s="795"/>
      <c r="C68" s="795"/>
      <c r="D68" s="795"/>
      <c r="E68" s="795"/>
      <c r="F68" s="795"/>
      <c r="G68" s="795"/>
      <c r="H68" s="795"/>
      <c r="I68" s="795"/>
      <c r="J68" s="795"/>
      <c r="K68" s="795"/>
      <c r="L68" s="795"/>
    </row>
    <row r="69" spans="2:24" x14ac:dyDescent="0.5">
      <c r="B69" s="795"/>
      <c r="C69" s="795"/>
      <c r="D69" s="795"/>
      <c r="E69" s="795"/>
      <c r="F69" s="795"/>
      <c r="G69" s="795"/>
      <c r="H69" s="795"/>
      <c r="I69" s="795"/>
      <c r="J69" s="795"/>
      <c r="K69" s="795"/>
      <c r="L69" s="795"/>
    </row>
    <row r="70" spans="2:24" x14ac:dyDescent="0.5">
      <c r="B70" s="795"/>
      <c r="C70" s="795"/>
      <c r="D70" s="795"/>
      <c r="E70" s="795"/>
      <c r="F70" s="795"/>
      <c r="G70" s="795"/>
      <c r="H70" s="795"/>
      <c r="I70" s="795"/>
      <c r="J70" s="795"/>
      <c r="K70" s="795"/>
      <c r="L70" s="795"/>
    </row>
    <row r="71" spans="2:24" x14ac:dyDescent="0.5">
      <c r="B71" s="795"/>
      <c r="C71" s="795"/>
      <c r="D71" s="795"/>
      <c r="E71" s="795"/>
      <c r="F71" s="795"/>
      <c r="G71" s="795"/>
      <c r="H71" s="795"/>
      <c r="I71" s="795"/>
      <c r="J71" s="795"/>
      <c r="K71" s="795"/>
      <c r="L71" s="795"/>
    </row>
    <row r="72" spans="2:24" x14ac:dyDescent="0.5">
      <c r="B72" s="795"/>
      <c r="C72" s="795"/>
      <c r="D72" s="795"/>
      <c r="E72" s="795"/>
      <c r="F72" s="795"/>
      <c r="G72" s="795"/>
      <c r="H72" s="795"/>
      <c r="I72" s="795"/>
      <c r="J72" s="795"/>
      <c r="K72" s="795"/>
      <c r="L72" s="795"/>
    </row>
    <row r="73" spans="2:24" x14ac:dyDescent="0.5">
      <c r="B73" s="795"/>
      <c r="C73" s="795"/>
      <c r="D73" s="795"/>
      <c r="E73" s="795"/>
      <c r="F73" s="795"/>
      <c r="G73" s="795"/>
      <c r="H73" s="795"/>
      <c r="I73" s="795"/>
      <c r="J73" s="795"/>
      <c r="K73" s="795"/>
      <c r="L73" s="795"/>
    </row>
    <row r="80" spans="2:24" s="660" customFormat="1" x14ac:dyDescent="0.5">
      <c r="B80" s="1130" t="s">
        <v>1012</v>
      </c>
      <c r="C80" s="1130"/>
      <c r="D80" s="1130"/>
      <c r="E80" s="1130"/>
      <c r="F80" s="1130"/>
      <c r="G80" s="1129"/>
      <c r="H80" s="1129"/>
      <c r="I80" s="661"/>
      <c r="K80" s="662"/>
      <c r="L80" s="663"/>
      <c r="M80" s="664"/>
      <c r="N80" s="664"/>
      <c r="O80" s="754"/>
      <c r="P80" s="665"/>
      <c r="Q80" s="665"/>
      <c r="R80" s="665"/>
      <c r="S80" s="665"/>
      <c r="T80" s="665"/>
      <c r="U80" s="665"/>
      <c r="V80" s="665"/>
      <c r="W80" s="665"/>
      <c r="X80" s="665"/>
    </row>
    <row r="81" spans="2:24" s="660" customFormat="1" x14ac:dyDescent="0.5">
      <c r="B81" s="794" t="s">
        <v>1013</v>
      </c>
      <c r="C81" s="794"/>
      <c r="D81" s="794"/>
      <c r="E81" s="794"/>
      <c r="F81" s="794"/>
      <c r="I81" s="661"/>
      <c r="K81" s="662"/>
      <c r="L81" s="663"/>
      <c r="M81" s="664"/>
      <c r="N81" s="664"/>
      <c r="O81" s="754"/>
      <c r="P81" s="665"/>
      <c r="Q81" s="665"/>
      <c r="R81" s="665"/>
      <c r="S81" s="665"/>
      <c r="T81" s="665"/>
      <c r="U81" s="665"/>
      <c r="V81" s="665"/>
      <c r="W81" s="665"/>
      <c r="X81" s="665"/>
    </row>
    <row r="82" spans="2:24" s="660" customFormat="1" x14ac:dyDescent="0.5">
      <c r="B82" s="794" t="s">
        <v>1014</v>
      </c>
      <c r="C82" s="794"/>
      <c r="D82" s="794"/>
      <c r="E82" s="794"/>
      <c r="F82" s="794"/>
      <c r="I82" s="661"/>
      <c r="K82" s="662"/>
      <c r="L82" s="663"/>
      <c r="M82" s="664"/>
      <c r="N82" s="664"/>
      <c r="O82" s="754"/>
      <c r="P82" s="665"/>
      <c r="Q82" s="665"/>
      <c r="R82" s="665"/>
      <c r="S82" s="665"/>
      <c r="T82" s="665"/>
      <c r="U82" s="665"/>
      <c r="V82" s="665"/>
      <c r="W82" s="665"/>
      <c r="X82" s="665"/>
    </row>
    <row r="83" spans="2:24" s="660" customFormat="1" x14ac:dyDescent="0.5">
      <c r="D83" s="714"/>
      <c r="I83" s="661"/>
      <c r="K83" s="662"/>
      <c r="L83" s="663"/>
      <c r="M83" s="664"/>
      <c r="N83" s="664"/>
      <c r="O83" s="754"/>
      <c r="P83" s="665"/>
      <c r="Q83" s="665"/>
      <c r="R83" s="665"/>
      <c r="S83" s="665"/>
      <c r="T83" s="665"/>
      <c r="U83" s="665"/>
      <c r="V83" s="665"/>
      <c r="W83" s="665"/>
      <c r="X83" s="665"/>
    </row>
    <row r="84" spans="2:24" x14ac:dyDescent="0.5">
      <c r="B84" s="1131" t="s">
        <v>1015</v>
      </c>
      <c r="C84" s="1132"/>
      <c r="D84" s="1132"/>
      <c r="E84" s="1132"/>
      <c r="F84" s="1132"/>
      <c r="G84" s="1132"/>
    </row>
    <row r="85" spans="2:24" x14ac:dyDescent="0.5">
      <c r="B85" s="1132" t="s">
        <v>1013</v>
      </c>
      <c r="C85" s="1132"/>
      <c r="D85" s="1132"/>
      <c r="E85" s="1132"/>
      <c r="F85" s="1132"/>
    </row>
    <row r="86" spans="2:24" x14ac:dyDescent="0.5">
      <c r="B86" s="1132" t="s">
        <v>1016</v>
      </c>
      <c r="C86" s="1132"/>
      <c r="D86" s="1132"/>
      <c r="E86" s="1132"/>
      <c r="F86" s="1132"/>
    </row>
  </sheetData>
  <mergeCells count="35">
    <mergeCell ref="B85:F85"/>
    <mergeCell ref="B86:F86"/>
    <mergeCell ref="D55:H56"/>
    <mergeCell ref="B60:L73"/>
    <mergeCell ref="B81:F81"/>
    <mergeCell ref="B82:F82"/>
    <mergeCell ref="B84:G84"/>
    <mergeCell ref="C49:J49"/>
    <mergeCell ref="C50:J50"/>
    <mergeCell ref="D52:H52"/>
    <mergeCell ref="I52:J52"/>
    <mergeCell ref="D53:H53"/>
    <mergeCell ref="D54:H54"/>
    <mergeCell ref="C29:J29"/>
    <mergeCell ref="C30:K30"/>
    <mergeCell ref="C34:J34"/>
    <mergeCell ref="C35:K35"/>
    <mergeCell ref="C42:J42"/>
    <mergeCell ref="C43:K43"/>
    <mergeCell ref="I11:I12"/>
    <mergeCell ref="J11:J12"/>
    <mergeCell ref="K11:K12"/>
    <mergeCell ref="C13:K13"/>
    <mergeCell ref="C19:J19"/>
    <mergeCell ref="C20:K20"/>
    <mergeCell ref="C3:F3"/>
    <mergeCell ref="G5:H5"/>
    <mergeCell ref="G6:K6"/>
    <mergeCell ref="C7:K8"/>
    <mergeCell ref="C9:K9"/>
    <mergeCell ref="C11:C12"/>
    <mergeCell ref="D11:D12"/>
    <mergeCell ref="E11:F11"/>
    <mergeCell ref="G11:G12"/>
    <mergeCell ref="H11:H12"/>
  </mergeCells>
  <pageMargins left="0.7" right="0.7" top="0.75" bottom="0.75" header="0.3" footer="0.3"/>
  <pageSetup paperSize="9" scale="2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96007-2E96-459A-94BB-88B962E6998F}">
  <sheetPr>
    <tabColor rgb="FFFFE285"/>
    <pageSetUpPr fitToPage="1"/>
  </sheetPr>
  <dimension ref="A1:AB83"/>
  <sheetViews>
    <sheetView view="pageBreakPreview" topLeftCell="A16" zoomScale="30" zoomScaleNormal="30" zoomScaleSheetLayoutView="30" workbookViewId="0">
      <selection activeCell="N17" sqref="N17"/>
    </sheetView>
  </sheetViews>
  <sheetFormatPr baseColWidth="10" defaultColWidth="11.44140625" defaultRowHeight="30" x14ac:dyDescent="0.5"/>
  <cols>
    <col min="1" max="1" width="5.44140625" style="660" customWidth="1"/>
    <col min="2" max="2" width="6.6640625" style="660" customWidth="1"/>
    <col min="3" max="3" width="16.88671875" style="660" bestFit="1" customWidth="1"/>
    <col min="4" max="4" width="40.5546875" style="660" bestFit="1" customWidth="1"/>
    <col min="5" max="5" width="23.44140625" style="660" bestFit="1" customWidth="1"/>
    <col min="6" max="6" width="30.33203125" style="660" customWidth="1"/>
    <col min="7" max="7" width="87.88671875" style="660" customWidth="1"/>
    <col min="8" max="8" width="15.44140625" style="660" bestFit="1" customWidth="1"/>
    <col min="9" max="9" width="32" style="661" bestFit="1" customWidth="1"/>
    <col min="10" max="10" width="41.88671875" style="660" customWidth="1"/>
    <col min="11" max="11" width="56.33203125" style="662" bestFit="1" customWidth="1"/>
    <col min="12" max="12" width="7.109375" style="663" customWidth="1"/>
    <col min="13" max="13" width="11" style="664" customWidth="1"/>
    <col min="14" max="14" width="57.6640625" style="664" customWidth="1"/>
    <col min="15" max="15" width="18.33203125" style="754" bestFit="1" customWidth="1"/>
    <col min="16" max="17" width="11.44140625" style="665"/>
    <col min="18" max="18" width="66.5546875" style="665" bestFit="1" customWidth="1"/>
    <col min="19" max="244" width="11.44140625" style="665"/>
    <col min="245" max="245" width="5.44140625" style="665" customWidth="1"/>
    <col min="246" max="246" width="6.6640625" style="665" customWidth="1"/>
    <col min="247" max="247" width="11.44140625" style="665"/>
    <col min="248" max="248" width="18.6640625" style="665" customWidth="1"/>
    <col min="249" max="249" width="20.6640625" style="665" customWidth="1"/>
    <col min="250" max="250" width="18.5546875" style="665" customWidth="1"/>
    <col min="251" max="251" width="61.109375" style="665" customWidth="1"/>
    <col min="252" max="252" width="18.5546875" style="665" customWidth="1"/>
    <col min="253" max="263" width="0" style="665" hidden="1" customWidth="1"/>
    <col min="264" max="264" width="38.109375" style="665" customWidth="1"/>
    <col min="265" max="265" width="14.109375" style="665" customWidth="1"/>
    <col min="266" max="266" width="24.88671875" style="665" customWidth="1"/>
    <col min="267" max="267" width="7.109375" style="665" customWidth="1"/>
    <col min="268" max="268" width="7.6640625" style="665" customWidth="1"/>
    <col min="269" max="270" width="23.33203125" style="665" customWidth="1"/>
    <col min="271" max="271" width="18.33203125" style="665" bestFit="1" customWidth="1"/>
    <col min="272" max="500" width="11.44140625" style="665"/>
    <col min="501" max="501" width="5.44140625" style="665" customWidth="1"/>
    <col min="502" max="502" width="6.6640625" style="665" customWidth="1"/>
    <col min="503" max="503" width="11.44140625" style="665"/>
    <col min="504" max="504" width="18.6640625" style="665" customWidth="1"/>
    <col min="505" max="505" width="20.6640625" style="665" customWidth="1"/>
    <col min="506" max="506" width="18.5546875" style="665" customWidth="1"/>
    <col min="507" max="507" width="61.109375" style="665" customWidth="1"/>
    <col min="508" max="508" width="18.5546875" style="665" customWidth="1"/>
    <col min="509" max="519" width="0" style="665" hidden="1" customWidth="1"/>
    <col min="520" max="520" width="38.109375" style="665" customWidth="1"/>
    <col min="521" max="521" width="14.109375" style="665" customWidth="1"/>
    <col min="522" max="522" width="24.88671875" style="665" customWidth="1"/>
    <col min="523" max="523" width="7.109375" style="665" customWidth="1"/>
    <col min="524" max="524" width="7.6640625" style="665" customWidth="1"/>
    <col min="525" max="526" width="23.33203125" style="665" customWidth="1"/>
    <col min="527" max="527" width="18.33203125" style="665" bestFit="1" customWidth="1"/>
    <col min="528" max="756" width="11.44140625" style="665"/>
    <col min="757" max="757" width="5.44140625" style="665" customWidth="1"/>
    <col min="758" max="758" width="6.6640625" style="665" customWidth="1"/>
    <col min="759" max="759" width="11.44140625" style="665"/>
    <col min="760" max="760" width="18.6640625" style="665" customWidth="1"/>
    <col min="761" max="761" width="20.6640625" style="665" customWidth="1"/>
    <col min="762" max="762" width="18.5546875" style="665" customWidth="1"/>
    <col min="763" max="763" width="61.109375" style="665" customWidth="1"/>
    <col min="764" max="764" width="18.5546875" style="665" customWidth="1"/>
    <col min="765" max="775" width="0" style="665" hidden="1" customWidth="1"/>
    <col min="776" max="776" width="38.109375" style="665" customWidth="1"/>
    <col min="777" max="777" width="14.109375" style="665" customWidth="1"/>
    <col min="778" max="778" width="24.88671875" style="665" customWidth="1"/>
    <col min="779" max="779" width="7.109375" style="665" customWidth="1"/>
    <col min="780" max="780" width="7.6640625" style="665" customWidth="1"/>
    <col min="781" max="782" width="23.33203125" style="665" customWidth="1"/>
    <col min="783" max="783" width="18.33203125" style="665" bestFit="1" customWidth="1"/>
    <col min="784" max="1012" width="11.44140625" style="665"/>
    <col min="1013" max="1013" width="5.44140625" style="665" customWidth="1"/>
    <col min="1014" max="1014" width="6.6640625" style="665" customWidth="1"/>
    <col min="1015" max="1015" width="11.44140625" style="665"/>
    <col min="1016" max="1016" width="18.6640625" style="665" customWidth="1"/>
    <col min="1017" max="1017" width="20.6640625" style="665" customWidth="1"/>
    <col min="1018" max="1018" width="18.5546875" style="665" customWidth="1"/>
    <col min="1019" max="1019" width="61.109375" style="665" customWidth="1"/>
    <col min="1020" max="1020" width="18.5546875" style="665" customWidth="1"/>
    <col min="1021" max="1031" width="0" style="665" hidden="1" customWidth="1"/>
    <col min="1032" max="1032" width="38.109375" style="665" customWidth="1"/>
    <col min="1033" max="1033" width="14.109375" style="665" customWidth="1"/>
    <col min="1034" max="1034" width="24.88671875" style="665" customWidth="1"/>
    <col min="1035" max="1035" width="7.109375" style="665" customWidth="1"/>
    <col min="1036" max="1036" width="7.6640625" style="665" customWidth="1"/>
    <col min="1037" max="1038" width="23.33203125" style="665" customWidth="1"/>
    <col min="1039" max="1039" width="18.33203125" style="665" bestFit="1" customWidth="1"/>
    <col min="1040" max="1268" width="11.44140625" style="665"/>
    <col min="1269" max="1269" width="5.44140625" style="665" customWidth="1"/>
    <col min="1270" max="1270" width="6.6640625" style="665" customWidth="1"/>
    <col min="1271" max="1271" width="11.44140625" style="665"/>
    <col min="1272" max="1272" width="18.6640625" style="665" customWidth="1"/>
    <col min="1273" max="1273" width="20.6640625" style="665" customWidth="1"/>
    <col min="1274" max="1274" width="18.5546875" style="665" customWidth="1"/>
    <col min="1275" max="1275" width="61.109375" style="665" customWidth="1"/>
    <col min="1276" max="1276" width="18.5546875" style="665" customWidth="1"/>
    <col min="1277" max="1287" width="0" style="665" hidden="1" customWidth="1"/>
    <col min="1288" max="1288" width="38.109375" style="665" customWidth="1"/>
    <col min="1289" max="1289" width="14.109375" style="665" customWidth="1"/>
    <col min="1290" max="1290" width="24.88671875" style="665" customWidth="1"/>
    <col min="1291" max="1291" width="7.109375" style="665" customWidth="1"/>
    <col min="1292" max="1292" width="7.6640625" style="665" customWidth="1"/>
    <col min="1293" max="1294" width="23.33203125" style="665" customWidth="1"/>
    <col min="1295" max="1295" width="18.33203125" style="665" bestFit="1" customWidth="1"/>
    <col min="1296" max="1524" width="11.44140625" style="665"/>
    <col min="1525" max="1525" width="5.44140625" style="665" customWidth="1"/>
    <col min="1526" max="1526" width="6.6640625" style="665" customWidth="1"/>
    <col min="1527" max="1527" width="11.44140625" style="665"/>
    <col min="1528" max="1528" width="18.6640625" style="665" customWidth="1"/>
    <col min="1529" max="1529" width="20.6640625" style="665" customWidth="1"/>
    <col min="1530" max="1530" width="18.5546875" style="665" customWidth="1"/>
    <col min="1531" max="1531" width="61.109375" style="665" customWidth="1"/>
    <col min="1532" max="1532" width="18.5546875" style="665" customWidth="1"/>
    <col min="1533" max="1543" width="0" style="665" hidden="1" customWidth="1"/>
    <col min="1544" max="1544" width="38.109375" style="665" customWidth="1"/>
    <col min="1545" max="1545" width="14.109375" style="665" customWidth="1"/>
    <col min="1546" max="1546" width="24.88671875" style="665" customWidth="1"/>
    <col min="1547" max="1547" width="7.109375" style="665" customWidth="1"/>
    <col min="1548" max="1548" width="7.6640625" style="665" customWidth="1"/>
    <col min="1549" max="1550" width="23.33203125" style="665" customWidth="1"/>
    <col min="1551" max="1551" width="18.33203125" style="665" bestFit="1" customWidth="1"/>
    <col min="1552" max="1780" width="11.44140625" style="665"/>
    <col min="1781" max="1781" width="5.44140625" style="665" customWidth="1"/>
    <col min="1782" max="1782" width="6.6640625" style="665" customWidth="1"/>
    <col min="1783" max="1783" width="11.44140625" style="665"/>
    <col min="1784" max="1784" width="18.6640625" style="665" customWidth="1"/>
    <col min="1785" max="1785" width="20.6640625" style="665" customWidth="1"/>
    <col min="1786" max="1786" width="18.5546875" style="665" customWidth="1"/>
    <col min="1787" max="1787" width="61.109375" style="665" customWidth="1"/>
    <col min="1788" max="1788" width="18.5546875" style="665" customWidth="1"/>
    <col min="1789" max="1799" width="0" style="665" hidden="1" customWidth="1"/>
    <col min="1800" max="1800" width="38.109375" style="665" customWidth="1"/>
    <col min="1801" max="1801" width="14.109375" style="665" customWidth="1"/>
    <col min="1802" max="1802" width="24.88671875" style="665" customWidth="1"/>
    <col min="1803" max="1803" width="7.109375" style="665" customWidth="1"/>
    <col min="1804" max="1804" width="7.6640625" style="665" customWidth="1"/>
    <col min="1805" max="1806" width="23.33203125" style="665" customWidth="1"/>
    <col min="1807" max="1807" width="18.33203125" style="665" bestFit="1" customWidth="1"/>
    <col min="1808" max="2036" width="11.44140625" style="665"/>
    <col min="2037" max="2037" width="5.44140625" style="665" customWidth="1"/>
    <col min="2038" max="2038" width="6.6640625" style="665" customWidth="1"/>
    <col min="2039" max="2039" width="11.44140625" style="665"/>
    <col min="2040" max="2040" width="18.6640625" style="665" customWidth="1"/>
    <col min="2041" max="2041" width="20.6640625" style="665" customWidth="1"/>
    <col min="2042" max="2042" width="18.5546875" style="665" customWidth="1"/>
    <col min="2043" max="2043" width="61.109375" style="665" customWidth="1"/>
    <col min="2044" max="2044" width="18.5546875" style="665" customWidth="1"/>
    <col min="2045" max="2055" width="0" style="665" hidden="1" customWidth="1"/>
    <col min="2056" max="2056" width="38.109375" style="665" customWidth="1"/>
    <col min="2057" max="2057" width="14.109375" style="665" customWidth="1"/>
    <col min="2058" max="2058" width="24.88671875" style="665" customWidth="1"/>
    <col min="2059" max="2059" width="7.109375" style="665" customWidth="1"/>
    <col min="2060" max="2060" width="7.6640625" style="665" customWidth="1"/>
    <col min="2061" max="2062" width="23.33203125" style="665" customWidth="1"/>
    <col min="2063" max="2063" width="18.33203125" style="665" bestFit="1" customWidth="1"/>
    <col min="2064" max="2292" width="11.44140625" style="665"/>
    <col min="2293" max="2293" width="5.44140625" style="665" customWidth="1"/>
    <col min="2294" max="2294" width="6.6640625" style="665" customWidth="1"/>
    <col min="2295" max="2295" width="11.44140625" style="665"/>
    <col min="2296" max="2296" width="18.6640625" style="665" customWidth="1"/>
    <col min="2297" max="2297" width="20.6640625" style="665" customWidth="1"/>
    <col min="2298" max="2298" width="18.5546875" style="665" customWidth="1"/>
    <col min="2299" max="2299" width="61.109375" style="665" customWidth="1"/>
    <col min="2300" max="2300" width="18.5546875" style="665" customWidth="1"/>
    <col min="2301" max="2311" width="0" style="665" hidden="1" customWidth="1"/>
    <col min="2312" max="2312" width="38.109375" style="665" customWidth="1"/>
    <col min="2313" max="2313" width="14.109375" style="665" customWidth="1"/>
    <col min="2314" max="2314" width="24.88671875" style="665" customWidth="1"/>
    <col min="2315" max="2315" width="7.109375" style="665" customWidth="1"/>
    <col min="2316" max="2316" width="7.6640625" style="665" customWidth="1"/>
    <col min="2317" max="2318" width="23.33203125" style="665" customWidth="1"/>
    <col min="2319" max="2319" width="18.33203125" style="665" bestFit="1" customWidth="1"/>
    <col min="2320" max="2548" width="11.44140625" style="665"/>
    <col min="2549" max="2549" width="5.44140625" style="665" customWidth="1"/>
    <col min="2550" max="2550" width="6.6640625" style="665" customWidth="1"/>
    <col min="2551" max="2551" width="11.44140625" style="665"/>
    <col min="2552" max="2552" width="18.6640625" style="665" customWidth="1"/>
    <col min="2553" max="2553" width="20.6640625" style="665" customWidth="1"/>
    <col min="2554" max="2554" width="18.5546875" style="665" customWidth="1"/>
    <col min="2555" max="2555" width="61.109375" style="665" customWidth="1"/>
    <col min="2556" max="2556" width="18.5546875" style="665" customWidth="1"/>
    <col min="2557" max="2567" width="0" style="665" hidden="1" customWidth="1"/>
    <col min="2568" max="2568" width="38.109375" style="665" customWidth="1"/>
    <col min="2569" max="2569" width="14.109375" style="665" customWidth="1"/>
    <col min="2570" max="2570" width="24.88671875" style="665" customWidth="1"/>
    <col min="2571" max="2571" width="7.109375" style="665" customWidth="1"/>
    <col min="2572" max="2572" width="7.6640625" style="665" customWidth="1"/>
    <col min="2573" max="2574" width="23.33203125" style="665" customWidth="1"/>
    <col min="2575" max="2575" width="18.33203125" style="665" bestFit="1" customWidth="1"/>
    <col min="2576" max="2804" width="11.44140625" style="665"/>
    <col min="2805" max="2805" width="5.44140625" style="665" customWidth="1"/>
    <col min="2806" max="2806" width="6.6640625" style="665" customWidth="1"/>
    <col min="2807" max="2807" width="11.44140625" style="665"/>
    <col min="2808" max="2808" width="18.6640625" style="665" customWidth="1"/>
    <col min="2809" max="2809" width="20.6640625" style="665" customWidth="1"/>
    <col min="2810" max="2810" width="18.5546875" style="665" customWidth="1"/>
    <col min="2811" max="2811" width="61.109375" style="665" customWidth="1"/>
    <col min="2812" max="2812" width="18.5546875" style="665" customWidth="1"/>
    <col min="2813" max="2823" width="0" style="665" hidden="1" customWidth="1"/>
    <col min="2824" max="2824" width="38.109375" style="665" customWidth="1"/>
    <col min="2825" max="2825" width="14.109375" style="665" customWidth="1"/>
    <col min="2826" max="2826" width="24.88671875" style="665" customWidth="1"/>
    <col min="2827" max="2827" width="7.109375" style="665" customWidth="1"/>
    <col min="2828" max="2828" width="7.6640625" style="665" customWidth="1"/>
    <col min="2829" max="2830" width="23.33203125" style="665" customWidth="1"/>
    <col min="2831" max="2831" width="18.33203125" style="665" bestFit="1" customWidth="1"/>
    <col min="2832" max="3060" width="11.44140625" style="665"/>
    <col min="3061" max="3061" width="5.44140625" style="665" customWidth="1"/>
    <col min="3062" max="3062" width="6.6640625" style="665" customWidth="1"/>
    <col min="3063" max="3063" width="11.44140625" style="665"/>
    <col min="3064" max="3064" width="18.6640625" style="665" customWidth="1"/>
    <col min="3065" max="3065" width="20.6640625" style="665" customWidth="1"/>
    <col min="3066" max="3066" width="18.5546875" style="665" customWidth="1"/>
    <col min="3067" max="3067" width="61.109375" style="665" customWidth="1"/>
    <col min="3068" max="3068" width="18.5546875" style="665" customWidth="1"/>
    <col min="3069" max="3079" width="0" style="665" hidden="1" customWidth="1"/>
    <col min="3080" max="3080" width="38.109375" style="665" customWidth="1"/>
    <col min="3081" max="3081" width="14.109375" style="665" customWidth="1"/>
    <col min="3082" max="3082" width="24.88671875" style="665" customWidth="1"/>
    <col min="3083" max="3083" width="7.109375" style="665" customWidth="1"/>
    <col min="3084" max="3084" width="7.6640625" style="665" customWidth="1"/>
    <col min="3085" max="3086" width="23.33203125" style="665" customWidth="1"/>
    <col min="3087" max="3087" width="18.33203125" style="665" bestFit="1" customWidth="1"/>
    <col min="3088" max="3316" width="11.44140625" style="665"/>
    <col min="3317" max="3317" width="5.44140625" style="665" customWidth="1"/>
    <col min="3318" max="3318" width="6.6640625" style="665" customWidth="1"/>
    <col min="3319" max="3319" width="11.44140625" style="665"/>
    <col min="3320" max="3320" width="18.6640625" style="665" customWidth="1"/>
    <col min="3321" max="3321" width="20.6640625" style="665" customWidth="1"/>
    <col min="3322" max="3322" width="18.5546875" style="665" customWidth="1"/>
    <col min="3323" max="3323" width="61.109375" style="665" customWidth="1"/>
    <col min="3324" max="3324" width="18.5546875" style="665" customWidth="1"/>
    <col min="3325" max="3335" width="0" style="665" hidden="1" customWidth="1"/>
    <col min="3336" max="3336" width="38.109375" style="665" customWidth="1"/>
    <col min="3337" max="3337" width="14.109375" style="665" customWidth="1"/>
    <col min="3338" max="3338" width="24.88671875" style="665" customWidth="1"/>
    <col min="3339" max="3339" width="7.109375" style="665" customWidth="1"/>
    <col min="3340" max="3340" width="7.6640625" style="665" customWidth="1"/>
    <col min="3341" max="3342" width="23.33203125" style="665" customWidth="1"/>
    <col min="3343" max="3343" width="18.33203125" style="665" bestFit="1" customWidth="1"/>
    <col min="3344" max="3572" width="11.44140625" style="665"/>
    <col min="3573" max="3573" width="5.44140625" style="665" customWidth="1"/>
    <col min="3574" max="3574" width="6.6640625" style="665" customWidth="1"/>
    <col min="3575" max="3575" width="11.44140625" style="665"/>
    <col min="3576" max="3576" width="18.6640625" style="665" customWidth="1"/>
    <col min="3577" max="3577" width="20.6640625" style="665" customWidth="1"/>
    <col min="3578" max="3578" width="18.5546875" style="665" customWidth="1"/>
    <col min="3579" max="3579" width="61.109375" style="665" customWidth="1"/>
    <col min="3580" max="3580" width="18.5546875" style="665" customWidth="1"/>
    <col min="3581" max="3591" width="0" style="665" hidden="1" customWidth="1"/>
    <col min="3592" max="3592" width="38.109375" style="665" customWidth="1"/>
    <col min="3593" max="3593" width="14.109375" style="665" customWidth="1"/>
    <col min="3594" max="3594" width="24.88671875" style="665" customWidth="1"/>
    <col min="3595" max="3595" width="7.109375" style="665" customWidth="1"/>
    <col min="3596" max="3596" width="7.6640625" style="665" customWidth="1"/>
    <col min="3597" max="3598" width="23.33203125" style="665" customWidth="1"/>
    <col min="3599" max="3599" width="18.33203125" style="665" bestFit="1" customWidth="1"/>
    <col min="3600" max="3828" width="11.44140625" style="665"/>
    <col min="3829" max="3829" width="5.44140625" style="665" customWidth="1"/>
    <col min="3830" max="3830" width="6.6640625" style="665" customWidth="1"/>
    <col min="3831" max="3831" width="11.44140625" style="665"/>
    <col min="3832" max="3832" width="18.6640625" style="665" customWidth="1"/>
    <col min="3833" max="3833" width="20.6640625" style="665" customWidth="1"/>
    <col min="3834" max="3834" width="18.5546875" style="665" customWidth="1"/>
    <col min="3835" max="3835" width="61.109375" style="665" customWidth="1"/>
    <col min="3836" max="3836" width="18.5546875" style="665" customWidth="1"/>
    <col min="3837" max="3847" width="0" style="665" hidden="1" customWidth="1"/>
    <col min="3848" max="3848" width="38.109375" style="665" customWidth="1"/>
    <col min="3849" max="3849" width="14.109375" style="665" customWidth="1"/>
    <col min="3850" max="3850" width="24.88671875" style="665" customWidth="1"/>
    <col min="3851" max="3851" width="7.109375" style="665" customWidth="1"/>
    <col min="3852" max="3852" width="7.6640625" style="665" customWidth="1"/>
    <col min="3853" max="3854" width="23.33203125" style="665" customWidth="1"/>
    <col min="3855" max="3855" width="18.33203125" style="665" bestFit="1" customWidth="1"/>
    <col min="3856" max="4084" width="11.44140625" style="665"/>
    <col min="4085" max="4085" width="5.44140625" style="665" customWidth="1"/>
    <col min="4086" max="4086" width="6.6640625" style="665" customWidth="1"/>
    <col min="4087" max="4087" width="11.44140625" style="665"/>
    <col min="4088" max="4088" width="18.6640625" style="665" customWidth="1"/>
    <col min="4089" max="4089" width="20.6640625" style="665" customWidth="1"/>
    <col min="4090" max="4090" width="18.5546875" style="665" customWidth="1"/>
    <col min="4091" max="4091" width="61.109375" style="665" customWidth="1"/>
    <col min="4092" max="4092" width="18.5546875" style="665" customWidth="1"/>
    <col min="4093" max="4103" width="0" style="665" hidden="1" customWidth="1"/>
    <col min="4104" max="4104" width="38.109375" style="665" customWidth="1"/>
    <col min="4105" max="4105" width="14.109375" style="665" customWidth="1"/>
    <col min="4106" max="4106" width="24.88671875" style="665" customWidth="1"/>
    <col min="4107" max="4107" width="7.109375" style="665" customWidth="1"/>
    <col min="4108" max="4108" width="7.6640625" style="665" customWidth="1"/>
    <col min="4109" max="4110" width="23.33203125" style="665" customWidth="1"/>
    <col min="4111" max="4111" width="18.33203125" style="665" bestFit="1" customWidth="1"/>
    <col min="4112" max="4340" width="11.44140625" style="665"/>
    <col min="4341" max="4341" width="5.44140625" style="665" customWidth="1"/>
    <col min="4342" max="4342" width="6.6640625" style="665" customWidth="1"/>
    <col min="4343" max="4343" width="11.44140625" style="665"/>
    <col min="4344" max="4344" width="18.6640625" style="665" customWidth="1"/>
    <col min="4345" max="4345" width="20.6640625" style="665" customWidth="1"/>
    <col min="4346" max="4346" width="18.5546875" style="665" customWidth="1"/>
    <col min="4347" max="4347" width="61.109375" style="665" customWidth="1"/>
    <col min="4348" max="4348" width="18.5546875" style="665" customWidth="1"/>
    <col min="4349" max="4359" width="0" style="665" hidden="1" customWidth="1"/>
    <col min="4360" max="4360" width="38.109375" style="665" customWidth="1"/>
    <col min="4361" max="4361" width="14.109375" style="665" customWidth="1"/>
    <col min="4362" max="4362" width="24.88671875" style="665" customWidth="1"/>
    <col min="4363" max="4363" width="7.109375" style="665" customWidth="1"/>
    <col min="4364" max="4364" width="7.6640625" style="665" customWidth="1"/>
    <col min="4365" max="4366" width="23.33203125" style="665" customWidth="1"/>
    <col min="4367" max="4367" width="18.33203125" style="665" bestFit="1" customWidth="1"/>
    <col min="4368" max="4596" width="11.44140625" style="665"/>
    <col min="4597" max="4597" width="5.44140625" style="665" customWidth="1"/>
    <col min="4598" max="4598" width="6.6640625" style="665" customWidth="1"/>
    <col min="4599" max="4599" width="11.44140625" style="665"/>
    <col min="4600" max="4600" width="18.6640625" style="665" customWidth="1"/>
    <col min="4601" max="4601" width="20.6640625" style="665" customWidth="1"/>
    <col min="4602" max="4602" width="18.5546875" style="665" customWidth="1"/>
    <col min="4603" max="4603" width="61.109375" style="665" customWidth="1"/>
    <col min="4604" max="4604" width="18.5546875" style="665" customWidth="1"/>
    <col min="4605" max="4615" width="0" style="665" hidden="1" customWidth="1"/>
    <col min="4616" max="4616" width="38.109375" style="665" customWidth="1"/>
    <col min="4617" max="4617" width="14.109375" style="665" customWidth="1"/>
    <col min="4618" max="4618" width="24.88671875" style="665" customWidth="1"/>
    <col min="4619" max="4619" width="7.109375" style="665" customWidth="1"/>
    <col min="4620" max="4620" width="7.6640625" style="665" customWidth="1"/>
    <col min="4621" max="4622" width="23.33203125" style="665" customWidth="1"/>
    <col min="4623" max="4623" width="18.33203125" style="665" bestFit="1" customWidth="1"/>
    <col min="4624" max="4852" width="11.44140625" style="665"/>
    <col min="4853" max="4853" width="5.44140625" style="665" customWidth="1"/>
    <col min="4854" max="4854" width="6.6640625" style="665" customWidth="1"/>
    <col min="4855" max="4855" width="11.44140625" style="665"/>
    <col min="4856" max="4856" width="18.6640625" style="665" customWidth="1"/>
    <col min="4857" max="4857" width="20.6640625" style="665" customWidth="1"/>
    <col min="4858" max="4858" width="18.5546875" style="665" customWidth="1"/>
    <col min="4859" max="4859" width="61.109375" style="665" customWidth="1"/>
    <col min="4860" max="4860" width="18.5546875" style="665" customWidth="1"/>
    <col min="4861" max="4871" width="0" style="665" hidden="1" customWidth="1"/>
    <col min="4872" max="4872" width="38.109375" style="665" customWidth="1"/>
    <col min="4873" max="4873" width="14.109375" style="665" customWidth="1"/>
    <col min="4874" max="4874" width="24.88671875" style="665" customWidth="1"/>
    <col min="4875" max="4875" width="7.109375" style="665" customWidth="1"/>
    <col min="4876" max="4876" width="7.6640625" style="665" customWidth="1"/>
    <col min="4877" max="4878" width="23.33203125" style="665" customWidth="1"/>
    <col min="4879" max="4879" width="18.33203125" style="665" bestFit="1" customWidth="1"/>
    <col min="4880" max="5108" width="11.44140625" style="665"/>
    <col min="5109" max="5109" width="5.44140625" style="665" customWidth="1"/>
    <col min="5110" max="5110" width="6.6640625" style="665" customWidth="1"/>
    <col min="5111" max="5111" width="11.44140625" style="665"/>
    <col min="5112" max="5112" width="18.6640625" style="665" customWidth="1"/>
    <col min="5113" max="5113" width="20.6640625" style="665" customWidth="1"/>
    <col min="5114" max="5114" width="18.5546875" style="665" customWidth="1"/>
    <col min="5115" max="5115" width="61.109375" style="665" customWidth="1"/>
    <col min="5116" max="5116" width="18.5546875" style="665" customWidth="1"/>
    <col min="5117" max="5127" width="0" style="665" hidden="1" customWidth="1"/>
    <col min="5128" max="5128" width="38.109375" style="665" customWidth="1"/>
    <col min="5129" max="5129" width="14.109375" style="665" customWidth="1"/>
    <col min="5130" max="5130" width="24.88671875" style="665" customWidth="1"/>
    <col min="5131" max="5131" width="7.109375" style="665" customWidth="1"/>
    <col min="5132" max="5132" width="7.6640625" style="665" customWidth="1"/>
    <col min="5133" max="5134" width="23.33203125" style="665" customWidth="1"/>
    <col min="5135" max="5135" width="18.33203125" style="665" bestFit="1" customWidth="1"/>
    <col min="5136" max="5364" width="11.44140625" style="665"/>
    <col min="5365" max="5365" width="5.44140625" style="665" customWidth="1"/>
    <col min="5366" max="5366" width="6.6640625" style="665" customWidth="1"/>
    <col min="5367" max="5367" width="11.44140625" style="665"/>
    <col min="5368" max="5368" width="18.6640625" style="665" customWidth="1"/>
    <col min="5369" max="5369" width="20.6640625" style="665" customWidth="1"/>
    <col min="5370" max="5370" width="18.5546875" style="665" customWidth="1"/>
    <col min="5371" max="5371" width="61.109375" style="665" customWidth="1"/>
    <col min="5372" max="5372" width="18.5546875" style="665" customWidth="1"/>
    <col min="5373" max="5383" width="0" style="665" hidden="1" customWidth="1"/>
    <col min="5384" max="5384" width="38.109375" style="665" customWidth="1"/>
    <col min="5385" max="5385" width="14.109375" style="665" customWidth="1"/>
    <col min="5386" max="5386" width="24.88671875" style="665" customWidth="1"/>
    <col min="5387" max="5387" width="7.109375" style="665" customWidth="1"/>
    <col min="5388" max="5388" width="7.6640625" style="665" customWidth="1"/>
    <col min="5389" max="5390" width="23.33203125" style="665" customWidth="1"/>
    <col min="5391" max="5391" width="18.33203125" style="665" bestFit="1" customWidth="1"/>
    <col min="5392" max="5620" width="11.44140625" style="665"/>
    <col min="5621" max="5621" width="5.44140625" style="665" customWidth="1"/>
    <col min="5622" max="5622" width="6.6640625" style="665" customWidth="1"/>
    <col min="5623" max="5623" width="11.44140625" style="665"/>
    <col min="5624" max="5624" width="18.6640625" style="665" customWidth="1"/>
    <col min="5625" max="5625" width="20.6640625" style="665" customWidth="1"/>
    <col min="5626" max="5626" width="18.5546875" style="665" customWidth="1"/>
    <col min="5627" max="5627" width="61.109375" style="665" customWidth="1"/>
    <col min="5628" max="5628" width="18.5546875" style="665" customWidth="1"/>
    <col min="5629" max="5639" width="0" style="665" hidden="1" customWidth="1"/>
    <col min="5640" max="5640" width="38.109375" style="665" customWidth="1"/>
    <col min="5641" max="5641" width="14.109375" style="665" customWidth="1"/>
    <col min="5642" max="5642" width="24.88671875" style="665" customWidth="1"/>
    <col min="5643" max="5643" width="7.109375" style="665" customWidth="1"/>
    <col min="5644" max="5644" width="7.6640625" style="665" customWidth="1"/>
    <col min="5645" max="5646" width="23.33203125" style="665" customWidth="1"/>
    <col min="5647" max="5647" width="18.33203125" style="665" bestFit="1" customWidth="1"/>
    <col min="5648" max="5876" width="11.44140625" style="665"/>
    <col min="5877" max="5877" width="5.44140625" style="665" customWidth="1"/>
    <col min="5878" max="5878" width="6.6640625" style="665" customWidth="1"/>
    <col min="5879" max="5879" width="11.44140625" style="665"/>
    <col min="5880" max="5880" width="18.6640625" style="665" customWidth="1"/>
    <col min="5881" max="5881" width="20.6640625" style="665" customWidth="1"/>
    <col min="5882" max="5882" width="18.5546875" style="665" customWidth="1"/>
    <col min="5883" max="5883" width="61.109375" style="665" customWidth="1"/>
    <col min="5884" max="5884" width="18.5546875" style="665" customWidth="1"/>
    <col min="5885" max="5895" width="0" style="665" hidden="1" customWidth="1"/>
    <col min="5896" max="5896" width="38.109375" style="665" customWidth="1"/>
    <col min="5897" max="5897" width="14.109375" style="665" customWidth="1"/>
    <col min="5898" max="5898" width="24.88671875" style="665" customWidth="1"/>
    <col min="5899" max="5899" width="7.109375" style="665" customWidth="1"/>
    <col min="5900" max="5900" width="7.6640625" style="665" customWidth="1"/>
    <col min="5901" max="5902" width="23.33203125" style="665" customWidth="1"/>
    <col min="5903" max="5903" width="18.33203125" style="665" bestFit="1" customWidth="1"/>
    <col min="5904" max="6132" width="11.44140625" style="665"/>
    <col min="6133" max="6133" width="5.44140625" style="665" customWidth="1"/>
    <col min="6134" max="6134" width="6.6640625" style="665" customWidth="1"/>
    <col min="6135" max="6135" width="11.44140625" style="665"/>
    <col min="6136" max="6136" width="18.6640625" style="665" customWidth="1"/>
    <col min="6137" max="6137" width="20.6640625" style="665" customWidth="1"/>
    <col min="6138" max="6138" width="18.5546875" style="665" customWidth="1"/>
    <col min="6139" max="6139" width="61.109375" style="665" customWidth="1"/>
    <col min="6140" max="6140" width="18.5546875" style="665" customWidth="1"/>
    <col min="6141" max="6151" width="0" style="665" hidden="1" customWidth="1"/>
    <col min="6152" max="6152" width="38.109375" style="665" customWidth="1"/>
    <col min="6153" max="6153" width="14.109375" style="665" customWidth="1"/>
    <col min="6154" max="6154" width="24.88671875" style="665" customWidth="1"/>
    <col min="6155" max="6155" width="7.109375" style="665" customWidth="1"/>
    <col min="6156" max="6156" width="7.6640625" style="665" customWidth="1"/>
    <col min="6157" max="6158" width="23.33203125" style="665" customWidth="1"/>
    <col min="6159" max="6159" width="18.33203125" style="665" bestFit="1" customWidth="1"/>
    <col min="6160" max="6388" width="11.44140625" style="665"/>
    <col min="6389" max="6389" width="5.44140625" style="665" customWidth="1"/>
    <col min="6390" max="6390" width="6.6640625" style="665" customWidth="1"/>
    <col min="6391" max="6391" width="11.44140625" style="665"/>
    <col min="6392" max="6392" width="18.6640625" style="665" customWidth="1"/>
    <col min="6393" max="6393" width="20.6640625" style="665" customWidth="1"/>
    <col min="6394" max="6394" width="18.5546875" style="665" customWidth="1"/>
    <col min="6395" max="6395" width="61.109375" style="665" customWidth="1"/>
    <col min="6396" max="6396" width="18.5546875" style="665" customWidth="1"/>
    <col min="6397" max="6407" width="0" style="665" hidden="1" customWidth="1"/>
    <col min="6408" max="6408" width="38.109375" style="665" customWidth="1"/>
    <col min="6409" max="6409" width="14.109375" style="665" customWidth="1"/>
    <col min="6410" max="6410" width="24.88671875" style="665" customWidth="1"/>
    <col min="6411" max="6411" width="7.109375" style="665" customWidth="1"/>
    <col min="6412" max="6412" width="7.6640625" style="665" customWidth="1"/>
    <col min="6413" max="6414" width="23.33203125" style="665" customWidth="1"/>
    <col min="6415" max="6415" width="18.33203125" style="665" bestFit="1" customWidth="1"/>
    <col min="6416" max="6644" width="11.44140625" style="665"/>
    <col min="6645" max="6645" width="5.44140625" style="665" customWidth="1"/>
    <col min="6646" max="6646" width="6.6640625" style="665" customWidth="1"/>
    <col min="6647" max="6647" width="11.44140625" style="665"/>
    <col min="6648" max="6648" width="18.6640625" style="665" customWidth="1"/>
    <col min="6649" max="6649" width="20.6640625" style="665" customWidth="1"/>
    <col min="6650" max="6650" width="18.5546875" style="665" customWidth="1"/>
    <col min="6651" max="6651" width="61.109375" style="665" customWidth="1"/>
    <col min="6652" max="6652" width="18.5546875" style="665" customWidth="1"/>
    <col min="6653" max="6663" width="0" style="665" hidden="1" customWidth="1"/>
    <col min="6664" max="6664" width="38.109375" style="665" customWidth="1"/>
    <col min="6665" max="6665" width="14.109375" style="665" customWidth="1"/>
    <col min="6666" max="6666" width="24.88671875" style="665" customWidth="1"/>
    <col min="6667" max="6667" width="7.109375" style="665" customWidth="1"/>
    <col min="6668" max="6668" width="7.6640625" style="665" customWidth="1"/>
    <col min="6669" max="6670" width="23.33203125" style="665" customWidth="1"/>
    <col min="6671" max="6671" width="18.33203125" style="665" bestFit="1" customWidth="1"/>
    <col min="6672" max="6900" width="11.44140625" style="665"/>
    <col min="6901" max="6901" width="5.44140625" style="665" customWidth="1"/>
    <col min="6902" max="6902" width="6.6640625" style="665" customWidth="1"/>
    <col min="6903" max="6903" width="11.44140625" style="665"/>
    <col min="6904" max="6904" width="18.6640625" style="665" customWidth="1"/>
    <col min="6905" max="6905" width="20.6640625" style="665" customWidth="1"/>
    <col min="6906" max="6906" width="18.5546875" style="665" customWidth="1"/>
    <col min="6907" max="6907" width="61.109375" style="665" customWidth="1"/>
    <col min="6908" max="6908" width="18.5546875" style="665" customWidth="1"/>
    <col min="6909" max="6919" width="0" style="665" hidden="1" customWidth="1"/>
    <col min="6920" max="6920" width="38.109375" style="665" customWidth="1"/>
    <col min="6921" max="6921" width="14.109375" style="665" customWidth="1"/>
    <col min="6922" max="6922" width="24.88671875" style="665" customWidth="1"/>
    <col min="6923" max="6923" width="7.109375" style="665" customWidth="1"/>
    <col min="6924" max="6924" width="7.6640625" style="665" customWidth="1"/>
    <col min="6925" max="6926" width="23.33203125" style="665" customWidth="1"/>
    <col min="6927" max="6927" width="18.33203125" style="665" bestFit="1" customWidth="1"/>
    <col min="6928" max="7156" width="11.44140625" style="665"/>
    <col min="7157" max="7157" width="5.44140625" style="665" customWidth="1"/>
    <col min="7158" max="7158" width="6.6640625" style="665" customWidth="1"/>
    <col min="7159" max="7159" width="11.44140625" style="665"/>
    <col min="7160" max="7160" width="18.6640625" style="665" customWidth="1"/>
    <col min="7161" max="7161" width="20.6640625" style="665" customWidth="1"/>
    <col min="7162" max="7162" width="18.5546875" style="665" customWidth="1"/>
    <col min="7163" max="7163" width="61.109375" style="665" customWidth="1"/>
    <col min="7164" max="7164" width="18.5546875" style="665" customWidth="1"/>
    <col min="7165" max="7175" width="0" style="665" hidden="1" customWidth="1"/>
    <col min="7176" max="7176" width="38.109375" style="665" customWidth="1"/>
    <col min="7177" max="7177" width="14.109375" style="665" customWidth="1"/>
    <col min="7178" max="7178" width="24.88671875" style="665" customWidth="1"/>
    <col min="7179" max="7179" width="7.109375" style="665" customWidth="1"/>
    <col min="7180" max="7180" width="7.6640625" style="665" customWidth="1"/>
    <col min="7181" max="7182" width="23.33203125" style="665" customWidth="1"/>
    <col min="7183" max="7183" width="18.33203125" style="665" bestFit="1" customWidth="1"/>
    <col min="7184" max="7412" width="11.44140625" style="665"/>
    <col min="7413" max="7413" width="5.44140625" style="665" customWidth="1"/>
    <col min="7414" max="7414" width="6.6640625" style="665" customWidth="1"/>
    <col min="7415" max="7415" width="11.44140625" style="665"/>
    <col min="7416" max="7416" width="18.6640625" style="665" customWidth="1"/>
    <col min="7417" max="7417" width="20.6640625" style="665" customWidth="1"/>
    <col min="7418" max="7418" width="18.5546875" style="665" customWidth="1"/>
    <col min="7419" max="7419" width="61.109375" style="665" customWidth="1"/>
    <col min="7420" max="7420" width="18.5546875" style="665" customWidth="1"/>
    <col min="7421" max="7431" width="0" style="665" hidden="1" customWidth="1"/>
    <col min="7432" max="7432" width="38.109375" style="665" customWidth="1"/>
    <col min="7433" max="7433" width="14.109375" style="665" customWidth="1"/>
    <col min="7434" max="7434" width="24.88671875" style="665" customWidth="1"/>
    <col min="7435" max="7435" width="7.109375" style="665" customWidth="1"/>
    <col min="7436" max="7436" width="7.6640625" style="665" customWidth="1"/>
    <col min="7437" max="7438" width="23.33203125" style="665" customWidth="1"/>
    <col min="7439" max="7439" width="18.33203125" style="665" bestFit="1" customWidth="1"/>
    <col min="7440" max="7668" width="11.44140625" style="665"/>
    <col min="7669" max="7669" width="5.44140625" style="665" customWidth="1"/>
    <col min="7670" max="7670" width="6.6640625" style="665" customWidth="1"/>
    <col min="7671" max="7671" width="11.44140625" style="665"/>
    <col min="7672" max="7672" width="18.6640625" style="665" customWidth="1"/>
    <col min="7673" max="7673" width="20.6640625" style="665" customWidth="1"/>
    <col min="7674" max="7674" width="18.5546875" style="665" customWidth="1"/>
    <col min="7675" max="7675" width="61.109375" style="665" customWidth="1"/>
    <col min="7676" max="7676" width="18.5546875" style="665" customWidth="1"/>
    <col min="7677" max="7687" width="0" style="665" hidden="1" customWidth="1"/>
    <col min="7688" max="7688" width="38.109375" style="665" customWidth="1"/>
    <col min="7689" max="7689" width="14.109375" style="665" customWidth="1"/>
    <col min="7690" max="7690" width="24.88671875" style="665" customWidth="1"/>
    <col min="7691" max="7691" width="7.109375" style="665" customWidth="1"/>
    <col min="7692" max="7692" width="7.6640625" style="665" customWidth="1"/>
    <col min="7693" max="7694" width="23.33203125" style="665" customWidth="1"/>
    <col min="7695" max="7695" width="18.33203125" style="665" bestFit="1" customWidth="1"/>
    <col min="7696" max="7924" width="11.44140625" style="665"/>
    <col min="7925" max="7925" width="5.44140625" style="665" customWidth="1"/>
    <col min="7926" max="7926" width="6.6640625" style="665" customWidth="1"/>
    <col min="7927" max="7927" width="11.44140625" style="665"/>
    <col min="7928" max="7928" width="18.6640625" style="665" customWidth="1"/>
    <col min="7929" max="7929" width="20.6640625" style="665" customWidth="1"/>
    <col min="7930" max="7930" width="18.5546875" style="665" customWidth="1"/>
    <col min="7931" max="7931" width="61.109375" style="665" customWidth="1"/>
    <col min="7932" max="7932" width="18.5546875" style="665" customWidth="1"/>
    <col min="7933" max="7943" width="0" style="665" hidden="1" customWidth="1"/>
    <col min="7944" max="7944" width="38.109375" style="665" customWidth="1"/>
    <col min="7945" max="7945" width="14.109375" style="665" customWidth="1"/>
    <col min="7946" max="7946" width="24.88671875" style="665" customWidth="1"/>
    <col min="7947" max="7947" width="7.109375" style="665" customWidth="1"/>
    <col min="7948" max="7948" width="7.6640625" style="665" customWidth="1"/>
    <col min="7949" max="7950" width="23.33203125" style="665" customWidth="1"/>
    <col min="7951" max="7951" width="18.33203125" style="665" bestFit="1" customWidth="1"/>
    <col min="7952" max="8180" width="11.44140625" style="665"/>
    <col min="8181" max="8181" width="5.44140625" style="665" customWidth="1"/>
    <col min="8182" max="8182" width="6.6640625" style="665" customWidth="1"/>
    <col min="8183" max="8183" width="11.44140625" style="665"/>
    <col min="8184" max="8184" width="18.6640625" style="665" customWidth="1"/>
    <col min="8185" max="8185" width="20.6640625" style="665" customWidth="1"/>
    <col min="8186" max="8186" width="18.5546875" style="665" customWidth="1"/>
    <col min="8187" max="8187" width="61.109375" style="665" customWidth="1"/>
    <col min="8188" max="8188" width="18.5546875" style="665" customWidth="1"/>
    <col min="8189" max="8199" width="0" style="665" hidden="1" customWidth="1"/>
    <col min="8200" max="8200" width="38.109375" style="665" customWidth="1"/>
    <col min="8201" max="8201" width="14.109375" style="665" customWidth="1"/>
    <col min="8202" max="8202" width="24.88671875" style="665" customWidth="1"/>
    <col min="8203" max="8203" width="7.109375" style="665" customWidth="1"/>
    <col min="8204" max="8204" width="7.6640625" style="665" customWidth="1"/>
    <col min="8205" max="8206" width="23.33203125" style="665" customWidth="1"/>
    <col min="8207" max="8207" width="18.33203125" style="665" bestFit="1" customWidth="1"/>
    <col min="8208" max="8436" width="11.44140625" style="665"/>
    <col min="8437" max="8437" width="5.44140625" style="665" customWidth="1"/>
    <col min="8438" max="8438" width="6.6640625" style="665" customWidth="1"/>
    <col min="8439" max="8439" width="11.44140625" style="665"/>
    <col min="8440" max="8440" width="18.6640625" style="665" customWidth="1"/>
    <col min="8441" max="8441" width="20.6640625" style="665" customWidth="1"/>
    <col min="8442" max="8442" width="18.5546875" style="665" customWidth="1"/>
    <col min="8443" max="8443" width="61.109375" style="665" customWidth="1"/>
    <col min="8444" max="8444" width="18.5546875" style="665" customWidth="1"/>
    <col min="8445" max="8455" width="0" style="665" hidden="1" customWidth="1"/>
    <col min="8456" max="8456" width="38.109375" style="665" customWidth="1"/>
    <col min="8457" max="8457" width="14.109375" style="665" customWidth="1"/>
    <col min="8458" max="8458" width="24.88671875" style="665" customWidth="1"/>
    <col min="8459" max="8459" width="7.109375" style="665" customWidth="1"/>
    <col min="8460" max="8460" width="7.6640625" style="665" customWidth="1"/>
    <col min="8461" max="8462" width="23.33203125" style="665" customWidth="1"/>
    <col min="8463" max="8463" width="18.33203125" style="665" bestFit="1" customWidth="1"/>
    <col min="8464" max="8692" width="11.44140625" style="665"/>
    <col min="8693" max="8693" width="5.44140625" style="665" customWidth="1"/>
    <col min="8694" max="8694" width="6.6640625" style="665" customWidth="1"/>
    <col min="8695" max="8695" width="11.44140625" style="665"/>
    <col min="8696" max="8696" width="18.6640625" style="665" customWidth="1"/>
    <col min="8697" max="8697" width="20.6640625" style="665" customWidth="1"/>
    <col min="8698" max="8698" width="18.5546875" style="665" customWidth="1"/>
    <col min="8699" max="8699" width="61.109375" style="665" customWidth="1"/>
    <col min="8700" max="8700" width="18.5546875" style="665" customWidth="1"/>
    <col min="8701" max="8711" width="0" style="665" hidden="1" customWidth="1"/>
    <col min="8712" max="8712" width="38.109375" style="665" customWidth="1"/>
    <col min="8713" max="8713" width="14.109375" style="665" customWidth="1"/>
    <col min="8714" max="8714" width="24.88671875" style="665" customWidth="1"/>
    <col min="8715" max="8715" width="7.109375" style="665" customWidth="1"/>
    <col min="8716" max="8716" width="7.6640625" style="665" customWidth="1"/>
    <col min="8717" max="8718" width="23.33203125" style="665" customWidth="1"/>
    <col min="8719" max="8719" width="18.33203125" style="665" bestFit="1" customWidth="1"/>
    <col min="8720" max="8948" width="11.44140625" style="665"/>
    <col min="8949" max="8949" width="5.44140625" style="665" customWidth="1"/>
    <col min="8950" max="8950" width="6.6640625" style="665" customWidth="1"/>
    <col min="8951" max="8951" width="11.44140625" style="665"/>
    <col min="8952" max="8952" width="18.6640625" style="665" customWidth="1"/>
    <col min="8953" max="8953" width="20.6640625" style="665" customWidth="1"/>
    <col min="8954" max="8954" width="18.5546875" style="665" customWidth="1"/>
    <col min="8955" max="8955" width="61.109375" style="665" customWidth="1"/>
    <col min="8956" max="8956" width="18.5546875" style="665" customWidth="1"/>
    <col min="8957" max="8967" width="0" style="665" hidden="1" customWidth="1"/>
    <col min="8968" max="8968" width="38.109375" style="665" customWidth="1"/>
    <col min="8969" max="8969" width="14.109375" style="665" customWidth="1"/>
    <col min="8970" max="8970" width="24.88671875" style="665" customWidth="1"/>
    <col min="8971" max="8971" width="7.109375" style="665" customWidth="1"/>
    <col min="8972" max="8972" width="7.6640625" style="665" customWidth="1"/>
    <col min="8973" max="8974" width="23.33203125" style="665" customWidth="1"/>
    <col min="8975" max="8975" width="18.33203125" style="665" bestFit="1" customWidth="1"/>
    <col min="8976" max="9204" width="11.44140625" style="665"/>
    <col min="9205" max="9205" width="5.44140625" style="665" customWidth="1"/>
    <col min="9206" max="9206" width="6.6640625" style="665" customWidth="1"/>
    <col min="9207" max="9207" width="11.44140625" style="665"/>
    <col min="9208" max="9208" width="18.6640625" style="665" customWidth="1"/>
    <col min="9209" max="9209" width="20.6640625" style="665" customWidth="1"/>
    <col min="9210" max="9210" width="18.5546875" style="665" customWidth="1"/>
    <col min="9211" max="9211" width="61.109375" style="665" customWidth="1"/>
    <col min="9212" max="9212" width="18.5546875" style="665" customWidth="1"/>
    <col min="9213" max="9223" width="0" style="665" hidden="1" customWidth="1"/>
    <col min="9224" max="9224" width="38.109375" style="665" customWidth="1"/>
    <col min="9225" max="9225" width="14.109375" style="665" customWidth="1"/>
    <col min="9226" max="9226" width="24.88671875" style="665" customWidth="1"/>
    <col min="9227" max="9227" width="7.109375" style="665" customWidth="1"/>
    <col min="9228" max="9228" width="7.6640625" style="665" customWidth="1"/>
    <col min="9229" max="9230" width="23.33203125" style="665" customWidth="1"/>
    <col min="9231" max="9231" width="18.33203125" style="665" bestFit="1" customWidth="1"/>
    <col min="9232" max="9460" width="11.44140625" style="665"/>
    <col min="9461" max="9461" width="5.44140625" style="665" customWidth="1"/>
    <col min="9462" max="9462" width="6.6640625" style="665" customWidth="1"/>
    <col min="9463" max="9463" width="11.44140625" style="665"/>
    <col min="9464" max="9464" width="18.6640625" style="665" customWidth="1"/>
    <col min="9465" max="9465" width="20.6640625" style="665" customWidth="1"/>
    <col min="9466" max="9466" width="18.5546875" style="665" customWidth="1"/>
    <col min="9467" max="9467" width="61.109375" style="665" customWidth="1"/>
    <col min="9468" max="9468" width="18.5546875" style="665" customWidth="1"/>
    <col min="9469" max="9479" width="0" style="665" hidden="1" customWidth="1"/>
    <col min="9480" max="9480" width="38.109375" style="665" customWidth="1"/>
    <col min="9481" max="9481" width="14.109375" style="665" customWidth="1"/>
    <col min="9482" max="9482" width="24.88671875" style="665" customWidth="1"/>
    <col min="9483" max="9483" width="7.109375" style="665" customWidth="1"/>
    <col min="9484" max="9484" width="7.6640625" style="665" customWidth="1"/>
    <col min="9485" max="9486" width="23.33203125" style="665" customWidth="1"/>
    <col min="9487" max="9487" width="18.33203125" style="665" bestFit="1" customWidth="1"/>
    <col min="9488" max="9716" width="11.44140625" style="665"/>
    <col min="9717" max="9717" width="5.44140625" style="665" customWidth="1"/>
    <col min="9718" max="9718" width="6.6640625" style="665" customWidth="1"/>
    <col min="9719" max="9719" width="11.44140625" style="665"/>
    <col min="9720" max="9720" width="18.6640625" style="665" customWidth="1"/>
    <col min="9721" max="9721" width="20.6640625" style="665" customWidth="1"/>
    <col min="9722" max="9722" width="18.5546875" style="665" customWidth="1"/>
    <col min="9723" max="9723" width="61.109375" style="665" customWidth="1"/>
    <col min="9724" max="9724" width="18.5546875" style="665" customWidth="1"/>
    <col min="9725" max="9735" width="0" style="665" hidden="1" customWidth="1"/>
    <col min="9736" max="9736" width="38.109375" style="665" customWidth="1"/>
    <col min="9737" max="9737" width="14.109375" style="665" customWidth="1"/>
    <col min="9738" max="9738" width="24.88671875" style="665" customWidth="1"/>
    <col min="9739" max="9739" width="7.109375" style="665" customWidth="1"/>
    <col min="9740" max="9740" width="7.6640625" style="665" customWidth="1"/>
    <col min="9741" max="9742" width="23.33203125" style="665" customWidth="1"/>
    <col min="9743" max="9743" width="18.33203125" style="665" bestFit="1" customWidth="1"/>
    <col min="9744" max="9972" width="11.44140625" style="665"/>
    <col min="9973" max="9973" width="5.44140625" style="665" customWidth="1"/>
    <col min="9974" max="9974" width="6.6640625" style="665" customWidth="1"/>
    <col min="9975" max="9975" width="11.44140625" style="665"/>
    <col min="9976" max="9976" width="18.6640625" style="665" customWidth="1"/>
    <col min="9977" max="9977" width="20.6640625" style="665" customWidth="1"/>
    <col min="9978" max="9978" width="18.5546875" style="665" customWidth="1"/>
    <col min="9979" max="9979" width="61.109375" style="665" customWidth="1"/>
    <col min="9980" max="9980" width="18.5546875" style="665" customWidth="1"/>
    <col min="9981" max="9991" width="0" style="665" hidden="1" customWidth="1"/>
    <col min="9992" max="9992" width="38.109375" style="665" customWidth="1"/>
    <col min="9993" max="9993" width="14.109375" style="665" customWidth="1"/>
    <col min="9994" max="9994" width="24.88671875" style="665" customWidth="1"/>
    <col min="9995" max="9995" width="7.109375" style="665" customWidth="1"/>
    <col min="9996" max="9996" width="7.6640625" style="665" customWidth="1"/>
    <col min="9997" max="9998" width="23.33203125" style="665" customWidth="1"/>
    <col min="9999" max="9999" width="18.33203125" style="665" bestFit="1" customWidth="1"/>
    <col min="10000" max="10228" width="11.44140625" style="665"/>
    <col min="10229" max="10229" width="5.44140625" style="665" customWidth="1"/>
    <col min="10230" max="10230" width="6.6640625" style="665" customWidth="1"/>
    <col min="10231" max="10231" width="11.44140625" style="665"/>
    <col min="10232" max="10232" width="18.6640625" style="665" customWidth="1"/>
    <col min="10233" max="10233" width="20.6640625" style="665" customWidth="1"/>
    <col min="10234" max="10234" width="18.5546875" style="665" customWidth="1"/>
    <col min="10235" max="10235" width="61.109375" style="665" customWidth="1"/>
    <col min="10236" max="10236" width="18.5546875" style="665" customWidth="1"/>
    <col min="10237" max="10247" width="0" style="665" hidden="1" customWidth="1"/>
    <col min="10248" max="10248" width="38.109375" style="665" customWidth="1"/>
    <col min="10249" max="10249" width="14.109375" style="665" customWidth="1"/>
    <col min="10250" max="10250" width="24.88671875" style="665" customWidth="1"/>
    <col min="10251" max="10251" width="7.109375" style="665" customWidth="1"/>
    <col min="10252" max="10252" width="7.6640625" style="665" customWidth="1"/>
    <col min="10253" max="10254" width="23.33203125" style="665" customWidth="1"/>
    <col min="10255" max="10255" width="18.33203125" style="665" bestFit="1" customWidth="1"/>
    <col min="10256" max="10484" width="11.44140625" style="665"/>
    <col min="10485" max="10485" width="5.44140625" style="665" customWidth="1"/>
    <col min="10486" max="10486" width="6.6640625" style="665" customWidth="1"/>
    <col min="10487" max="10487" width="11.44140625" style="665"/>
    <col min="10488" max="10488" width="18.6640625" style="665" customWidth="1"/>
    <col min="10489" max="10489" width="20.6640625" style="665" customWidth="1"/>
    <col min="10490" max="10490" width="18.5546875" style="665" customWidth="1"/>
    <col min="10491" max="10491" width="61.109375" style="665" customWidth="1"/>
    <col min="10492" max="10492" width="18.5546875" style="665" customWidth="1"/>
    <col min="10493" max="10503" width="0" style="665" hidden="1" customWidth="1"/>
    <col min="10504" max="10504" width="38.109375" style="665" customWidth="1"/>
    <col min="10505" max="10505" width="14.109375" style="665" customWidth="1"/>
    <col min="10506" max="10506" width="24.88671875" style="665" customWidth="1"/>
    <col min="10507" max="10507" width="7.109375" style="665" customWidth="1"/>
    <col min="10508" max="10508" width="7.6640625" style="665" customWidth="1"/>
    <col min="10509" max="10510" width="23.33203125" style="665" customWidth="1"/>
    <col min="10511" max="10511" width="18.33203125" style="665" bestFit="1" customWidth="1"/>
    <col min="10512" max="10740" width="11.44140625" style="665"/>
    <col min="10741" max="10741" width="5.44140625" style="665" customWidth="1"/>
    <col min="10742" max="10742" width="6.6640625" style="665" customWidth="1"/>
    <col min="10743" max="10743" width="11.44140625" style="665"/>
    <col min="10744" max="10744" width="18.6640625" style="665" customWidth="1"/>
    <col min="10745" max="10745" width="20.6640625" style="665" customWidth="1"/>
    <col min="10746" max="10746" width="18.5546875" style="665" customWidth="1"/>
    <col min="10747" max="10747" width="61.109375" style="665" customWidth="1"/>
    <col min="10748" max="10748" width="18.5546875" style="665" customWidth="1"/>
    <col min="10749" max="10759" width="0" style="665" hidden="1" customWidth="1"/>
    <col min="10760" max="10760" width="38.109375" style="665" customWidth="1"/>
    <col min="10761" max="10761" width="14.109375" style="665" customWidth="1"/>
    <col min="10762" max="10762" width="24.88671875" style="665" customWidth="1"/>
    <col min="10763" max="10763" width="7.109375" style="665" customWidth="1"/>
    <col min="10764" max="10764" width="7.6640625" style="665" customWidth="1"/>
    <col min="10765" max="10766" width="23.33203125" style="665" customWidth="1"/>
    <col min="10767" max="10767" width="18.33203125" style="665" bestFit="1" customWidth="1"/>
    <col min="10768" max="10996" width="11.44140625" style="665"/>
    <col min="10997" max="10997" width="5.44140625" style="665" customWidth="1"/>
    <col min="10998" max="10998" width="6.6640625" style="665" customWidth="1"/>
    <col min="10999" max="10999" width="11.44140625" style="665"/>
    <col min="11000" max="11000" width="18.6640625" style="665" customWidth="1"/>
    <col min="11001" max="11001" width="20.6640625" style="665" customWidth="1"/>
    <col min="11002" max="11002" width="18.5546875" style="665" customWidth="1"/>
    <col min="11003" max="11003" width="61.109375" style="665" customWidth="1"/>
    <col min="11004" max="11004" width="18.5546875" style="665" customWidth="1"/>
    <col min="11005" max="11015" width="0" style="665" hidden="1" customWidth="1"/>
    <col min="11016" max="11016" width="38.109375" style="665" customWidth="1"/>
    <col min="11017" max="11017" width="14.109375" style="665" customWidth="1"/>
    <col min="11018" max="11018" width="24.88671875" style="665" customWidth="1"/>
    <col min="11019" max="11019" width="7.109375" style="665" customWidth="1"/>
    <col min="11020" max="11020" width="7.6640625" style="665" customWidth="1"/>
    <col min="11021" max="11022" width="23.33203125" style="665" customWidth="1"/>
    <col min="11023" max="11023" width="18.33203125" style="665" bestFit="1" customWidth="1"/>
    <col min="11024" max="11252" width="11.44140625" style="665"/>
    <col min="11253" max="11253" width="5.44140625" style="665" customWidth="1"/>
    <col min="11254" max="11254" width="6.6640625" style="665" customWidth="1"/>
    <col min="11255" max="11255" width="11.44140625" style="665"/>
    <col min="11256" max="11256" width="18.6640625" style="665" customWidth="1"/>
    <col min="11257" max="11257" width="20.6640625" style="665" customWidth="1"/>
    <col min="11258" max="11258" width="18.5546875" style="665" customWidth="1"/>
    <col min="11259" max="11259" width="61.109375" style="665" customWidth="1"/>
    <col min="11260" max="11260" width="18.5546875" style="665" customWidth="1"/>
    <col min="11261" max="11271" width="0" style="665" hidden="1" customWidth="1"/>
    <col min="11272" max="11272" width="38.109375" style="665" customWidth="1"/>
    <col min="11273" max="11273" width="14.109375" style="665" customWidth="1"/>
    <col min="11274" max="11274" width="24.88671875" style="665" customWidth="1"/>
    <col min="11275" max="11275" width="7.109375" style="665" customWidth="1"/>
    <col min="11276" max="11276" width="7.6640625" style="665" customWidth="1"/>
    <col min="11277" max="11278" width="23.33203125" style="665" customWidth="1"/>
    <col min="11279" max="11279" width="18.33203125" style="665" bestFit="1" customWidth="1"/>
    <col min="11280" max="11508" width="11.44140625" style="665"/>
    <col min="11509" max="11509" width="5.44140625" style="665" customWidth="1"/>
    <col min="11510" max="11510" width="6.6640625" style="665" customWidth="1"/>
    <col min="11511" max="11511" width="11.44140625" style="665"/>
    <col min="11512" max="11512" width="18.6640625" style="665" customWidth="1"/>
    <col min="11513" max="11513" width="20.6640625" style="665" customWidth="1"/>
    <col min="11514" max="11514" width="18.5546875" style="665" customWidth="1"/>
    <col min="11515" max="11515" width="61.109375" style="665" customWidth="1"/>
    <col min="11516" max="11516" width="18.5546875" style="665" customWidth="1"/>
    <col min="11517" max="11527" width="0" style="665" hidden="1" customWidth="1"/>
    <col min="11528" max="11528" width="38.109375" style="665" customWidth="1"/>
    <col min="11529" max="11529" width="14.109375" style="665" customWidth="1"/>
    <col min="11530" max="11530" width="24.88671875" style="665" customWidth="1"/>
    <col min="11531" max="11531" width="7.109375" style="665" customWidth="1"/>
    <col min="11532" max="11532" width="7.6640625" style="665" customWidth="1"/>
    <col min="11533" max="11534" width="23.33203125" style="665" customWidth="1"/>
    <col min="11535" max="11535" width="18.33203125" style="665" bestFit="1" customWidth="1"/>
    <col min="11536" max="11764" width="11.44140625" style="665"/>
    <col min="11765" max="11765" width="5.44140625" style="665" customWidth="1"/>
    <col min="11766" max="11766" width="6.6640625" style="665" customWidth="1"/>
    <col min="11767" max="11767" width="11.44140625" style="665"/>
    <col min="11768" max="11768" width="18.6640625" style="665" customWidth="1"/>
    <col min="11769" max="11769" width="20.6640625" style="665" customWidth="1"/>
    <col min="11770" max="11770" width="18.5546875" style="665" customWidth="1"/>
    <col min="11771" max="11771" width="61.109375" style="665" customWidth="1"/>
    <col min="11772" max="11772" width="18.5546875" style="665" customWidth="1"/>
    <col min="11773" max="11783" width="0" style="665" hidden="1" customWidth="1"/>
    <col min="11784" max="11784" width="38.109375" style="665" customWidth="1"/>
    <col min="11785" max="11785" width="14.109375" style="665" customWidth="1"/>
    <col min="11786" max="11786" width="24.88671875" style="665" customWidth="1"/>
    <col min="11787" max="11787" width="7.109375" style="665" customWidth="1"/>
    <col min="11788" max="11788" width="7.6640625" style="665" customWidth="1"/>
    <col min="11789" max="11790" width="23.33203125" style="665" customWidth="1"/>
    <col min="11791" max="11791" width="18.33203125" style="665" bestFit="1" customWidth="1"/>
    <col min="11792" max="12020" width="11.44140625" style="665"/>
    <col min="12021" max="12021" width="5.44140625" style="665" customWidth="1"/>
    <col min="12022" max="12022" width="6.6640625" style="665" customWidth="1"/>
    <col min="12023" max="12023" width="11.44140625" style="665"/>
    <col min="12024" max="12024" width="18.6640625" style="665" customWidth="1"/>
    <col min="12025" max="12025" width="20.6640625" style="665" customWidth="1"/>
    <col min="12026" max="12026" width="18.5546875" style="665" customWidth="1"/>
    <col min="12027" max="12027" width="61.109375" style="665" customWidth="1"/>
    <col min="12028" max="12028" width="18.5546875" style="665" customWidth="1"/>
    <col min="12029" max="12039" width="0" style="665" hidden="1" customWidth="1"/>
    <col min="12040" max="12040" width="38.109375" style="665" customWidth="1"/>
    <col min="12041" max="12041" width="14.109375" style="665" customWidth="1"/>
    <col min="12042" max="12042" width="24.88671875" style="665" customWidth="1"/>
    <col min="12043" max="12043" width="7.109375" style="665" customWidth="1"/>
    <col min="12044" max="12044" width="7.6640625" style="665" customWidth="1"/>
    <col min="12045" max="12046" width="23.33203125" style="665" customWidth="1"/>
    <col min="12047" max="12047" width="18.33203125" style="665" bestFit="1" customWidth="1"/>
    <col min="12048" max="12276" width="11.44140625" style="665"/>
    <col min="12277" max="12277" width="5.44140625" style="665" customWidth="1"/>
    <col min="12278" max="12278" width="6.6640625" style="665" customWidth="1"/>
    <col min="12279" max="12279" width="11.44140625" style="665"/>
    <col min="12280" max="12280" width="18.6640625" style="665" customWidth="1"/>
    <col min="12281" max="12281" width="20.6640625" style="665" customWidth="1"/>
    <col min="12282" max="12282" width="18.5546875" style="665" customWidth="1"/>
    <col min="12283" max="12283" width="61.109375" style="665" customWidth="1"/>
    <col min="12284" max="12284" width="18.5546875" style="665" customWidth="1"/>
    <col min="12285" max="12295" width="0" style="665" hidden="1" customWidth="1"/>
    <col min="12296" max="12296" width="38.109375" style="665" customWidth="1"/>
    <col min="12297" max="12297" width="14.109375" style="665" customWidth="1"/>
    <col min="12298" max="12298" width="24.88671875" style="665" customWidth="1"/>
    <col min="12299" max="12299" width="7.109375" style="665" customWidth="1"/>
    <col min="12300" max="12300" width="7.6640625" style="665" customWidth="1"/>
    <col min="12301" max="12302" width="23.33203125" style="665" customWidth="1"/>
    <col min="12303" max="12303" width="18.33203125" style="665" bestFit="1" customWidth="1"/>
    <col min="12304" max="12532" width="11.44140625" style="665"/>
    <col min="12533" max="12533" width="5.44140625" style="665" customWidth="1"/>
    <col min="12534" max="12534" width="6.6640625" style="665" customWidth="1"/>
    <col min="12535" max="12535" width="11.44140625" style="665"/>
    <col min="12536" max="12536" width="18.6640625" style="665" customWidth="1"/>
    <col min="12537" max="12537" width="20.6640625" style="665" customWidth="1"/>
    <col min="12538" max="12538" width="18.5546875" style="665" customWidth="1"/>
    <col min="12539" max="12539" width="61.109375" style="665" customWidth="1"/>
    <col min="12540" max="12540" width="18.5546875" style="665" customWidth="1"/>
    <col min="12541" max="12551" width="0" style="665" hidden="1" customWidth="1"/>
    <col min="12552" max="12552" width="38.109375" style="665" customWidth="1"/>
    <col min="12553" max="12553" width="14.109375" style="665" customWidth="1"/>
    <col min="12554" max="12554" width="24.88671875" style="665" customWidth="1"/>
    <col min="12555" max="12555" width="7.109375" style="665" customWidth="1"/>
    <col min="12556" max="12556" width="7.6640625" style="665" customWidth="1"/>
    <col min="12557" max="12558" width="23.33203125" style="665" customWidth="1"/>
    <col min="12559" max="12559" width="18.33203125" style="665" bestFit="1" customWidth="1"/>
    <col min="12560" max="12788" width="11.44140625" style="665"/>
    <col min="12789" max="12789" width="5.44140625" style="665" customWidth="1"/>
    <col min="12790" max="12790" width="6.6640625" style="665" customWidth="1"/>
    <col min="12791" max="12791" width="11.44140625" style="665"/>
    <col min="12792" max="12792" width="18.6640625" style="665" customWidth="1"/>
    <col min="12793" max="12793" width="20.6640625" style="665" customWidth="1"/>
    <col min="12794" max="12794" width="18.5546875" style="665" customWidth="1"/>
    <col min="12795" max="12795" width="61.109375" style="665" customWidth="1"/>
    <col min="12796" max="12796" width="18.5546875" style="665" customWidth="1"/>
    <col min="12797" max="12807" width="0" style="665" hidden="1" customWidth="1"/>
    <col min="12808" max="12808" width="38.109375" style="665" customWidth="1"/>
    <col min="12809" max="12809" width="14.109375" style="665" customWidth="1"/>
    <col min="12810" max="12810" width="24.88671875" style="665" customWidth="1"/>
    <col min="12811" max="12811" width="7.109375" style="665" customWidth="1"/>
    <col min="12812" max="12812" width="7.6640625" style="665" customWidth="1"/>
    <col min="12813" max="12814" width="23.33203125" style="665" customWidth="1"/>
    <col min="12815" max="12815" width="18.33203125" style="665" bestFit="1" customWidth="1"/>
    <col min="12816" max="13044" width="11.44140625" style="665"/>
    <col min="13045" max="13045" width="5.44140625" style="665" customWidth="1"/>
    <col min="13046" max="13046" width="6.6640625" style="665" customWidth="1"/>
    <col min="13047" max="13047" width="11.44140625" style="665"/>
    <col min="13048" max="13048" width="18.6640625" style="665" customWidth="1"/>
    <col min="13049" max="13049" width="20.6640625" style="665" customWidth="1"/>
    <col min="13050" max="13050" width="18.5546875" style="665" customWidth="1"/>
    <col min="13051" max="13051" width="61.109375" style="665" customWidth="1"/>
    <col min="13052" max="13052" width="18.5546875" style="665" customWidth="1"/>
    <col min="13053" max="13063" width="0" style="665" hidden="1" customWidth="1"/>
    <col min="13064" max="13064" width="38.109375" style="665" customWidth="1"/>
    <col min="13065" max="13065" width="14.109375" style="665" customWidth="1"/>
    <col min="13066" max="13066" width="24.88671875" style="665" customWidth="1"/>
    <col min="13067" max="13067" width="7.109375" style="665" customWidth="1"/>
    <col min="13068" max="13068" width="7.6640625" style="665" customWidth="1"/>
    <col min="13069" max="13070" width="23.33203125" style="665" customWidth="1"/>
    <col min="13071" max="13071" width="18.33203125" style="665" bestFit="1" customWidth="1"/>
    <col min="13072" max="13300" width="11.44140625" style="665"/>
    <col min="13301" max="13301" width="5.44140625" style="665" customWidth="1"/>
    <col min="13302" max="13302" width="6.6640625" style="665" customWidth="1"/>
    <col min="13303" max="13303" width="11.44140625" style="665"/>
    <col min="13304" max="13304" width="18.6640625" style="665" customWidth="1"/>
    <col min="13305" max="13305" width="20.6640625" style="665" customWidth="1"/>
    <col min="13306" max="13306" width="18.5546875" style="665" customWidth="1"/>
    <col min="13307" max="13307" width="61.109375" style="665" customWidth="1"/>
    <col min="13308" max="13308" width="18.5546875" style="665" customWidth="1"/>
    <col min="13309" max="13319" width="0" style="665" hidden="1" customWidth="1"/>
    <col min="13320" max="13320" width="38.109375" style="665" customWidth="1"/>
    <col min="13321" max="13321" width="14.109375" style="665" customWidth="1"/>
    <col min="13322" max="13322" width="24.88671875" style="665" customWidth="1"/>
    <col min="13323" max="13323" width="7.109375" style="665" customWidth="1"/>
    <col min="13324" max="13324" width="7.6640625" style="665" customWidth="1"/>
    <col min="13325" max="13326" width="23.33203125" style="665" customWidth="1"/>
    <col min="13327" max="13327" width="18.33203125" style="665" bestFit="1" customWidth="1"/>
    <col min="13328" max="13556" width="11.44140625" style="665"/>
    <col min="13557" max="13557" width="5.44140625" style="665" customWidth="1"/>
    <col min="13558" max="13558" width="6.6640625" style="665" customWidth="1"/>
    <col min="13559" max="13559" width="11.44140625" style="665"/>
    <col min="13560" max="13560" width="18.6640625" style="665" customWidth="1"/>
    <col min="13561" max="13561" width="20.6640625" style="665" customWidth="1"/>
    <col min="13562" max="13562" width="18.5546875" style="665" customWidth="1"/>
    <col min="13563" max="13563" width="61.109375" style="665" customWidth="1"/>
    <col min="13564" max="13564" width="18.5546875" style="665" customWidth="1"/>
    <col min="13565" max="13575" width="0" style="665" hidden="1" customWidth="1"/>
    <col min="13576" max="13576" width="38.109375" style="665" customWidth="1"/>
    <col min="13577" max="13577" width="14.109375" style="665" customWidth="1"/>
    <col min="13578" max="13578" width="24.88671875" style="665" customWidth="1"/>
    <col min="13579" max="13579" width="7.109375" style="665" customWidth="1"/>
    <col min="13580" max="13580" width="7.6640625" style="665" customWidth="1"/>
    <col min="13581" max="13582" width="23.33203125" style="665" customWidth="1"/>
    <col min="13583" max="13583" width="18.33203125" style="665" bestFit="1" customWidth="1"/>
    <col min="13584" max="13812" width="11.44140625" style="665"/>
    <col min="13813" max="13813" width="5.44140625" style="665" customWidth="1"/>
    <col min="13814" max="13814" width="6.6640625" style="665" customWidth="1"/>
    <col min="13815" max="13815" width="11.44140625" style="665"/>
    <col min="13816" max="13816" width="18.6640625" style="665" customWidth="1"/>
    <col min="13817" max="13817" width="20.6640625" style="665" customWidth="1"/>
    <col min="13818" max="13818" width="18.5546875" style="665" customWidth="1"/>
    <col min="13819" max="13819" width="61.109375" style="665" customWidth="1"/>
    <col min="13820" max="13820" width="18.5546875" style="665" customWidth="1"/>
    <col min="13821" max="13831" width="0" style="665" hidden="1" customWidth="1"/>
    <col min="13832" max="13832" width="38.109375" style="665" customWidth="1"/>
    <col min="13833" max="13833" width="14.109375" style="665" customWidth="1"/>
    <col min="13834" max="13834" width="24.88671875" style="665" customWidth="1"/>
    <col min="13835" max="13835" width="7.109375" style="665" customWidth="1"/>
    <col min="13836" max="13836" width="7.6640625" style="665" customWidth="1"/>
    <col min="13837" max="13838" width="23.33203125" style="665" customWidth="1"/>
    <col min="13839" max="13839" width="18.33203125" style="665" bestFit="1" customWidth="1"/>
    <col min="13840" max="14068" width="11.44140625" style="665"/>
    <col min="14069" max="14069" width="5.44140625" style="665" customWidth="1"/>
    <col min="14070" max="14070" width="6.6640625" style="665" customWidth="1"/>
    <col min="14071" max="14071" width="11.44140625" style="665"/>
    <col min="14072" max="14072" width="18.6640625" style="665" customWidth="1"/>
    <col min="14073" max="14073" width="20.6640625" style="665" customWidth="1"/>
    <col min="14074" max="14074" width="18.5546875" style="665" customWidth="1"/>
    <col min="14075" max="14075" width="61.109375" style="665" customWidth="1"/>
    <col min="14076" max="14076" width="18.5546875" style="665" customWidth="1"/>
    <col min="14077" max="14087" width="0" style="665" hidden="1" customWidth="1"/>
    <col min="14088" max="14088" width="38.109375" style="665" customWidth="1"/>
    <col min="14089" max="14089" width="14.109375" style="665" customWidth="1"/>
    <col min="14090" max="14090" width="24.88671875" style="665" customWidth="1"/>
    <col min="14091" max="14091" width="7.109375" style="665" customWidth="1"/>
    <col min="14092" max="14092" width="7.6640625" style="665" customWidth="1"/>
    <col min="14093" max="14094" width="23.33203125" style="665" customWidth="1"/>
    <col min="14095" max="14095" width="18.33203125" style="665" bestFit="1" customWidth="1"/>
    <col min="14096" max="14324" width="11.44140625" style="665"/>
    <col min="14325" max="14325" width="5.44140625" style="665" customWidth="1"/>
    <col min="14326" max="14326" width="6.6640625" style="665" customWidth="1"/>
    <col min="14327" max="14327" width="11.44140625" style="665"/>
    <col min="14328" max="14328" width="18.6640625" style="665" customWidth="1"/>
    <col min="14329" max="14329" width="20.6640625" style="665" customWidth="1"/>
    <col min="14330" max="14330" width="18.5546875" style="665" customWidth="1"/>
    <col min="14331" max="14331" width="61.109375" style="665" customWidth="1"/>
    <col min="14332" max="14332" width="18.5546875" style="665" customWidth="1"/>
    <col min="14333" max="14343" width="0" style="665" hidden="1" customWidth="1"/>
    <col min="14344" max="14344" width="38.109375" style="665" customWidth="1"/>
    <col min="14345" max="14345" width="14.109375" style="665" customWidth="1"/>
    <col min="14346" max="14346" width="24.88671875" style="665" customWidth="1"/>
    <col min="14347" max="14347" width="7.109375" style="665" customWidth="1"/>
    <col min="14348" max="14348" width="7.6640625" style="665" customWidth="1"/>
    <col min="14349" max="14350" width="23.33203125" style="665" customWidth="1"/>
    <col min="14351" max="14351" width="18.33203125" style="665" bestFit="1" customWidth="1"/>
    <col min="14352" max="14580" width="11.44140625" style="665"/>
    <col min="14581" max="14581" width="5.44140625" style="665" customWidth="1"/>
    <col min="14582" max="14582" width="6.6640625" style="665" customWidth="1"/>
    <col min="14583" max="14583" width="11.44140625" style="665"/>
    <col min="14584" max="14584" width="18.6640625" style="665" customWidth="1"/>
    <col min="14585" max="14585" width="20.6640625" style="665" customWidth="1"/>
    <col min="14586" max="14586" width="18.5546875" style="665" customWidth="1"/>
    <col min="14587" max="14587" width="61.109375" style="665" customWidth="1"/>
    <col min="14588" max="14588" width="18.5546875" style="665" customWidth="1"/>
    <col min="14589" max="14599" width="0" style="665" hidden="1" customWidth="1"/>
    <col min="14600" max="14600" width="38.109375" style="665" customWidth="1"/>
    <col min="14601" max="14601" width="14.109375" style="665" customWidth="1"/>
    <col min="14602" max="14602" width="24.88671875" style="665" customWidth="1"/>
    <col min="14603" max="14603" width="7.109375" style="665" customWidth="1"/>
    <col min="14604" max="14604" width="7.6640625" style="665" customWidth="1"/>
    <col min="14605" max="14606" width="23.33203125" style="665" customWidth="1"/>
    <col min="14607" max="14607" width="18.33203125" style="665" bestFit="1" customWidth="1"/>
    <col min="14608" max="14836" width="11.44140625" style="665"/>
    <col min="14837" max="14837" width="5.44140625" style="665" customWidth="1"/>
    <col min="14838" max="14838" width="6.6640625" style="665" customWidth="1"/>
    <col min="14839" max="14839" width="11.44140625" style="665"/>
    <col min="14840" max="14840" width="18.6640625" style="665" customWidth="1"/>
    <col min="14841" max="14841" width="20.6640625" style="665" customWidth="1"/>
    <col min="14842" max="14842" width="18.5546875" style="665" customWidth="1"/>
    <col min="14843" max="14843" width="61.109375" style="665" customWidth="1"/>
    <col min="14844" max="14844" width="18.5546875" style="665" customWidth="1"/>
    <col min="14845" max="14855" width="0" style="665" hidden="1" customWidth="1"/>
    <col min="14856" max="14856" width="38.109375" style="665" customWidth="1"/>
    <col min="14857" max="14857" width="14.109375" style="665" customWidth="1"/>
    <col min="14858" max="14858" width="24.88671875" style="665" customWidth="1"/>
    <col min="14859" max="14859" width="7.109375" style="665" customWidth="1"/>
    <col min="14860" max="14860" width="7.6640625" style="665" customWidth="1"/>
    <col min="14861" max="14862" width="23.33203125" style="665" customWidth="1"/>
    <col min="14863" max="14863" width="18.33203125" style="665" bestFit="1" customWidth="1"/>
    <col min="14864" max="15092" width="11.44140625" style="665"/>
    <col min="15093" max="15093" width="5.44140625" style="665" customWidth="1"/>
    <col min="15094" max="15094" width="6.6640625" style="665" customWidth="1"/>
    <col min="15095" max="15095" width="11.44140625" style="665"/>
    <col min="15096" max="15096" width="18.6640625" style="665" customWidth="1"/>
    <col min="15097" max="15097" width="20.6640625" style="665" customWidth="1"/>
    <col min="15098" max="15098" width="18.5546875" style="665" customWidth="1"/>
    <col min="15099" max="15099" width="61.109375" style="665" customWidth="1"/>
    <col min="15100" max="15100" width="18.5546875" style="665" customWidth="1"/>
    <col min="15101" max="15111" width="0" style="665" hidden="1" customWidth="1"/>
    <col min="15112" max="15112" width="38.109375" style="665" customWidth="1"/>
    <col min="15113" max="15113" width="14.109375" style="665" customWidth="1"/>
    <col min="15114" max="15114" width="24.88671875" style="665" customWidth="1"/>
    <col min="15115" max="15115" width="7.109375" style="665" customWidth="1"/>
    <col min="15116" max="15116" width="7.6640625" style="665" customWidth="1"/>
    <col min="15117" max="15118" width="23.33203125" style="665" customWidth="1"/>
    <col min="15119" max="15119" width="18.33203125" style="665" bestFit="1" customWidth="1"/>
    <col min="15120" max="15348" width="11.44140625" style="665"/>
    <col min="15349" max="15349" width="5.44140625" style="665" customWidth="1"/>
    <col min="15350" max="15350" width="6.6640625" style="665" customWidth="1"/>
    <col min="15351" max="15351" width="11.44140625" style="665"/>
    <col min="15352" max="15352" width="18.6640625" style="665" customWidth="1"/>
    <col min="15353" max="15353" width="20.6640625" style="665" customWidth="1"/>
    <col min="15354" max="15354" width="18.5546875" style="665" customWidth="1"/>
    <col min="15355" max="15355" width="61.109375" style="665" customWidth="1"/>
    <col min="15356" max="15356" width="18.5546875" style="665" customWidth="1"/>
    <col min="15357" max="15367" width="0" style="665" hidden="1" customWidth="1"/>
    <col min="15368" max="15368" width="38.109375" style="665" customWidth="1"/>
    <col min="15369" max="15369" width="14.109375" style="665" customWidth="1"/>
    <col min="15370" max="15370" width="24.88671875" style="665" customWidth="1"/>
    <col min="15371" max="15371" width="7.109375" style="665" customWidth="1"/>
    <col min="15372" max="15372" width="7.6640625" style="665" customWidth="1"/>
    <col min="15373" max="15374" width="23.33203125" style="665" customWidth="1"/>
    <col min="15375" max="15375" width="18.33203125" style="665" bestFit="1" customWidth="1"/>
    <col min="15376" max="15604" width="11.44140625" style="665"/>
    <col min="15605" max="15605" width="5.44140625" style="665" customWidth="1"/>
    <col min="15606" max="15606" width="6.6640625" style="665" customWidth="1"/>
    <col min="15607" max="15607" width="11.44140625" style="665"/>
    <col min="15608" max="15608" width="18.6640625" style="665" customWidth="1"/>
    <col min="15609" max="15609" width="20.6640625" style="665" customWidth="1"/>
    <col min="15610" max="15610" width="18.5546875" style="665" customWidth="1"/>
    <col min="15611" max="15611" width="61.109375" style="665" customWidth="1"/>
    <col min="15612" max="15612" width="18.5546875" style="665" customWidth="1"/>
    <col min="15613" max="15623" width="0" style="665" hidden="1" customWidth="1"/>
    <col min="15624" max="15624" width="38.109375" style="665" customWidth="1"/>
    <col min="15625" max="15625" width="14.109375" style="665" customWidth="1"/>
    <col min="15626" max="15626" width="24.88671875" style="665" customWidth="1"/>
    <col min="15627" max="15627" width="7.109375" style="665" customWidth="1"/>
    <col min="15628" max="15628" width="7.6640625" style="665" customWidth="1"/>
    <col min="15629" max="15630" width="23.33203125" style="665" customWidth="1"/>
    <col min="15631" max="15631" width="18.33203125" style="665" bestFit="1" customWidth="1"/>
    <col min="15632" max="15860" width="11.44140625" style="665"/>
    <col min="15861" max="15861" width="5.44140625" style="665" customWidth="1"/>
    <col min="15862" max="15862" width="6.6640625" style="665" customWidth="1"/>
    <col min="15863" max="15863" width="11.44140625" style="665"/>
    <col min="15864" max="15864" width="18.6640625" style="665" customWidth="1"/>
    <col min="15865" max="15865" width="20.6640625" style="665" customWidth="1"/>
    <col min="15866" max="15866" width="18.5546875" style="665" customWidth="1"/>
    <col min="15867" max="15867" width="61.109375" style="665" customWidth="1"/>
    <col min="15868" max="15868" width="18.5546875" style="665" customWidth="1"/>
    <col min="15869" max="15879" width="0" style="665" hidden="1" customWidth="1"/>
    <col min="15880" max="15880" width="38.109375" style="665" customWidth="1"/>
    <col min="15881" max="15881" width="14.109375" style="665" customWidth="1"/>
    <col min="15882" max="15882" width="24.88671875" style="665" customWidth="1"/>
    <col min="15883" max="15883" width="7.109375" style="665" customWidth="1"/>
    <col min="15884" max="15884" width="7.6640625" style="665" customWidth="1"/>
    <col min="15885" max="15886" width="23.33203125" style="665" customWidth="1"/>
    <col min="15887" max="15887" width="18.33203125" style="665" bestFit="1" customWidth="1"/>
    <col min="15888" max="16116" width="11.44140625" style="665"/>
    <col min="16117" max="16117" width="5.44140625" style="665" customWidth="1"/>
    <col min="16118" max="16118" width="6.6640625" style="665" customWidth="1"/>
    <col min="16119" max="16119" width="11.44140625" style="665"/>
    <col min="16120" max="16120" width="18.6640625" style="665" customWidth="1"/>
    <col min="16121" max="16121" width="20.6640625" style="665" customWidth="1"/>
    <col min="16122" max="16122" width="18.5546875" style="665" customWidth="1"/>
    <col min="16123" max="16123" width="61.109375" style="665" customWidth="1"/>
    <col min="16124" max="16124" width="18.5546875" style="665" customWidth="1"/>
    <col min="16125" max="16135" width="0" style="665" hidden="1" customWidth="1"/>
    <col min="16136" max="16136" width="38.109375" style="665" customWidth="1"/>
    <col min="16137" max="16137" width="14.109375" style="665" customWidth="1"/>
    <col min="16138" max="16138" width="24.88671875" style="665" customWidth="1"/>
    <col min="16139" max="16139" width="7.109375" style="665" customWidth="1"/>
    <col min="16140" max="16140" width="7.6640625" style="665" customWidth="1"/>
    <col min="16141" max="16142" width="23.33203125" style="665" customWidth="1"/>
    <col min="16143" max="16143" width="18.33203125" style="665" bestFit="1" customWidth="1"/>
    <col min="16144" max="16384" width="11.44140625" style="665"/>
  </cols>
  <sheetData>
    <row r="1" spans="2:15" ht="30.6" thickBot="1" x14ac:dyDescent="0.55000000000000004"/>
    <row r="2" spans="2:15" x14ac:dyDescent="0.5">
      <c r="B2" s="666"/>
      <c r="C2" s="667"/>
      <c r="D2" s="667"/>
      <c r="E2" s="667"/>
      <c r="F2" s="667"/>
      <c r="G2" s="667"/>
      <c r="H2" s="668"/>
      <c r="I2" s="667"/>
      <c r="J2" s="667"/>
      <c r="K2" s="669"/>
      <c r="L2" s="670"/>
      <c r="M2" s="671"/>
      <c r="N2" s="671"/>
    </row>
    <row r="3" spans="2:15" ht="26.4" customHeight="1" x14ac:dyDescent="0.5">
      <c r="B3" s="672"/>
      <c r="C3" s="760" t="s">
        <v>950</v>
      </c>
      <c r="D3" s="760"/>
      <c r="E3" s="760"/>
      <c r="F3" s="760"/>
      <c r="L3" s="673"/>
      <c r="M3" s="671"/>
      <c r="N3" s="671"/>
    </row>
    <row r="4" spans="2:15" x14ac:dyDescent="0.5">
      <c r="B4" s="672"/>
      <c r="C4" s="674" t="s">
        <v>951</v>
      </c>
      <c r="D4" s="675" t="s">
        <v>952</v>
      </c>
      <c r="E4" s="674" t="s">
        <v>953</v>
      </c>
      <c r="F4" s="675">
        <v>1</v>
      </c>
      <c r="L4" s="673"/>
      <c r="M4" s="671"/>
      <c r="N4" s="671"/>
    </row>
    <row r="5" spans="2:15" x14ac:dyDescent="0.5">
      <c r="B5" s="672"/>
      <c r="C5" s="676"/>
      <c r="D5" s="676"/>
      <c r="E5" s="676"/>
      <c r="F5" s="676"/>
      <c r="G5" s="761"/>
      <c r="H5" s="761"/>
      <c r="L5" s="673"/>
      <c r="M5" s="671"/>
      <c r="N5" s="671"/>
    </row>
    <row r="6" spans="2:15" x14ac:dyDescent="0.5">
      <c r="B6" s="672"/>
      <c r="C6" s="676"/>
      <c r="D6" s="676"/>
      <c r="E6" s="676"/>
      <c r="F6" s="676"/>
      <c r="G6" s="761"/>
      <c r="H6" s="761"/>
      <c r="I6" s="761"/>
      <c r="J6" s="761"/>
      <c r="K6" s="761"/>
      <c r="L6" s="673"/>
      <c r="M6" s="671"/>
      <c r="N6" s="671"/>
    </row>
    <row r="7" spans="2:15" x14ac:dyDescent="0.5">
      <c r="B7" s="672"/>
      <c r="C7" s="762" t="s">
        <v>954</v>
      </c>
      <c r="D7" s="762"/>
      <c r="E7" s="762"/>
      <c r="F7" s="762"/>
      <c r="G7" s="762"/>
      <c r="H7" s="762"/>
      <c r="I7" s="762"/>
      <c r="J7" s="762"/>
      <c r="K7" s="762"/>
      <c r="L7" s="673"/>
    </row>
    <row r="8" spans="2:15" ht="89.1" customHeight="1" x14ac:dyDescent="0.5">
      <c r="B8" s="672"/>
      <c r="C8" s="762"/>
      <c r="D8" s="762"/>
      <c r="E8" s="762"/>
      <c r="F8" s="762"/>
      <c r="G8" s="762"/>
      <c r="H8" s="762"/>
      <c r="I8" s="762"/>
      <c r="J8" s="762"/>
      <c r="K8" s="762"/>
      <c r="L8" s="673"/>
    </row>
    <row r="9" spans="2:15" ht="75" customHeight="1" x14ac:dyDescent="0.5">
      <c r="B9" s="672"/>
      <c r="C9" s="763" t="s">
        <v>1002</v>
      </c>
      <c r="D9" s="763"/>
      <c r="E9" s="763"/>
      <c r="F9" s="763"/>
      <c r="G9" s="763"/>
      <c r="H9" s="763"/>
      <c r="I9" s="763"/>
      <c r="J9" s="763"/>
      <c r="K9" s="763"/>
      <c r="L9" s="673"/>
    </row>
    <row r="10" spans="2:15" x14ac:dyDescent="0.5">
      <c r="B10" s="672"/>
      <c r="C10" s="677"/>
      <c r="D10" s="677"/>
      <c r="E10" s="677"/>
      <c r="F10" s="677"/>
      <c r="G10" s="677"/>
      <c r="H10" s="677"/>
      <c r="I10" s="677"/>
      <c r="J10" s="677"/>
      <c r="K10" s="678"/>
      <c r="L10" s="673"/>
    </row>
    <row r="11" spans="2:15" x14ac:dyDescent="0.5">
      <c r="B11" s="672"/>
      <c r="C11" s="765" t="s">
        <v>955</v>
      </c>
      <c r="D11" s="765" t="s">
        <v>956</v>
      </c>
      <c r="E11" s="766" t="s">
        <v>957</v>
      </c>
      <c r="F11" s="766"/>
      <c r="G11" s="767" t="s">
        <v>36</v>
      </c>
      <c r="H11" s="767" t="s">
        <v>290</v>
      </c>
      <c r="I11" s="768" t="s">
        <v>19</v>
      </c>
      <c r="J11" s="766" t="s">
        <v>20</v>
      </c>
      <c r="K11" s="770" t="s">
        <v>21</v>
      </c>
      <c r="L11" s="673"/>
    </row>
    <row r="12" spans="2:15" x14ac:dyDescent="0.5">
      <c r="B12" s="672"/>
      <c r="C12" s="765"/>
      <c r="D12" s="765"/>
      <c r="E12" s="679" t="s">
        <v>958</v>
      </c>
      <c r="F12" s="679" t="s">
        <v>959</v>
      </c>
      <c r="G12" s="767"/>
      <c r="H12" s="767"/>
      <c r="I12" s="769"/>
      <c r="J12" s="766"/>
      <c r="K12" s="770"/>
      <c r="L12" s="673"/>
    </row>
    <row r="13" spans="2:15" x14ac:dyDescent="0.5">
      <c r="B13" s="672"/>
      <c r="C13" s="764" t="s">
        <v>960</v>
      </c>
      <c r="D13" s="764"/>
      <c r="E13" s="764"/>
      <c r="F13" s="764"/>
      <c r="G13" s="764"/>
      <c r="H13" s="764"/>
      <c r="I13" s="764"/>
      <c r="J13" s="764"/>
      <c r="K13" s="764"/>
      <c r="L13" s="673"/>
    </row>
    <row r="14" spans="2:15" x14ac:dyDescent="0.5">
      <c r="B14" s="672"/>
      <c r="C14" s="680" t="s">
        <v>961</v>
      </c>
      <c r="D14" s="681" t="s">
        <v>961</v>
      </c>
      <c r="E14" s="681" t="s">
        <v>962</v>
      </c>
      <c r="F14" s="681" t="s">
        <v>962</v>
      </c>
      <c r="G14" s="682" t="s">
        <v>320</v>
      </c>
      <c r="H14" s="683" t="s">
        <v>25</v>
      </c>
      <c r="I14" s="684">
        <v>15435.59</v>
      </c>
      <c r="J14" s="685">
        <f>APUS!$J$498</f>
        <v>1778.7647999999997</v>
      </c>
      <c r="K14" s="686">
        <f>+ROUND(I14*J14,2)</f>
        <v>27456284.16</v>
      </c>
      <c r="L14" s="673"/>
      <c r="N14" s="753"/>
      <c r="O14" s="755"/>
    </row>
    <row r="15" spans="2:15" ht="110.4" x14ac:dyDescent="0.5">
      <c r="B15" s="672"/>
      <c r="C15" s="680" t="s">
        <v>963</v>
      </c>
      <c r="D15" s="681" t="s">
        <v>963</v>
      </c>
      <c r="E15" s="681" t="s">
        <v>962</v>
      </c>
      <c r="F15" s="681" t="s">
        <v>962</v>
      </c>
      <c r="G15" s="682" t="s">
        <v>206</v>
      </c>
      <c r="H15" s="683" t="s">
        <v>849</v>
      </c>
      <c r="I15" s="684">
        <v>1</v>
      </c>
      <c r="J15" s="685">
        <f>APUS!$J$532</f>
        <v>8620280.9971428569</v>
      </c>
      <c r="K15" s="686">
        <f t="shared" ref="K15:K18" si="0">+ROUND(I15*J15,2)</f>
        <v>8620281</v>
      </c>
      <c r="L15" s="673"/>
      <c r="N15" s="753"/>
      <c r="O15" s="755"/>
    </row>
    <row r="16" spans="2:15" ht="70.05" customHeight="1" x14ac:dyDescent="0.5">
      <c r="B16" s="672"/>
      <c r="C16" s="680" t="s">
        <v>964</v>
      </c>
      <c r="D16" s="681" t="s">
        <v>964</v>
      </c>
      <c r="E16" s="681" t="s">
        <v>962</v>
      </c>
      <c r="F16" s="681" t="s">
        <v>962</v>
      </c>
      <c r="G16" s="682" t="s">
        <v>214</v>
      </c>
      <c r="H16" s="683" t="s">
        <v>849</v>
      </c>
      <c r="I16" s="684">
        <v>1</v>
      </c>
      <c r="J16" s="685">
        <f>APUS!$J$567</f>
        <v>6741000</v>
      </c>
      <c r="K16" s="686">
        <f t="shared" si="0"/>
        <v>6741000</v>
      </c>
      <c r="L16" s="673"/>
      <c r="N16" s="753"/>
      <c r="O16" s="755"/>
    </row>
    <row r="17" spans="2:15" ht="72.599999999999994" customHeight="1" x14ac:dyDescent="0.5">
      <c r="B17" s="672"/>
      <c r="C17" s="680" t="s">
        <v>965</v>
      </c>
      <c r="D17" s="681" t="s">
        <v>965</v>
      </c>
      <c r="E17" s="681" t="s">
        <v>962</v>
      </c>
      <c r="F17" s="681" t="s">
        <v>962</v>
      </c>
      <c r="G17" s="687" t="s">
        <v>126</v>
      </c>
      <c r="H17" s="681" t="s">
        <v>849</v>
      </c>
      <c r="I17" s="684">
        <v>90</v>
      </c>
      <c r="J17" s="688">
        <f>APUS!$J$601</f>
        <v>129998.64380952403</v>
      </c>
      <c r="K17" s="686">
        <f t="shared" si="0"/>
        <v>11699877.939999999</v>
      </c>
      <c r="L17" s="673"/>
      <c r="N17" s="753"/>
      <c r="O17" s="755"/>
    </row>
    <row r="18" spans="2:15" x14ac:dyDescent="0.5">
      <c r="B18" s="672"/>
      <c r="C18" s="680" t="s">
        <v>966</v>
      </c>
      <c r="D18" s="681" t="s">
        <v>966</v>
      </c>
      <c r="E18" s="681" t="s">
        <v>962</v>
      </c>
      <c r="F18" s="681" t="s">
        <v>962</v>
      </c>
      <c r="G18" s="689" t="s">
        <v>128</v>
      </c>
      <c r="H18" s="681" t="s">
        <v>849</v>
      </c>
      <c r="I18" s="684">
        <v>1</v>
      </c>
      <c r="J18" s="688">
        <f>APUS!$J$635</f>
        <v>12859835.997619048</v>
      </c>
      <c r="K18" s="686">
        <f t="shared" si="0"/>
        <v>12859836</v>
      </c>
      <c r="L18" s="673"/>
      <c r="N18" s="753"/>
      <c r="O18" s="755"/>
    </row>
    <row r="19" spans="2:15" x14ac:dyDescent="0.5">
      <c r="B19" s="672"/>
      <c r="C19" s="771" t="s">
        <v>153</v>
      </c>
      <c r="D19" s="772"/>
      <c r="E19" s="772"/>
      <c r="F19" s="772"/>
      <c r="G19" s="772"/>
      <c r="H19" s="772"/>
      <c r="I19" s="772"/>
      <c r="J19" s="773"/>
      <c r="K19" s="690">
        <f>SUM(K14:K18)</f>
        <v>67377279.099999994</v>
      </c>
      <c r="L19" s="673"/>
      <c r="N19" s="753"/>
      <c r="O19" s="755"/>
    </row>
    <row r="20" spans="2:15" x14ac:dyDescent="0.5">
      <c r="B20" s="672"/>
      <c r="C20" s="764" t="s">
        <v>967</v>
      </c>
      <c r="D20" s="764"/>
      <c r="E20" s="764"/>
      <c r="F20" s="764"/>
      <c r="G20" s="764"/>
      <c r="H20" s="764"/>
      <c r="I20" s="764"/>
      <c r="J20" s="764"/>
      <c r="K20" s="764"/>
      <c r="L20" s="673"/>
      <c r="N20" s="753"/>
      <c r="O20" s="755"/>
    </row>
    <row r="21" spans="2:15" ht="165.6" x14ac:dyDescent="0.5">
      <c r="B21" s="672"/>
      <c r="C21" s="680" t="s">
        <v>968</v>
      </c>
      <c r="D21" s="680" t="str">
        <f>+C21</f>
        <v>2,1</v>
      </c>
      <c r="E21" s="681" t="s">
        <v>962</v>
      </c>
      <c r="F21" s="681" t="s">
        <v>962</v>
      </c>
      <c r="G21" s="689" t="s">
        <v>945</v>
      </c>
      <c r="H21" s="681" t="s">
        <v>25</v>
      </c>
      <c r="I21" s="684">
        <v>15435.59</v>
      </c>
      <c r="J21" s="685">
        <f>APUS!$J$668</f>
        <v>34624.800000000003</v>
      </c>
      <c r="K21" s="686">
        <f t="shared" ref="K21:K28" si="1">+ROUND(I21*J21,2)</f>
        <v>534454216.63</v>
      </c>
      <c r="L21" s="673"/>
      <c r="N21" s="753"/>
      <c r="O21" s="755"/>
    </row>
    <row r="22" spans="2:15" ht="165.6" x14ac:dyDescent="0.5">
      <c r="B22" s="672"/>
      <c r="C22" s="680" t="s">
        <v>969</v>
      </c>
      <c r="D22" s="680" t="str">
        <f t="shared" ref="D22:D28" si="2">+C22</f>
        <v>2,2</v>
      </c>
      <c r="E22" s="681" t="s">
        <v>962</v>
      </c>
      <c r="F22" s="681" t="s">
        <v>962</v>
      </c>
      <c r="G22" s="689" t="s">
        <v>863</v>
      </c>
      <c r="H22" s="681" t="s">
        <v>25</v>
      </c>
      <c r="I22" s="684">
        <v>15435.59</v>
      </c>
      <c r="J22" s="685">
        <f>APUS!$J$707</f>
        <v>37572.551838678388</v>
      </c>
      <c r="K22" s="686">
        <f t="shared" si="1"/>
        <v>579954505.44000006</v>
      </c>
      <c r="L22" s="673"/>
      <c r="N22" s="753"/>
      <c r="O22" s="755"/>
    </row>
    <row r="23" spans="2:15" ht="138" x14ac:dyDescent="0.5">
      <c r="B23" s="672"/>
      <c r="C23" s="680" t="s">
        <v>970</v>
      </c>
      <c r="D23" s="680" t="str">
        <f t="shared" si="2"/>
        <v>2,3</v>
      </c>
      <c r="E23" s="681" t="s">
        <v>962</v>
      </c>
      <c r="F23" s="681" t="s">
        <v>962</v>
      </c>
      <c r="G23" s="689" t="s">
        <v>248</v>
      </c>
      <c r="H23" s="681" t="s">
        <v>25</v>
      </c>
      <c r="I23" s="684">
        <v>15435.59</v>
      </c>
      <c r="J23" s="685">
        <f>APUS!$J$743</f>
        <v>26413.105827151034</v>
      </c>
      <c r="K23" s="686">
        <f t="shared" si="1"/>
        <v>407701872.17000002</v>
      </c>
      <c r="L23" s="673"/>
      <c r="N23" s="753"/>
      <c r="O23" s="755"/>
    </row>
    <row r="24" spans="2:15" ht="110.4" x14ac:dyDescent="0.5">
      <c r="B24" s="672"/>
      <c r="C24" s="680" t="s">
        <v>971</v>
      </c>
      <c r="D24" s="680" t="str">
        <f t="shared" si="2"/>
        <v>2,4</v>
      </c>
      <c r="E24" s="681" t="s">
        <v>962</v>
      </c>
      <c r="F24" s="681" t="s">
        <v>962</v>
      </c>
      <c r="G24" s="689" t="s">
        <v>247</v>
      </c>
      <c r="H24" s="681" t="s">
        <v>849</v>
      </c>
      <c r="I24" s="684">
        <v>1</v>
      </c>
      <c r="J24" s="685">
        <f>APUS!$J$775</f>
        <v>42072660</v>
      </c>
      <c r="K24" s="686">
        <f t="shared" si="1"/>
        <v>42072660</v>
      </c>
      <c r="L24" s="673"/>
      <c r="N24" s="753"/>
      <c r="O24" s="755"/>
    </row>
    <row r="25" spans="2:15" ht="138" x14ac:dyDescent="0.5">
      <c r="B25" s="672"/>
      <c r="C25" s="680" t="s">
        <v>972</v>
      </c>
      <c r="D25" s="680" t="str">
        <f t="shared" si="2"/>
        <v>2,5</v>
      </c>
      <c r="E25" s="681" t="s">
        <v>962</v>
      </c>
      <c r="F25" s="681" t="s">
        <v>962</v>
      </c>
      <c r="G25" s="689" t="s">
        <v>135</v>
      </c>
      <c r="H25" s="681" t="s">
        <v>849</v>
      </c>
      <c r="I25" s="684">
        <v>1</v>
      </c>
      <c r="J25" s="685">
        <f>APUS!$J$808</f>
        <v>367435862.63999999</v>
      </c>
      <c r="K25" s="686">
        <f t="shared" si="1"/>
        <v>367435862.63999999</v>
      </c>
      <c r="L25" s="673"/>
      <c r="N25" s="753"/>
      <c r="O25" s="755"/>
    </row>
    <row r="26" spans="2:15" ht="165.6" x14ac:dyDescent="0.5">
      <c r="B26" s="672"/>
      <c r="C26" s="680" t="s">
        <v>973</v>
      </c>
      <c r="D26" s="680" t="str">
        <f t="shared" si="2"/>
        <v>2,6</v>
      </c>
      <c r="E26" s="681" t="s">
        <v>962</v>
      </c>
      <c r="F26" s="681" t="s">
        <v>962</v>
      </c>
      <c r="G26" s="689" t="s">
        <v>136</v>
      </c>
      <c r="H26" s="681" t="s">
        <v>849</v>
      </c>
      <c r="I26" s="684">
        <v>1</v>
      </c>
      <c r="J26" s="685">
        <f>APUS!$J$840</f>
        <v>30867491.34</v>
      </c>
      <c r="K26" s="686">
        <f t="shared" si="1"/>
        <v>30867491.34</v>
      </c>
      <c r="L26" s="673"/>
      <c r="N26" s="753"/>
      <c r="O26" s="755"/>
    </row>
    <row r="27" spans="2:15" ht="138" x14ac:dyDescent="0.5">
      <c r="B27" s="672"/>
      <c r="C27" s="680" t="s">
        <v>974</v>
      </c>
      <c r="D27" s="680" t="str">
        <f t="shared" si="2"/>
        <v>2,7</v>
      </c>
      <c r="E27" s="681" t="s">
        <v>962</v>
      </c>
      <c r="F27" s="681" t="s">
        <v>962</v>
      </c>
      <c r="G27" s="689" t="s">
        <v>127</v>
      </c>
      <c r="H27" s="681" t="s">
        <v>25</v>
      </c>
      <c r="I27" s="684">
        <v>15435.59</v>
      </c>
      <c r="J27" s="685">
        <f>APUS!$J$870</f>
        <v>4009.173213021329</v>
      </c>
      <c r="K27" s="686">
        <f t="shared" si="1"/>
        <v>61883953.960000001</v>
      </c>
      <c r="L27" s="673"/>
      <c r="N27" s="753"/>
      <c r="O27" s="755"/>
    </row>
    <row r="28" spans="2:15" ht="82.8" x14ac:dyDescent="0.5">
      <c r="B28" s="672"/>
      <c r="C28" s="680" t="s">
        <v>975</v>
      </c>
      <c r="D28" s="680" t="str">
        <f t="shared" si="2"/>
        <v>2,8</v>
      </c>
      <c r="E28" s="681" t="s">
        <v>962</v>
      </c>
      <c r="F28" s="681" t="s">
        <v>962</v>
      </c>
      <c r="G28" s="689" t="s">
        <v>137</v>
      </c>
      <c r="H28" s="681" t="s">
        <v>849</v>
      </c>
      <c r="I28" s="684">
        <v>1</v>
      </c>
      <c r="J28" s="685">
        <f>APUS!$J$900</f>
        <v>8511308.7861904763</v>
      </c>
      <c r="K28" s="686">
        <f t="shared" si="1"/>
        <v>8511308.7899999991</v>
      </c>
      <c r="L28" s="673"/>
      <c r="N28" s="753"/>
      <c r="O28" s="755"/>
    </row>
    <row r="29" spans="2:15" x14ac:dyDescent="0.5">
      <c r="B29" s="672"/>
      <c r="C29" s="771" t="s">
        <v>153</v>
      </c>
      <c r="D29" s="772"/>
      <c r="E29" s="772"/>
      <c r="F29" s="772"/>
      <c r="G29" s="772"/>
      <c r="H29" s="772"/>
      <c r="I29" s="772"/>
      <c r="J29" s="773"/>
      <c r="K29" s="690">
        <f>SUM(K21:K28)</f>
        <v>2032881870.97</v>
      </c>
      <c r="L29" s="673"/>
      <c r="N29" s="753"/>
      <c r="O29" s="755"/>
    </row>
    <row r="30" spans="2:15" x14ac:dyDescent="0.5">
      <c r="B30" s="672"/>
      <c r="C30" s="764" t="s">
        <v>976</v>
      </c>
      <c r="D30" s="764">
        <v>2</v>
      </c>
      <c r="E30" s="764" t="s">
        <v>962</v>
      </c>
      <c r="F30" s="764" t="s">
        <v>962</v>
      </c>
      <c r="G30" s="764" t="s">
        <v>977</v>
      </c>
      <c r="H30" s="764"/>
      <c r="I30" s="764"/>
      <c r="J30" s="764"/>
      <c r="K30" s="764"/>
      <c r="L30" s="673"/>
      <c r="N30" s="753"/>
      <c r="O30" s="755"/>
    </row>
    <row r="31" spans="2:15" ht="118.5" customHeight="1" x14ac:dyDescent="0.5">
      <c r="B31" s="672"/>
      <c r="C31" s="680" t="s">
        <v>978</v>
      </c>
      <c r="D31" s="680" t="str">
        <f>+C31</f>
        <v>3,1</v>
      </c>
      <c r="E31" s="681" t="s">
        <v>962</v>
      </c>
      <c r="F31" s="681" t="s">
        <v>962</v>
      </c>
      <c r="G31" s="689" t="s">
        <v>887</v>
      </c>
      <c r="H31" s="681" t="s">
        <v>25</v>
      </c>
      <c r="I31" s="684">
        <v>15435.59</v>
      </c>
      <c r="J31" s="727">
        <f>APUS!$J$940</f>
        <v>32842.433103267933</v>
      </c>
      <c r="K31" s="686">
        <f t="shared" ref="K31:K33" si="3">+ROUND(I31*J31,2)</f>
        <v>506942331.98000002</v>
      </c>
      <c r="L31" s="673"/>
      <c r="N31" s="753"/>
      <c r="O31" s="755"/>
    </row>
    <row r="32" spans="2:15" ht="138" x14ac:dyDescent="0.5">
      <c r="B32" s="672"/>
      <c r="C32" s="680" t="s">
        <v>979</v>
      </c>
      <c r="D32" s="680" t="str">
        <f t="shared" ref="D32:D33" si="4">+C32</f>
        <v>3,2</v>
      </c>
      <c r="E32" s="681" t="s">
        <v>962</v>
      </c>
      <c r="F32" s="681" t="s">
        <v>962</v>
      </c>
      <c r="G32" s="689" t="s">
        <v>138</v>
      </c>
      <c r="H32" s="681" t="s">
        <v>25</v>
      </c>
      <c r="I32" s="684">
        <v>15435.59</v>
      </c>
      <c r="J32" s="727">
        <f>APUS!$J$976</f>
        <v>5376.1254408693521</v>
      </c>
      <c r="K32" s="686">
        <f t="shared" si="3"/>
        <v>82983668.090000004</v>
      </c>
      <c r="L32" s="673"/>
      <c r="N32" s="753"/>
      <c r="O32" s="755"/>
    </row>
    <row r="33" spans="2:28" ht="131.55000000000001" customHeight="1" x14ac:dyDescent="0.5">
      <c r="B33" s="672"/>
      <c r="C33" s="680" t="s">
        <v>980</v>
      </c>
      <c r="D33" s="680" t="str">
        <f t="shared" si="4"/>
        <v>3,3</v>
      </c>
      <c r="E33" s="681" t="s">
        <v>962</v>
      </c>
      <c r="F33" s="681" t="s">
        <v>962</v>
      </c>
      <c r="G33" s="689" t="s">
        <v>139</v>
      </c>
      <c r="H33" s="681" t="s">
        <v>25</v>
      </c>
      <c r="I33" s="684">
        <v>15435.59</v>
      </c>
      <c r="J33" s="727">
        <f>APUS!$J$1009</f>
        <v>1377.118180147309</v>
      </c>
      <c r="K33" s="686">
        <f t="shared" si="3"/>
        <v>21256631.609999999</v>
      </c>
      <c r="L33" s="673"/>
      <c r="N33" s="753"/>
      <c r="O33" s="755"/>
    </row>
    <row r="34" spans="2:28" x14ac:dyDescent="0.5">
      <c r="B34" s="672"/>
      <c r="C34" s="771" t="s">
        <v>153</v>
      </c>
      <c r="D34" s="772"/>
      <c r="E34" s="772"/>
      <c r="F34" s="772"/>
      <c r="G34" s="772"/>
      <c r="H34" s="772"/>
      <c r="I34" s="772"/>
      <c r="J34" s="773"/>
      <c r="K34" s="690">
        <f>SUM(K31:K33)</f>
        <v>611182631.68000007</v>
      </c>
      <c r="L34" s="673"/>
      <c r="N34" s="753"/>
      <c r="O34" s="755"/>
    </row>
    <row r="35" spans="2:28" x14ac:dyDescent="0.5">
      <c r="B35" s="672"/>
      <c r="C35" s="776" t="s">
        <v>981</v>
      </c>
      <c r="D35" s="777"/>
      <c r="E35" s="777"/>
      <c r="F35" s="777"/>
      <c r="G35" s="777"/>
      <c r="H35" s="777"/>
      <c r="I35" s="777"/>
      <c r="J35" s="777"/>
      <c r="K35" s="778"/>
      <c r="L35" s="673"/>
      <c r="N35" s="753"/>
      <c r="O35" s="755"/>
    </row>
    <row r="36" spans="2:28" ht="262.5" customHeight="1" x14ac:dyDescent="0.5">
      <c r="B36" s="672"/>
      <c r="C36" s="680" t="s">
        <v>982</v>
      </c>
      <c r="D36" s="681" t="str">
        <f>C36</f>
        <v>4,1</v>
      </c>
      <c r="E36" s="681" t="s">
        <v>962</v>
      </c>
      <c r="F36" s="681" t="s">
        <v>962</v>
      </c>
      <c r="G36" s="682" t="str">
        <f>+APUS!C1017</f>
        <v>Demolición mecánica intensiva de elementos implosionados con excavadoras de 21 tonf con martillo hidráulico de 1,5 tonf o equivalente (incluye demolición total, oxicorte de aceros, excavadoras necesarias para la demolición).Incluye descuento por aprovechamiento en disposicion de Acero de refuerzo.</v>
      </c>
      <c r="H36" s="681" t="s">
        <v>24</v>
      </c>
      <c r="I36" s="684">
        <v>8566.2802667083997</v>
      </c>
      <c r="J36" s="685">
        <f>APUS!$J$1044</f>
        <v>245171.867652949</v>
      </c>
      <c r="K36" s="686">
        <f t="shared" ref="K36:K41" si="5">+ROUND(I36*J36,2)</f>
        <v>2100210931.8299999</v>
      </c>
      <c r="L36" s="673"/>
      <c r="N36" s="753"/>
      <c r="O36" s="755"/>
    </row>
    <row r="37" spans="2:28" ht="110.4" x14ac:dyDescent="0.5">
      <c r="B37" s="672"/>
      <c r="C37" s="680" t="s">
        <v>983</v>
      </c>
      <c r="D37" s="681" t="str">
        <f t="shared" ref="D37:D41" si="6">C37</f>
        <v>4,2</v>
      </c>
      <c r="E37" s="681" t="s">
        <v>962</v>
      </c>
      <c r="F37" s="681" t="s">
        <v>962</v>
      </c>
      <c r="G37" s="682" t="s">
        <v>938</v>
      </c>
      <c r="H37" s="681" t="s">
        <v>24</v>
      </c>
      <c r="I37" s="684">
        <v>8566.2802667083997</v>
      </c>
      <c r="J37" s="685">
        <f>APUS!$J$1075</f>
        <v>33542.326248151585</v>
      </c>
      <c r="K37" s="686">
        <f t="shared" si="5"/>
        <v>287332967.44</v>
      </c>
      <c r="L37" s="673"/>
      <c r="N37" s="753"/>
      <c r="O37" s="755"/>
    </row>
    <row r="38" spans="2:28" ht="138" x14ac:dyDescent="0.5">
      <c r="B38" s="672"/>
      <c r="C38" s="680" t="s">
        <v>984</v>
      </c>
      <c r="D38" s="681" t="str">
        <f t="shared" si="6"/>
        <v>4,3</v>
      </c>
      <c r="E38" s="681" t="s">
        <v>962</v>
      </c>
      <c r="F38" s="681" t="s">
        <v>962</v>
      </c>
      <c r="G38" s="692" t="s">
        <v>939</v>
      </c>
      <c r="H38" s="693" t="s">
        <v>24</v>
      </c>
      <c r="I38" s="684">
        <v>2692.4317505999998</v>
      </c>
      <c r="J38" s="726">
        <f>APUS!$J$1044</f>
        <v>245171.867652949</v>
      </c>
      <c r="K38" s="686">
        <f t="shared" si="5"/>
        <v>660108520.82000005</v>
      </c>
      <c r="L38" s="673"/>
      <c r="N38" s="753"/>
      <c r="O38" s="755"/>
    </row>
    <row r="39" spans="2:28" ht="156.9" customHeight="1" x14ac:dyDescent="0.5">
      <c r="B39" s="672"/>
      <c r="C39" s="680" t="s">
        <v>985</v>
      </c>
      <c r="D39" s="681" t="str">
        <f t="shared" si="6"/>
        <v>4,4</v>
      </c>
      <c r="E39" s="681" t="s">
        <v>962</v>
      </c>
      <c r="F39" s="681" t="s">
        <v>962</v>
      </c>
      <c r="G39" s="692" t="s">
        <v>940</v>
      </c>
      <c r="H39" s="693" t="s">
        <v>24</v>
      </c>
      <c r="I39" s="684">
        <v>2692.4317505999998</v>
      </c>
      <c r="J39" s="726">
        <f>APUS!$J$1075</f>
        <v>33542.326248151585</v>
      </c>
      <c r="K39" s="686">
        <f t="shared" si="5"/>
        <v>90310424.180000007</v>
      </c>
      <c r="L39" s="673"/>
      <c r="N39" s="753"/>
      <c r="O39" s="755"/>
      <c r="P39" s="752"/>
      <c r="Q39" s="752"/>
      <c r="R39" s="752"/>
      <c r="S39" s="752"/>
      <c r="T39" s="752"/>
      <c r="U39" s="752"/>
      <c r="V39" s="752"/>
      <c r="W39" s="752"/>
      <c r="X39" s="752"/>
      <c r="Y39" s="752"/>
      <c r="Z39" s="752"/>
      <c r="AA39" s="752"/>
      <c r="AB39" s="752"/>
    </row>
    <row r="40" spans="2:28" ht="82.8" x14ac:dyDescent="0.5">
      <c r="B40" s="672"/>
      <c r="C40" s="680" t="s">
        <v>986</v>
      </c>
      <c r="D40" s="681" t="str">
        <f t="shared" si="6"/>
        <v>4,5</v>
      </c>
      <c r="E40" s="681" t="s">
        <v>962</v>
      </c>
      <c r="F40" s="681" t="s">
        <v>962</v>
      </c>
      <c r="G40" s="692" t="s">
        <v>145</v>
      </c>
      <c r="H40" s="693" t="s">
        <v>24</v>
      </c>
      <c r="I40" s="684">
        <v>5200.125</v>
      </c>
      <c r="J40" s="726">
        <f>APUS!$J$1144</f>
        <v>9450</v>
      </c>
      <c r="K40" s="686">
        <f t="shared" si="5"/>
        <v>49141181.25</v>
      </c>
      <c r="L40" s="673"/>
      <c r="N40" s="753"/>
      <c r="O40" s="755"/>
    </row>
    <row r="41" spans="2:28" ht="106.65" customHeight="1" x14ac:dyDescent="0.5">
      <c r="B41" s="672"/>
      <c r="C41" s="680" t="s">
        <v>987</v>
      </c>
      <c r="D41" s="681" t="str">
        <f t="shared" si="6"/>
        <v>4,6</v>
      </c>
      <c r="E41" s="681" t="s">
        <v>962</v>
      </c>
      <c r="F41" s="681" t="s">
        <v>962</v>
      </c>
      <c r="G41" s="692" t="s">
        <v>941</v>
      </c>
      <c r="H41" s="693" t="s">
        <v>24</v>
      </c>
      <c r="I41" s="684">
        <v>11687.943025962606</v>
      </c>
      <c r="J41" s="726">
        <f>APUS!$J$1110</f>
        <v>50224.627469949512</v>
      </c>
      <c r="K41" s="686">
        <f t="shared" si="5"/>
        <v>587022584.37</v>
      </c>
      <c r="L41" s="673"/>
      <c r="N41" s="753"/>
      <c r="O41" s="755"/>
    </row>
    <row r="42" spans="2:28" x14ac:dyDescent="0.5">
      <c r="B42" s="672"/>
      <c r="C42" s="771" t="s">
        <v>153</v>
      </c>
      <c r="D42" s="772"/>
      <c r="E42" s="772"/>
      <c r="F42" s="772"/>
      <c r="G42" s="772"/>
      <c r="H42" s="772"/>
      <c r="I42" s="772"/>
      <c r="J42" s="773"/>
      <c r="K42" s="690">
        <f>SUM(K36:K41)</f>
        <v>3774126609.8899999</v>
      </c>
      <c r="L42" s="673"/>
      <c r="N42" s="753"/>
      <c r="O42" s="755"/>
    </row>
    <row r="43" spans="2:28" x14ac:dyDescent="0.5">
      <c r="B43" s="672"/>
      <c r="C43" s="776" t="s">
        <v>988</v>
      </c>
      <c r="D43" s="777"/>
      <c r="E43" s="777"/>
      <c r="F43" s="777"/>
      <c r="G43" s="777"/>
      <c r="H43" s="777"/>
      <c r="I43" s="777"/>
      <c r="J43" s="777"/>
      <c r="K43" s="778"/>
      <c r="L43" s="673"/>
      <c r="N43" s="753"/>
      <c r="O43" s="755"/>
    </row>
    <row r="44" spans="2:28" x14ac:dyDescent="0.5">
      <c r="B44" s="672"/>
      <c r="C44" s="680" t="s">
        <v>989</v>
      </c>
      <c r="D44" s="680" t="str">
        <f>+C44</f>
        <v>5,1</v>
      </c>
      <c r="E44" s="681" t="s">
        <v>962</v>
      </c>
      <c r="F44" s="681" t="s">
        <v>962</v>
      </c>
      <c r="G44" s="692" t="s">
        <v>310</v>
      </c>
      <c r="H44" s="681" t="s">
        <v>849</v>
      </c>
      <c r="I44" s="684">
        <v>1</v>
      </c>
      <c r="J44" s="691">
        <v>39665000</v>
      </c>
      <c r="K44" s="686">
        <f t="shared" ref="K44:K48" si="7">+ROUND(I44*J44,2)</f>
        <v>39665000</v>
      </c>
      <c r="L44" s="673"/>
      <c r="N44" s="753"/>
    </row>
    <row r="45" spans="2:28" x14ac:dyDescent="0.5">
      <c r="B45" s="672"/>
      <c r="C45" s="680" t="s">
        <v>990</v>
      </c>
      <c r="D45" s="680" t="str">
        <f t="shared" ref="D45:D48" si="8">+C45</f>
        <v>5,2</v>
      </c>
      <c r="E45" s="681" t="s">
        <v>962</v>
      </c>
      <c r="F45" s="681" t="s">
        <v>962</v>
      </c>
      <c r="G45" s="692" t="s">
        <v>311</v>
      </c>
      <c r="H45" s="681" t="s">
        <v>849</v>
      </c>
      <c r="I45" s="684">
        <v>1</v>
      </c>
      <c r="J45" s="691">
        <v>67530080</v>
      </c>
      <c r="K45" s="686">
        <f t="shared" si="7"/>
        <v>67530080</v>
      </c>
      <c r="L45" s="673"/>
      <c r="N45" s="753"/>
    </row>
    <row r="46" spans="2:28" x14ac:dyDescent="0.5">
      <c r="B46" s="672"/>
      <c r="C46" s="680" t="s">
        <v>991</v>
      </c>
      <c r="D46" s="680" t="str">
        <f t="shared" si="8"/>
        <v>5,3</v>
      </c>
      <c r="E46" s="681" t="s">
        <v>962</v>
      </c>
      <c r="F46" s="681" t="s">
        <v>962</v>
      </c>
      <c r="G46" s="692" t="s">
        <v>312</v>
      </c>
      <c r="H46" s="681" t="s">
        <v>849</v>
      </c>
      <c r="I46" s="684">
        <v>1</v>
      </c>
      <c r="J46" s="691">
        <v>34325000</v>
      </c>
      <c r="K46" s="686">
        <f t="shared" si="7"/>
        <v>34325000</v>
      </c>
      <c r="L46" s="673"/>
      <c r="N46" s="753"/>
    </row>
    <row r="47" spans="2:28" x14ac:dyDescent="0.5">
      <c r="B47" s="672"/>
      <c r="C47" s="680" t="s">
        <v>992</v>
      </c>
      <c r="D47" s="680" t="str">
        <f t="shared" si="8"/>
        <v>5,4</v>
      </c>
      <c r="E47" s="681" t="s">
        <v>962</v>
      </c>
      <c r="F47" s="681" t="s">
        <v>962</v>
      </c>
      <c r="G47" s="692" t="s">
        <v>315</v>
      </c>
      <c r="H47" s="681" t="s">
        <v>849</v>
      </c>
      <c r="I47" s="684">
        <v>1</v>
      </c>
      <c r="J47" s="691">
        <v>134660999.90000001</v>
      </c>
      <c r="K47" s="686">
        <f t="shared" si="7"/>
        <v>134660999.90000001</v>
      </c>
      <c r="L47" s="673"/>
      <c r="N47" s="753"/>
    </row>
    <row r="48" spans="2:28" x14ac:dyDescent="0.5">
      <c r="B48" s="672"/>
      <c r="C48" s="680" t="s">
        <v>993</v>
      </c>
      <c r="D48" s="680" t="str">
        <f t="shared" si="8"/>
        <v>5,5</v>
      </c>
      <c r="E48" s="681" t="s">
        <v>962</v>
      </c>
      <c r="F48" s="681" t="s">
        <v>962</v>
      </c>
      <c r="G48" s="692" t="s">
        <v>316</v>
      </c>
      <c r="H48" s="681" t="s">
        <v>849</v>
      </c>
      <c r="I48" s="684">
        <v>1</v>
      </c>
      <c r="J48" s="691">
        <v>41074600</v>
      </c>
      <c r="K48" s="686">
        <f t="shared" si="7"/>
        <v>41074600</v>
      </c>
      <c r="L48" s="673"/>
      <c r="N48" s="753"/>
    </row>
    <row r="49" spans="1:18" x14ac:dyDescent="0.5">
      <c r="B49" s="672"/>
      <c r="C49" s="779" t="s">
        <v>153</v>
      </c>
      <c r="D49" s="779"/>
      <c r="E49" s="779"/>
      <c r="F49" s="779"/>
      <c r="G49" s="779"/>
      <c r="H49" s="779"/>
      <c r="I49" s="779"/>
      <c r="J49" s="779"/>
      <c r="K49" s="690">
        <f>SUM(K44:K48)</f>
        <v>317255679.89999998</v>
      </c>
      <c r="L49" s="673"/>
      <c r="N49" s="753"/>
    </row>
    <row r="50" spans="1:18" ht="45" x14ac:dyDescent="0.75">
      <c r="B50" s="672"/>
      <c r="C50" s="780" t="s">
        <v>994</v>
      </c>
      <c r="D50" s="780"/>
      <c r="E50" s="780"/>
      <c r="F50" s="780"/>
      <c r="G50" s="780"/>
      <c r="H50" s="780"/>
      <c r="I50" s="780"/>
      <c r="J50" s="780"/>
      <c r="K50" s="694">
        <f>+ROUND(K19+K29+K34+K42+K49,2)</f>
        <v>6802824071.54</v>
      </c>
      <c r="L50" s="673"/>
      <c r="N50" s="695"/>
      <c r="R50" s="724"/>
    </row>
    <row r="51" spans="1:18" s="700" customFormat="1" ht="30.6" thickBot="1" x14ac:dyDescent="0.55000000000000004">
      <c r="A51" s="696"/>
      <c r="B51" s="672"/>
      <c r="C51" s="697"/>
      <c r="D51" s="696"/>
      <c r="E51" s="696"/>
      <c r="F51" s="696"/>
      <c r="G51" s="696"/>
      <c r="H51" s="696"/>
      <c r="I51" s="697"/>
      <c r="J51" s="697"/>
      <c r="K51" s="698"/>
      <c r="L51" s="673"/>
      <c r="M51" s="699"/>
      <c r="N51" s="699"/>
      <c r="O51" s="756"/>
    </row>
    <row r="52" spans="1:18" s="700" customFormat="1" ht="81" customHeight="1" x14ac:dyDescent="0.75">
      <c r="A52" s="696"/>
      <c r="B52" s="672"/>
      <c r="C52" s="697"/>
      <c r="D52" s="781" t="s">
        <v>1009</v>
      </c>
      <c r="E52" s="782"/>
      <c r="F52" s="782"/>
      <c r="G52" s="782"/>
      <c r="H52" s="782"/>
      <c r="I52" s="783"/>
      <c r="J52" s="783"/>
      <c r="K52" s="701" t="s">
        <v>995</v>
      </c>
      <c r="L52" s="673"/>
      <c r="M52" s="699"/>
      <c r="N52" s="699"/>
      <c r="O52" s="756"/>
      <c r="R52" s="725"/>
    </row>
    <row r="53" spans="1:18" s="700" customFormat="1" ht="105.6" customHeight="1" x14ac:dyDescent="0.5">
      <c r="A53" s="696"/>
      <c r="B53" s="672"/>
      <c r="C53" s="697"/>
      <c r="D53" s="774" t="s">
        <v>996</v>
      </c>
      <c r="E53" s="775"/>
      <c r="F53" s="775"/>
      <c r="G53" s="775"/>
      <c r="H53" s="775"/>
      <c r="I53" s="702"/>
      <c r="J53" s="703" t="s">
        <v>997</v>
      </c>
      <c r="K53" s="704">
        <v>0.21</v>
      </c>
      <c r="L53" s="673"/>
      <c r="M53" s="699"/>
      <c r="N53" s="699"/>
      <c r="O53" s="756"/>
    </row>
    <row r="54" spans="1:18" s="700" customFormat="1" ht="43.2" customHeight="1" x14ac:dyDescent="0.5">
      <c r="A54" s="696"/>
      <c r="B54" s="672"/>
      <c r="C54" s="697"/>
      <c r="D54" s="784" t="s">
        <v>998</v>
      </c>
      <c r="E54" s="785"/>
      <c r="F54" s="785"/>
      <c r="G54" s="785"/>
      <c r="H54" s="786"/>
      <c r="I54" s="705"/>
      <c r="J54" s="703" t="s">
        <v>999</v>
      </c>
      <c r="K54" s="704">
        <v>0.01</v>
      </c>
      <c r="L54" s="673"/>
      <c r="M54" s="699"/>
      <c r="N54" s="699"/>
      <c r="O54" s="756"/>
    </row>
    <row r="55" spans="1:18" s="700" customFormat="1" ht="74.400000000000006" customHeight="1" x14ac:dyDescent="0.5">
      <c r="A55" s="696"/>
      <c r="B55" s="672"/>
      <c r="C55" s="697"/>
      <c r="D55" s="787"/>
      <c r="E55" s="788"/>
      <c r="F55" s="788"/>
      <c r="G55" s="788"/>
      <c r="H55" s="789"/>
      <c r="I55" s="706"/>
      <c r="J55" s="703" t="s">
        <v>1000</v>
      </c>
      <c r="K55" s="704">
        <v>0.04</v>
      </c>
      <c r="L55" s="673"/>
      <c r="M55" s="699"/>
      <c r="N55" s="699"/>
      <c r="O55" s="756"/>
    </row>
    <row r="56" spans="1:18" s="700" customFormat="1" ht="49.95" customHeight="1" thickBot="1" x14ac:dyDescent="0.55000000000000004">
      <c r="A56" s="696"/>
      <c r="B56" s="672"/>
      <c r="C56" s="697"/>
      <c r="D56" s="790"/>
      <c r="E56" s="791"/>
      <c r="F56" s="791"/>
      <c r="G56" s="791"/>
      <c r="H56" s="792"/>
      <c r="I56" s="707"/>
      <c r="J56" s="708" t="s">
        <v>1001</v>
      </c>
      <c r="K56" s="709">
        <f>+K55+K54+K53</f>
        <v>0.26</v>
      </c>
      <c r="L56" s="673"/>
      <c r="M56" s="699"/>
      <c r="N56" s="699"/>
      <c r="O56" s="756"/>
    </row>
    <row r="57" spans="1:18" s="700" customFormat="1" x14ac:dyDescent="0.5">
      <c r="A57" s="696"/>
      <c r="B57" s="672"/>
      <c r="C57" s="697"/>
      <c r="D57" s="697"/>
      <c r="E57" s="697"/>
      <c r="F57" s="697"/>
      <c r="G57" s="697"/>
      <c r="H57" s="697"/>
      <c r="I57" s="697"/>
      <c r="J57" s="697"/>
      <c r="K57" s="698"/>
      <c r="L57" s="673"/>
      <c r="M57" s="699"/>
      <c r="N57" s="699"/>
      <c r="O57" s="756"/>
    </row>
    <row r="58" spans="1:18" s="700" customFormat="1" ht="30.6" thickBot="1" x14ac:dyDescent="0.55000000000000004">
      <c r="A58" s="696"/>
      <c r="B58" s="710"/>
      <c r="C58" s="711"/>
      <c r="D58" s="711"/>
      <c r="E58" s="711"/>
      <c r="F58" s="711"/>
      <c r="G58" s="711"/>
      <c r="H58" s="711"/>
      <c r="I58" s="711"/>
      <c r="J58" s="711"/>
      <c r="K58" s="712"/>
      <c r="L58" s="713"/>
      <c r="M58" s="699"/>
      <c r="N58" s="699"/>
      <c r="O58" s="756"/>
    </row>
    <row r="60" spans="1:18" ht="30" customHeight="1" x14ac:dyDescent="0.5">
      <c r="B60" s="795" t="s">
        <v>1008</v>
      </c>
      <c r="C60" s="795"/>
      <c r="D60" s="795"/>
      <c r="E60" s="795"/>
      <c r="F60" s="795"/>
      <c r="G60" s="795"/>
      <c r="H60" s="795"/>
      <c r="I60" s="795"/>
      <c r="J60" s="795"/>
      <c r="K60" s="795"/>
      <c r="L60" s="795"/>
    </row>
    <row r="61" spans="1:18" x14ac:dyDescent="0.5">
      <c r="B61" s="795"/>
      <c r="C61" s="795"/>
      <c r="D61" s="795"/>
      <c r="E61" s="795"/>
      <c r="F61" s="795"/>
      <c r="G61" s="795"/>
      <c r="H61" s="795"/>
      <c r="I61" s="795"/>
      <c r="J61" s="795"/>
      <c r="K61" s="795"/>
      <c r="L61" s="795"/>
    </row>
    <row r="62" spans="1:18" x14ac:dyDescent="0.5">
      <c r="B62" s="795"/>
      <c r="C62" s="795"/>
      <c r="D62" s="795"/>
      <c r="E62" s="795"/>
      <c r="F62" s="795"/>
      <c r="G62" s="795"/>
      <c r="H62" s="795"/>
      <c r="I62" s="795"/>
      <c r="J62" s="795"/>
      <c r="K62" s="795"/>
      <c r="L62" s="795"/>
    </row>
    <row r="63" spans="1:18" x14ac:dyDescent="0.5">
      <c r="B63" s="795"/>
      <c r="C63" s="795"/>
      <c r="D63" s="795"/>
      <c r="E63" s="795"/>
      <c r="F63" s="795"/>
      <c r="G63" s="795"/>
      <c r="H63" s="795"/>
      <c r="I63" s="795"/>
      <c r="J63" s="795"/>
      <c r="K63" s="795"/>
      <c r="L63" s="795"/>
    </row>
    <row r="64" spans="1:18" x14ac:dyDescent="0.5">
      <c r="B64" s="795"/>
      <c r="C64" s="795"/>
      <c r="D64" s="795"/>
      <c r="E64" s="795"/>
      <c r="F64" s="795"/>
      <c r="G64" s="795"/>
      <c r="H64" s="795"/>
      <c r="I64" s="795"/>
      <c r="J64" s="795"/>
      <c r="K64" s="795"/>
      <c r="L64" s="795"/>
    </row>
    <row r="65" spans="2:24" x14ac:dyDescent="0.5">
      <c r="B65" s="795"/>
      <c r="C65" s="795"/>
      <c r="D65" s="795"/>
      <c r="E65" s="795"/>
      <c r="F65" s="795"/>
      <c r="G65" s="795"/>
      <c r="H65" s="795"/>
      <c r="I65" s="795"/>
      <c r="J65" s="795"/>
      <c r="K65" s="795"/>
      <c r="L65" s="795"/>
    </row>
    <row r="66" spans="2:24" x14ac:dyDescent="0.5">
      <c r="B66" s="795"/>
      <c r="C66" s="795"/>
      <c r="D66" s="795"/>
      <c r="E66" s="795"/>
      <c r="F66" s="795"/>
      <c r="G66" s="795"/>
      <c r="H66" s="795"/>
      <c r="I66" s="795"/>
      <c r="J66" s="795"/>
      <c r="K66" s="795"/>
      <c r="L66" s="795"/>
    </row>
    <row r="67" spans="2:24" x14ac:dyDescent="0.5">
      <c r="B67" s="795"/>
      <c r="C67" s="795"/>
      <c r="D67" s="795"/>
      <c r="E67" s="795"/>
      <c r="F67" s="795"/>
      <c r="G67" s="795"/>
      <c r="H67" s="795"/>
      <c r="I67" s="795"/>
      <c r="J67" s="795"/>
      <c r="K67" s="795"/>
      <c r="L67" s="795"/>
    </row>
    <row r="68" spans="2:24" x14ac:dyDescent="0.5">
      <c r="B68" s="795"/>
      <c r="C68" s="795"/>
      <c r="D68" s="795"/>
      <c r="E68" s="795"/>
      <c r="F68" s="795"/>
      <c r="G68" s="795"/>
      <c r="H68" s="795"/>
      <c r="I68" s="795"/>
      <c r="J68" s="795"/>
      <c r="K68" s="795"/>
      <c r="L68" s="795"/>
    </row>
    <row r="69" spans="2:24" x14ac:dyDescent="0.5">
      <c r="B69" s="795"/>
      <c r="C69" s="795"/>
      <c r="D69" s="795"/>
      <c r="E69" s="795"/>
      <c r="F69" s="795"/>
      <c r="G69" s="795"/>
      <c r="H69" s="795"/>
      <c r="I69" s="795"/>
      <c r="J69" s="795"/>
      <c r="K69" s="795"/>
      <c r="L69" s="795"/>
    </row>
    <row r="70" spans="2:24" x14ac:dyDescent="0.5">
      <c r="B70" s="795"/>
      <c r="C70" s="795"/>
      <c r="D70" s="795"/>
      <c r="E70" s="795"/>
      <c r="F70" s="795"/>
      <c r="G70" s="795"/>
      <c r="H70" s="795"/>
      <c r="I70" s="795"/>
      <c r="J70" s="795"/>
      <c r="K70" s="795"/>
      <c r="L70" s="795"/>
    </row>
    <row r="71" spans="2:24" x14ac:dyDescent="0.5">
      <c r="B71" s="795"/>
      <c r="C71" s="795"/>
      <c r="D71" s="795"/>
      <c r="E71" s="795"/>
      <c r="F71" s="795"/>
      <c r="G71" s="795"/>
      <c r="H71" s="795"/>
      <c r="I71" s="795"/>
      <c r="J71" s="795"/>
      <c r="K71" s="795"/>
      <c r="L71" s="795"/>
    </row>
    <row r="72" spans="2:24" x14ac:dyDescent="0.5">
      <c r="B72" s="795"/>
      <c r="C72" s="795"/>
      <c r="D72" s="795"/>
      <c r="E72" s="795"/>
      <c r="F72" s="795"/>
      <c r="G72" s="795"/>
      <c r="H72" s="795"/>
      <c r="I72" s="795"/>
      <c r="J72" s="795"/>
      <c r="K72" s="795"/>
      <c r="L72" s="795"/>
    </row>
    <row r="73" spans="2:24" x14ac:dyDescent="0.5">
      <c r="B73" s="795"/>
      <c r="C73" s="795"/>
      <c r="D73" s="795"/>
      <c r="E73" s="795"/>
      <c r="F73" s="795"/>
      <c r="G73" s="795"/>
      <c r="H73" s="795"/>
      <c r="I73" s="795"/>
      <c r="J73" s="795"/>
      <c r="K73" s="795"/>
      <c r="L73" s="795"/>
    </row>
    <row r="80" spans="2:24" s="660" customFormat="1" x14ac:dyDescent="0.5">
      <c r="B80" s="793" t="s">
        <v>1005</v>
      </c>
      <c r="C80" s="793"/>
      <c r="D80" s="793"/>
      <c r="E80" s="793"/>
      <c r="F80" s="793"/>
      <c r="I80" s="661"/>
      <c r="K80" s="662"/>
      <c r="L80" s="663"/>
      <c r="M80" s="664"/>
      <c r="N80" s="664"/>
      <c r="O80" s="754"/>
      <c r="P80" s="665"/>
      <c r="Q80" s="665"/>
      <c r="R80" s="665"/>
      <c r="S80" s="665"/>
      <c r="T80" s="665"/>
      <c r="U80" s="665"/>
      <c r="V80" s="665"/>
      <c r="W80" s="665"/>
      <c r="X80" s="665"/>
    </row>
    <row r="81" spans="2:24" s="660" customFormat="1" x14ac:dyDescent="0.5">
      <c r="B81" s="794" t="s">
        <v>1010</v>
      </c>
      <c r="C81" s="794"/>
      <c r="D81" s="794"/>
      <c r="E81" s="794"/>
      <c r="F81" s="794"/>
      <c r="I81" s="661"/>
      <c r="K81" s="662"/>
      <c r="L81" s="663"/>
      <c r="M81" s="664"/>
      <c r="N81" s="664"/>
      <c r="O81" s="754"/>
      <c r="P81" s="665"/>
      <c r="Q81" s="665"/>
      <c r="R81" s="665"/>
      <c r="S81" s="665"/>
      <c r="T81" s="665"/>
      <c r="U81" s="665"/>
      <c r="V81" s="665"/>
      <c r="W81" s="665"/>
      <c r="X81" s="665"/>
    </row>
    <row r="82" spans="2:24" s="660" customFormat="1" x14ac:dyDescent="0.5">
      <c r="B82" s="794" t="s">
        <v>1006</v>
      </c>
      <c r="C82" s="794"/>
      <c r="D82" s="794"/>
      <c r="E82" s="794"/>
      <c r="F82" s="794"/>
      <c r="I82" s="661"/>
      <c r="K82" s="662"/>
      <c r="L82" s="663"/>
      <c r="M82" s="664"/>
      <c r="N82" s="664"/>
      <c r="O82" s="754"/>
      <c r="P82" s="665"/>
      <c r="Q82" s="665"/>
      <c r="R82" s="665"/>
      <c r="S82" s="665"/>
      <c r="T82" s="665"/>
      <c r="U82" s="665"/>
      <c r="V82" s="665"/>
      <c r="W82" s="665"/>
      <c r="X82" s="665"/>
    </row>
    <row r="83" spans="2:24" s="660" customFormat="1" x14ac:dyDescent="0.5">
      <c r="D83" s="714"/>
      <c r="I83" s="661"/>
      <c r="K83" s="662"/>
      <c r="L83" s="663"/>
      <c r="M83" s="664"/>
      <c r="N83" s="664"/>
      <c r="O83" s="754"/>
      <c r="P83" s="665"/>
      <c r="Q83" s="665"/>
      <c r="R83" s="665"/>
      <c r="S83" s="665"/>
      <c r="T83" s="665"/>
      <c r="U83" s="665"/>
      <c r="V83" s="665"/>
      <c r="W83" s="665"/>
      <c r="X83" s="665"/>
    </row>
  </sheetData>
  <mergeCells count="33">
    <mergeCell ref="D54:H54"/>
    <mergeCell ref="D55:H56"/>
    <mergeCell ref="B80:F80"/>
    <mergeCell ref="B81:F81"/>
    <mergeCell ref="B82:F82"/>
    <mergeCell ref="B60:L73"/>
    <mergeCell ref="D53:H53"/>
    <mergeCell ref="C29:J29"/>
    <mergeCell ref="C30:K30"/>
    <mergeCell ref="C34:J34"/>
    <mergeCell ref="C35:K35"/>
    <mergeCell ref="C43:K43"/>
    <mergeCell ref="C49:J49"/>
    <mergeCell ref="C50:J50"/>
    <mergeCell ref="D52:H52"/>
    <mergeCell ref="I52:J52"/>
    <mergeCell ref="C42:J42"/>
    <mergeCell ref="C20:K20"/>
    <mergeCell ref="C11:C12"/>
    <mergeCell ref="D11:D12"/>
    <mergeCell ref="E11:F11"/>
    <mergeCell ref="G11:G12"/>
    <mergeCell ref="H11:H12"/>
    <mergeCell ref="I11:I12"/>
    <mergeCell ref="J11:J12"/>
    <mergeCell ref="K11:K12"/>
    <mergeCell ref="C13:K13"/>
    <mergeCell ref="C19:J19"/>
    <mergeCell ref="C3:F3"/>
    <mergeCell ref="G5:H5"/>
    <mergeCell ref="G6:K6"/>
    <mergeCell ref="C7:K8"/>
    <mergeCell ref="C9:K9"/>
  </mergeCells>
  <pageMargins left="0.7" right="0.7" top="0.75" bottom="0.75" header="0.3" footer="0.3"/>
  <pageSetup paperSize="9" scale="2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A8C7D-DB7C-42AB-BC03-6328DCCDC5E2}">
  <sheetPr>
    <pageSetUpPr fitToPage="1"/>
  </sheetPr>
  <dimension ref="A1:W1154"/>
  <sheetViews>
    <sheetView view="pageBreakPreview" zoomScale="70" zoomScaleNormal="100" zoomScaleSheetLayoutView="70" workbookViewId="0">
      <selection activeCell="M59" sqref="M59"/>
    </sheetView>
  </sheetViews>
  <sheetFormatPr baseColWidth="10" defaultColWidth="11.5546875" defaultRowHeight="13.8" x14ac:dyDescent="0.3"/>
  <cols>
    <col min="1" max="1" width="11.5546875" style="146"/>
    <col min="2" max="2" width="21" style="146" customWidth="1"/>
    <col min="3" max="4" width="11.5546875" style="146"/>
    <col min="5" max="5" width="12.88671875" style="146" customWidth="1"/>
    <col min="6" max="6" width="11.5546875" style="146"/>
    <col min="7" max="7" width="19.6640625" style="146" customWidth="1"/>
    <col min="8" max="8" width="17.6640625" style="146" bestFit="1" customWidth="1"/>
    <col min="9" max="9" width="23" style="146" bestFit="1" customWidth="1"/>
    <col min="10" max="10" width="23.44140625" style="146" bestFit="1" customWidth="1"/>
    <col min="11" max="11" width="21.33203125" style="146" customWidth="1"/>
    <col min="12" max="12" width="13.44140625" style="146" bestFit="1" customWidth="1"/>
    <col min="13" max="16384" width="11.5546875" style="146"/>
  </cols>
  <sheetData>
    <row r="1" spans="2:10" x14ac:dyDescent="0.3">
      <c r="B1" s="962"/>
      <c r="C1" s="963"/>
      <c r="D1" s="964"/>
      <c r="E1" s="973" t="s">
        <v>165</v>
      </c>
      <c r="F1" s="974"/>
      <c r="G1" s="975"/>
      <c r="H1" s="980" t="s">
        <v>162</v>
      </c>
      <c r="I1" s="982">
        <v>46097</v>
      </c>
      <c r="J1" s="983"/>
    </row>
    <row r="2" spans="2:10" x14ac:dyDescent="0.3">
      <c r="B2" s="965"/>
      <c r="C2" s="966"/>
      <c r="D2" s="967"/>
      <c r="E2" s="976"/>
      <c r="F2" s="977"/>
      <c r="G2" s="978"/>
      <c r="H2" s="981"/>
      <c r="I2" s="984"/>
      <c r="J2" s="985"/>
    </row>
    <row r="3" spans="2:10" x14ac:dyDescent="0.3">
      <c r="B3" s="965"/>
      <c r="C3" s="966"/>
      <c r="D3" s="967"/>
      <c r="E3" s="979"/>
      <c r="F3" s="886"/>
      <c r="G3" s="887"/>
      <c r="H3" s="149" t="s">
        <v>163</v>
      </c>
      <c r="I3" s="986">
        <v>1</v>
      </c>
      <c r="J3" s="961"/>
    </row>
    <row r="4" spans="2:10" ht="22.5" customHeight="1" x14ac:dyDescent="0.3">
      <c r="B4" s="965"/>
      <c r="C4" s="966"/>
      <c r="D4" s="967"/>
      <c r="E4" s="987" t="s">
        <v>164</v>
      </c>
      <c r="F4" s="889"/>
      <c r="G4" s="890"/>
      <c r="H4" s="988" t="s">
        <v>161</v>
      </c>
      <c r="I4" s="956" t="str">
        <f>PPTO_OBRA_GENERAL!C6</f>
        <v xml:space="preserve">ACTIVIDADES PRELIMINARES </v>
      </c>
      <c r="J4" s="957"/>
    </row>
    <row r="5" spans="2:10" x14ac:dyDescent="0.3">
      <c r="B5" s="968"/>
      <c r="C5" s="969"/>
      <c r="D5" s="970"/>
      <c r="E5" s="979"/>
      <c r="F5" s="886"/>
      <c r="G5" s="887"/>
      <c r="H5" s="887"/>
      <c r="I5" s="958"/>
      <c r="J5" s="959"/>
    </row>
    <row r="6" spans="2:10" ht="30.6" customHeight="1" x14ac:dyDescent="0.3">
      <c r="B6" s="960" t="s">
        <v>166</v>
      </c>
      <c r="C6" s="880"/>
      <c r="D6" s="880"/>
      <c r="E6" s="880"/>
      <c r="F6" s="880"/>
      <c r="G6" s="880"/>
      <c r="H6" s="880"/>
      <c r="I6" s="880"/>
      <c r="J6" s="961"/>
    </row>
    <row r="8" spans="2:10" ht="13.95" customHeight="1" x14ac:dyDescent="0.3">
      <c r="B8" s="943" t="s">
        <v>167</v>
      </c>
      <c r="C8" s="943" t="s">
        <v>347</v>
      </c>
      <c r="D8" s="943"/>
      <c r="E8" s="943"/>
      <c r="F8" s="943"/>
      <c r="G8" s="943"/>
      <c r="H8" s="943"/>
      <c r="I8" s="943"/>
      <c r="J8" s="943"/>
    </row>
    <row r="9" spans="2:10" ht="15.6" customHeight="1" x14ac:dyDescent="0.3">
      <c r="B9" s="943"/>
      <c r="C9" s="943"/>
      <c r="D9" s="943"/>
      <c r="E9" s="943"/>
      <c r="F9" s="943"/>
      <c r="G9" s="943"/>
      <c r="H9" s="943"/>
      <c r="I9" s="943"/>
      <c r="J9" s="943"/>
    </row>
    <row r="11" spans="2:10" ht="13.95" customHeight="1" x14ac:dyDescent="0.3">
      <c r="B11" s="150" t="s">
        <v>15</v>
      </c>
      <c r="C11" s="971" t="s">
        <v>151</v>
      </c>
      <c r="D11" s="971"/>
      <c r="E11" s="971"/>
      <c r="F11" s="971"/>
      <c r="G11" s="971"/>
      <c r="H11" s="972"/>
      <c r="I11" s="147" t="s">
        <v>48</v>
      </c>
      <c r="J11" s="148" t="s">
        <v>19</v>
      </c>
    </row>
    <row r="12" spans="2:10" s="227" customFormat="1" ht="50.4" customHeight="1" x14ac:dyDescent="0.3">
      <c r="B12" s="224" t="str">
        <f>PPTO_PLANES!B7</f>
        <v>5.1.1</v>
      </c>
      <c r="C12" s="844" t="s">
        <v>886</v>
      </c>
      <c r="D12" s="845"/>
      <c r="E12" s="845"/>
      <c r="F12" s="845"/>
      <c r="G12" s="845"/>
      <c r="H12" s="846"/>
      <c r="I12" s="225" t="s">
        <v>18</v>
      </c>
      <c r="J12" s="226">
        <v>1</v>
      </c>
    </row>
    <row r="13" spans="2:10" s="156" customFormat="1" x14ac:dyDescent="0.3">
      <c r="B13" s="992" t="s">
        <v>152</v>
      </c>
      <c r="C13" s="993"/>
      <c r="D13" s="994"/>
      <c r="E13" s="228"/>
      <c r="F13" s="229"/>
      <c r="G13" s="229"/>
      <c r="H13" s="230"/>
      <c r="I13" s="231"/>
      <c r="J13" s="231"/>
    </row>
    <row r="14" spans="2:10" s="156" customFormat="1" x14ac:dyDescent="0.3">
      <c r="B14" s="919" t="s">
        <v>151</v>
      </c>
      <c r="C14" s="832"/>
      <c r="D14" s="832"/>
      <c r="E14" s="832"/>
      <c r="F14" s="833"/>
      <c r="G14" s="232" t="s">
        <v>48</v>
      </c>
      <c r="H14" s="232" t="s">
        <v>19</v>
      </c>
      <c r="I14" s="233" t="s">
        <v>20</v>
      </c>
      <c r="J14" s="233" t="s">
        <v>37</v>
      </c>
    </row>
    <row r="15" spans="2:10" s="156" customFormat="1" x14ac:dyDescent="0.3">
      <c r="B15" s="917"/>
      <c r="C15" s="813"/>
      <c r="D15" s="813"/>
      <c r="E15" s="813"/>
      <c r="F15" s="814"/>
      <c r="G15" s="234"/>
      <c r="H15" s="235"/>
      <c r="I15" s="236"/>
      <c r="J15" s="237">
        <f>ROUND(I15*H15,0)</f>
        <v>0</v>
      </c>
    </row>
    <row r="16" spans="2:10" s="156" customFormat="1" x14ac:dyDescent="0.3">
      <c r="B16" s="917"/>
      <c r="C16" s="813"/>
      <c r="D16" s="813"/>
      <c r="E16" s="813"/>
      <c r="F16" s="814"/>
      <c r="G16" s="238"/>
      <c r="H16" s="235"/>
      <c r="I16" s="236"/>
      <c r="J16" s="237"/>
    </row>
    <row r="17" spans="2:10" s="156" customFormat="1" x14ac:dyDescent="0.3">
      <c r="B17" s="989"/>
      <c r="C17" s="990"/>
      <c r="D17" s="991"/>
      <c r="E17" s="239"/>
      <c r="F17" s="239"/>
      <c r="G17" s="239"/>
      <c r="H17" s="239"/>
      <c r="I17" s="240" t="s">
        <v>153</v>
      </c>
      <c r="J17" s="241">
        <f>+SUM(J15:J16)</f>
        <v>0</v>
      </c>
    </row>
    <row r="18" spans="2:10" s="156" customFormat="1" x14ac:dyDescent="0.3">
      <c r="B18" s="992" t="s">
        <v>154</v>
      </c>
      <c r="C18" s="993"/>
      <c r="D18" s="994"/>
      <c r="E18" s="229"/>
      <c r="F18" s="229"/>
      <c r="G18" s="229"/>
      <c r="H18" s="229"/>
      <c r="I18" s="242"/>
      <c r="J18" s="233"/>
    </row>
    <row r="19" spans="2:10" s="156" customFormat="1" x14ac:dyDescent="0.3">
      <c r="B19" s="919" t="s">
        <v>155</v>
      </c>
      <c r="C19" s="832"/>
      <c r="D19" s="832"/>
      <c r="E19" s="832"/>
      <c r="F19" s="833"/>
      <c r="G19" s="232"/>
      <c r="H19" s="232" t="s">
        <v>156</v>
      </c>
      <c r="I19" s="233" t="s">
        <v>157</v>
      </c>
      <c r="J19" s="233" t="s">
        <v>37</v>
      </c>
    </row>
    <row r="20" spans="2:10" s="156" customFormat="1" x14ac:dyDescent="0.3">
      <c r="B20" s="917"/>
      <c r="C20" s="813"/>
      <c r="D20" s="813"/>
      <c r="E20" s="813"/>
      <c r="F20" s="814"/>
      <c r="G20" s="232"/>
      <c r="H20" s="243"/>
      <c r="I20" s="244"/>
      <c r="J20" s="237"/>
    </row>
    <row r="21" spans="2:10" s="156" customFormat="1" x14ac:dyDescent="0.3">
      <c r="B21" s="917"/>
      <c r="C21" s="813"/>
      <c r="D21" s="813"/>
      <c r="E21" s="813"/>
      <c r="F21" s="814"/>
      <c r="G21" s="245"/>
      <c r="H21" s="243"/>
      <c r="I21" s="244"/>
      <c r="J21" s="237"/>
    </row>
    <row r="22" spans="2:10" s="156" customFormat="1" x14ac:dyDescent="0.3">
      <c r="B22" s="998"/>
      <c r="C22" s="999"/>
      <c r="D22" s="999"/>
      <c r="E22" s="999"/>
      <c r="F22" s="1000"/>
      <c r="G22" s="239"/>
      <c r="H22" s="239"/>
      <c r="I22" s="240" t="s">
        <v>153</v>
      </c>
      <c r="J22" s="246">
        <f>SUM(J20:J21)</f>
        <v>0</v>
      </c>
    </row>
    <row r="23" spans="2:10" s="156" customFormat="1" x14ac:dyDescent="0.3">
      <c r="B23" s="992" t="s">
        <v>158</v>
      </c>
      <c r="C23" s="993"/>
      <c r="D23" s="994"/>
      <c r="E23" s="228"/>
      <c r="F23" s="229"/>
      <c r="G23" s="229"/>
      <c r="H23" s="230"/>
      <c r="I23" s="231"/>
      <c r="J23" s="231"/>
    </row>
    <row r="24" spans="2:10" s="156" customFormat="1" x14ac:dyDescent="0.3">
      <c r="B24" s="919" t="s">
        <v>151</v>
      </c>
      <c r="C24" s="832"/>
      <c r="D24" s="832"/>
      <c r="E24" s="832"/>
      <c r="F24" s="833"/>
      <c r="G24" s="232" t="s">
        <v>48</v>
      </c>
      <c r="H24" s="232" t="s">
        <v>19</v>
      </c>
      <c r="I24" s="233" t="s">
        <v>20</v>
      </c>
      <c r="J24" s="233" t="s">
        <v>37</v>
      </c>
    </row>
    <row r="25" spans="2:10" s="156" customFormat="1" x14ac:dyDescent="0.3">
      <c r="B25" s="995"/>
      <c r="C25" s="996"/>
      <c r="D25" s="996"/>
      <c r="E25" s="996"/>
      <c r="F25" s="997"/>
      <c r="G25" s="245"/>
      <c r="H25" s="245"/>
      <c r="I25" s="237"/>
      <c r="J25" s="237">
        <f>ROUND(H25*I25,0)</f>
        <v>0</v>
      </c>
    </row>
    <row r="26" spans="2:10" s="156" customFormat="1" x14ac:dyDescent="0.3">
      <c r="B26" s="995"/>
      <c r="C26" s="996"/>
      <c r="D26" s="996"/>
      <c r="E26" s="996"/>
      <c r="F26" s="997"/>
      <c r="G26" s="245"/>
      <c r="H26" s="245"/>
      <c r="I26" s="237"/>
      <c r="J26" s="237"/>
    </row>
    <row r="27" spans="2:10" s="156" customFormat="1" x14ac:dyDescent="0.3">
      <c r="B27" s="989"/>
      <c r="C27" s="990"/>
      <c r="D27" s="991"/>
      <c r="E27" s="239"/>
      <c r="F27" s="239"/>
      <c r="G27" s="239"/>
      <c r="H27" s="239"/>
      <c r="I27" s="240" t="s">
        <v>153</v>
      </c>
      <c r="J27" s="241">
        <f>SUM(J25:J26)</f>
        <v>0</v>
      </c>
    </row>
    <row r="28" spans="2:10" s="156" customFormat="1" x14ac:dyDescent="0.3">
      <c r="B28" s="992" t="s">
        <v>159</v>
      </c>
      <c r="C28" s="993"/>
      <c r="D28" s="994"/>
      <c r="E28" s="228"/>
      <c r="F28" s="229"/>
      <c r="G28" s="229"/>
      <c r="H28" s="229"/>
      <c r="I28" s="231"/>
      <c r="J28" s="231"/>
    </row>
    <row r="29" spans="2:10" s="156" customFormat="1" x14ac:dyDescent="0.3">
      <c r="B29" s="919" t="s">
        <v>151</v>
      </c>
      <c r="C29" s="832"/>
      <c r="D29" s="832"/>
      <c r="E29" s="832"/>
      <c r="F29" s="833"/>
      <c r="G29" s="232" t="s">
        <v>48</v>
      </c>
      <c r="H29" s="232" t="s">
        <v>19</v>
      </c>
      <c r="I29" s="233" t="s">
        <v>20</v>
      </c>
      <c r="J29" s="233" t="s">
        <v>37</v>
      </c>
    </row>
    <row r="30" spans="2:10" s="156" customFormat="1" x14ac:dyDescent="0.3">
      <c r="B30" s="917" t="s">
        <v>168</v>
      </c>
      <c r="C30" s="813"/>
      <c r="D30" s="813"/>
      <c r="E30" s="813"/>
      <c r="F30" s="814"/>
      <c r="G30" s="245" t="s">
        <v>48</v>
      </c>
      <c r="H30" s="245">
        <v>1</v>
      </c>
      <c r="I30" s="237">
        <v>15650000</v>
      </c>
      <c r="J30" s="237">
        <f>+H30*I30</f>
        <v>15650000</v>
      </c>
    </row>
    <row r="31" spans="2:10" s="156" customFormat="1" x14ac:dyDescent="0.3">
      <c r="B31" s="917"/>
      <c r="C31" s="813"/>
      <c r="D31" s="813"/>
      <c r="E31" s="813"/>
      <c r="F31" s="814"/>
      <c r="G31" s="245"/>
      <c r="H31" s="245"/>
      <c r="I31" s="237"/>
      <c r="J31" s="237"/>
    </row>
    <row r="32" spans="2:10" s="156" customFormat="1" x14ac:dyDescent="0.3">
      <c r="B32" s="917"/>
      <c r="C32" s="813"/>
      <c r="D32" s="813"/>
      <c r="E32" s="813"/>
      <c r="F32" s="814"/>
      <c r="G32" s="245"/>
      <c r="H32" s="245"/>
      <c r="I32" s="237"/>
      <c r="J32" s="237"/>
    </row>
    <row r="33" spans="1:10" s="156" customFormat="1" x14ac:dyDescent="0.3">
      <c r="B33" s="920"/>
      <c r="C33" s="921"/>
      <c r="D33" s="921"/>
      <c r="E33" s="921"/>
      <c r="F33" s="944"/>
      <c r="G33" s="239"/>
      <c r="H33" s="239"/>
      <c r="I33" s="240" t="s">
        <v>153</v>
      </c>
      <c r="J33" s="247">
        <f>SUM(J30:J32)</f>
        <v>15650000</v>
      </c>
    </row>
    <row r="34" spans="1:10" s="156" customFormat="1" x14ac:dyDescent="0.3">
      <c r="B34" s="798"/>
      <c r="C34" s="799"/>
      <c r="D34" s="799"/>
      <c r="E34" s="799"/>
      <c r="F34" s="799"/>
      <c r="G34" s="800"/>
      <c r="H34" s="801" t="s">
        <v>160</v>
      </c>
      <c r="I34" s="802"/>
      <c r="J34" s="248">
        <f>+J27++J33+J22+J17</f>
        <v>15650000</v>
      </c>
    </row>
    <row r="35" spans="1:10" s="156" customFormat="1" x14ac:dyDescent="0.3">
      <c r="B35" s="803"/>
      <c r="C35" s="804"/>
      <c r="D35" s="804"/>
      <c r="E35" s="804"/>
      <c r="F35" s="804"/>
      <c r="G35" s="805"/>
      <c r="H35" s="806" t="s">
        <v>1004</v>
      </c>
      <c r="I35" s="807"/>
      <c r="J35" s="297">
        <f>+J34*'PRESUPUESTO OFICIAL (Entidad)'!$K$56</f>
        <v>4069000</v>
      </c>
    </row>
    <row r="36" spans="1:10" s="156" customFormat="1" x14ac:dyDescent="0.3">
      <c r="B36" s="798"/>
      <c r="C36" s="799"/>
      <c r="D36" s="799"/>
      <c r="E36" s="799"/>
      <c r="F36" s="799"/>
      <c r="G36" s="800"/>
      <c r="H36" s="801" t="s">
        <v>291</v>
      </c>
      <c r="I36" s="802"/>
      <c r="J36" s="248">
        <f>SUM(J35:J35)</f>
        <v>4069000</v>
      </c>
    </row>
    <row r="37" spans="1:10" s="156" customFormat="1" x14ac:dyDescent="0.3"/>
    <row r="38" spans="1:10" s="156" customFormat="1" x14ac:dyDescent="0.3"/>
    <row r="39" spans="1:10" s="156" customFormat="1" x14ac:dyDescent="0.3">
      <c r="B39" s="249" t="s">
        <v>15</v>
      </c>
      <c r="C39" s="952" t="s">
        <v>151</v>
      </c>
      <c r="D39" s="952"/>
      <c r="E39" s="952"/>
      <c r="F39" s="952"/>
      <c r="G39" s="952"/>
      <c r="H39" s="953"/>
      <c r="I39" s="250" t="s">
        <v>48</v>
      </c>
      <c r="J39" s="251" t="s">
        <v>19</v>
      </c>
    </row>
    <row r="40" spans="1:10" s="156" customFormat="1" ht="51" customHeight="1" x14ac:dyDescent="0.3">
      <c r="A40" s="220"/>
      <c r="B40" s="224" t="str">
        <f>PPTO_PLANES!B19</f>
        <v>5.3.1</v>
      </c>
      <c r="C40" s="1001" t="s">
        <v>140</v>
      </c>
      <c r="D40" s="1002"/>
      <c r="E40" s="1002"/>
      <c r="F40" s="1002"/>
      <c r="G40" s="1002"/>
      <c r="H40" s="1003"/>
      <c r="I40" s="222" t="s">
        <v>18</v>
      </c>
      <c r="J40" s="252">
        <v>1</v>
      </c>
    </row>
    <row r="41" spans="1:10" s="156" customFormat="1" x14ac:dyDescent="0.3">
      <c r="B41" s="941" t="s">
        <v>152</v>
      </c>
      <c r="C41" s="949"/>
      <c r="D41" s="949"/>
      <c r="E41" s="254"/>
      <c r="F41" s="255"/>
      <c r="G41" s="255"/>
      <c r="H41" s="256"/>
      <c r="I41" s="257"/>
      <c r="J41" s="258"/>
    </row>
    <row r="42" spans="1:10" s="156" customFormat="1" x14ac:dyDescent="0.3">
      <c r="B42" s="924" t="s">
        <v>151</v>
      </c>
      <c r="C42" s="821"/>
      <c r="D42" s="821"/>
      <c r="E42" s="821"/>
      <c r="F42" s="822"/>
      <c r="G42" s="259" t="s">
        <v>48</v>
      </c>
      <c r="H42" s="259" t="s">
        <v>19</v>
      </c>
      <c r="I42" s="260" t="s">
        <v>20</v>
      </c>
      <c r="J42" s="261" t="s">
        <v>37</v>
      </c>
    </row>
    <row r="43" spans="1:10" s="156" customFormat="1" x14ac:dyDescent="0.3">
      <c r="B43" s="927"/>
      <c r="C43" s="835"/>
      <c r="D43" s="835"/>
      <c r="E43" s="835"/>
      <c r="F43" s="836"/>
      <c r="G43" s="262"/>
      <c r="H43" s="263"/>
      <c r="I43" s="264"/>
      <c r="J43" s="265">
        <f>ROUND(I43*H43,0)</f>
        <v>0</v>
      </c>
    </row>
    <row r="44" spans="1:10" s="156" customFormat="1" x14ac:dyDescent="0.3">
      <c r="B44" s="927"/>
      <c r="C44" s="835"/>
      <c r="D44" s="835"/>
      <c r="E44" s="835"/>
      <c r="F44" s="836"/>
      <c r="G44" s="266"/>
      <c r="H44" s="263"/>
      <c r="I44" s="264"/>
      <c r="J44" s="265"/>
    </row>
    <row r="45" spans="1:10" s="156" customFormat="1" x14ac:dyDescent="0.3">
      <c r="B45" s="926"/>
      <c r="C45" s="827"/>
      <c r="D45" s="827"/>
      <c r="E45" s="268"/>
      <c r="F45" s="268"/>
      <c r="G45" s="268"/>
      <c r="H45" s="269"/>
      <c r="I45" s="270" t="s">
        <v>153</v>
      </c>
      <c r="J45" s="271">
        <f>+SUM(J43:J44)</f>
        <v>0</v>
      </c>
    </row>
    <row r="46" spans="1:10" s="156" customFormat="1" x14ac:dyDescent="0.3">
      <c r="B46" s="923" t="s">
        <v>154</v>
      </c>
      <c r="C46" s="838"/>
      <c r="D46" s="838"/>
      <c r="E46" s="255"/>
      <c r="F46" s="255"/>
      <c r="G46" s="255"/>
      <c r="H46" s="255"/>
      <c r="I46" s="272"/>
      <c r="J46" s="261"/>
    </row>
    <row r="47" spans="1:10" s="156" customFormat="1" x14ac:dyDescent="0.3">
      <c r="B47" s="924" t="s">
        <v>155</v>
      </c>
      <c r="C47" s="821"/>
      <c r="D47" s="821"/>
      <c r="E47" s="821"/>
      <c r="F47" s="822"/>
      <c r="G47" s="273"/>
      <c r="H47" s="274" t="s">
        <v>156</v>
      </c>
      <c r="I47" s="275" t="s">
        <v>157</v>
      </c>
      <c r="J47" s="276" t="s">
        <v>37</v>
      </c>
    </row>
    <row r="48" spans="1:10" s="156" customFormat="1" x14ac:dyDescent="0.3">
      <c r="B48" s="927"/>
      <c r="C48" s="835"/>
      <c r="D48" s="835"/>
      <c r="E48" s="835"/>
      <c r="F48" s="836"/>
      <c r="G48" s="273"/>
      <c r="H48" s="277"/>
      <c r="I48" s="278"/>
      <c r="J48" s="279"/>
    </row>
    <row r="49" spans="2:10" s="156" customFormat="1" x14ac:dyDescent="0.3">
      <c r="B49" s="927"/>
      <c r="C49" s="835"/>
      <c r="D49" s="835"/>
      <c r="E49" s="835"/>
      <c r="F49" s="836"/>
      <c r="G49" s="280"/>
      <c r="H49" s="277"/>
      <c r="I49" s="278"/>
      <c r="J49" s="279"/>
    </row>
    <row r="50" spans="2:10" s="156" customFormat="1" x14ac:dyDescent="0.3">
      <c r="B50" s="928"/>
      <c r="C50" s="840"/>
      <c r="D50" s="840"/>
      <c r="E50" s="840"/>
      <c r="F50" s="841"/>
      <c r="G50" s="281"/>
      <c r="H50" s="281"/>
      <c r="I50" s="282" t="s">
        <v>153</v>
      </c>
      <c r="J50" s="283">
        <f>SUM(J48:J49)</f>
        <v>0</v>
      </c>
    </row>
    <row r="51" spans="2:10" s="156" customFormat="1" x14ac:dyDescent="0.3">
      <c r="B51" s="923" t="s">
        <v>158</v>
      </c>
      <c r="C51" s="838"/>
      <c r="D51" s="838"/>
      <c r="E51" s="253"/>
      <c r="F51" s="284"/>
      <c r="G51" s="284"/>
      <c r="H51" s="285"/>
      <c r="I51" s="286"/>
      <c r="J51" s="287"/>
    </row>
    <row r="52" spans="2:10" s="156" customFormat="1" x14ac:dyDescent="0.3">
      <c r="B52" s="924" t="s">
        <v>151</v>
      </c>
      <c r="C52" s="821"/>
      <c r="D52" s="821"/>
      <c r="E52" s="821"/>
      <c r="F52" s="822"/>
      <c r="G52" s="259" t="s">
        <v>48</v>
      </c>
      <c r="H52" s="259" t="s">
        <v>19</v>
      </c>
      <c r="I52" s="260" t="s">
        <v>20</v>
      </c>
      <c r="J52" s="261" t="s">
        <v>37</v>
      </c>
    </row>
    <row r="53" spans="2:10" s="156" customFormat="1" x14ac:dyDescent="0.3">
      <c r="B53" s="925"/>
      <c r="C53" s="824"/>
      <c r="D53" s="824"/>
      <c r="E53" s="824"/>
      <c r="F53" s="825"/>
      <c r="G53" s="288"/>
      <c r="H53" s="288"/>
      <c r="I53" s="289"/>
      <c r="J53" s="265">
        <f>ROUND(H53*I53,0)</f>
        <v>0</v>
      </c>
    </row>
    <row r="54" spans="2:10" s="156" customFormat="1" x14ac:dyDescent="0.3">
      <c r="B54" s="926"/>
      <c r="C54" s="827"/>
      <c r="D54" s="827"/>
      <c r="E54" s="267"/>
      <c r="F54" s="267"/>
      <c r="G54" s="267"/>
      <c r="H54" s="290"/>
      <c r="I54" s="291" t="s">
        <v>153</v>
      </c>
      <c r="J54" s="292">
        <f>SUM(J53:J53)</f>
        <v>0</v>
      </c>
    </row>
    <row r="55" spans="2:10" s="156" customFormat="1" x14ac:dyDescent="0.3">
      <c r="B55" s="923" t="s">
        <v>159</v>
      </c>
      <c r="C55" s="838"/>
      <c r="D55" s="838"/>
      <c r="E55" s="254"/>
      <c r="F55" s="255"/>
      <c r="G55" s="255"/>
      <c r="H55" s="255"/>
      <c r="I55" s="286"/>
      <c r="J55" s="287"/>
    </row>
    <row r="56" spans="2:10" s="156" customFormat="1" x14ac:dyDescent="0.3">
      <c r="B56" s="924" t="s">
        <v>151</v>
      </c>
      <c r="C56" s="821"/>
      <c r="D56" s="821"/>
      <c r="E56" s="821"/>
      <c r="F56" s="822"/>
      <c r="G56" s="274" t="s">
        <v>48</v>
      </c>
      <c r="H56" s="274" t="s">
        <v>19</v>
      </c>
      <c r="I56" s="275" t="s">
        <v>20</v>
      </c>
      <c r="J56" s="276" t="s">
        <v>37</v>
      </c>
    </row>
    <row r="57" spans="2:10" s="156" customFormat="1" x14ac:dyDescent="0.3">
      <c r="B57" s="927" t="s">
        <v>169</v>
      </c>
      <c r="C57" s="835"/>
      <c r="D57" s="835"/>
      <c r="E57" s="835"/>
      <c r="F57" s="836"/>
      <c r="G57" s="280" t="s">
        <v>48</v>
      </c>
      <c r="H57" s="280">
        <v>1</v>
      </c>
      <c r="I57" s="293">
        <v>17560000</v>
      </c>
      <c r="J57" s="294">
        <f>+H57*I57</f>
        <v>17560000</v>
      </c>
    </row>
    <row r="58" spans="2:10" s="156" customFormat="1" x14ac:dyDescent="0.3">
      <c r="B58" s="927"/>
      <c r="C58" s="835"/>
      <c r="D58" s="835"/>
      <c r="E58" s="835"/>
      <c r="F58" s="836"/>
      <c r="G58" s="280"/>
      <c r="H58" s="280"/>
      <c r="I58" s="293"/>
      <c r="J58" s="294"/>
    </row>
    <row r="59" spans="2:10" s="156" customFormat="1" x14ac:dyDescent="0.3">
      <c r="B59" s="954"/>
      <c r="C59" s="856"/>
      <c r="D59" s="856"/>
      <c r="E59" s="856"/>
      <c r="F59" s="955"/>
      <c r="G59" s="280"/>
      <c r="H59" s="280"/>
      <c r="I59" s="293"/>
      <c r="J59" s="295"/>
    </row>
    <row r="60" spans="2:10" s="156" customFormat="1" x14ac:dyDescent="0.3">
      <c r="B60" s="920"/>
      <c r="C60" s="921"/>
      <c r="D60" s="921"/>
      <c r="E60" s="921"/>
      <c r="F60" s="944"/>
      <c r="G60" s="239"/>
      <c r="H60" s="239"/>
      <c r="I60" s="240" t="s">
        <v>153</v>
      </c>
      <c r="J60" s="247">
        <f>SUM(J57:J59)</f>
        <v>17560000</v>
      </c>
    </row>
    <row r="61" spans="2:10" s="156" customFormat="1" x14ac:dyDescent="0.3">
      <c r="B61" s="798"/>
      <c r="C61" s="799"/>
      <c r="D61" s="799"/>
      <c r="E61" s="799"/>
      <c r="F61" s="800"/>
      <c r="G61" s="296"/>
      <c r="H61" s="801" t="s">
        <v>160</v>
      </c>
      <c r="I61" s="802"/>
      <c r="J61" s="248">
        <f>+J54++J60+J50+J45</f>
        <v>17560000</v>
      </c>
    </row>
    <row r="62" spans="2:10" s="156" customFormat="1" x14ac:dyDescent="0.3">
      <c r="B62" s="803"/>
      <c r="C62" s="804"/>
      <c r="D62" s="804"/>
      <c r="E62" s="804"/>
      <c r="F62" s="804"/>
      <c r="G62" s="805"/>
      <c r="H62" s="806" t="s">
        <v>1004</v>
      </c>
      <c r="I62" s="807"/>
      <c r="J62" s="297">
        <v>0</v>
      </c>
    </row>
    <row r="63" spans="2:10" s="156" customFormat="1" x14ac:dyDescent="0.3">
      <c r="B63" s="798"/>
      <c r="C63" s="799"/>
      <c r="D63" s="799"/>
      <c r="E63" s="799"/>
      <c r="F63" s="799"/>
      <c r="G63" s="800"/>
      <c r="H63" s="801" t="s">
        <v>291</v>
      </c>
      <c r="I63" s="802"/>
      <c r="J63" s="248">
        <f>SUM(J61:J62)</f>
        <v>17560000</v>
      </c>
    </row>
    <row r="64" spans="2:10" s="156" customFormat="1" x14ac:dyDescent="0.3"/>
    <row r="65" spans="2:10" s="156" customFormat="1" x14ac:dyDescent="0.3"/>
    <row r="66" spans="2:10" s="156" customFormat="1" x14ac:dyDescent="0.3"/>
    <row r="67" spans="2:10" s="156" customFormat="1" x14ac:dyDescent="0.3">
      <c r="B67" s="249" t="s">
        <v>15</v>
      </c>
      <c r="C67" s="952" t="s">
        <v>151</v>
      </c>
      <c r="D67" s="952"/>
      <c r="E67" s="952"/>
      <c r="F67" s="952"/>
      <c r="G67" s="952"/>
      <c r="H67" s="953"/>
      <c r="I67" s="250" t="s">
        <v>48</v>
      </c>
      <c r="J67" s="251" t="s">
        <v>19</v>
      </c>
    </row>
    <row r="68" spans="2:10" s="156" customFormat="1" ht="28.2" customHeight="1" x14ac:dyDescent="0.3">
      <c r="B68" s="221" t="str">
        <f>PPTO_PLANES!B26</f>
        <v>5.4.4</v>
      </c>
      <c r="C68" s="946" t="s">
        <v>141</v>
      </c>
      <c r="D68" s="947"/>
      <c r="E68" s="947"/>
      <c r="F68" s="947"/>
      <c r="G68" s="947"/>
      <c r="H68" s="948"/>
      <c r="I68" s="222" t="s">
        <v>18</v>
      </c>
      <c r="J68" s="252">
        <v>1</v>
      </c>
    </row>
    <row r="69" spans="2:10" s="156" customFormat="1" x14ac:dyDescent="0.3">
      <c r="B69" s="941" t="s">
        <v>152</v>
      </c>
      <c r="C69" s="949"/>
      <c r="D69" s="949"/>
      <c r="E69" s="254"/>
      <c r="F69" s="255"/>
      <c r="G69" s="255"/>
      <c r="H69" s="256"/>
      <c r="I69" s="257"/>
      <c r="J69" s="258"/>
    </row>
    <row r="70" spans="2:10" s="156" customFormat="1" x14ac:dyDescent="0.3">
      <c r="B70" s="924" t="s">
        <v>151</v>
      </c>
      <c r="C70" s="821"/>
      <c r="D70" s="821"/>
      <c r="E70" s="821"/>
      <c r="F70" s="822"/>
      <c r="G70" s="259" t="s">
        <v>48</v>
      </c>
      <c r="H70" s="259" t="s">
        <v>19</v>
      </c>
      <c r="I70" s="260" t="s">
        <v>20</v>
      </c>
      <c r="J70" s="261" t="s">
        <v>37</v>
      </c>
    </row>
    <row r="71" spans="2:10" s="156" customFormat="1" x14ac:dyDescent="0.3">
      <c r="B71" s="927"/>
      <c r="C71" s="835"/>
      <c r="D71" s="835"/>
      <c r="E71" s="835"/>
      <c r="F71" s="836"/>
      <c r="G71" s="262"/>
      <c r="H71" s="263"/>
      <c r="I71" s="264"/>
      <c r="J71" s="265">
        <f>ROUND(I71*H71,0)</f>
        <v>0</v>
      </c>
    </row>
    <row r="72" spans="2:10" s="156" customFormat="1" x14ac:dyDescent="0.3">
      <c r="B72" s="927"/>
      <c r="C72" s="835"/>
      <c r="D72" s="835"/>
      <c r="E72" s="835"/>
      <c r="F72" s="836"/>
      <c r="G72" s="266"/>
      <c r="H72" s="263"/>
      <c r="I72" s="264"/>
      <c r="J72" s="265"/>
    </row>
    <row r="73" spans="2:10" s="156" customFormat="1" x14ac:dyDescent="0.3">
      <c r="B73" s="926"/>
      <c r="C73" s="827"/>
      <c r="D73" s="827"/>
      <c r="E73" s="268"/>
      <c r="F73" s="268"/>
      <c r="G73" s="268"/>
      <c r="H73" s="269"/>
      <c r="I73" s="270" t="s">
        <v>153</v>
      </c>
      <c r="J73" s="271">
        <f>+SUM(J71:J72)</f>
        <v>0</v>
      </c>
    </row>
    <row r="74" spans="2:10" s="156" customFormat="1" x14ac:dyDescent="0.3">
      <c r="B74" s="923" t="s">
        <v>154</v>
      </c>
      <c r="C74" s="838"/>
      <c r="D74" s="838"/>
      <c r="E74" s="255"/>
      <c r="F74" s="255"/>
      <c r="G74" s="255"/>
      <c r="H74" s="255"/>
      <c r="I74" s="272"/>
      <c r="J74" s="261"/>
    </row>
    <row r="75" spans="2:10" s="156" customFormat="1" x14ac:dyDescent="0.3">
      <c r="B75" s="924" t="s">
        <v>155</v>
      </c>
      <c r="C75" s="821"/>
      <c r="D75" s="821"/>
      <c r="E75" s="821"/>
      <c r="F75" s="822"/>
      <c r="G75" s="273"/>
      <c r="H75" s="274" t="s">
        <v>156</v>
      </c>
      <c r="I75" s="275" t="s">
        <v>157</v>
      </c>
      <c r="J75" s="276" t="s">
        <v>37</v>
      </c>
    </row>
    <row r="76" spans="2:10" s="156" customFormat="1" x14ac:dyDescent="0.3">
      <c r="B76" s="927"/>
      <c r="C76" s="835"/>
      <c r="D76" s="835"/>
      <c r="E76" s="835"/>
      <c r="F76" s="836"/>
      <c r="G76" s="273"/>
      <c r="H76" s="277"/>
      <c r="I76" s="278"/>
      <c r="J76" s="279"/>
    </row>
    <row r="77" spans="2:10" s="156" customFormat="1" x14ac:dyDescent="0.3">
      <c r="B77" s="927"/>
      <c r="C77" s="835"/>
      <c r="D77" s="835"/>
      <c r="E77" s="835"/>
      <c r="F77" s="836"/>
      <c r="G77" s="280"/>
      <c r="H77" s="277"/>
      <c r="I77" s="278"/>
      <c r="J77" s="279"/>
    </row>
    <row r="78" spans="2:10" s="156" customFormat="1" x14ac:dyDescent="0.3">
      <c r="B78" s="928"/>
      <c r="C78" s="840"/>
      <c r="D78" s="840"/>
      <c r="E78" s="840"/>
      <c r="F78" s="841"/>
      <c r="G78" s="281"/>
      <c r="H78" s="281"/>
      <c r="I78" s="282" t="s">
        <v>153</v>
      </c>
      <c r="J78" s="283">
        <f>SUM(J76:J77)</f>
        <v>0</v>
      </c>
    </row>
    <row r="79" spans="2:10" s="156" customFormat="1" x14ac:dyDescent="0.3">
      <c r="B79" s="923" t="s">
        <v>158</v>
      </c>
      <c r="C79" s="838"/>
      <c r="D79" s="838"/>
      <c r="E79" s="253"/>
      <c r="F79" s="284"/>
      <c r="G79" s="284"/>
      <c r="H79" s="285"/>
      <c r="I79" s="286"/>
      <c r="J79" s="287"/>
    </row>
    <row r="80" spans="2:10" s="156" customFormat="1" x14ac:dyDescent="0.3">
      <c r="B80" s="924" t="s">
        <v>151</v>
      </c>
      <c r="C80" s="821"/>
      <c r="D80" s="821"/>
      <c r="E80" s="821"/>
      <c r="F80" s="822"/>
      <c r="G80" s="259" t="s">
        <v>48</v>
      </c>
      <c r="H80" s="259" t="s">
        <v>19</v>
      </c>
      <c r="I80" s="260" t="s">
        <v>20</v>
      </c>
      <c r="J80" s="261" t="s">
        <v>37</v>
      </c>
    </row>
    <row r="81" spans="2:10" s="156" customFormat="1" x14ac:dyDescent="0.3">
      <c r="B81" s="925"/>
      <c r="C81" s="824"/>
      <c r="D81" s="824"/>
      <c r="E81" s="824"/>
      <c r="F81" s="825"/>
      <c r="G81" s="288"/>
      <c r="H81" s="288"/>
      <c r="I81" s="289"/>
      <c r="J81" s="265">
        <f>ROUND(H81*I81,0)</f>
        <v>0</v>
      </c>
    </row>
    <row r="82" spans="2:10" s="156" customFormat="1" x14ac:dyDescent="0.3">
      <c r="B82" s="926"/>
      <c r="C82" s="827"/>
      <c r="D82" s="827"/>
      <c r="E82" s="267"/>
      <c r="F82" s="267"/>
      <c r="G82" s="267"/>
      <c r="H82" s="290"/>
      <c r="I82" s="291" t="s">
        <v>153</v>
      </c>
      <c r="J82" s="292">
        <f>SUM(J81:J81)</f>
        <v>0</v>
      </c>
    </row>
    <row r="83" spans="2:10" s="156" customFormat="1" x14ac:dyDescent="0.3">
      <c r="B83" s="923" t="s">
        <v>159</v>
      </c>
      <c r="C83" s="838"/>
      <c r="D83" s="838"/>
      <c r="E83" s="254"/>
      <c r="F83" s="255"/>
      <c r="G83" s="255"/>
      <c r="H83" s="255"/>
      <c r="I83" s="286"/>
      <c r="J83" s="287"/>
    </row>
    <row r="84" spans="2:10" s="156" customFormat="1" x14ac:dyDescent="0.3">
      <c r="B84" s="924" t="s">
        <v>151</v>
      </c>
      <c r="C84" s="821"/>
      <c r="D84" s="821"/>
      <c r="E84" s="821"/>
      <c r="F84" s="822"/>
      <c r="G84" s="274" t="s">
        <v>48</v>
      </c>
      <c r="H84" s="274" t="s">
        <v>19</v>
      </c>
      <c r="I84" s="275" t="s">
        <v>20</v>
      </c>
      <c r="J84" s="276" t="s">
        <v>37</v>
      </c>
    </row>
    <row r="85" spans="2:10" s="156" customFormat="1" x14ac:dyDescent="0.3">
      <c r="B85" s="927" t="s">
        <v>170</v>
      </c>
      <c r="C85" s="835"/>
      <c r="D85" s="835"/>
      <c r="E85" s="835"/>
      <c r="F85" s="836"/>
      <c r="G85" s="280" t="s">
        <v>48</v>
      </c>
      <c r="H85" s="280">
        <v>1</v>
      </c>
      <c r="I85" s="293">
        <v>25500000</v>
      </c>
      <c r="J85" s="294">
        <f>+H85*I85</f>
        <v>25500000</v>
      </c>
    </row>
    <row r="86" spans="2:10" s="156" customFormat="1" x14ac:dyDescent="0.3">
      <c r="B86" s="927"/>
      <c r="C86" s="835"/>
      <c r="D86" s="835"/>
      <c r="E86" s="835"/>
      <c r="F86" s="836"/>
      <c r="G86" s="280"/>
      <c r="H86" s="280"/>
      <c r="I86" s="293"/>
      <c r="J86" s="294"/>
    </row>
    <row r="87" spans="2:10" s="156" customFormat="1" x14ac:dyDescent="0.3">
      <c r="B87" s="954"/>
      <c r="C87" s="856"/>
      <c r="D87" s="856"/>
      <c r="E87" s="856"/>
      <c r="F87" s="955"/>
      <c r="G87" s="280"/>
      <c r="H87" s="280"/>
      <c r="I87" s="293"/>
      <c r="J87" s="295"/>
    </row>
    <row r="88" spans="2:10" s="156" customFormat="1" x14ac:dyDescent="0.3">
      <c r="B88" s="920"/>
      <c r="C88" s="921"/>
      <c r="D88" s="921"/>
      <c r="E88" s="921"/>
      <c r="F88" s="944"/>
      <c r="G88" s="239"/>
      <c r="H88" s="239"/>
      <c r="I88" s="240" t="s">
        <v>153</v>
      </c>
      <c r="J88" s="247">
        <f>SUM(J85:J87)</f>
        <v>25500000</v>
      </c>
    </row>
    <row r="89" spans="2:10" s="156" customFormat="1" x14ac:dyDescent="0.3">
      <c r="B89" s="798"/>
      <c r="C89" s="799"/>
      <c r="D89" s="799"/>
      <c r="E89" s="799"/>
      <c r="F89" s="799"/>
      <c r="G89" s="800"/>
      <c r="H89" s="801" t="s">
        <v>160</v>
      </c>
      <c r="I89" s="802"/>
      <c r="J89" s="248">
        <f>+J82++J88+J78+J73</f>
        <v>25500000</v>
      </c>
    </row>
    <row r="90" spans="2:10" s="156" customFormat="1" x14ac:dyDescent="0.3">
      <c r="B90" s="803"/>
      <c r="C90" s="804"/>
      <c r="D90" s="804"/>
      <c r="E90" s="804"/>
      <c r="F90" s="804"/>
      <c r="G90" s="805"/>
      <c r="H90" s="806" t="s">
        <v>1004</v>
      </c>
      <c r="I90" s="807"/>
      <c r="J90" s="297">
        <v>0</v>
      </c>
    </row>
    <row r="91" spans="2:10" s="156" customFormat="1" x14ac:dyDescent="0.3">
      <c r="B91" s="798"/>
      <c r="C91" s="799"/>
      <c r="D91" s="799"/>
      <c r="E91" s="799"/>
      <c r="F91" s="799"/>
      <c r="G91" s="800"/>
      <c r="H91" s="801" t="s">
        <v>291</v>
      </c>
      <c r="I91" s="802"/>
      <c r="J91" s="248">
        <f>SUM(J89:J90)</f>
        <v>25500000</v>
      </c>
    </row>
    <row r="92" spans="2:10" s="156" customFormat="1" x14ac:dyDescent="0.3">
      <c r="B92" s="298"/>
      <c r="C92" s="298"/>
      <c r="D92" s="298"/>
      <c r="E92" s="298"/>
      <c r="F92" s="298"/>
      <c r="G92" s="298"/>
      <c r="H92" s="298"/>
      <c r="I92" s="298"/>
      <c r="J92" s="298"/>
    </row>
    <row r="93" spans="2:10" s="156" customFormat="1" x14ac:dyDescent="0.3">
      <c r="B93" s="298"/>
      <c r="C93" s="298"/>
      <c r="D93" s="298"/>
      <c r="E93" s="298"/>
      <c r="F93" s="298"/>
      <c r="G93" s="298"/>
      <c r="H93" s="298"/>
      <c r="I93" s="298"/>
      <c r="J93" s="298"/>
    </row>
    <row r="94" spans="2:10" s="156" customFormat="1" x14ac:dyDescent="0.3">
      <c r="B94" s="249" t="s">
        <v>15</v>
      </c>
      <c r="C94" s="952" t="s">
        <v>151</v>
      </c>
      <c r="D94" s="952"/>
      <c r="E94" s="952"/>
      <c r="F94" s="952"/>
      <c r="G94" s="952"/>
      <c r="H94" s="953"/>
      <c r="I94" s="250" t="s">
        <v>48</v>
      </c>
      <c r="J94" s="251" t="s">
        <v>19</v>
      </c>
    </row>
    <row r="95" spans="2:10" s="156" customFormat="1" ht="27" customHeight="1" x14ac:dyDescent="0.3">
      <c r="B95" s="221" t="str">
        <f>PPTO_PLANES!B29</f>
        <v>5.5.1</v>
      </c>
      <c r="C95" s="946" t="s">
        <v>122</v>
      </c>
      <c r="D95" s="947"/>
      <c r="E95" s="947"/>
      <c r="F95" s="947"/>
      <c r="G95" s="947"/>
      <c r="H95" s="948"/>
      <c r="I95" s="222" t="s">
        <v>18</v>
      </c>
      <c r="J95" s="252">
        <v>1</v>
      </c>
    </row>
    <row r="96" spans="2:10" s="156" customFormat="1" x14ac:dyDescent="0.3">
      <c r="B96" s="941" t="s">
        <v>152</v>
      </c>
      <c r="C96" s="949"/>
      <c r="D96" s="949"/>
      <c r="E96" s="254"/>
      <c r="F96" s="255"/>
      <c r="G96" s="255"/>
      <c r="H96" s="256"/>
      <c r="I96" s="257"/>
      <c r="J96" s="258"/>
    </row>
    <row r="97" spans="2:10" s="156" customFormat="1" x14ac:dyDescent="0.3">
      <c r="B97" s="924" t="s">
        <v>151</v>
      </c>
      <c r="C97" s="821"/>
      <c r="D97" s="821"/>
      <c r="E97" s="821"/>
      <c r="F97" s="822"/>
      <c r="G97" s="259" t="s">
        <v>48</v>
      </c>
      <c r="H97" s="259" t="s">
        <v>19</v>
      </c>
      <c r="I97" s="260" t="s">
        <v>20</v>
      </c>
      <c r="J97" s="261" t="s">
        <v>37</v>
      </c>
    </row>
    <row r="98" spans="2:10" s="156" customFormat="1" x14ac:dyDescent="0.3">
      <c r="B98" s="927"/>
      <c r="C98" s="835"/>
      <c r="D98" s="835"/>
      <c r="E98" s="835"/>
      <c r="F98" s="836"/>
      <c r="G98" s="262"/>
      <c r="H98" s="263"/>
      <c r="I98" s="264"/>
      <c r="J98" s="265">
        <f>ROUND(I98*H98,0)</f>
        <v>0</v>
      </c>
    </row>
    <row r="99" spans="2:10" s="156" customFormat="1" x14ac:dyDescent="0.3">
      <c r="B99" s="927"/>
      <c r="C99" s="835"/>
      <c r="D99" s="835"/>
      <c r="E99" s="835"/>
      <c r="F99" s="836"/>
      <c r="G99" s="266"/>
      <c r="H99" s="263"/>
      <c r="I99" s="264"/>
      <c r="J99" s="265"/>
    </row>
    <row r="100" spans="2:10" s="156" customFormat="1" x14ac:dyDescent="0.3">
      <c r="B100" s="926"/>
      <c r="C100" s="827"/>
      <c r="D100" s="827"/>
      <c r="E100" s="268"/>
      <c r="F100" s="268"/>
      <c r="G100" s="268"/>
      <c r="H100" s="269"/>
      <c r="I100" s="270" t="s">
        <v>153</v>
      </c>
      <c r="J100" s="271">
        <f>+SUM(J98:J99)</f>
        <v>0</v>
      </c>
    </row>
    <row r="101" spans="2:10" s="156" customFormat="1" x14ac:dyDescent="0.3">
      <c r="B101" s="923" t="s">
        <v>154</v>
      </c>
      <c r="C101" s="838"/>
      <c r="D101" s="838"/>
      <c r="E101" s="255"/>
      <c r="F101" s="255"/>
      <c r="G101" s="255"/>
      <c r="H101" s="255"/>
      <c r="I101" s="272"/>
      <c r="J101" s="261"/>
    </row>
    <row r="102" spans="2:10" s="156" customFormat="1" x14ac:dyDescent="0.3">
      <c r="B102" s="924" t="s">
        <v>155</v>
      </c>
      <c r="C102" s="821"/>
      <c r="D102" s="821"/>
      <c r="E102" s="821"/>
      <c r="F102" s="822"/>
      <c r="G102" s="273"/>
      <c r="H102" s="274" t="s">
        <v>156</v>
      </c>
      <c r="I102" s="275" t="s">
        <v>157</v>
      </c>
      <c r="J102" s="276" t="s">
        <v>37</v>
      </c>
    </row>
    <row r="103" spans="2:10" s="156" customFormat="1" x14ac:dyDescent="0.3">
      <c r="B103" s="927"/>
      <c r="C103" s="835"/>
      <c r="D103" s="835"/>
      <c r="E103" s="835"/>
      <c r="F103" s="836"/>
      <c r="G103" s="273"/>
      <c r="H103" s="277"/>
      <c r="I103" s="278"/>
      <c r="J103" s="279"/>
    </row>
    <row r="104" spans="2:10" s="156" customFormat="1" x14ac:dyDescent="0.3">
      <c r="B104" s="927"/>
      <c r="C104" s="835"/>
      <c r="D104" s="835"/>
      <c r="E104" s="835"/>
      <c r="F104" s="836"/>
      <c r="G104" s="280"/>
      <c r="H104" s="277"/>
      <c r="I104" s="278"/>
      <c r="J104" s="279"/>
    </row>
    <row r="105" spans="2:10" s="156" customFormat="1" x14ac:dyDescent="0.3">
      <c r="B105" s="928"/>
      <c r="C105" s="840"/>
      <c r="D105" s="840"/>
      <c r="E105" s="840"/>
      <c r="F105" s="841"/>
      <c r="G105" s="281"/>
      <c r="H105" s="281"/>
      <c r="I105" s="282" t="s">
        <v>153</v>
      </c>
      <c r="J105" s="283">
        <f>SUM(J103:J104)</f>
        <v>0</v>
      </c>
    </row>
    <row r="106" spans="2:10" s="156" customFormat="1" x14ac:dyDescent="0.3">
      <c r="B106" s="923" t="s">
        <v>158</v>
      </c>
      <c r="C106" s="838"/>
      <c r="D106" s="838"/>
      <c r="E106" s="253"/>
      <c r="F106" s="284"/>
      <c r="G106" s="284"/>
      <c r="H106" s="285"/>
      <c r="I106" s="286"/>
      <c r="J106" s="287"/>
    </row>
    <row r="107" spans="2:10" s="156" customFormat="1" x14ac:dyDescent="0.3">
      <c r="B107" s="924" t="s">
        <v>151</v>
      </c>
      <c r="C107" s="821"/>
      <c r="D107" s="821"/>
      <c r="E107" s="821"/>
      <c r="F107" s="822"/>
      <c r="G107" s="259" t="s">
        <v>48</v>
      </c>
      <c r="H107" s="259" t="s">
        <v>19</v>
      </c>
      <c r="I107" s="260" t="s">
        <v>20</v>
      </c>
      <c r="J107" s="261" t="s">
        <v>37</v>
      </c>
    </row>
    <row r="108" spans="2:10" s="156" customFormat="1" x14ac:dyDescent="0.3">
      <c r="B108" s="925"/>
      <c r="C108" s="824"/>
      <c r="D108" s="824"/>
      <c r="E108" s="824"/>
      <c r="F108" s="825"/>
      <c r="G108" s="288"/>
      <c r="H108" s="288"/>
      <c r="I108" s="289"/>
      <c r="J108" s="265">
        <f>ROUND(H108*I108,0)</f>
        <v>0</v>
      </c>
    </row>
    <row r="109" spans="2:10" s="156" customFormat="1" x14ac:dyDescent="0.3">
      <c r="B109" s="926"/>
      <c r="C109" s="827"/>
      <c r="D109" s="827"/>
      <c r="E109" s="267"/>
      <c r="F109" s="267"/>
      <c r="G109" s="267"/>
      <c r="H109" s="290"/>
      <c r="I109" s="291" t="s">
        <v>153</v>
      </c>
      <c r="J109" s="292">
        <f>SUM(J108:J108)</f>
        <v>0</v>
      </c>
    </row>
    <row r="110" spans="2:10" s="156" customFormat="1" x14ac:dyDescent="0.3">
      <c r="B110" s="923" t="s">
        <v>159</v>
      </c>
      <c r="C110" s="838"/>
      <c r="D110" s="838"/>
      <c r="E110" s="254"/>
      <c r="F110" s="255"/>
      <c r="G110" s="255"/>
      <c r="H110" s="255"/>
      <c r="I110" s="286"/>
      <c r="J110" s="287"/>
    </row>
    <row r="111" spans="2:10" s="156" customFormat="1" x14ac:dyDescent="0.3">
      <c r="B111" s="924" t="s">
        <v>151</v>
      </c>
      <c r="C111" s="821"/>
      <c r="D111" s="821"/>
      <c r="E111" s="821"/>
      <c r="F111" s="822"/>
      <c r="G111" s="274" t="s">
        <v>48</v>
      </c>
      <c r="H111" s="274" t="s">
        <v>19</v>
      </c>
      <c r="I111" s="275" t="s">
        <v>20</v>
      </c>
      <c r="J111" s="276" t="s">
        <v>37</v>
      </c>
    </row>
    <row r="112" spans="2:10" s="156" customFormat="1" x14ac:dyDescent="0.3">
      <c r="B112" s="927" t="s">
        <v>850</v>
      </c>
      <c r="C112" s="835"/>
      <c r="D112" s="835"/>
      <c r="E112" s="835"/>
      <c r="F112" s="836"/>
      <c r="G112" s="280" t="s">
        <v>48</v>
      </c>
      <c r="H112" s="280">
        <v>1</v>
      </c>
      <c r="I112" s="293">
        <f>5340000*1.1</f>
        <v>5874000.0000000009</v>
      </c>
      <c r="J112" s="294">
        <f>+H112*I112</f>
        <v>5874000.0000000009</v>
      </c>
    </row>
    <row r="113" spans="2:12" s="156" customFormat="1" x14ac:dyDescent="0.3">
      <c r="B113" s="927" t="s">
        <v>851</v>
      </c>
      <c r="C113" s="835"/>
      <c r="D113" s="835"/>
      <c r="E113" s="835"/>
      <c r="F113" s="836"/>
      <c r="G113" s="280" t="s">
        <v>48</v>
      </c>
      <c r="H113" s="280">
        <v>1</v>
      </c>
      <c r="I113" s="293">
        <v>12479000</v>
      </c>
      <c r="J113" s="294">
        <f t="shared" ref="J113:J116" si="0">+H113*I113</f>
        <v>12479000</v>
      </c>
    </row>
    <row r="114" spans="2:12" s="156" customFormat="1" x14ac:dyDescent="0.3">
      <c r="B114" s="927" t="s">
        <v>171</v>
      </c>
      <c r="C114" s="835"/>
      <c r="D114" s="835"/>
      <c r="E114" s="835"/>
      <c r="F114" s="836"/>
      <c r="G114" s="280" t="s">
        <v>48</v>
      </c>
      <c r="H114" s="280">
        <v>1</v>
      </c>
      <c r="I114" s="293">
        <v>4800030</v>
      </c>
      <c r="J114" s="294">
        <f t="shared" si="0"/>
        <v>4800030</v>
      </c>
    </row>
    <row r="115" spans="2:12" s="156" customFormat="1" x14ac:dyDescent="0.3">
      <c r="B115" s="927" t="s">
        <v>172</v>
      </c>
      <c r="C115" s="835"/>
      <c r="D115" s="835"/>
      <c r="E115" s="835"/>
      <c r="F115" s="836"/>
      <c r="G115" s="280" t="s">
        <v>48</v>
      </c>
      <c r="H115" s="280">
        <v>1</v>
      </c>
      <c r="I115" s="293">
        <v>9754000</v>
      </c>
      <c r="J115" s="294">
        <f t="shared" si="0"/>
        <v>9754000</v>
      </c>
    </row>
    <row r="116" spans="2:12" s="156" customFormat="1" x14ac:dyDescent="0.3">
      <c r="B116" s="954" t="s">
        <v>173</v>
      </c>
      <c r="C116" s="856"/>
      <c r="D116" s="856"/>
      <c r="E116" s="856"/>
      <c r="F116" s="857"/>
      <c r="G116" s="299" t="s">
        <v>48</v>
      </c>
      <c r="H116" s="299">
        <v>1</v>
      </c>
      <c r="I116" s="300">
        <v>8167570</v>
      </c>
      <c r="J116" s="295">
        <f t="shared" si="0"/>
        <v>8167570</v>
      </c>
    </row>
    <row r="117" spans="2:12" s="156" customFormat="1" x14ac:dyDescent="0.3">
      <c r="B117" s="920"/>
      <c r="C117" s="921"/>
      <c r="D117" s="921"/>
      <c r="E117" s="921"/>
      <c r="F117" s="944"/>
      <c r="G117" s="239"/>
      <c r="H117" s="239"/>
      <c r="I117" s="240" t="s">
        <v>153</v>
      </c>
      <c r="J117" s="247">
        <f>SUM(J112:J116)</f>
        <v>41074600</v>
      </c>
    </row>
    <row r="118" spans="2:12" s="156" customFormat="1" x14ac:dyDescent="0.3">
      <c r="B118" s="798"/>
      <c r="C118" s="799"/>
      <c r="D118" s="799"/>
      <c r="E118" s="799"/>
      <c r="F118" s="799"/>
      <c r="G118" s="800"/>
      <c r="H118" s="801" t="s">
        <v>160</v>
      </c>
      <c r="I118" s="802"/>
      <c r="J118" s="248">
        <f>+J109++J117+J105+J100</f>
        <v>41074600</v>
      </c>
    </row>
    <row r="119" spans="2:12" s="156" customFormat="1" x14ac:dyDescent="0.3">
      <c r="B119" s="803"/>
      <c r="C119" s="804"/>
      <c r="D119" s="804"/>
      <c r="E119" s="804"/>
      <c r="F119" s="804"/>
      <c r="G119" s="805"/>
      <c r="H119" s="806" t="s">
        <v>1004</v>
      </c>
      <c r="I119" s="807"/>
      <c r="J119" s="297">
        <v>0</v>
      </c>
    </row>
    <row r="120" spans="2:12" s="156" customFormat="1" x14ac:dyDescent="0.3">
      <c r="B120" s="798"/>
      <c r="C120" s="799"/>
      <c r="D120" s="799"/>
      <c r="E120" s="799"/>
      <c r="F120" s="799"/>
      <c r="G120" s="800"/>
      <c r="H120" s="801" t="s">
        <v>291</v>
      </c>
      <c r="I120" s="802"/>
      <c r="J120" s="248">
        <f>SUM(J118:J119)</f>
        <v>41074600</v>
      </c>
    </row>
    <row r="121" spans="2:12" s="156" customFormat="1" x14ac:dyDescent="0.3"/>
    <row r="122" spans="2:12" s="156" customFormat="1" x14ac:dyDescent="0.3"/>
    <row r="123" spans="2:12" s="156" customFormat="1" x14ac:dyDescent="0.3">
      <c r="B123" s="249" t="s">
        <v>15</v>
      </c>
      <c r="C123" s="952" t="s">
        <v>151</v>
      </c>
      <c r="D123" s="952"/>
      <c r="E123" s="952"/>
      <c r="F123" s="952"/>
      <c r="G123" s="952"/>
      <c r="H123" s="953"/>
      <c r="I123" s="250" t="s">
        <v>48</v>
      </c>
      <c r="J123" s="251" t="s">
        <v>19</v>
      </c>
      <c r="L123" s="301"/>
    </row>
    <row r="124" spans="2:12" s="156" customFormat="1" ht="31.5" customHeight="1" x14ac:dyDescent="0.3">
      <c r="B124" s="221" t="str">
        <f>PPTO_PLANES!B8</f>
        <v>5.1.2</v>
      </c>
      <c r="C124" s="946" t="str">
        <f>PPTO_PLANES!C8</f>
        <v>Manejo Etológico  (Incluye la identificación, rescate antes del evento de implosión, almacenamiento temporal y reincorporación en el área de rescate  después del evento de implosión)</v>
      </c>
      <c r="D124" s="947"/>
      <c r="E124" s="947"/>
      <c r="F124" s="947"/>
      <c r="G124" s="947"/>
      <c r="H124" s="948"/>
      <c r="I124" s="222" t="s">
        <v>18</v>
      </c>
      <c r="J124" s="252">
        <v>1</v>
      </c>
    </row>
    <row r="125" spans="2:12" s="156" customFormat="1" x14ac:dyDescent="0.3">
      <c r="B125" s="941" t="s">
        <v>152</v>
      </c>
      <c r="C125" s="949"/>
      <c r="D125" s="949"/>
      <c r="E125" s="254"/>
      <c r="F125" s="255"/>
      <c r="G125" s="255"/>
      <c r="H125" s="256"/>
      <c r="I125" s="257"/>
      <c r="J125" s="258"/>
    </row>
    <row r="126" spans="2:12" s="156" customFormat="1" x14ac:dyDescent="0.3">
      <c r="B126" s="924" t="s">
        <v>151</v>
      </c>
      <c r="C126" s="821"/>
      <c r="D126" s="821"/>
      <c r="E126" s="821"/>
      <c r="F126" s="822"/>
      <c r="G126" s="259" t="s">
        <v>48</v>
      </c>
      <c r="H126" s="259" t="s">
        <v>19</v>
      </c>
      <c r="I126" s="260" t="s">
        <v>20</v>
      </c>
      <c r="J126" s="261" t="s">
        <v>37</v>
      </c>
    </row>
    <row r="127" spans="2:12" s="156" customFormat="1" x14ac:dyDescent="0.3">
      <c r="B127" s="927"/>
      <c r="C127" s="835"/>
      <c r="D127" s="835"/>
      <c r="E127" s="835"/>
      <c r="F127" s="836"/>
      <c r="G127" s="262"/>
      <c r="H127" s="263"/>
      <c r="I127" s="264"/>
      <c r="J127" s="265">
        <f>ROUND(I127*H127,0)</f>
        <v>0</v>
      </c>
    </row>
    <row r="128" spans="2:12" s="156" customFormat="1" x14ac:dyDescent="0.3">
      <c r="B128" s="927"/>
      <c r="C128" s="835"/>
      <c r="D128" s="835"/>
      <c r="E128" s="835"/>
      <c r="F128" s="836"/>
      <c r="G128" s="266"/>
      <c r="H128" s="263"/>
      <c r="I128" s="264"/>
      <c r="J128" s="265"/>
    </row>
    <row r="129" spans="2:10" s="156" customFormat="1" x14ac:dyDescent="0.3">
      <c r="B129" s="926"/>
      <c r="C129" s="827"/>
      <c r="D129" s="827"/>
      <c r="E129" s="268"/>
      <c r="F129" s="268"/>
      <c r="G129" s="268"/>
      <c r="H129" s="269"/>
      <c r="I129" s="270" t="s">
        <v>153</v>
      </c>
      <c r="J129" s="271">
        <f>+SUM(J127:J128)</f>
        <v>0</v>
      </c>
    </row>
    <row r="130" spans="2:10" s="156" customFormat="1" x14ac:dyDescent="0.3">
      <c r="B130" s="923" t="s">
        <v>154</v>
      </c>
      <c r="C130" s="838"/>
      <c r="D130" s="838"/>
      <c r="E130" s="255"/>
      <c r="F130" s="255"/>
      <c r="G130" s="255"/>
      <c r="H130" s="255"/>
      <c r="I130" s="272"/>
      <c r="J130" s="261"/>
    </row>
    <row r="131" spans="2:10" s="156" customFormat="1" x14ac:dyDescent="0.3">
      <c r="B131" s="924" t="s">
        <v>155</v>
      </c>
      <c r="C131" s="821"/>
      <c r="D131" s="821"/>
      <c r="E131" s="821"/>
      <c r="F131" s="822"/>
      <c r="G131" s="273"/>
      <c r="H131" s="274" t="s">
        <v>156</v>
      </c>
      <c r="I131" s="275" t="s">
        <v>157</v>
      </c>
      <c r="J131" s="276" t="s">
        <v>37</v>
      </c>
    </row>
    <row r="132" spans="2:10" s="156" customFormat="1" x14ac:dyDescent="0.3">
      <c r="B132" s="927"/>
      <c r="C132" s="835"/>
      <c r="D132" s="835"/>
      <c r="E132" s="835"/>
      <c r="F132" s="836"/>
      <c r="G132" s="273"/>
      <c r="H132" s="277"/>
      <c r="I132" s="278"/>
      <c r="J132" s="279"/>
    </row>
    <row r="133" spans="2:10" s="156" customFormat="1" x14ac:dyDescent="0.3">
      <c r="B133" s="927"/>
      <c r="C133" s="835"/>
      <c r="D133" s="835"/>
      <c r="E133" s="835"/>
      <c r="F133" s="836"/>
      <c r="G133" s="280"/>
      <c r="H133" s="277"/>
      <c r="I133" s="278"/>
      <c r="J133" s="279"/>
    </row>
    <row r="134" spans="2:10" s="156" customFormat="1" x14ac:dyDescent="0.3">
      <c r="B134" s="928"/>
      <c r="C134" s="840"/>
      <c r="D134" s="840"/>
      <c r="E134" s="840"/>
      <c r="F134" s="841"/>
      <c r="G134" s="281"/>
      <c r="H134" s="281"/>
      <c r="I134" s="282" t="s">
        <v>153</v>
      </c>
      <c r="J134" s="283">
        <f>SUM(J132:J133)</f>
        <v>0</v>
      </c>
    </row>
    <row r="135" spans="2:10" s="156" customFormat="1" x14ac:dyDescent="0.3">
      <c r="B135" s="923" t="s">
        <v>158</v>
      </c>
      <c r="C135" s="838"/>
      <c r="D135" s="838"/>
      <c r="E135" s="253"/>
      <c r="F135" s="284"/>
      <c r="G135" s="284"/>
      <c r="H135" s="285"/>
      <c r="I135" s="286"/>
      <c r="J135" s="287"/>
    </row>
    <row r="136" spans="2:10" s="156" customFormat="1" x14ac:dyDescent="0.3">
      <c r="B136" s="924" t="s">
        <v>151</v>
      </c>
      <c r="C136" s="821"/>
      <c r="D136" s="821"/>
      <c r="E136" s="821"/>
      <c r="F136" s="822"/>
      <c r="G136" s="259" t="s">
        <v>48</v>
      </c>
      <c r="H136" s="259" t="s">
        <v>19</v>
      </c>
      <c r="I136" s="260" t="s">
        <v>20</v>
      </c>
      <c r="J136" s="261" t="s">
        <v>37</v>
      </c>
    </row>
    <row r="137" spans="2:10" s="156" customFormat="1" x14ac:dyDescent="0.3">
      <c r="B137" s="925"/>
      <c r="C137" s="824"/>
      <c r="D137" s="824"/>
      <c r="E137" s="824"/>
      <c r="F137" s="825"/>
      <c r="G137" s="288"/>
      <c r="H137" s="288"/>
      <c r="I137" s="289"/>
      <c r="J137" s="265">
        <f>ROUND(H137*I137,0)</f>
        <v>0</v>
      </c>
    </row>
    <row r="138" spans="2:10" s="156" customFormat="1" x14ac:dyDescent="0.3">
      <c r="B138" s="926"/>
      <c r="C138" s="827"/>
      <c r="D138" s="827"/>
      <c r="E138" s="267"/>
      <c r="F138" s="267"/>
      <c r="G138" s="267"/>
      <c r="H138" s="290"/>
      <c r="I138" s="291" t="s">
        <v>153</v>
      </c>
      <c r="J138" s="292">
        <f>SUM(J137:J137)</f>
        <v>0</v>
      </c>
    </row>
    <row r="139" spans="2:10" s="156" customFormat="1" x14ac:dyDescent="0.3">
      <c r="B139" s="938" t="s">
        <v>159</v>
      </c>
      <c r="C139" s="829"/>
      <c r="D139" s="829"/>
      <c r="E139" s="302"/>
      <c r="F139" s="303"/>
      <c r="G139" s="303"/>
      <c r="H139" s="303"/>
      <c r="I139" s="304"/>
      <c r="J139" s="305"/>
    </row>
    <row r="140" spans="2:10" s="156" customFormat="1" x14ac:dyDescent="0.3">
      <c r="B140" s="919" t="s">
        <v>151</v>
      </c>
      <c r="C140" s="832"/>
      <c r="D140" s="832"/>
      <c r="E140" s="832"/>
      <c r="F140" s="833"/>
      <c r="G140" s="232" t="s">
        <v>48</v>
      </c>
      <c r="H140" s="232" t="s">
        <v>19</v>
      </c>
      <c r="I140" s="233" t="s">
        <v>20</v>
      </c>
      <c r="J140" s="233" t="s">
        <v>37</v>
      </c>
    </row>
    <row r="141" spans="2:10" s="156" customFormat="1" x14ac:dyDescent="0.3">
      <c r="B141" s="917" t="s">
        <v>174</v>
      </c>
      <c r="C141" s="813"/>
      <c r="D141" s="813"/>
      <c r="E141" s="813"/>
      <c r="F141" s="814"/>
      <c r="G141" s="245" t="s">
        <v>48</v>
      </c>
      <c r="H141" s="245">
        <v>1</v>
      </c>
      <c r="I141" s="237">
        <v>16315000</v>
      </c>
      <c r="J141" s="237">
        <f>+H141*I141</f>
        <v>16315000</v>
      </c>
    </row>
    <row r="142" spans="2:10" s="156" customFormat="1" x14ac:dyDescent="0.3">
      <c r="B142" s="917"/>
      <c r="C142" s="813"/>
      <c r="D142" s="813"/>
      <c r="E142" s="813"/>
      <c r="F142" s="814"/>
      <c r="G142" s="245"/>
      <c r="H142" s="245"/>
      <c r="I142" s="237"/>
      <c r="J142" s="237"/>
    </row>
    <row r="143" spans="2:10" s="156" customFormat="1" x14ac:dyDescent="0.3">
      <c r="B143" s="920"/>
      <c r="C143" s="921"/>
      <c r="D143" s="921"/>
      <c r="E143" s="921"/>
      <c r="F143" s="922"/>
      <c r="G143" s="306"/>
      <c r="H143" s="306"/>
      <c r="I143" s="307" t="s">
        <v>153</v>
      </c>
      <c r="J143" s="308">
        <f>SUM(J141:J142)</f>
        <v>16315000</v>
      </c>
    </row>
    <row r="144" spans="2:10" s="156" customFormat="1" x14ac:dyDescent="0.3">
      <c r="B144" s="950"/>
      <c r="C144" s="951"/>
      <c r="D144" s="951"/>
      <c r="E144" s="309"/>
      <c r="F144" s="309"/>
      <c r="G144" s="309"/>
      <c r="H144" s="915" t="s">
        <v>160</v>
      </c>
      <c r="I144" s="916"/>
      <c r="J144" s="310">
        <f>+J138++J143+J134+J129</f>
        <v>16315000</v>
      </c>
    </row>
    <row r="145" spans="2:10" s="156" customFormat="1" x14ac:dyDescent="0.3">
      <c r="B145" s="803"/>
      <c r="C145" s="804"/>
      <c r="D145" s="804"/>
      <c r="E145" s="804"/>
      <c r="F145" s="804"/>
      <c r="G145" s="805"/>
      <c r="H145" s="806" t="s">
        <v>1004</v>
      </c>
      <c r="I145" s="807"/>
      <c r="J145" s="297">
        <v>0</v>
      </c>
    </row>
    <row r="146" spans="2:10" s="156" customFormat="1" x14ac:dyDescent="0.3">
      <c r="B146" s="798"/>
      <c r="C146" s="799"/>
      <c r="D146" s="799"/>
      <c r="E146" s="799"/>
      <c r="F146" s="799"/>
      <c r="G146" s="800"/>
      <c r="H146" s="801" t="s">
        <v>291</v>
      </c>
      <c r="I146" s="802"/>
      <c r="J146" s="248">
        <f>SUM(J144:J145)</f>
        <v>16315000</v>
      </c>
    </row>
    <row r="147" spans="2:10" s="156" customFormat="1" x14ac:dyDescent="0.3">
      <c r="B147" s="311"/>
      <c r="C147" s="151"/>
      <c r="D147" s="151"/>
      <c r="E147" s="311"/>
      <c r="F147" s="311"/>
      <c r="G147" s="311"/>
      <c r="H147" s="312"/>
      <c r="I147" s="151"/>
      <c r="J147" s="313"/>
    </row>
    <row r="148" spans="2:10" s="156" customFormat="1" x14ac:dyDescent="0.3">
      <c r="B148" s="311"/>
      <c r="C148" s="151"/>
      <c r="D148" s="151"/>
      <c r="E148" s="311"/>
      <c r="F148" s="311"/>
      <c r="G148" s="311"/>
      <c r="H148" s="312"/>
      <c r="I148" s="151"/>
      <c r="J148" s="313"/>
    </row>
    <row r="149" spans="2:10" s="156" customFormat="1" x14ac:dyDescent="0.3"/>
    <row r="150" spans="2:10" s="156" customFormat="1" x14ac:dyDescent="0.3">
      <c r="B150" s="249" t="s">
        <v>15</v>
      </c>
      <c r="C150" s="952" t="s">
        <v>151</v>
      </c>
      <c r="D150" s="952"/>
      <c r="E150" s="952"/>
      <c r="F150" s="952"/>
      <c r="G150" s="952"/>
      <c r="H150" s="953"/>
      <c r="I150" s="250" t="s">
        <v>48</v>
      </c>
      <c r="J150" s="251" t="s">
        <v>19</v>
      </c>
    </row>
    <row r="151" spans="2:10" s="156" customFormat="1" ht="29.1" customHeight="1" x14ac:dyDescent="0.3">
      <c r="B151" s="221" t="str">
        <f>PPTO_PLANES!B9</f>
        <v>5.1.3</v>
      </c>
      <c r="C151" s="946" t="str">
        <f>PPTO_PLANES!C9</f>
        <v>Servicio Ornitológico (Incluye la identificación y el ahuyentamiento en los momentos previos a la actividad de implosión)</v>
      </c>
      <c r="D151" s="947"/>
      <c r="E151" s="947"/>
      <c r="F151" s="947"/>
      <c r="G151" s="947"/>
      <c r="H151" s="948"/>
      <c r="I151" s="222" t="s">
        <v>18</v>
      </c>
      <c r="J151" s="252">
        <v>1</v>
      </c>
    </row>
    <row r="152" spans="2:10" s="156" customFormat="1" x14ac:dyDescent="0.3">
      <c r="B152" s="941" t="s">
        <v>152</v>
      </c>
      <c r="C152" s="949"/>
      <c r="D152" s="949"/>
      <c r="E152" s="254"/>
      <c r="F152" s="255"/>
      <c r="G152" s="255"/>
      <c r="H152" s="256"/>
      <c r="I152" s="257"/>
      <c r="J152" s="258"/>
    </row>
    <row r="153" spans="2:10" s="156" customFormat="1" x14ac:dyDescent="0.3">
      <c r="B153" s="924" t="s">
        <v>151</v>
      </c>
      <c r="C153" s="821"/>
      <c r="D153" s="821"/>
      <c r="E153" s="821"/>
      <c r="F153" s="822"/>
      <c r="G153" s="259" t="s">
        <v>48</v>
      </c>
      <c r="H153" s="259" t="s">
        <v>19</v>
      </c>
      <c r="I153" s="260" t="s">
        <v>20</v>
      </c>
      <c r="J153" s="261" t="s">
        <v>37</v>
      </c>
    </row>
    <row r="154" spans="2:10" s="156" customFormat="1" x14ac:dyDescent="0.3">
      <c r="B154" s="927"/>
      <c r="C154" s="835"/>
      <c r="D154" s="835"/>
      <c r="E154" s="835"/>
      <c r="F154" s="836"/>
      <c r="G154" s="262"/>
      <c r="H154" s="263"/>
      <c r="I154" s="264"/>
      <c r="J154" s="265">
        <f>ROUND(I154*H154,0)</f>
        <v>0</v>
      </c>
    </row>
    <row r="155" spans="2:10" s="156" customFormat="1" x14ac:dyDescent="0.3">
      <c r="B155" s="927"/>
      <c r="C155" s="835"/>
      <c r="D155" s="835"/>
      <c r="E155" s="835"/>
      <c r="F155" s="836"/>
      <c r="G155" s="266"/>
      <c r="H155" s="263"/>
      <c r="I155" s="264"/>
      <c r="J155" s="265"/>
    </row>
    <row r="156" spans="2:10" s="156" customFormat="1" x14ac:dyDescent="0.3">
      <c r="B156" s="926"/>
      <c r="C156" s="827"/>
      <c r="D156" s="827"/>
      <c r="E156" s="268"/>
      <c r="F156" s="268"/>
      <c r="G156" s="268"/>
      <c r="H156" s="269"/>
      <c r="I156" s="270" t="s">
        <v>153</v>
      </c>
      <c r="J156" s="271">
        <f>+SUM(J154:J155)</f>
        <v>0</v>
      </c>
    </row>
    <row r="157" spans="2:10" s="156" customFormat="1" x14ac:dyDescent="0.3">
      <c r="B157" s="923" t="s">
        <v>154</v>
      </c>
      <c r="C157" s="838"/>
      <c r="D157" s="838"/>
      <c r="E157" s="255"/>
      <c r="F157" s="255"/>
      <c r="G157" s="255"/>
      <c r="H157" s="255"/>
      <c r="I157" s="272"/>
      <c r="J157" s="261"/>
    </row>
    <row r="158" spans="2:10" s="156" customFormat="1" x14ac:dyDescent="0.3">
      <c r="B158" s="924" t="s">
        <v>155</v>
      </c>
      <c r="C158" s="821"/>
      <c r="D158" s="821"/>
      <c r="E158" s="821"/>
      <c r="F158" s="822"/>
      <c r="G158" s="273"/>
      <c r="H158" s="274" t="s">
        <v>156</v>
      </c>
      <c r="I158" s="275" t="s">
        <v>157</v>
      </c>
      <c r="J158" s="276" t="s">
        <v>37</v>
      </c>
    </row>
    <row r="159" spans="2:10" s="156" customFormat="1" x14ac:dyDescent="0.3">
      <c r="B159" s="927"/>
      <c r="C159" s="835"/>
      <c r="D159" s="835"/>
      <c r="E159" s="835"/>
      <c r="F159" s="836"/>
      <c r="G159" s="273"/>
      <c r="H159" s="277"/>
      <c r="I159" s="278"/>
      <c r="J159" s="279"/>
    </row>
    <row r="160" spans="2:10" s="156" customFormat="1" x14ac:dyDescent="0.3">
      <c r="B160" s="927"/>
      <c r="C160" s="835"/>
      <c r="D160" s="835"/>
      <c r="E160" s="835"/>
      <c r="F160" s="836"/>
      <c r="G160" s="280"/>
      <c r="H160" s="277"/>
      <c r="I160" s="278"/>
      <c r="J160" s="279"/>
    </row>
    <row r="161" spans="2:10" s="156" customFormat="1" x14ac:dyDescent="0.3">
      <c r="B161" s="928"/>
      <c r="C161" s="840"/>
      <c r="D161" s="840"/>
      <c r="E161" s="840"/>
      <c r="F161" s="841"/>
      <c r="G161" s="281"/>
      <c r="H161" s="281"/>
      <c r="I161" s="282" t="s">
        <v>153</v>
      </c>
      <c r="J161" s="283">
        <f>SUM(J159:J160)</f>
        <v>0</v>
      </c>
    </row>
    <row r="162" spans="2:10" s="156" customFormat="1" x14ac:dyDescent="0.3">
      <c r="B162" s="923" t="s">
        <v>158</v>
      </c>
      <c r="C162" s="838"/>
      <c r="D162" s="838"/>
      <c r="E162" s="253"/>
      <c r="F162" s="284"/>
      <c r="G162" s="284"/>
      <c r="H162" s="285"/>
      <c r="I162" s="286"/>
      <c r="J162" s="287"/>
    </row>
    <row r="163" spans="2:10" s="156" customFormat="1" x14ac:dyDescent="0.3">
      <c r="B163" s="924" t="s">
        <v>151</v>
      </c>
      <c r="C163" s="821"/>
      <c r="D163" s="821"/>
      <c r="E163" s="821"/>
      <c r="F163" s="822"/>
      <c r="G163" s="259" t="s">
        <v>48</v>
      </c>
      <c r="H163" s="259" t="s">
        <v>19</v>
      </c>
      <c r="I163" s="260" t="s">
        <v>20</v>
      </c>
      <c r="J163" s="261" t="s">
        <v>37</v>
      </c>
    </row>
    <row r="164" spans="2:10" s="156" customFormat="1" x14ac:dyDescent="0.3">
      <c r="B164" s="925"/>
      <c r="C164" s="824"/>
      <c r="D164" s="824"/>
      <c r="E164" s="824"/>
      <c r="F164" s="825"/>
      <c r="G164" s="288"/>
      <c r="H164" s="288"/>
      <c r="I164" s="289"/>
      <c r="J164" s="265">
        <f>ROUND(H164*I164,0)</f>
        <v>0</v>
      </c>
    </row>
    <row r="165" spans="2:10" s="156" customFormat="1" x14ac:dyDescent="0.3">
      <c r="B165" s="926"/>
      <c r="C165" s="827"/>
      <c r="D165" s="827"/>
      <c r="E165" s="267"/>
      <c r="F165" s="267"/>
      <c r="G165" s="267"/>
      <c r="H165" s="290"/>
      <c r="I165" s="291" t="s">
        <v>153</v>
      </c>
      <c r="J165" s="292">
        <f>SUM(J164:J164)</f>
        <v>0</v>
      </c>
    </row>
    <row r="166" spans="2:10" s="156" customFormat="1" x14ac:dyDescent="0.3">
      <c r="B166" s="923" t="s">
        <v>159</v>
      </c>
      <c r="C166" s="838"/>
      <c r="D166" s="838"/>
      <c r="E166" s="254"/>
      <c r="F166" s="255"/>
      <c r="G166" s="255"/>
      <c r="H166" s="255"/>
      <c r="I166" s="286"/>
      <c r="J166" s="287"/>
    </row>
    <row r="167" spans="2:10" s="156" customFormat="1" x14ac:dyDescent="0.3">
      <c r="B167" s="945" t="s">
        <v>151</v>
      </c>
      <c r="C167" s="842"/>
      <c r="D167" s="842"/>
      <c r="E167" s="842"/>
      <c r="F167" s="843"/>
      <c r="G167" s="274" t="s">
        <v>48</v>
      </c>
      <c r="H167" s="274" t="s">
        <v>19</v>
      </c>
      <c r="I167" s="275" t="s">
        <v>20</v>
      </c>
      <c r="J167" s="276" t="s">
        <v>37</v>
      </c>
    </row>
    <row r="168" spans="2:10" s="156" customFormat="1" ht="28.2" customHeight="1" x14ac:dyDescent="0.3">
      <c r="B168" s="917" t="s">
        <v>175</v>
      </c>
      <c r="C168" s="813"/>
      <c r="D168" s="813"/>
      <c r="E168" s="813"/>
      <c r="F168" s="814"/>
      <c r="G168" s="245" t="s">
        <v>48</v>
      </c>
      <c r="H168" s="245">
        <v>1</v>
      </c>
      <c r="I168" s="237">
        <v>7700000</v>
      </c>
      <c r="J168" s="237">
        <f>+H168*I168</f>
        <v>7700000</v>
      </c>
    </row>
    <row r="169" spans="2:10" s="156" customFormat="1" x14ac:dyDescent="0.3">
      <c r="B169" s="917"/>
      <c r="C169" s="813"/>
      <c r="D169" s="813"/>
      <c r="E169" s="813"/>
      <c r="F169" s="814"/>
      <c r="G169" s="245"/>
      <c r="H169" s="245"/>
      <c r="I169" s="237"/>
      <c r="J169" s="237"/>
    </row>
    <row r="170" spans="2:10" s="156" customFormat="1" x14ac:dyDescent="0.3">
      <c r="B170" s="920"/>
      <c r="C170" s="921"/>
      <c r="D170" s="921"/>
      <c r="E170" s="921"/>
      <c r="F170" s="944"/>
      <c r="G170" s="239"/>
      <c r="H170" s="239"/>
      <c r="I170" s="240" t="s">
        <v>153</v>
      </c>
      <c r="J170" s="247">
        <f>SUM(J168:J169)</f>
        <v>7700000</v>
      </c>
    </row>
    <row r="171" spans="2:10" s="156" customFormat="1" x14ac:dyDescent="0.3">
      <c r="B171" s="798"/>
      <c r="C171" s="799"/>
      <c r="D171" s="799"/>
      <c r="E171" s="799"/>
      <c r="F171" s="799"/>
      <c r="G171" s="800"/>
      <c r="H171" s="801" t="s">
        <v>160</v>
      </c>
      <c r="I171" s="802"/>
      <c r="J171" s="248">
        <f>+J165++J170+J161+J156</f>
        <v>7700000</v>
      </c>
    </row>
    <row r="172" spans="2:10" s="156" customFormat="1" x14ac:dyDescent="0.3">
      <c r="B172" s="803"/>
      <c r="C172" s="804"/>
      <c r="D172" s="804"/>
      <c r="E172" s="804"/>
      <c r="F172" s="804"/>
      <c r="G172" s="805"/>
      <c r="H172" s="806" t="s">
        <v>1004</v>
      </c>
      <c r="I172" s="807"/>
      <c r="J172" s="297">
        <v>0</v>
      </c>
    </row>
    <row r="173" spans="2:10" s="156" customFormat="1" x14ac:dyDescent="0.3">
      <c r="B173" s="798"/>
      <c r="C173" s="799"/>
      <c r="D173" s="799"/>
      <c r="E173" s="799"/>
      <c r="F173" s="799"/>
      <c r="G173" s="800"/>
      <c r="H173" s="801" t="s">
        <v>291</v>
      </c>
      <c r="I173" s="802"/>
      <c r="J173" s="248">
        <f>SUM(J171:J172)</f>
        <v>7700000</v>
      </c>
    </row>
    <row r="174" spans="2:10" s="156" customFormat="1" x14ac:dyDescent="0.3"/>
    <row r="175" spans="2:10" s="156" customFormat="1" x14ac:dyDescent="0.3"/>
    <row r="176" spans="2:10" s="156" customFormat="1" x14ac:dyDescent="0.3">
      <c r="B176" s="314" t="s">
        <v>15</v>
      </c>
      <c r="C176" s="832" t="s">
        <v>151</v>
      </c>
      <c r="D176" s="832"/>
      <c r="E176" s="832"/>
      <c r="F176" s="832"/>
      <c r="G176" s="832"/>
      <c r="H176" s="936"/>
      <c r="I176" s="250" t="s">
        <v>48</v>
      </c>
      <c r="J176" s="251" t="s">
        <v>19</v>
      </c>
    </row>
    <row r="177" spans="2:10" s="156" customFormat="1" ht="27.6" customHeight="1" x14ac:dyDescent="0.3">
      <c r="B177" s="221" t="str">
        <f>PPTO_PLANES!B23</f>
        <v>5.4.1</v>
      </c>
      <c r="C177" s="844" t="s">
        <v>123</v>
      </c>
      <c r="D177" s="845"/>
      <c r="E177" s="845"/>
      <c r="F177" s="845"/>
      <c r="G177" s="845"/>
      <c r="H177" s="846"/>
      <c r="I177" s="222" t="s">
        <v>18</v>
      </c>
      <c r="J177" s="252">
        <v>1</v>
      </c>
    </row>
    <row r="178" spans="2:10" s="156" customFormat="1" x14ac:dyDescent="0.3">
      <c r="B178" s="937" t="s">
        <v>152</v>
      </c>
      <c r="C178" s="848"/>
      <c r="D178" s="848"/>
      <c r="E178" s="253"/>
      <c r="F178" s="284"/>
      <c r="G178" s="284"/>
      <c r="H178" s="285"/>
      <c r="I178" s="257"/>
      <c r="J178" s="258"/>
    </row>
    <row r="179" spans="2:10" s="156" customFormat="1" x14ac:dyDescent="0.3">
      <c r="B179" s="924" t="s">
        <v>151</v>
      </c>
      <c r="C179" s="821"/>
      <c r="D179" s="821"/>
      <c r="E179" s="821"/>
      <c r="F179" s="822"/>
      <c r="G179" s="259" t="s">
        <v>48</v>
      </c>
      <c r="H179" s="259" t="s">
        <v>19</v>
      </c>
      <c r="I179" s="260" t="s">
        <v>20</v>
      </c>
      <c r="J179" s="261" t="s">
        <v>37</v>
      </c>
    </row>
    <row r="180" spans="2:10" s="156" customFormat="1" x14ac:dyDescent="0.3">
      <c r="B180" s="927"/>
      <c r="C180" s="835"/>
      <c r="D180" s="835"/>
      <c r="E180" s="835"/>
      <c r="F180" s="836"/>
      <c r="G180" s="262"/>
      <c r="H180" s="263"/>
      <c r="I180" s="264"/>
      <c r="J180" s="265">
        <f>ROUND(I180*H180,0)</f>
        <v>0</v>
      </c>
    </row>
    <row r="181" spans="2:10" s="156" customFormat="1" x14ac:dyDescent="0.3">
      <c r="B181" s="927"/>
      <c r="C181" s="835"/>
      <c r="D181" s="835"/>
      <c r="E181" s="835"/>
      <c r="F181" s="836"/>
      <c r="G181" s="266"/>
      <c r="H181" s="263"/>
      <c r="I181" s="264"/>
      <c r="J181" s="265"/>
    </row>
    <row r="182" spans="2:10" s="156" customFormat="1" x14ac:dyDescent="0.3">
      <c r="B182" s="926"/>
      <c r="C182" s="827"/>
      <c r="D182" s="827"/>
      <c r="E182" s="268"/>
      <c r="F182" s="268"/>
      <c r="G182" s="268"/>
      <c r="H182" s="269"/>
      <c r="I182" s="270" t="s">
        <v>153</v>
      </c>
      <c r="J182" s="271">
        <f>+SUM(J180:J181)</f>
        <v>0</v>
      </c>
    </row>
    <row r="183" spans="2:10" s="156" customFormat="1" x14ac:dyDescent="0.3">
      <c r="B183" s="923" t="s">
        <v>154</v>
      </c>
      <c r="C183" s="838"/>
      <c r="D183" s="838"/>
      <c r="E183" s="255"/>
      <c r="F183" s="255"/>
      <c r="G183" s="255"/>
      <c r="H183" s="255"/>
      <c r="I183" s="272"/>
      <c r="J183" s="261"/>
    </row>
    <row r="184" spans="2:10" s="156" customFormat="1" x14ac:dyDescent="0.3">
      <c r="B184" s="924" t="s">
        <v>155</v>
      </c>
      <c r="C184" s="821"/>
      <c r="D184" s="821"/>
      <c r="E184" s="821"/>
      <c r="F184" s="822"/>
      <c r="G184" s="273"/>
      <c r="H184" s="274" t="s">
        <v>156</v>
      </c>
      <c r="I184" s="275" t="s">
        <v>157</v>
      </c>
      <c r="J184" s="276" t="s">
        <v>37</v>
      </c>
    </row>
    <row r="185" spans="2:10" s="156" customFormat="1" x14ac:dyDescent="0.3">
      <c r="B185" s="927"/>
      <c r="C185" s="835"/>
      <c r="D185" s="835"/>
      <c r="E185" s="835"/>
      <c r="F185" s="836"/>
      <c r="G185" s="273"/>
      <c r="H185" s="277"/>
      <c r="I185" s="278"/>
      <c r="J185" s="279"/>
    </row>
    <row r="186" spans="2:10" s="156" customFormat="1" x14ac:dyDescent="0.3">
      <c r="B186" s="927"/>
      <c r="C186" s="835"/>
      <c r="D186" s="835"/>
      <c r="E186" s="835"/>
      <c r="F186" s="836"/>
      <c r="G186" s="280"/>
      <c r="H186" s="277"/>
      <c r="I186" s="278"/>
      <c r="J186" s="279"/>
    </row>
    <row r="187" spans="2:10" s="156" customFormat="1" x14ac:dyDescent="0.3">
      <c r="B187" s="928"/>
      <c r="C187" s="840"/>
      <c r="D187" s="840"/>
      <c r="E187" s="840"/>
      <c r="F187" s="841"/>
      <c r="G187" s="281"/>
      <c r="H187" s="281"/>
      <c r="I187" s="282" t="s">
        <v>153</v>
      </c>
      <c r="J187" s="283">
        <f>SUM(J185:J186)</f>
        <v>0</v>
      </c>
    </row>
    <row r="188" spans="2:10" s="156" customFormat="1" x14ac:dyDescent="0.3">
      <c r="B188" s="923" t="s">
        <v>158</v>
      </c>
      <c r="C188" s="838"/>
      <c r="D188" s="838"/>
      <c r="E188" s="253"/>
      <c r="F188" s="284"/>
      <c r="G188" s="284"/>
      <c r="H188" s="285"/>
      <c r="I188" s="286"/>
      <c r="J188" s="287"/>
    </row>
    <row r="189" spans="2:10" s="156" customFormat="1" x14ac:dyDescent="0.3">
      <c r="B189" s="924" t="s">
        <v>151</v>
      </c>
      <c r="C189" s="821"/>
      <c r="D189" s="821"/>
      <c r="E189" s="821"/>
      <c r="F189" s="822"/>
      <c r="G189" s="259" t="s">
        <v>48</v>
      </c>
      <c r="H189" s="259" t="s">
        <v>19</v>
      </c>
      <c r="I189" s="260" t="s">
        <v>20</v>
      </c>
      <c r="J189" s="261" t="s">
        <v>37</v>
      </c>
    </row>
    <row r="190" spans="2:10" s="156" customFormat="1" x14ac:dyDescent="0.3">
      <c r="B190" s="925"/>
      <c r="C190" s="824"/>
      <c r="D190" s="824"/>
      <c r="E190" s="824"/>
      <c r="F190" s="825"/>
      <c r="G190" s="288"/>
      <c r="H190" s="288"/>
      <c r="I190" s="289"/>
      <c r="J190" s="265">
        <f>ROUND(H190*I190,0)</f>
        <v>0</v>
      </c>
    </row>
    <row r="191" spans="2:10" s="156" customFormat="1" x14ac:dyDescent="0.3">
      <c r="B191" s="925"/>
      <c r="C191" s="824"/>
      <c r="D191" s="824"/>
      <c r="E191" s="824"/>
      <c r="F191" s="825"/>
      <c r="G191" s="288"/>
      <c r="H191" s="288"/>
      <c r="I191" s="289"/>
      <c r="J191" s="265"/>
    </row>
    <row r="192" spans="2:10" s="156" customFormat="1" x14ac:dyDescent="0.3">
      <c r="B192" s="926"/>
      <c r="C192" s="827"/>
      <c r="D192" s="827"/>
      <c r="E192" s="267"/>
      <c r="F192" s="267"/>
      <c r="G192" s="267"/>
      <c r="H192" s="290"/>
      <c r="I192" s="291" t="s">
        <v>153</v>
      </c>
      <c r="J192" s="292">
        <f>SUM(J190:J191)</f>
        <v>0</v>
      </c>
    </row>
    <row r="193" spans="2:12" s="156" customFormat="1" x14ac:dyDescent="0.3">
      <c r="B193" s="938" t="s">
        <v>159</v>
      </c>
      <c r="C193" s="829"/>
      <c r="D193" s="829"/>
      <c r="E193" s="829"/>
      <c r="F193" s="829"/>
      <c r="G193" s="829"/>
      <c r="H193" s="829"/>
      <c r="I193" s="829"/>
      <c r="J193" s="939"/>
    </row>
    <row r="194" spans="2:12" s="156" customFormat="1" x14ac:dyDescent="0.3">
      <c r="B194" s="919" t="s">
        <v>151</v>
      </c>
      <c r="C194" s="832"/>
      <c r="D194" s="832"/>
      <c r="E194" s="832"/>
      <c r="F194" s="833"/>
      <c r="G194" s="232" t="s">
        <v>48</v>
      </c>
      <c r="H194" s="232" t="s">
        <v>19</v>
      </c>
      <c r="I194" s="233" t="s">
        <v>20</v>
      </c>
      <c r="J194" s="233" t="s">
        <v>37</v>
      </c>
    </row>
    <row r="195" spans="2:12" s="156" customFormat="1" ht="27.6" customHeight="1" x14ac:dyDescent="0.3">
      <c r="B195" s="917" t="s">
        <v>176</v>
      </c>
      <c r="C195" s="813"/>
      <c r="D195" s="813"/>
      <c r="E195" s="813"/>
      <c r="F195" s="814"/>
      <c r="G195" s="245" t="s">
        <v>48</v>
      </c>
      <c r="H195" s="245">
        <v>1</v>
      </c>
      <c r="I195" s="237">
        <v>36760100</v>
      </c>
      <c r="J195" s="237">
        <f>+H195*I195</f>
        <v>36760100</v>
      </c>
    </row>
    <row r="196" spans="2:12" s="156" customFormat="1" x14ac:dyDescent="0.3">
      <c r="B196" s="917" t="s">
        <v>181</v>
      </c>
      <c r="C196" s="813"/>
      <c r="D196" s="813"/>
      <c r="E196" s="813"/>
      <c r="F196" s="814"/>
      <c r="G196" s="245" t="s">
        <v>48</v>
      </c>
      <c r="H196" s="245">
        <v>1</v>
      </c>
      <c r="I196" s="237">
        <v>19210300</v>
      </c>
      <c r="J196" s="237">
        <f t="shared" ref="J196:J197" si="1">+H196*I196</f>
        <v>19210300</v>
      </c>
    </row>
    <row r="197" spans="2:12" s="156" customFormat="1" x14ac:dyDescent="0.3">
      <c r="B197" s="917" t="s">
        <v>177</v>
      </c>
      <c r="C197" s="813"/>
      <c r="D197" s="813"/>
      <c r="E197" s="813"/>
      <c r="F197" s="814"/>
      <c r="G197" s="245" t="s">
        <v>48</v>
      </c>
      <c r="H197" s="245">
        <v>3</v>
      </c>
      <c r="I197" s="237">
        <v>6450200</v>
      </c>
      <c r="J197" s="237">
        <f t="shared" si="1"/>
        <v>19350600</v>
      </c>
    </row>
    <row r="198" spans="2:12" s="156" customFormat="1" x14ac:dyDescent="0.3">
      <c r="B198" s="918"/>
      <c r="C198" s="859"/>
      <c r="D198" s="859"/>
      <c r="E198" s="859"/>
      <c r="F198" s="860"/>
      <c r="G198" s="245"/>
      <c r="H198" s="245"/>
      <c r="I198" s="237"/>
      <c r="J198" s="237"/>
    </row>
    <row r="199" spans="2:12" s="156" customFormat="1" x14ac:dyDescent="0.3">
      <c r="B199" s="918"/>
      <c r="C199" s="859"/>
      <c r="D199" s="859"/>
      <c r="E199" s="859"/>
      <c r="F199" s="860"/>
      <c r="G199" s="245"/>
      <c r="H199" s="245"/>
      <c r="I199" s="237"/>
      <c r="J199" s="237"/>
    </row>
    <row r="200" spans="2:12" s="156" customFormat="1" x14ac:dyDescent="0.3">
      <c r="B200" s="918"/>
      <c r="C200" s="859"/>
      <c r="D200" s="859"/>
      <c r="E200" s="859"/>
      <c r="F200" s="860"/>
      <c r="G200" s="245"/>
      <c r="H200" s="245"/>
      <c r="I200" s="237"/>
      <c r="J200" s="237"/>
    </row>
    <row r="201" spans="2:12" s="156" customFormat="1" x14ac:dyDescent="0.3">
      <c r="B201" s="917"/>
      <c r="C201" s="813"/>
      <c r="D201" s="813"/>
      <c r="E201" s="813"/>
      <c r="F201" s="814"/>
      <c r="G201" s="245"/>
      <c r="H201" s="245"/>
      <c r="I201" s="237"/>
      <c r="J201" s="237"/>
    </row>
    <row r="202" spans="2:12" s="156" customFormat="1" x14ac:dyDescent="0.3">
      <c r="B202" s="920"/>
      <c r="C202" s="921"/>
      <c r="D202" s="921"/>
      <c r="E202" s="921"/>
      <c r="F202" s="922"/>
      <c r="G202" s="306"/>
      <c r="H202" s="306"/>
      <c r="I202" s="307" t="s">
        <v>153</v>
      </c>
      <c r="J202" s="308">
        <f>SUM(J195:J201)</f>
        <v>75321000</v>
      </c>
    </row>
    <row r="203" spans="2:12" s="156" customFormat="1" x14ac:dyDescent="0.3">
      <c r="B203" s="798"/>
      <c r="C203" s="799"/>
      <c r="D203" s="799"/>
      <c r="E203" s="799"/>
      <c r="F203" s="799"/>
      <c r="G203" s="799"/>
      <c r="H203" s="915" t="s">
        <v>160</v>
      </c>
      <c r="I203" s="916"/>
      <c r="J203" s="315">
        <f>+J192++J202+J187+J182</f>
        <v>75321000</v>
      </c>
      <c r="L203" s="301"/>
    </row>
    <row r="204" spans="2:12" s="156" customFormat="1" x14ac:dyDescent="0.3">
      <c r="B204" s="803"/>
      <c r="C204" s="804"/>
      <c r="D204" s="804"/>
      <c r="E204" s="804"/>
      <c r="F204" s="804"/>
      <c r="G204" s="805"/>
      <c r="H204" s="806" t="s">
        <v>1004</v>
      </c>
      <c r="I204" s="807"/>
      <c r="J204" s="297">
        <v>0</v>
      </c>
    </row>
    <row r="205" spans="2:12" s="156" customFormat="1" x14ac:dyDescent="0.3">
      <c r="B205" s="798"/>
      <c r="C205" s="799"/>
      <c r="D205" s="799"/>
      <c r="E205" s="799"/>
      <c r="F205" s="799"/>
      <c r="G205" s="800"/>
      <c r="H205" s="801" t="s">
        <v>291</v>
      </c>
      <c r="I205" s="802"/>
      <c r="J205" s="248">
        <f>SUM(J203:J204)</f>
        <v>75321000</v>
      </c>
    </row>
    <row r="206" spans="2:12" s="156" customFormat="1" x14ac:dyDescent="0.3"/>
    <row r="207" spans="2:12" s="156" customFormat="1" x14ac:dyDescent="0.3">
      <c r="B207" s="314" t="s">
        <v>15</v>
      </c>
      <c r="C207" s="832" t="s">
        <v>151</v>
      </c>
      <c r="D207" s="832"/>
      <c r="E207" s="832"/>
      <c r="F207" s="832"/>
      <c r="G207" s="832"/>
      <c r="H207" s="936"/>
      <c r="I207" s="250" t="s">
        <v>48</v>
      </c>
      <c r="J207" s="251" t="s">
        <v>19</v>
      </c>
    </row>
    <row r="208" spans="2:12" s="156" customFormat="1" x14ac:dyDescent="0.3">
      <c r="B208" s="221" t="str">
        <f>PPTO_PLANES!B24</f>
        <v>5.4.2</v>
      </c>
      <c r="C208" s="844" t="s">
        <v>119</v>
      </c>
      <c r="D208" s="845"/>
      <c r="E208" s="845"/>
      <c r="F208" s="845"/>
      <c r="G208" s="845"/>
      <c r="H208" s="846"/>
      <c r="I208" s="222" t="s">
        <v>18</v>
      </c>
      <c r="J208" s="252">
        <v>1</v>
      </c>
    </row>
    <row r="209" spans="2:10" s="156" customFormat="1" x14ac:dyDescent="0.3">
      <c r="B209" s="937" t="s">
        <v>152</v>
      </c>
      <c r="C209" s="848"/>
      <c r="D209" s="848"/>
      <c r="E209" s="253"/>
      <c r="F209" s="284"/>
      <c r="G209" s="284"/>
      <c r="H209" s="285"/>
      <c r="I209" s="257"/>
      <c r="J209" s="258"/>
    </row>
    <row r="210" spans="2:10" s="156" customFormat="1" x14ac:dyDescent="0.3">
      <c r="B210" s="924" t="s">
        <v>151</v>
      </c>
      <c r="C210" s="821"/>
      <c r="D210" s="821"/>
      <c r="E210" s="821"/>
      <c r="F210" s="822"/>
      <c r="G210" s="259" t="s">
        <v>48</v>
      </c>
      <c r="H210" s="259" t="s">
        <v>19</v>
      </c>
      <c r="I210" s="260" t="s">
        <v>20</v>
      </c>
      <c r="J210" s="261" t="s">
        <v>37</v>
      </c>
    </row>
    <row r="211" spans="2:10" s="156" customFormat="1" x14ac:dyDescent="0.3">
      <c r="B211" s="927"/>
      <c r="C211" s="835"/>
      <c r="D211" s="835"/>
      <c r="E211" s="835"/>
      <c r="F211" s="836"/>
      <c r="G211" s="262"/>
      <c r="H211" s="263"/>
      <c r="I211" s="264"/>
      <c r="J211" s="265">
        <f>ROUND(I211*H211,0)</f>
        <v>0</v>
      </c>
    </row>
    <row r="212" spans="2:10" s="156" customFormat="1" x14ac:dyDescent="0.3">
      <c r="B212" s="927"/>
      <c r="C212" s="835"/>
      <c r="D212" s="835"/>
      <c r="E212" s="835"/>
      <c r="F212" s="836"/>
      <c r="G212" s="266"/>
      <c r="H212" s="263"/>
      <c r="I212" s="264"/>
      <c r="J212" s="265"/>
    </row>
    <row r="213" spans="2:10" s="156" customFormat="1" x14ac:dyDescent="0.3">
      <c r="B213" s="926"/>
      <c r="C213" s="827"/>
      <c r="D213" s="827"/>
      <c r="E213" s="268"/>
      <c r="F213" s="268"/>
      <c r="G213" s="268"/>
      <c r="H213" s="269"/>
      <c r="I213" s="270" t="s">
        <v>153</v>
      </c>
      <c r="J213" s="271">
        <f>+SUM(J211:J212)</f>
        <v>0</v>
      </c>
    </row>
    <row r="214" spans="2:10" s="156" customFormat="1" x14ac:dyDescent="0.3">
      <c r="B214" s="923" t="s">
        <v>154</v>
      </c>
      <c r="C214" s="838"/>
      <c r="D214" s="838"/>
      <c r="E214" s="255"/>
      <c r="F214" s="255"/>
      <c r="G214" s="255"/>
      <c r="H214" s="255"/>
      <c r="I214" s="272"/>
      <c r="J214" s="261"/>
    </row>
    <row r="215" spans="2:10" s="156" customFormat="1" x14ac:dyDescent="0.3">
      <c r="B215" s="924" t="s">
        <v>155</v>
      </c>
      <c r="C215" s="821"/>
      <c r="D215" s="821"/>
      <c r="E215" s="821"/>
      <c r="F215" s="822"/>
      <c r="G215" s="273"/>
      <c r="H215" s="274" t="s">
        <v>156</v>
      </c>
      <c r="I215" s="275" t="s">
        <v>157</v>
      </c>
      <c r="J215" s="276" t="s">
        <v>37</v>
      </c>
    </row>
    <row r="216" spans="2:10" s="156" customFormat="1" x14ac:dyDescent="0.3">
      <c r="B216" s="927"/>
      <c r="C216" s="835"/>
      <c r="D216" s="835"/>
      <c r="E216" s="835"/>
      <c r="F216" s="836"/>
      <c r="G216" s="273"/>
      <c r="H216" s="277"/>
      <c r="I216" s="278"/>
      <c r="J216" s="279"/>
    </row>
    <row r="217" spans="2:10" s="156" customFormat="1" x14ac:dyDescent="0.3">
      <c r="B217" s="927"/>
      <c r="C217" s="835"/>
      <c r="D217" s="835"/>
      <c r="E217" s="835"/>
      <c r="F217" s="836"/>
      <c r="G217" s="280"/>
      <c r="H217" s="277"/>
      <c r="I217" s="278"/>
      <c r="J217" s="279"/>
    </row>
    <row r="218" spans="2:10" s="156" customFormat="1" x14ac:dyDescent="0.3">
      <c r="B218" s="928"/>
      <c r="C218" s="840"/>
      <c r="D218" s="840"/>
      <c r="E218" s="840"/>
      <c r="F218" s="841"/>
      <c r="G218" s="281"/>
      <c r="H218" s="281"/>
      <c r="I218" s="282" t="s">
        <v>153</v>
      </c>
      <c r="J218" s="283">
        <f>SUM(J216:J217)</f>
        <v>0</v>
      </c>
    </row>
    <row r="219" spans="2:10" s="156" customFormat="1" x14ac:dyDescent="0.3">
      <c r="B219" s="923" t="s">
        <v>158</v>
      </c>
      <c r="C219" s="838"/>
      <c r="D219" s="838"/>
      <c r="E219" s="253"/>
      <c r="F219" s="284"/>
      <c r="G219" s="284"/>
      <c r="H219" s="285"/>
      <c r="I219" s="286"/>
      <c r="J219" s="287"/>
    </row>
    <row r="220" spans="2:10" s="156" customFormat="1" x14ac:dyDescent="0.3">
      <c r="B220" s="924" t="s">
        <v>151</v>
      </c>
      <c r="C220" s="821"/>
      <c r="D220" s="821"/>
      <c r="E220" s="821"/>
      <c r="F220" s="822"/>
      <c r="G220" s="259" t="s">
        <v>48</v>
      </c>
      <c r="H220" s="259" t="s">
        <v>19</v>
      </c>
      <c r="I220" s="260" t="s">
        <v>20</v>
      </c>
      <c r="J220" s="261" t="s">
        <v>37</v>
      </c>
    </row>
    <row r="221" spans="2:10" s="156" customFormat="1" x14ac:dyDescent="0.3">
      <c r="B221" s="925"/>
      <c r="C221" s="824"/>
      <c r="D221" s="824"/>
      <c r="E221" s="824"/>
      <c r="F221" s="825"/>
      <c r="G221" s="288"/>
      <c r="H221" s="288"/>
      <c r="I221" s="289"/>
      <c r="J221" s="265">
        <f>ROUND(H221*I221,0)</f>
        <v>0</v>
      </c>
    </row>
    <row r="222" spans="2:10" s="156" customFormat="1" x14ac:dyDescent="0.3">
      <c r="B222" s="925"/>
      <c r="C222" s="824"/>
      <c r="D222" s="824"/>
      <c r="E222" s="824"/>
      <c r="F222" s="825"/>
      <c r="G222" s="288"/>
      <c r="H222" s="288"/>
      <c r="I222" s="289"/>
      <c r="J222" s="265"/>
    </row>
    <row r="223" spans="2:10" s="156" customFormat="1" x14ac:dyDescent="0.3">
      <c r="B223" s="926"/>
      <c r="C223" s="827"/>
      <c r="D223" s="827"/>
      <c r="E223" s="267"/>
      <c r="F223" s="267"/>
      <c r="G223" s="267"/>
      <c r="H223" s="290"/>
      <c r="I223" s="291" t="s">
        <v>153</v>
      </c>
      <c r="J223" s="292">
        <f>SUM(J221:J222)</f>
        <v>0</v>
      </c>
    </row>
    <row r="224" spans="2:10" s="156" customFormat="1" x14ac:dyDescent="0.3">
      <c r="B224" s="938" t="s">
        <v>159</v>
      </c>
      <c r="C224" s="829"/>
      <c r="D224" s="829"/>
      <c r="E224" s="829"/>
      <c r="F224" s="829"/>
      <c r="G224" s="829"/>
      <c r="H224" s="829"/>
      <c r="I224" s="829"/>
      <c r="J224" s="939"/>
    </row>
    <row r="225" spans="2:12" s="156" customFormat="1" x14ac:dyDescent="0.3">
      <c r="B225" s="919" t="s">
        <v>151</v>
      </c>
      <c r="C225" s="832"/>
      <c r="D225" s="832"/>
      <c r="E225" s="832"/>
      <c r="F225" s="833"/>
      <c r="G225" s="232" t="s">
        <v>48</v>
      </c>
      <c r="H225" s="232" t="s">
        <v>19</v>
      </c>
      <c r="I225" s="233" t="s">
        <v>20</v>
      </c>
      <c r="J225" s="233" t="s">
        <v>37</v>
      </c>
    </row>
    <row r="226" spans="2:12" s="156" customFormat="1" ht="13.95" customHeight="1" x14ac:dyDescent="0.3">
      <c r="B226" s="917" t="s">
        <v>182</v>
      </c>
      <c r="C226" s="813"/>
      <c r="D226" s="813"/>
      <c r="E226" s="813"/>
      <c r="F226" s="814"/>
      <c r="G226" s="245" t="s">
        <v>48</v>
      </c>
      <c r="H226" s="245">
        <v>7</v>
      </c>
      <c r="I226" s="237">
        <v>820500</v>
      </c>
      <c r="J226" s="237">
        <f>+H226*I226</f>
        <v>5743500</v>
      </c>
    </row>
    <row r="227" spans="2:12" s="156" customFormat="1" ht="25.5" customHeight="1" x14ac:dyDescent="0.3">
      <c r="B227" s="917" t="s">
        <v>178</v>
      </c>
      <c r="C227" s="813"/>
      <c r="D227" s="813"/>
      <c r="E227" s="813"/>
      <c r="F227" s="814"/>
      <c r="G227" s="245" t="s">
        <v>48</v>
      </c>
      <c r="H227" s="245">
        <v>7</v>
      </c>
      <c r="I227" s="237">
        <v>1383785.7</v>
      </c>
      <c r="J227" s="237">
        <f t="shared" ref="J227" si="2">+H227*I227</f>
        <v>9686499.9000000004</v>
      </c>
    </row>
    <row r="228" spans="2:12" s="156" customFormat="1" x14ac:dyDescent="0.3">
      <c r="B228" s="917"/>
      <c r="C228" s="813"/>
      <c r="D228" s="813"/>
      <c r="E228" s="813"/>
      <c r="F228" s="814"/>
      <c r="G228" s="245"/>
      <c r="H228" s="245"/>
      <c r="I228" s="237"/>
      <c r="J228" s="237"/>
    </row>
    <row r="229" spans="2:12" s="156" customFormat="1" x14ac:dyDescent="0.3">
      <c r="B229" s="917"/>
      <c r="C229" s="813"/>
      <c r="D229" s="813"/>
      <c r="E229" s="813"/>
      <c r="F229" s="814"/>
      <c r="G229" s="245"/>
      <c r="H229" s="245"/>
      <c r="I229" s="237"/>
      <c r="J229" s="237"/>
    </row>
    <row r="230" spans="2:12" s="156" customFormat="1" x14ac:dyDescent="0.3">
      <c r="B230" s="917"/>
      <c r="C230" s="813"/>
      <c r="D230" s="813"/>
      <c r="E230" s="813"/>
      <c r="F230" s="814"/>
      <c r="G230" s="245"/>
      <c r="H230" s="245"/>
      <c r="I230" s="237"/>
      <c r="J230" s="237"/>
    </row>
    <row r="231" spans="2:12" s="156" customFormat="1" x14ac:dyDescent="0.3">
      <c r="B231" s="917"/>
      <c r="C231" s="813"/>
      <c r="D231" s="813"/>
      <c r="E231" s="813"/>
      <c r="F231" s="814"/>
      <c r="G231" s="245"/>
      <c r="H231" s="245"/>
      <c r="I231" s="237"/>
      <c r="J231" s="237"/>
    </row>
    <row r="232" spans="2:12" s="156" customFormat="1" x14ac:dyDescent="0.3">
      <c r="B232" s="917"/>
      <c r="C232" s="813"/>
      <c r="D232" s="813"/>
      <c r="E232" s="813"/>
      <c r="F232" s="814"/>
      <c r="G232" s="245"/>
      <c r="H232" s="245"/>
      <c r="I232" s="237"/>
      <c r="J232" s="237"/>
    </row>
    <row r="233" spans="2:12" s="156" customFormat="1" x14ac:dyDescent="0.3">
      <c r="B233" s="929"/>
      <c r="C233" s="816"/>
      <c r="D233" s="816"/>
      <c r="E233" s="816"/>
      <c r="F233" s="817"/>
      <c r="G233" s="316"/>
      <c r="H233" s="316"/>
      <c r="I233" s="317" t="s">
        <v>153</v>
      </c>
      <c r="J233" s="318">
        <f>SUM(J226:J232)</f>
        <v>15429999.9</v>
      </c>
    </row>
    <row r="234" spans="2:12" s="156" customFormat="1" x14ac:dyDescent="0.3">
      <c r="B234" s="930"/>
      <c r="C234" s="819"/>
      <c r="D234" s="819"/>
      <c r="E234" s="319"/>
      <c r="F234" s="319"/>
      <c r="G234" s="319"/>
      <c r="H234" s="810" t="s">
        <v>160</v>
      </c>
      <c r="I234" s="811"/>
      <c r="J234" s="320">
        <f>+J223+J233+J218+J213</f>
        <v>15429999.9</v>
      </c>
      <c r="L234" s="301"/>
    </row>
    <row r="235" spans="2:12" s="156" customFormat="1" x14ac:dyDescent="0.3">
      <c r="B235" s="931"/>
      <c r="C235" s="932"/>
      <c r="D235" s="932"/>
      <c r="E235" s="932"/>
      <c r="F235" s="932"/>
      <c r="G235" s="933"/>
      <c r="H235" s="806" t="s">
        <v>1004</v>
      </c>
      <c r="I235" s="807"/>
      <c r="J235" s="297">
        <v>0</v>
      </c>
    </row>
    <row r="236" spans="2:12" s="156" customFormat="1" x14ac:dyDescent="0.3">
      <c r="B236" s="798"/>
      <c r="C236" s="799"/>
      <c r="D236" s="799"/>
      <c r="E236" s="799"/>
      <c r="F236" s="799"/>
      <c r="G236" s="800"/>
      <c r="H236" s="801" t="s">
        <v>291</v>
      </c>
      <c r="I236" s="802"/>
      <c r="J236" s="248">
        <f>SUM(J234:J235)</f>
        <v>15429999.9</v>
      </c>
    </row>
    <row r="237" spans="2:12" s="156" customFormat="1" x14ac:dyDescent="0.3"/>
    <row r="238" spans="2:12" s="156" customFormat="1" x14ac:dyDescent="0.3"/>
    <row r="239" spans="2:12" s="156" customFormat="1" x14ac:dyDescent="0.3"/>
    <row r="240" spans="2:12" s="156" customFormat="1" x14ac:dyDescent="0.3">
      <c r="B240" s="314" t="s">
        <v>15</v>
      </c>
      <c r="C240" s="832" t="s">
        <v>151</v>
      </c>
      <c r="D240" s="832"/>
      <c r="E240" s="832"/>
      <c r="F240" s="832"/>
      <c r="G240" s="832"/>
      <c r="H240" s="936"/>
      <c r="I240" s="250" t="s">
        <v>48</v>
      </c>
      <c r="J240" s="251" t="s">
        <v>19</v>
      </c>
    </row>
    <row r="241" spans="2:10" s="156" customFormat="1" x14ac:dyDescent="0.3">
      <c r="B241" s="221" t="str">
        <f>PPTO_PLANES!B25</f>
        <v>5.4.3</v>
      </c>
      <c r="C241" s="844" t="s">
        <v>120</v>
      </c>
      <c r="D241" s="845"/>
      <c r="E241" s="845"/>
      <c r="F241" s="845"/>
      <c r="G241" s="845"/>
      <c r="H241" s="846"/>
      <c r="I241" s="222" t="s">
        <v>18</v>
      </c>
      <c r="J241" s="252">
        <v>1</v>
      </c>
    </row>
    <row r="242" spans="2:10" s="156" customFormat="1" x14ac:dyDescent="0.3">
      <c r="B242" s="937" t="s">
        <v>152</v>
      </c>
      <c r="C242" s="848"/>
      <c r="D242" s="848"/>
      <c r="E242" s="253"/>
      <c r="F242" s="284"/>
      <c r="G242" s="284"/>
      <c r="H242" s="285"/>
      <c r="I242" s="257"/>
      <c r="J242" s="258"/>
    </row>
    <row r="243" spans="2:10" s="156" customFormat="1" x14ac:dyDescent="0.3">
      <c r="B243" s="924" t="s">
        <v>151</v>
      </c>
      <c r="C243" s="821"/>
      <c r="D243" s="821"/>
      <c r="E243" s="821"/>
      <c r="F243" s="822"/>
      <c r="G243" s="259" t="s">
        <v>48</v>
      </c>
      <c r="H243" s="259" t="s">
        <v>19</v>
      </c>
      <c r="I243" s="260" t="s">
        <v>20</v>
      </c>
      <c r="J243" s="261" t="s">
        <v>37</v>
      </c>
    </row>
    <row r="244" spans="2:10" s="156" customFormat="1" x14ac:dyDescent="0.3">
      <c r="B244" s="927"/>
      <c r="C244" s="835"/>
      <c r="D244" s="835"/>
      <c r="E244" s="835"/>
      <c r="F244" s="836"/>
      <c r="G244" s="262"/>
      <c r="H244" s="263"/>
      <c r="I244" s="264"/>
      <c r="J244" s="265">
        <f>ROUND(I244*H244,0)</f>
        <v>0</v>
      </c>
    </row>
    <row r="245" spans="2:10" s="156" customFormat="1" x14ac:dyDescent="0.3">
      <c r="B245" s="927"/>
      <c r="C245" s="835"/>
      <c r="D245" s="835"/>
      <c r="E245" s="835"/>
      <c r="F245" s="836"/>
      <c r="G245" s="266"/>
      <c r="H245" s="263"/>
      <c r="I245" s="264"/>
      <c r="J245" s="265"/>
    </row>
    <row r="246" spans="2:10" s="156" customFormat="1" x14ac:dyDescent="0.3">
      <c r="B246" s="926"/>
      <c r="C246" s="827"/>
      <c r="D246" s="827"/>
      <c r="E246" s="268"/>
      <c r="F246" s="268"/>
      <c r="G246" s="268"/>
      <c r="H246" s="269"/>
      <c r="I246" s="270" t="s">
        <v>153</v>
      </c>
      <c r="J246" s="271">
        <f>+SUM(J244:J245)</f>
        <v>0</v>
      </c>
    </row>
    <row r="247" spans="2:10" s="156" customFormat="1" x14ac:dyDescent="0.3">
      <c r="B247" s="923" t="s">
        <v>154</v>
      </c>
      <c r="C247" s="838"/>
      <c r="D247" s="838"/>
      <c r="E247" s="255"/>
      <c r="F247" s="255"/>
      <c r="G247" s="255"/>
      <c r="H247" s="255"/>
      <c r="I247" s="272"/>
      <c r="J247" s="261"/>
    </row>
    <row r="248" spans="2:10" s="156" customFormat="1" x14ac:dyDescent="0.3">
      <c r="B248" s="924" t="s">
        <v>155</v>
      </c>
      <c r="C248" s="821"/>
      <c r="D248" s="821"/>
      <c r="E248" s="821"/>
      <c r="F248" s="822"/>
      <c r="G248" s="273"/>
      <c r="H248" s="274" t="s">
        <v>156</v>
      </c>
      <c r="I248" s="275" t="s">
        <v>157</v>
      </c>
      <c r="J248" s="276" t="s">
        <v>37</v>
      </c>
    </row>
    <row r="249" spans="2:10" s="156" customFormat="1" x14ac:dyDescent="0.3">
      <c r="B249" s="927"/>
      <c r="C249" s="835"/>
      <c r="D249" s="835"/>
      <c r="E249" s="835"/>
      <c r="F249" s="836"/>
      <c r="G249" s="273"/>
      <c r="H249" s="277"/>
      <c r="I249" s="278"/>
      <c r="J249" s="279"/>
    </row>
    <row r="250" spans="2:10" s="156" customFormat="1" x14ac:dyDescent="0.3">
      <c r="B250" s="927"/>
      <c r="C250" s="835"/>
      <c r="D250" s="835"/>
      <c r="E250" s="835"/>
      <c r="F250" s="836"/>
      <c r="G250" s="280"/>
      <c r="H250" s="277"/>
      <c r="I250" s="278"/>
      <c r="J250" s="279"/>
    </row>
    <row r="251" spans="2:10" s="156" customFormat="1" x14ac:dyDescent="0.3">
      <c r="B251" s="928"/>
      <c r="C251" s="840"/>
      <c r="D251" s="840"/>
      <c r="E251" s="840"/>
      <c r="F251" s="841"/>
      <c r="G251" s="281"/>
      <c r="H251" s="281"/>
      <c r="I251" s="282" t="s">
        <v>153</v>
      </c>
      <c r="J251" s="283">
        <f>SUM(J249:J250)</f>
        <v>0</v>
      </c>
    </row>
    <row r="252" spans="2:10" s="156" customFormat="1" x14ac:dyDescent="0.3">
      <c r="B252" s="923" t="s">
        <v>158</v>
      </c>
      <c r="C252" s="838"/>
      <c r="D252" s="838"/>
      <c r="E252" s="253"/>
      <c r="F252" s="284"/>
      <c r="G252" s="284"/>
      <c r="H252" s="285"/>
      <c r="I252" s="286"/>
      <c r="J252" s="287"/>
    </row>
    <row r="253" spans="2:10" s="156" customFormat="1" x14ac:dyDescent="0.3">
      <c r="B253" s="924" t="s">
        <v>151</v>
      </c>
      <c r="C253" s="821"/>
      <c r="D253" s="821"/>
      <c r="E253" s="821"/>
      <c r="F253" s="822"/>
      <c r="G253" s="259" t="s">
        <v>48</v>
      </c>
      <c r="H253" s="259" t="s">
        <v>19</v>
      </c>
      <c r="I253" s="260" t="s">
        <v>20</v>
      </c>
      <c r="J253" s="261" t="s">
        <v>37</v>
      </c>
    </row>
    <row r="254" spans="2:10" s="156" customFormat="1" x14ac:dyDescent="0.3">
      <c r="B254" s="925"/>
      <c r="C254" s="824"/>
      <c r="D254" s="824"/>
      <c r="E254" s="824"/>
      <c r="F254" s="825"/>
      <c r="G254" s="288"/>
      <c r="H254" s="288"/>
      <c r="I254" s="289"/>
      <c r="J254" s="265">
        <f>ROUND(H254*I254,0)</f>
        <v>0</v>
      </c>
    </row>
    <row r="255" spans="2:10" s="156" customFormat="1" x14ac:dyDescent="0.3">
      <c r="B255" s="925"/>
      <c r="C255" s="824"/>
      <c r="D255" s="824"/>
      <c r="E255" s="824"/>
      <c r="F255" s="825"/>
      <c r="G255" s="288"/>
      <c r="H255" s="288"/>
      <c r="I255" s="289"/>
      <c r="J255" s="265"/>
    </row>
    <row r="256" spans="2:10" s="156" customFormat="1" x14ac:dyDescent="0.3">
      <c r="B256" s="926"/>
      <c r="C256" s="827"/>
      <c r="D256" s="827"/>
      <c r="E256" s="267"/>
      <c r="F256" s="267"/>
      <c r="G256" s="267"/>
      <c r="H256" s="290"/>
      <c r="I256" s="291" t="s">
        <v>153</v>
      </c>
      <c r="J256" s="292">
        <f>SUM(J254:J255)</f>
        <v>0</v>
      </c>
    </row>
    <row r="257" spans="2:12" s="156" customFormat="1" x14ac:dyDescent="0.3">
      <c r="B257" s="938" t="s">
        <v>159</v>
      </c>
      <c r="C257" s="829"/>
      <c r="D257" s="829"/>
      <c r="E257" s="829"/>
      <c r="F257" s="829"/>
      <c r="G257" s="829"/>
      <c r="H257" s="829"/>
      <c r="I257" s="829"/>
      <c r="J257" s="939"/>
    </row>
    <row r="258" spans="2:12" s="156" customFormat="1" x14ac:dyDescent="0.3">
      <c r="B258" s="919" t="s">
        <v>151</v>
      </c>
      <c r="C258" s="832"/>
      <c r="D258" s="832"/>
      <c r="E258" s="832"/>
      <c r="F258" s="833"/>
      <c r="G258" s="232" t="s">
        <v>48</v>
      </c>
      <c r="H258" s="232" t="s">
        <v>19</v>
      </c>
      <c r="I258" s="233" t="s">
        <v>20</v>
      </c>
      <c r="J258" s="233" t="s">
        <v>37</v>
      </c>
    </row>
    <row r="259" spans="2:12" s="156" customFormat="1" x14ac:dyDescent="0.3">
      <c r="B259" s="917" t="s">
        <v>183</v>
      </c>
      <c r="C259" s="813"/>
      <c r="D259" s="813"/>
      <c r="E259" s="813"/>
      <c r="F259" s="814"/>
      <c r="G259" s="245" t="s">
        <v>48</v>
      </c>
      <c r="H259" s="245">
        <v>1</v>
      </c>
      <c r="I259" s="237">
        <v>2450000</v>
      </c>
      <c r="J259" s="237">
        <f t="shared" ref="J259" si="3">+H259*I259</f>
        <v>2450000</v>
      </c>
    </row>
    <row r="260" spans="2:12" s="156" customFormat="1" x14ac:dyDescent="0.3">
      <c r="B260" s="917" t="s">
        <v>179</v>
      </c>
      <c r="C260" s="813"/>
      <c r="D260" s="813"/>
      <c r="E260" s="813"/>
      <c r="F260" s="814"/>
      <c r="G260" s="245" t="s">
        <v>48</v>
      </c>
      <c r="H260" s="245">
        <v>1</v>
      </c>
      <c r="I260" s="237">
        <v>530500</v>
      </c>
      <c r="J260" s="237">
        <f t="shared" ref="J260:J261" si="4">+H260*I260</f>
        <v>530500</v>
      </c>
    </row>
    <row r="261" spans="2:12" s="156" customFormat="1" ht="13.95" customHeight="1" x14ac:dyDescent="0.3">
      <c r="B261" s="917" t="s">
        <v>180</v>
      </c>
      <c r="C261" s="813"/>
      <c r="D261" s="813"/>
      <c r="E261" s="813"/>
      <c r="F261" s="814"/>
      <c r="G261" s="245" t="s">
        <v>48</v>
      </c>
      <c r="H261" s="245">
        <v>1</v>
      </c>
      <c r="I261" s="237">
        <v>15429500</v>
      </c>
      <c r="J261" s="237">
        <f t="shared" si="4"/>
        <v>15429500</v>
      </c>
    </row>
    <row r="262" spans="2:12" s="156" customFormat="1" x14ac:dyDescent="0.3">
      <c r="B262" s="917"/>
      <c r="C262" s="813"/>
      <c r="D262" s="813"/>
      <c r="E262" s="813"/>
      <c r="F262" s="814"/>
      <c r="G262" s="245"/>
      <c r="H262" s="245"/>
      <c r="I262" s="237"/>
      <c r="J262" s="237"/>
    </row>
    <row r="263" spans="2:12" s="156" customFormat="1" x14ac:dyDescent="0.3">
      <c r="B263" s="917"/>
      <c r="C263" s="813"/>
      <c r="D263" s="813"/>
      <c r="E263" s="813"/>
      <c r="F263" s="814"/>
      <c r="G263" s="245"/>
      <c r="H263" s="245"/>
      <c r="I263" s="237"/>
      <c r="J263" s="237"/>
    </row>
    <row r="264" spans="2:12" s="156" customFormat="1" x14ac:dyDescent="0.3">
      <c r="B264" s="917"/>
      <c r="C264" s="813"/>
      <c r="D264" s="813"/>
      <c r="E264" s="813"/>
      <c r="F264" s="814"/>
      <c r="G264" s="245"/>
      <c r="H264" s="245"/>
      <c r="I264" s="237"/>
      <c r="J264" s="237"/>
    </row>
    <row r="265" spans="2:12" s="156" customFormat="1" x14ac:dyDescent="0.3">
      <c r="B265" s="917"/>
      <c r="C265" s="813"/>
      <c r="D265" s="813"/>
      <c r="E265" s="813"/>
      <c r="F265" s="814"/>
      <c r="G265" s="245"/>
      <c r="H265" s="245"/>
      <c r="I265" s="237"/>
      <c r="J265" s="237"/>
    </row>
    <row r="266" spans="2:12" s="156" customFormat="1" x14ac:dyDescent="0.3">
      <c r="B266" s="929"/>
      <c r="C266" s="816"/>
      <c r="D266" s="816"/>
      <c r="E266" s="816"/>
      <c r="F266" s="817"/>
      <c r="G266" s="316"/>
      <c r="H266" s="316"/>
      <c r="I266" s="317" t="s">
        <v>153</v>
      </c>
      <c r="J266" s="318">
        <f>SUM(J259:J265)</f>
        <v>18410000</v>
      </c>
    </row>
    <row r="267" spans="2:12" s="156" customFormat="1" x14ac:dyDescent="0.3">
      <c r="B267" s="930"/>
      <c r="C267" s="819"/>
      <c r="D267" s="819"/>
      <c r="E267" s="319"/>
      <c r="F267" s="319"/>
      <c r="G267" s="319"/>
      <c r="H267" s="934" t="s">
        <v>160</v>
      </c>
      <c r="I267" s="935"/>
      <c r="J267" s="320">
        <f>+J256++J266+J251+J246</f>
        <v>18410000</v>
      </c>
      <c r="L267" s="301"/>
    </row>
    <row r="268" spans="2:12" s="156" customFormat="1" x14ac:dyDescent="0.3">
      <c r="B268" s="931"/>
      <c r="C268" s="932"/>
      <c r="D268" s="932"/>
      <c r="E268" s="932"/>
      <c r="F268" s="932"/>
      <c r="G268" s="933"/>
      <c r="H268" s="806" t="s">
        <v>1004</v>
      </c>
      <c r="I268" s="807"/>
      <c r="J268" s="297">
        <v>0</v>
      </c>
    </row>
    <row r="269" spans="2:12" s="156" customFormat="1" x14ac:dyDescent="0.3">
      <c r="B269" s="798"/>
      <c r="C269" s="799"/>
      <c r="D269" s="799"/>
      <c r="E269" s="799"/>
      <c r="F269" s="799"/>
      <c r="G269" s="800"/>
      <c r="H269" s="801" t="s">
        <v>291</v>
      </c>
      <c r="I269" s="802"/>
      <c r="J269" s="248">
        <f>SUM(J267:J268)</f>
        <v>18410000</v>
      </c>
    </row>
    <row r="270" spans="2:12" s="156" customFormat="1" x14ac:dyDescent="0.3"/>
    <row r="271" spans="2:12" s="156" customFormat="1" x14ac:dyDescent="0.3"/>
    <row r="272" spans="2:12" s="156" customFormat="1" x14ac:dyDescent="0.3">
      <c r="B272" s="314" t="s">
        <v>15</v>
      </c>
      <c r="C272" s="832" t="s">
        <v>151</v>
      </c>
      <c r="D272" s="832"/>
      <c r="E272" s="832"/>
      <c r="F272" s="832"/>
      <c r="G272" s="832"/>
      <c r="H272" s="936"/>
      <c r="I272" s="250" t="s">
        <v>48</v>
      </c>
      <c r="J272" s="251" t="s">
        <v>19</v>
      </c>
    </row>
    <row r="273" spans="2:10" s="156" customFormat="1" x14ac:dyDescent="0.3">
      <c r="B273" s="221" t="str">
        <f>PPTO_PLANES!B12</f>
        <v>5.2.1</v>
      </c>
      <c r="C273" s="844" t="s">
        <v>121</v>
      </c>
      <c r="D273" s="845"/>
      <c r="E273" s="845"/>
      <c r="F273" s="845"/>
      <c r="G273" s="845"/>
      <c r="H273" s="846"/>
      <c r="I273" s="222" t="s">
        <v>18</v>
      </c>
      <c r="J273" s="252">
        <v>1</v>
      </c>
    </row>
    <row r="274" spans="2:10" s="156" customFormat="1" x14ac:dyDescent="0.3">
      <c r="B274" s="937" t="s">
        <v>152</v>
      </c>
      <c r="C274" s="848"/>
      <c r="D274" s="848"/>
      <c r="E274" s="253"/>
      <c r="F274" s="284"/>
      <c r="G274" s="284"/>
      <c r="H274" s="285"/>
      <c r="I274" s="257"/>
      <c r="J274" s="258"/>
    </row>
    <row r="275" spans="2:10" s="156" customFormat="1" x14ac:dyDescent="0.3">
      <c r="B275" s="924" t="s">
        <v>151</v>
      </c>
      <c r="C275" s="821"/>
      <c r="D275" s="821"/>
      <c r="E275" s="821"/>
      <c r="F275" s="822"/>
      <c r="G275" s="259" t="s">
        <v>48</v>
      </c>
      <c r="H275" s="259" t="s">
        <v>19</v>
      </c>
      <c r="I275" s="260" t="s">
        <v>20</v>
      </c>
      <c r="J275" s="261" t="s">
        <v>37</v>
      </c>
    </row>
    <row r="276" spans="2:10" s="156" customFormat="1" x14ac:dyDescent="0.3">
      <c r="B276" s="927"/>
      <c r="C276" s="835"/>
      <c r="D276" s="835"/>
      <c r="E276" s="835"/>
      <c r="F276" s="836"/>
      <c r="G276" s="262"/>
      <c r="H276" s="263"/>
      <c r="I276" s="264"/>
      <c r="J276" s="265">
        <f>ROUND(I276*H276,0)</f>
        <v>0</v>
      </c>
    </row>
    <row r="277" spans="2:10" s="156" customFormat="1" x14ac:dyDescent="0.3">
      <c r="B277" s="927"/>
      <c r="C277" s="835"/>
      <c r="D277" s="835"/>
      <c r="E277" s="835"/>
      <c r="F277" s="836"/>
      <c r="G277" s="266"/>
      <c r="H277" s="263"/>
      <c r="I277" s="264"/>
      <c r="J277" s="265"/>
    </row>
    <row r="278" spans="2:10" s="156" customFormat="1" x14ac:dyDescent="0.3">
      <c r="B278" s="926"/>
      <c r="C278" s="827"/>
      <c r="D278" s="827"/>
      <c r="E278" s="268"/>
      <c r="F278" s="268"/>
      <c r="G278" s="268"/>
      <c r="H278" s="269"/>
      <c r="I278" s="270" t="s">
        <v>153</v>
      </c>
      <c r="J278" s="271">
        <f>+SUM(J276:J277)</f>
        <v>0</v>
      </c>
    </row>
    <row r="279" spans="2:10" s="156" customFormat="1" x14ac:dyDescent="0.3">
      <c r="B279" s="923" t="s">
        <v>154</v>
      </c>
      <c r="C279" s="838"/>
      <c r="D279" s="838"/>
      <c r="E279" s="255"/>
      <c r="F279" s="255"/>
      <c r="G279" s="255"/>
      <c r="H279" s="255"/>
      <c r="I279" s="272"/>
      <c r="J279" s="261"/>
    </row>
    <row r="280" spans="2:10" s="156" customFormat="1" x14ac:dyDescent="0.3">
      <c r="B280" s="924" t="s">
        <v>155</v>
      </c>
      <c r="C280" s="821"/>
      <c r="D280" s="821"/>
      <c r="E280" s="821"/>
      <c r="F280" s="822"/>
      <c r="G280" s="273"/>
      <c r="H280" s="274" t="s">
        <v>156</v>
      </c>
      <c r="I280" s="275" t="s">
        <v>157</v>
      </c>
      <c r="J280" s="276" t="s">
        <v>37</v>
      </c>
    </row>
    <row r="281" spans="2:10" s="156" customFormat="1" x14ac:dyDescent="0.3">
      <c r="B281" s="927"/>
      <c r="C281" s="835"/>
      <c r="D281" s="835"/>
      <c r="E281" s="835"/>
      <c r="F281" s="836"/>
      <c r="G281" s="273"/>
      <c r="H281" s="277"/>
      <c r="I281" s="278"/>
      <c r="J281" s="279"/>
    </row>
    <row r="282" spans="2:10" s="156" customFormat="1" x14ac:dyDescent="0.3">
      <c r="B282" s="927"/>
      <c r="C282" s="835"/>
      <c r="D282" s="835"/>
      <c r="E282" s="835"/>
      <c r="F282" s="836"/>
      <c r="G282" s="280"/>
      <c r="H282" s="277"/>
      <c r="I282" s="278"/>
      <c r="J282" s="279"/>
    </row>
    <row r="283" spans="2:10" s="156" customFormat="1" x14ac:dyDescent="0.3">
      <c r="B283" s="928"/>
      <c r="C283" s="840"/>
      <c r="D283" s="840"/>
      <c r="E283" s="840"/>
      <c r="F283" s="841"/>
      <c r="G283" s="281"/>
      <c r="H283" s="281"/>
      <c r="I283" s="282" t="s">
        <v>153</v>
      </c>
      <c r="J283" s="283">
        <f>SUM(J281:J282)</f>
        <v>0</v>
      </c>
    </row>
    <row r="284" spans="2:10" s="156" customFormat="1" x14ac:dyDescent="0.3">
      <c r="B284" s="923" t="s">
        <v>158</v>
      </c>
      <c r="C284" s="838"/>
      <c r="D284" s="838"/>
      <c r="E284" s="253"/>
      <c r="F284" s="284"/>
      <c r="G284" s="284"/>
      <c r="H284" s="285"/>
      <c r="I284" s="286"/>
      <c r="J284" s="287"/>
    </row>
    <row r="285" spans="2:10" s="156" customFormat="1" x14ac:dyDescent="0.3">
      <c r="B285" s="924" t="s">
        <v>151</v>
      </c>
      <c r="C285" s="821"/>
      <c r="D285" s="821"/>
      <c r="E285" s="821"/>
      <c r="F285" s="822"/>
      <c r="G285" s="259" t="s">
        <v>48</v>
      </c>
      <c r="H285" s="259" t="s">
        <v>19</v>
      </c>
      <c r="I285" s="260" t="s">
        <v>20</v>
      </c>
      <c r="J285" s="261" t="s">
        <v>37</v>
      </c>
    </row>
    <row r="286" spans="2:10" s="156" customFormat="1" x14ac:dyDescent="0.3">
      <c r="B286" s="925"/>
      <c r="C286" s="824"/>
      <c r="D286" s="824"/>
      <c r="E286" s="824"/>
      <c r="F286" s="825"/>
      <c r="G286" s="288"/>
      <c r="H286" s="288"/>
      <c r="I286" s="289"/>
      <c r="J286" s="265">
        <f>ROUND(H286*I286,0)</f>
        <v>0</v>
      </c>
    </row>
    <row r="287" spans="2:10" s="156" customFormat="1" x14ac:dyDescent="0.3">
      <c r="B287" s="925"/>
      <c r="C287" s="824"/>
      <c r="D287" s="824"/>
      <c r="E287" s="824"/>
      <c r="F287" s="825"/>
      <c r="G287" s="288"/>
      <c r="H287" s="288"/>
      <c r="I287" s="289"/>
      <c r="J287" s="265"/>
    </row>
    <row r="288" spans="2:10" s="156" customFormat="1" x14ac:dyDescent="0.3">
      <c r="B288" s="926"/>
      <c r="C288" s="827"/>
      <c r="D288" s="827"/>
      <c r="E288" s="267"/>
      <c r="F288" s="267"/>
      <c r="G288" s="267"/>
      <c r="H288" s="290"/>
      <c r="I288" s="291" t="s">
        <v>153</v>
      </c>
      <c r="J288" s="292">
        <f>SUM(J286:J287)</f>
        <v>0</v>
      </c>
    </row>
    <row r="289" spans="2:12" s="156" customFormat="1" x14ac:dyDescent="0.3">
      <c r="B289" s="938" t="s">
        <v>159</v>
      </c>
      <c r="C289" s="829"/>
      <c r="D289" s="829"/>
      <c r="E289" s="829"/>
      <c r="F289" s="829"/>
      <c r="G289" s="829"/>
      <c r="H289" s="829"/>
      <c r="I289" s="829"/>
      <c r="J289" s="939"/>
    </row>
    <row r="290" spans="2:12" s="156" customFormat="1" x14ac:dyDescent="0.3">
      <c r="B290" s="919" t="s">
        <v>151</v>
      </c>
      <c r="C290" s="832"/>
      <c r="D290" s="832"/>
      <c r="E290" s="832"/>
      <c r="F290" s="833"/>
      <c r="G290" s="232" t="s">
        <v>48</v>
      </c>
      <c r="H290" s="232" t="s">
        <v>19</v>
      </c>
      <c r="I290" s="233" t="s">
        <v>20</v>
      </c>
      <c r="J290" s="233" t="s">
        <v>37</v>
      </c>
    </row>
    <row r="291" spans="2:12" s="156" customFormat="1" x14ac:dyDescent="0.3">
      <c r="B291" s="917" t="s">
        <v>184</v>
      </c>
      <c r="C291" s="813"/>
      <c r="D291" s="813"/>
      <c r="E291" s="813"/>
      <c r="F291" s="814"/>
      <c r="G291" s="245" t="s">
        <v>48</v>
      </c>
      <c r="H291" s="245">
        <v>1</v>
      </c>
      <c r="I291" s="237">
        <v>3210000</v>
      </c>
      <c r="J291" s="237">
        <f>+H291*I291</f>
        <v>3210000</v>
      </c>
    </row>
    <row r="292" spans="2:12" s="156" customFormat="1" x14ac:dyDescent="0.3">
      <c r="B292" s="917" t="s">
        <v>185</v>
      </c>
      <c r="C292" s="813"/>
      <c r="D292" s="813"/>
      <c r="E292" s="813"/>
      <c r="F292" s="814"/>
      <c r="G292" s="245" t="s">
        <v>48</v>
      </c>
      <c r="H292" s="245">
        <v>1</v>
      </c>
      <c r="I292" s="237">
        <v>1529200</v>
      </c>
      <c r="J292" s="237">
        <f t="shared" ref="J292:J293" si="5">+H292*I292</f>
        <v>1529200</v>
      </c>
    </row>
    <row r="293" spans="2:12" s="156" customFormat="1" x14ac:dyDescent="0.3">
      <c r="B293" s="917" t="s">
        <v>186</v>
      </c>
      <c r="C293" s="813"/>
      <c r="D293" s="813"/>
      <c r="E293" s="813"/>
      <c r="F293" s="814"/>
      <c r="G293" s="245" t="s">
        <v>48</v>
      </c>
      <c r="H293" s="245">
        <v>2</v>
      </c>
      <c r="I293" s="237">
        <v>1900400</v>
      </c>
      <c r="J293" s="237">
        <f t="shared" si="5"/>
        <v>3800800</v>
      </c>
    </row>
    <row r="294" spans="2:12" s="156" customFormat="1" x14ac:dyDescent="0.3">
      <c r="B294" s="917"/>
      <c r="C294" s="813"/>
      <c r="D294" s="813"/>
      <c r="E294" s="813"/>
      <c r="F294" s="814"/>
      <c r="G294" s="245"/>
      <c r="H294" s="245"/>
      <c r="I294" s="237"/>
      <c r="J294" s="237"/>
    </row>
    <row r="295" spans="2:12" s="156" customFormat="1" x14ac:dyDescent="0.3">
      <c r="B295" s="917"/>
      <c r="C295" s="813"/>
      <c r="D295" s="813"/>
      <c r="E295" s="813"/>
      <c r="F295" s="814"/>
      <c r="G295" s="245"/>
      <c r="H295" s="245"/>
      <c r="I295" s="237"/>
      <c r="J295" s="237"/>
    </row>
    <row r="296" spans="2:12" s="156" customFormat="1" x14ac:dyDescent="0.3">
      <c r="B296" s="917"/>
      <c r="C296" s="813"/>
      <c r="D296" s="813"/>
      <c r="E296" s="813"/>
      <c r="F296" s="814"/>
      <c r="G296" s="245"/>
      <c r="H296" s="245"/>
      <c r="I296" s="237"/>
      <c r="J296" s="237"/>
    </row>
    <row r="297" spans="2:12" s="156" customFormat="1" x14ac:dyDescent="0.3">
      <c r="B297" s="917"/>
      <c r="C297" s="813"/>
      <c r="D297" s="813"/>
      <c r="E297" s="813"/>
      <c r="F297" s="814"/>
      <c r="G297" s="245"/>
      <c r="H297" s="245"/>
      <c r="I297" s="237"/>
      <c r="J297" s="237"/>
    </row>
    <row r="298" spans="2:12" s="156" customFormat="1" x14ac:dyDescent="0.3">
      <c r="B298" s="929"/>
      <c r="C298" s="816"/>
      <c r="D298" s="816"/>
      <c r="E298" s="816"/>
      <c r="F298" s="817"/>
      <c r="G298" s="316"/>
      <c r="H298" s="316"/>
      <c r="I298" s="317" t="s">
        <v>153</v>
      </c>
      <c r="J298" s="318">
        <f>SUM(J291:J297)</f>
        <v>8540000</v>
      </c>
    </row>
    <row r="299" spans="2:12" s="156" customFormat="1" x14ac:dyDescent="0.3">
      <c r="B299" s="930"/>
      <c r="C299" s="819"/>
      <c r="D299" s="819"/>
      <c r="E299" s="319"/>
      <c r="F299" s="319"/>
      <c r="G299" s="319"/>
      <c r="H299" s="934" t="s">
        <v>160</v>
      </c>
      <c r="I299" s="935"/>
      <c r="J299" s="320">
        <f>+J288++J298+J283+J278</f>
        <v>8540000</v>
      </c>
      <c r="L299" s="301"/>
    </row>
    <row r="300" spans="2:12" s="156" customFormat="1" x14ac:dyDescent="0.3">
      <c r="B300" s="931"/>
      <c r="C300" s="932"/>
      <c r="D300" s="932"/>
      <c r="E300" s="932"/>
      <c r="F300" s="932"/>
      <c r="G300" s="933"/>
      <c r="H300" s="806" t="s">
        <v>1004</v>
      </c>
      <c r="I300" s="807"/>
      <c r="J300" s="297">
        <v>0</v>
      </c>
      <c r="L300" s="301"/>
    </row>
    <row r="301" spans="2:12" s="156" customFormat="1" x14ac:dyDescent="0.3">
      <c r="B301" s="798"/>
      <c r="C301" s="799"/>
      <c r="D301" s="799"/>
      <c r="E301" s="799"/>
      <c r="F301" s="799"/>
      <c r="G301" s="800"/>
      <c r="H301" s="801" t="s">
        <v>291</v>
      </c>
      <c r="I301" s="802"/>
      <c r="J301" s="248">
        <f>SUM(J299:J300)</f>
        <v>8540000</v>
      </c>
      <c r="L301" s="301"/>
    </row>
    <row r="302" spans="2:12" s="156" customFormat="1" x14ac:dyDescent="0.3"/>
    <row r="303" spans="2:12" s="156" customFormat="1" x14ac:dyDescent="0.3"/>
    <row r="304" spans="2:12" s="156" customFormat="1" x14ac:dyDescent="0.3">
      <c r="B304" s="314" t="s">
        <v>15</v>
      </c>
      <c r="C304" s="832" t="s">
        <v>151</v>
      </c>
      <c r="D304" s="832"/>
      <c r="E304" s="832"/>
      <c r="F304" s="832"/>
      <c r="G304" s="832"/>
      <c r="H304" s="936"/>
      <c r="I304" s="250" t="s">
        <v>48</v>
      </c>
      <c r="J304" s="251" t="s">
        <v>19</v>
      </c>
    </row>
    <row r="305" spans="2:10" s="156" customFormat="1" ht="29.1" customHeight="1" x14ac:dyDescent="0.3">
      <c r="B305" s="221" t="str">
        <f>PPTO_PLANES!B13</f>
        <v>5.2.2</v>
      </c>
      <c r="C305" s="844" t="s">
        <v>124</v>
      </c>
      <c r="D305" s="845"/>
      <c r="E305" s="845"/>
      <c r="F305" s="845"/>
      <c r="G305" s="845"/>
      <c r="H305" s="846"/>
      <c r="I305" s="222" t="s">
        <v>18</v>
      </c>
      <c r="J305" s="252">
        <v>1</v>
      </c>
    </row>
    <row r="306" spans="2:10" s="156" customFormat="1" x14ac:dyDescent="0.3">
      <c r="B306" s="937" t="s">
        <v>152</v>
      </c>
      <c r="C306" s="848"/>
      <c r="D306" s="848"/>
      <c r="E306" s="253"/>
      <c r="F306" s="284"/>
      <c r="G306" s="284"/>
      <c r="H306" s="285"/>
      <c r="I306" s="257"/>
      <c r="J306" s="258"/>
    </row>
    <row r="307" spans="2:10" s="156" customFormat="1" x14ac:dyDescent="0.3">
      <c r="B307" s="924" t="s">
        <v>151</v>
      </c>
      <c r="C307" s="821"/>
      <c r="D307" s="821"/>
      <c r="E307" s="821"/>
      <c r="F307" s="822"/>
      <c r="G307" s="259" t="s">
        <v>48</v>
      </c>
      <c r="H307" s="259" t="s">
        <v>19</v>
      </c>
      <c r="I307" s="260" t="s">
        <v>20</v>
      </c>
      <c r="J307" s="261" t="s">
        <v>37</v>
      </c>
    </row>
    <row r="308" spans="2:10" s="156" customFormat="1" x14ac:dyDescent="0.3">
      <c r="B308" s="927"/>
      <c r="C308" s="835"/>
      <c r="D308" s="835"/>
      <c r="E308" s="835"/>
      <c r="F308" s="836"/>
      <c r="G308" s="262"/>
      <c r="H308" s="263"/>
      <c r="I308" s="264"/>
      <c r="J308" s="265">
        <f>ROUND(I308*H308,0)</f>
        <v>0</v>
      </c>
    </row>
    <row r="309" spans="2:10" s="156" customFormat="1" x14ac:dyDescent="0.3">
      <c r="B309" s="927"/>
      <c r="C309" s="835"/>
      <c r="D309" s="835"/>
      <c r="E309" s="835"/>
      <c r="F309" s="836"/>
      <c r="G309" s="266"/>
      <c r="H309" s="263"/>
      <c r="I309" s="264"/>
      <c r="J309" s="265"/>
    </row>
    <row r="310" spans="2:10" s="156" customFormat="1" x14ac:dyDescent="0.3">
      <c r="B310" s="926"/>
      <c r="C310" s="827"/>
      <c r="D310" s="827"/>
      <c r="E310" s="268"/>
      <c r="F310" s="268"/>
      <c r="G310" s="268"/>
      <c r="H310" s="269"/>
      <c r="I310" s="270" t="s">
        <v>153</v>
      </c>
      <c r="J310" s="271">
        <f>+SUM(J308:J309)</f>
        <v>0</v>
      </c>
    </row>
    <row r="311" spans="2:10" s="156" customFormat="1" x14ac:dyDescent="0.3">
      <c r="B311" s="923" t="s">
        <v>154</v>
      </c>
      <c r="C311" s="838"/>
      <c r="D311" s="838"/>
      <c r="E311" s="255"/>
      <c r="F311" s="255"/>
      <c r="G311" s="255"/>
      <c r="H311" s="255"/>
      <c r="I311" s="272"/>
      <c r="J311" s="261"/>
    </row>
    <row r="312" spans="2:10" s="156" customFormat="1" x14ac:dyDescent="0.3">
      <c r="B312" s="924" t="s">
        <v>155</v>
      </c>
      <c r="C312" s="821"/>
      <c r="D312" s="821"/>
      <c r="E312" s="821"/>
      <c r="F312" s="822"/>
      <c r="G312" s="273"/>
      <c r="H312" s="274" t="s">
        <v>156</v>
      </c>
      <c r="I312" s="275" t="s">
        <v>157</v>
      </c>
      <c r="J312" s="276" t="s">
        <v>37</v>
      </c>
    </row>
    <row r="313" spans="2:10" s="156" customFormat="1" x14ac:dyDescent="0.3">
      <c r="B313" s="927"/>
      <c r="C313" s="835"/>
      <c r="D313" s="835"/>
      <c r="E313" s="835"/>
      <c r="F313" s="836"/>
      <c r="G313" s="273"/>
      <c r="H313" s="277"/>
      <c r="I313" s="278"/>
      <c r="J313" s="279"/>
    </row>
    <row r="314" spans="2:10" s="156" customFormat="1" x14ac:dyDescent="0.3">
      <c r="B314" s="927"/>
      <c r="C314" s="835"/>
      <c r="D314" s="835"/>
      <c r="E314" s="835"/>
      <c r="F314" s="836"/>
      <c r="G314" s="280"/>
      <c r="H314" s="277"/>
      <c r="I314" s="278"/>
      <c r="J314" s="279"/>
    </row>
    <row r="315" spans="2:10" s="156" customFormat="1" x14ac:dyDescent="0.3">
      <c r="B315" s="928"/>
      <c r="C315" s="840"/>
      <c r="D315" s="840"/>
      <c r="E315" s="840"/>
      <c r="F315" s="841"/>
      <c r="G315" s="281"/>
      <c r="H315" s="281"/>
      <c r="I315" s="282" t="s">
        <v>153</v>
      </c>
      <c r="J315" s="283">
        <f>SUM(J313:J314)</f>
        <v>0</v>
      </c>
    </row>
    <row r="316" spans="2:10" s="156" customFormat="1" x14ac:dyDescent="0.3">
      <c r="B316" s="923" t="s">
        <v>158</v>
      </c>
      <c r="C316" s="838"/>
      <c r="D316" s="838"/>
      <c r="E316" s="253"/>
      <c r="F316" s="284"/>
      <c r="G316" s="284"/>
      <c r="H316" s="285"/>
      <c r="I316" s="286"/>
      <c r="J316" s="287"/>
    </row>
    <row r="317" spans="2:10" s="156" customFormat="1" x14ac:dyDescent="0.3">
      <c r="B317" s="924" t="s">
        <v>151</v>
      </c>
      <c r="C317" s="821"/>
      <c r="D317" s="821"/>
      <c r="E317" s="821"/>
      <c r="F317" s="822"/>
      <c r="G317" s="259" t="s">
        <v>48</v>
      </c>
      <c r="H317" s="259" t="s">
        <v>19</v>
      </c>
      <c r="I317" s="260" t="s">
        <v>20</v>
      </c>
      <c r="J317" s="261" t="s">
        <v>37</v>
      </c>
    </row>
    <row r="318" spans="2:10" s="156" customFormat="1" x14ac:dyDescent="0.3">
      <c r="B318" s="925"/>
      <c r="C318" s="824"/>
      <c r="D318" s="824"/>
      <c r="E318" s="824"/>
      <c r="F318" s="825"/>
      <c r="G318" s="288"/>
      <c r="H318" s="288"/>
      <c r="I318" s="289"/>
      <c r="J318" s="265">
        <f>ROUND(H318*I318,0)</f>
        <v>0</v>
      </c>
    </row>
    <row r="319" spans="2:10" s="156" customFormat="1" x14ac:dyDescent="0.3">
      <c r="B319" s="925"/>
      <c r="C319" s="824"/>
      <c r="D319" s="824"/>
      <c r="E319" s="824"/>
      <c r="F319" s="825"/>
      <c r="G319" s="288"/>
      <c r="H319" s="288"/>
      <c r="I319" s="289"/>
      <c r="J319" s="265"/>
    </row>
    <row r="320" spans="2:10" s="156" customFormat="1" x14ac:dyDescent="0.3">
      <c r="B320" s="926"/>
      <c r="C320" s="827"/>
      <c r="D320" s="827"/>
      <c r="E320" s="267"/>
      <c r="F320" s="267"/>
      <c r="G320" s="267"/>
      <c r="H320" s="290"/>
      <c r="I320" s="291" t="s">
        <v>153</v>
      </c>
      <c r="J320" s="292">
        <f>SUM(J318:J319)</f>
        <v>0</v>
      </c>
    </row>
    <row r="321" spans="2:12" s="156" customFormat="1" x14ac:dyDescent="0.3">
      <c r="B321" s="938" t="s">
        <v>159</v>
      </c>
      <c r="C321" s="829"/>
      <c r="D321" s="829"/>
      <c r="E321" s="829"/>
      <c r="F321" s="829"/>
      <c r="G321" s="829"/>
      <c r="H321" s="829"/>
      <c r="I321" s="829"/>
      <c r="J321" s="939"/>
    </row>
    <row r="322" spans="2:12" s="156" customFormat="1" x14ac:dyDescent="0.3">
      <c r="B322" s="919" t="s">
        <v>151</v>
      </c>
      <c r="C322" s="832"/>
      <c r="D322" s="832"/>
      <c r="E322" s="832"/>
      <c r="F322" s="833"/>
      <c r="G322" s="232" t="s">
        <v>48</v>
      </c>
      <c r="H322" s="232" t="s">
        <v>19</v>
      </c>
      <c r="I322" s="233" t="s">
        <v>20</v>
      </c>
      <c r="J322" s="233" t="s">
        <v>37</v>
      </c>
    </row>
    <row r="323" spans="2:12" s="156" customFormat="1" x14ac:dyDescent="0.3">
      <c r="B323" s="917" t="s">
        <v>189</v>
      </c>
      <c r="C323" s="813"/>
      <c r="D323" s="813"/>
      <c r="E323" s="813"/>
      <c r="F323" s="814"/>
      <c r="G323" s="245" t="s">
        <v>48</v>
      </c>
      <c r="H323" s="245">
        <v>2</v>
      </c>
      <c r="I323" s="237">
        <v>3450000</v>
      </c>
      <c r="J323" s="237">
        <f>+H323*I323</f>
        <v>6900000</v>
      </c>
    </row>
    <row r="324" spans="2:12" s="156" customFormat="1" x14ac:dyDescent="0.3">
      <c r="B324" s="917" t="s">
        <v>190</v>
      </c>
      <c r="C324" s="813"/>
      <c r="D324" s="813"/>
      <c r="E324" s="813"/>
      <c r="F324" s="814"/>
      <c r="G324" s="245" t="s">
        <v>48</v>
      </c>
      <c r="H324" s="245">
        <v>1</v>
      </c>
      <c r="I324" s="237">
        <v>5740000</v>
      </c>
      <c r="J324" s="237">
        <f t="shared" ref="J324:J326" si="6">+H324*I324</f>
        <v>5740000</v>
      </c>
    </row>
    <row r="325" spans="2:12" s="156" customFormat="1" x14ac:dyDescent="0.3">
      <c r="B325" s="917" t="s">
        <v>191</v>
      </c>
      <c r="C325" s="813"/>
      <c r="D325" s="813"/>
      <c r="E325" s="813"/>
      <c r="F325" s="814"/>
      <c r="G325" s="245" t="s">
        <v>48</v>
      </c>
      <c r="H325" s="245">
        <v>1</v>
      </c>
      <c r="I325" s="237">
        <v>3250000</v>
      </c>
      <c r="J325" s="237">
        <f t="shared" si="6"/>
        <v>3250000</v>
      </c>
    </row>
    <row r="326" spans="2:12" s="156" customFormat="1" ht="13.5" customHeight="1" x14ac:dyDescent="0.3">
      <c r="B326" s="917" t="s">
        <v>195</v>
      </c>
      <c r="C326" s="813"/>
      <c r="D326" s="813"/>
      <c r="E326" s="813"/>
      <c r="F326" s="814"/>
      <c r="G326" s="245" t="s">
        <v>48</v>
      </c>
      <c r="H326" s="245">
        <v>1</v>
      </c>
      <c r="I326" s="237">
        <v>5430000</v>
      </c>
      <c r="J326" s="237">
        <f t="shared" si="6"/>
        <v>5430000</v>
      </c>
    </row>
    <row r="327" spans="2:12" s="156" customFormat="1" x14ac:dyDescent="0.3">
      <c r="G327" s="245" t="s">
        <v>48</v>
      </c>
      <c r="H327" s="245">
        <v>1</v>
      </c>
      <c r="I327" s="237">
        <v>2980000</v>
      </c>
      <c r="J327" s="237">
        <f t="shared" ref="J327" si="7">+H327*I327</f>
        <v>2980000</v>
      </c>
    </row>
    <row r="328" spans="2:12" s="156" customFormat="1" x14ac:dyDescent="0.3">
      <c r="B328" s="917"/>
      <c r="C328" s="813"/>
      <c r="D328" s="813"/>
      <c r="E328" s="813"/>
      <c r="F328" s="814"/>
      <c r="G328" s="245"/>
      <c r="H328" s="245"/>
      <c r="I328" s="237"/>
      <c r="J328" s="237"/>
    </row>
    <row r="329" spans="2:12" s="156" customFormat="1" x14ac:dyDescent="0.3">
      <c r="B329" s="917"/>
      <c r="C329" s="813"/>
      <c r="D329" s="813"/>
      <c r="E329" s="813"/>
      <c r="F329" s="814"/>
      <c r="G329" s="245"/>
      <c r="H329" s="245"/>
      <c r="I329" s="237"/>
      <c r="J329" s="237"/>
    </row>
    <row r="330" spans="2:12" s="156" customFormat="1" x14ac:dyDescent="0.3">
      <c r="B330" s="929"/>
      <c r="C330" s="816"/>
      <c r="D330" s="816"/>
      <c r="E330" s="816"/>
      <c r="F330" s="817"/>
      <c r="G330" s="316"/>
      <c r="H330" s="316"/>
      <c r="I330" s="317" t="s">
        <v>153</v>
      </c>
      <c r="J330" s="318">
        <f>SUM(J323:J329)</f>
        <v>24300000</v>
      </c>
    </row>
    <row r="331" spans="2:12" s="156" customFormat="1" x14ac:dyDescent="0.3">
      <c r="B331" s="930"/>
      <c r="C331" s="819"/>
      <c r="D331" s="819"/>
      <c r="E331" s="319"/>
      <c r="F331" s="319"/>
      <c r="G331" s="319"/>
      <c r="H331" s="934" t="s">
        <v>160</v>
      </c>
      <c r="I331" s="935"/>
      <c r="J331" s="320">
        <f>+J320++J330+J315+J310</f>
        <v>24300000</v>
      </c>
      <c r="L331" s="301"/>
    </row>
    <row r="332" spans="2:12" s="156" customFormat="1" x14ac:dyDescent="0.3">
      <c r="B332" s="931"/>
      <c r="C332" s="932"/>
      <c r="D332" s="932"/>
      <c r="E332" s="932"/>
      <c r="F332" s="932"/>
      <c r="G332" s="933"/>
      <c r="H332" s="806" t="s">
        <v>1004</v>
      </c>
      <c r="I332" s="807"/>
      <c r="J332" s="297">
        <f>+J331*0.25</f>
        <v>6075000</v>
      </c>
    </row>
    <row r="333" spans="2:12" s="156" customFormat="1" x14ac:dyDescent="0.3">
      <c r="B333" s="798"/>
      <c r="C333" s="799"/>
      <c r="D333" s="799"/>
      <c r="E333" s="799"/>
      <c r="F333" s="799"/>
      <c r="G333" s="800"/>
      <c r="H333" s="801" t="s">
        <v>291</v>
      </c>
      <c r="I333" s="802"/>
      <c r="J333" s="248">
        <f>SUM(J331:J332)</f>
        <v>30375000</v>
      </c>
    </row>
    <row r="334" spans="2:12" s="156" customFormat="1" x14ac:dyDescent="0.3"/>
    <row r="335" spans="2:12" s="156" customFormat="1" x14ac:dyDescent="0.3"/>
    <row r="336" spans="2:12" s="156" customFormat="1" x14ac:dyDescent="0.3">
      <c r="B336" s="314" t="s">
        <v>15</v>
      </c>
      <c r="C336" s="832" t="s">
        <v>151</v>
      </c>
      <c r="D336" s="832"/>
      <c r="E336" s="832"/>
      <c r="F336" s="832"/>
      <c r="G336" s="832"/>
      <c r="H336" s="936"/>
      <c r="I336" s="250" t="s">
        <v>48</v>
      </c>
      <c r="J336" s="251" t="s">
        <v>19</v>
      </c>
    </row>
    <row r="337" spans="2:10" s="156" customFormat="1" x14ac:dyDescent="0.3">
      <c r="B337" s="221" t="str">
        <f>PPTO_PLANES!B15</f>
        <v>5.2.4</v>
      </c>
      <c r="C337" s="844" t="s">
        <v>133</v>
      </c>
      <c r="D337" s="845"/>
      <c r="E337" s="845"/>
      <c r="F337" s="845"/>
      <c r="G337" s="845"/>
      <c r="H337" s="846"/>
      <c r="I337" s="222" t="s">
        <v>18</v>
      </c>
      <c r="J337" s="252">
        <v>1</v>
      </c>
    </row>
    <row r="338" spans="2:10" s="156" customFormat="1" x14ac:dyDescent="0.3">
      <c r="B338" s="937" t="s">
        <v>152</v>
      </c>
      <c r="C338" s="848"/>
      <c r="D338" s="848"/>
      <c r="E338" s="253"/>
      <c r="F338" s="284"/>
      <c r="G338" s="284"/>
      <c r="H338" s="285"/>
      <c r="I338" s="257"/>
      <c r="J338" s="258"/>
    </row>
    <row r="339" spans="2:10" s="156" customFormat="1" x14ac:dyDescent="0.3">
      <c r="B339" s="924" t="s">
        <v>151</v>
      </c>
      <c r="C339" s="821"/>
      <c r="D339" s="821"/>
      <c r="E339" s="821"/>
      <c r="F339" s="822"/>
      <c r="G339" s="259" t="s">
        <v>48</v>
      </c>
      <c r="H339" s="259" t="s">
        <v>19</v>
      </c>
      <c r="I339" s="260" t="s">
        <v>20</v>
      </c>
      <c r="J339" s="261" t="s">
        <v>37</v>
      </c>
    </row>
    <row r="340" spans="2:10" s="156" customFormat="1" x14ac:dyDescent="0.3">
      <c r="B340" s="927"/>
      <c r="C340" s="835"/>
      <c r="D340" s="835"/>
      <c r="E340" s="835"/>
      <c r="F340" s="836"/>
      <c r="G340" s="262"/>
      <c r="H340" s="263"/>
      <c r="I340" s="264"/>
      <c r="J340" s="265">
        <f>ROUND(I340*H340,0)</f>
        <v>0</v>
      </c>
    </row>
    <row r="341" spans="2:10" s="156" customFormat="1" x14ac:dyDescent="0.3">
      <c r="B341" s="927"/>
      <c r="C341" s="835"/>
      <c r="D341" s="835"/>
      <c r="E341" s="835"/>
      <c r="F341" s="836"/>
      <c r="G341" s="266"/>
      <c r="H341" s="263"/>
      <c r="I341" s="264"/>
      <c r="J341" s="265"/>
    </row>
    <row r="342" spans="2:10" s="156" customFormat="1" x14ac:dyDescent="0.3">
      <c r="B342" s="926"/>
      <c r="C342" s="827"/>
      <c r="D342" s="827"/>
      <c r="E342" s="268"/>
      <c r="F342" s="268"/>
      <c r="G342" s="268"/>
      <c r="H342" s="269"/>
      <c r="I342" s="270" t="s">
        <v>153</v>
      </c>
      <c r="J342" s="271">
        <f>+SUM(J340:J341)</f>
        <v>0</v>
      </c>
    </row>
    <row r="343" spans="2:10" s="156" customFormat="1" x14ac:dyDescent="0.3">
      <c r="B343" s="923" t="s">
        <v>154</v>
      </c>
      <c r="C343" s="838"/>
      <c r="D343" s="838"/>
      <c r="E343" s="255"/>
      <c r="F343" s="255"/>
      <c r="G343" s="255"/>
      <c r="H343" s="255"/>
      <c r="I343" s="272"/>
      <c r="J343" s="261"/>
    </row>
    <row r="344" spans="2:10" s="156" customFormat="1" x14ac:dyDescent="0.3">
      <c r="B344" s="924" t="s">
        <v>155</v>
      </c>
      <c r="C344" s="821"/>
      <c r="D344" s="821"/>
      <c r="E344" s="821"/>
      <c r="F344" s="822"/>
      <c r="G344" s="273"/>
      <c r="H344" s="274" t="s">
        <v>156</v>
      </c>
      <c r="I344" s="275" t="s">
        <v>157</v>
      </c>
      <c r="J344" s="276" t="s">
        <v>37</v>
      </c>
    </row>
    <row r="345" spans="2:10" s="156" customFormat="1" x14ac:dyDescent="0.3">
      <c r="B345" s="927"/>
      <c r="C345" s="835"/>
      <c r="D345" s="835"/>
      <c r="E345" s="835"/>
      <c r="F345" s="836"/>
      <c r="G345" s="273"/>
      <c r="H345" s="277"/>
      <c r="I345" s="278"/>
      <c r="J345" s="279"/>
    </row>
    <row r="346" spans="2:10" s="156" customFormat="1" x14ac:dyDescent="0.3">
      <c r="B346" s="927"/>
      <c r="C346" s="835"/>
      <c r="D346" s="835"/>
      <c r="E346" s="835"/>
      <c r="F346" s="836"/>
      <c r="G346" s="280"/>
      <c r="H346" s="277"/>
      <c r="I346" s="278"/>
      <c r="J346" s="279"/>
    </row>
    <row r="347" spans="2:10" s="156" customFormat="1" x14ac:dyDescent="0.3">
      <c r="B347" s="928"/>
      <c r="C347" s="840"/>
      <c r="D347" s="840"/>
      <c r="E347" s="840"/>
      <c r="F347" s="841"/>
      <c r="G347" s="281"/>
      <c r="H347" s="281"/>
      <c r="I347" s="282" t="s">
        <v>153</v>
      </c>
      <c r="J347" s="283">
        <f>SUM(J345:J346)</f>
        <v>0</v>
      </c>
    </row>
    <row r="348" spans="2:10" s="156" customFormat="1" x14ac:dyDescent="0.3">
      <c r="B348" s="923" t="s">
        <v>158</v>
      </c>
      <c r="C348" s="838"/>
      <c r="D348" s="838"/>
      <c r="E348" s="253"/>
      <c r="F348" s="284"/>
      <c r="G348" s="284"/>
      <c r="H348" s="285"/>
      <c r="I348" s="286"/>
      <c r="J348" s="287"/>
    </row>
    <row r="349" spans="2:10" s="156" customFormat="1" x14ac:dyDescent="0.3">
      <c r="B349" s="924" t="s">
        <v>151</v>
      </c>
      <c r="C349" s="821"/>
      <c r="D349" s="821"/>
      <c r="E349" s="821"/>
      <c r="F349" s="822"/>
      <c r="G349" s="259" t="s">
        <v>48</v>
      </c>
      <c r="H349" s="259" t="s">
        <v>19</v>
      </c>
      <c r="I349" s="260" t="s">
        <v>20</v>
      </c>
      <c r="J349" s="261" t="s">
        <v>37</v>
      </c>
    </row>
    <row r="350" spans="2:10" s="156" customFormat="1" x14ac:dyDescent="0.3">
      <c r="B350" s="925"/>
      <c r="C350" s="824"/>
      <c r="D350" s="824"/>
      <c r="E350" s="824"/>
      <c r="F350" s="825"/>
      <c r="G350" s="288"/>
      <c r="H350" s="288"/>
      <c r="I350" s="289"/>
      <c r="J350" s="265">
        <f>ROUND(H350*I350,0)</f>
        <v>0</v>
      </c>
    </row>
    <row r="351" spans="2:10" s="156" customFormat="1" x14ac:dyDescent="0.3">
      <c r="B351" s="925"/>
      <c r="C351" s="824"/>
      <c r="D351" s="824"/>
      <c r="E351" s="824"/>
      <c r="F351" s="825"/>
      <c r="G351" s="288"/>
      <c r="H351" s="288"/>
      <c r="I351" s="289"/>
      <c r="J351" s="265"/>
    </row>
    <row r="352" spans="2:10" s="156" customFormat="1" x14ac:dyDescent="0.3">
      <c r="B352" s="926"/>
      <c r="C352" s="827"/>
      <c r="D352" s="827"/>
      <c r="E352" s="267"/>
      <c r="F352" s="267"/>
      <c r="G352" s="267"/>
      <c r="H352" s="290"/>
      <c r="I352" s="291" t="s">
        <v>153</v>
      </c>
      <c r="J352" s="292">
        <f>SUM(J350:J351)</f>
        <v>0</v>
      </c>
    </row>
    <row r="353" spans="2:12" s="156" customFormat="1" x14ac:dyDescent="0.3">
      <c r="B353" s="938" t="s">
        <v>159</v>
      </c>
      <c r="C353" s="829"/>
      <c r="D353" s="829"/>
      <c r="E353" s="829"/>
      <c r="F353" s="829"/>
      <c r="G353" s="829"/>
      <c r="H353" s="829"/>
      <c r="I353" s="829"/>
      <c r="J353" s="939"/>
    </row>
    <row r="354" spans="2:12" s="156" customFormat="1" x14ac:dyDescent="0.3">
      <c r="B354" s="919" t="s">
        <v>151</v>
      </c>
      <c r="C354" s="832"/>
      <c r="D354" s="832"/>
      <c r="E354" s="832"/>
      <c r="F354" s="833"/>
      <c r="G354" s="232" t="s">
        <v>48</v>
      </c>
      <c r="H354" s="232" t="s">
        <v>19</v>
      </c>
      <c r="I354" s="233" t="s">
        <v>20</v>
      </c>
      <c r="J354" s="233" t="s">
        <v>37</v>
      </c>
    </row>
    <row r="355" spans="2:12" s="156" customFormat="1" ht="20.399999999999999" customHeight="1" x14ac:dyDescent="0.3">
      <c r="B355" s="917" t="s">
        <v>196</v>
      </c>
      <c r="C355" s="813"/>
      <c r="D355" s="813"/>
      <c r="E355" s="813"/>
      <c r="F355" s="814"/>
      <c r="G355" s="245" t="s">
        <v>26</v>
      </c>
      <c r="H355" s="245">
        <v>4</v>
      </c>
      <c r="I355" s="237">
        <v>2450000</v>
      </c>
      <c r="J355" s="237">
        <f>+H355*I355</f>
        <v>9800000</v>
      </c>
    </row>
    <row r="356" spans="2:12" s="156" customFormat="1" x14ac:dyDescent="0.3">
      <c r="B356" s="917" t="s">
        <v>192</v>
      </c>
      <c r="C356" s="813"/>
      <c r="D356" s="813"/>
      <c r="E356" s="813"/>
      <c r="F356" s="814"/>
      <c r="G356" s="245" t="s">
        <v>48</v>
      </c>
      <c r="H356" s="245">
        <v>4</v>
      </c>
      <c r="I356" s="237">
        <v>950000</v>
      </c>
      <c r="J356" s="237">
        <f t="shared" ref="J356:J358" si="8">+H356*I356</f>
        <v>3800000</v>
      </c>
    </row>
    <row r="357" spans="2:12" s="156" customFormat="1" x14ac:dyDescent="0.3">
      <c r="B357" s="917" t="s">
        <v>193</v>
      </c>
      <c r="C357" s="813"/>
      <c r="D357" s="813"/>
      <c r="E357" s="813"/>
      <c r="F357" s="814"/>
      <c r="G357" s="245" t="s">
        <v>48</v>
      </c>
      <c r="H357" s="245">
        <v>1</v>
      </c>
      <c r="I357" s="237">
        <v>2430000</v>
      </c>
      <c r="J357" s="237">
        <f t="shared" si="8"/>
        <v>2430000</v>
      </c>
    </row>
    <row r="358" spans="2:12" s="156" customFormat="1" x14ac:dyDescent="0.3">
      <c r="B358" s="917" t="s">
        <v>197</v>
      </c>
      <c r="C358" s="813"/>
      <c r="D358" s="813"/>
      <c r="E358" s="813"/>
      <c r="F358" s="814"/>
      <c r="G358" s="245" t="s">
        <v>26</v>
      </c>
      <c r="H358" s="245">
        <v>4</v>
      </c>
      <c r="I358" s="237">
        <v>125400</v>
      </c>
      <c r="J358" s="237">
        <f t="shared" si="8"/>
        <v>501600</v>
      </c>
    </row>
    <row r="359" spans="2:12" s="156" customFormat="1" x14ac:dyDescent="0.3">
      <c r="B359" s="917" t="s">
        <v>198</v>
      </c>
      <c r="C359" s="813"/>
      <c r="D359" s="813"/>
      <c r="E359" s="813"/>
      <c r="F359" s="814"/>
      <c r="G359" s="245" t="s">
        <v>26</v>
      </c>
      <c r="H359" s="245">
        <v>4</v>
      </c>
      <c r="I359" s="237">
        <v>240300</v>
      </c>
      <c r="J359" s="237">
        <f t="shared" ref="J359:J360" si="9">+H359*I359</f>
        <v>961200</v>
      </c>
    </row>
    <row r="360" spans="2:12" s="156" customFormat="1" x14ac:dyDescent="0.3">
      <c r="B360" s="917" t="s">
        <v>194</v>
      </c>
      <c r="C360" s="813"/>
      <c r="D360" s="813"/>
      <c r="E360" s="813"/>
      <c r="F360" s="814"/>
      <c r="G360" s="245" t="s">
        <v>48</v>
      </c>
      <c r="H360" s="245">
        <v>1</v>
      </c>
      <c r="I360" s="237">
        <v>1997280</v>
      </c>
      <c r="J360" s="237">
        <f t="shared" si="9"/>
        <v>1997280</v>
      </c>
    </row>
    <row r="361" spans="2:12" s="156" customFormat="1" x14ac:dyDescent="0.3">
      <c r="B361" s="917"/>
      <c r="C361" s="813"/>
      <c r="D361" s="813"/>
      <c r="E361" s="813"/>
      <c r="F361" s="814"/>
      <c r="G361" s="245"/>
      <c r="H361" s="245"/>
      <c r="I361" s="237"/>
      <c r="J361" s="237"/>
    </row>
    <row r="362" spans="2:12" s="156" customFormat="1" x14ac:dyDescent="0.3">
      <c r="B362" s="917"/>
      <c r="C362" s="813"/>
      <c r="D362" s="813"/>
      <c r="E362" s="813"/>
      <c r="F362" s="814"/>
      <c r="G362" s="245"/>
      <c r="H362" s="245"/>
      <c r="I362" s="237"/>
      <c r="J362" s="237"/>
    </row>
    <row r="363" spans="2:12" s="156" customFormat="1" x14ac:dyDescent="0.3">
      <c r="B363" s="929"/>
      <c r="C363" s="816"/>
      <c r="D363" s="816"/>
      <c r="E363" s="816"/>
      <c r="F363" s="817"/>
      <c r="G363" s="316"/>
      <c r="H363" s="316"/>
      <c r="I363" s="317" t="s">
        <v>153</v>
      </c>
      <c r="J363" s="318">
        <f>SUM(J355:J362)</f>
        <v>19490080</v>
      </c>
    </row>
    <row r="364" spans="2:12" s="156" customFormat="1" x14ac:dyDescent="0.3">
      <c r="B364" s="930"/>
      <c r="C364" s="819"/>
      <c r="D364" s="819"/>
      <c r="E364" s="319"/>
      <c r="F364" s="319"/>
      <c r="G364" s="319"/>
      <c r="H364" s="934" t="s">
        <v>160</v>
      </c>
      <c r="I364" s="935"/>
      <c r="J364" s="320">
        <f>+J352++J363+J347+J342</f>
        <v>19490080</v>
      </c>
      <c r="L364" s="301"/>
    </row>
    <row r="365" spans="2:12" s="156" customFormat="1" x14ac:dyDescent="0.3">
      <c r="B365" s="931"/>
      <c r="C365" s="932"/>
      <c r="D365" s="932"/>
      <c r="E365" s="932"/>
      <c r="F365" s="932"/>
      <c r="G365" s="933"/>
      <c r="H365" s="806" t="s">
        <v>1004</v>
      </c>
      <c r="I365" s="807"/>
      <c r="J365" s="297">
        <v>0</v>
      </c>
    </row>
    <row r="366" spans="2:12" s="156" customFormat="1" x14ac:dyDescent="0.3">
      <c r="B366" s="798"/>
      <c r="C366" s="799"/>
      <c r="D366" s="799"/>
      <c r="E366" s="799"/>
      <c r="F366" s="799"/>
      <c r="G366" s="800"/>
      <c r="H366" s="801" t="s">
        <v>291</v>
      </c>
      <c r="I366" s="802"/>
      <c r="J366" s="248">
        <f>SUM(J364:J365)</f>
        <v>19490080</v>
      </c>
    </row>
    <row r="367" spans="2:12" s="156" customFormat="1" x14ac:dyDescent="0.3"/>
    <row r="368" spans="2:12" s="156" customFormat="1" ht="13.5" customHeight="1" x14ac:dyDescent="0.3"/>
    <row r="369" spans="2:10" s="156" customFormat="1" ht="13.5" customHeight="1" x14ac:dyDescent="0.3">
      <c r="B369" s="314" t="s">
        <v>15</v>
      </c>
      <c r="C369" s="832" t="s">
        <v>151</v>
      </c>
      <c r="D369" s="832"/>
      <c r="E369" s="832"/>
      <c r="F369" s="832"/>
      <c r="G369" s="832"/>
      <c r="H369" s="936"/>
      <c r="I369" s="250" t="s">
        <v>48</v>
      </c>
      <c r="J369" s="251" t="s">
        <v>19</v>
      </c>
    </row>
    <row r="370" spans="2:10" s="156" customFormat="1" ht="13.5" customHeight="1" x14ac:dyDescent="0.3">
      <c r="B370" s="221" t="str">
        <f>PPTO_PLANES!B16</f>
        <v>5.2.5</v>
      </c>
      <c r="C370" s="844" t="str">
        <f>PPTO_PLANES!C16</f>
        <v>Elaboración de actas de vecindad de apertura, seguimiento y cierre</v>
      </c>
      <c r="D370" s="845"/>
      <c r="E370" s="845"/>
      <c r="F370" s="845"/>
      <c r="G370" s="845"/>
      <c r="H370" s="846"/>
      <c r="I370" s="222" t="s">
        <v>18</v>
      </c>
      <c r="J370" s="252">
        <v>1</v>
      </c>
    </row>
    <row r="371" spans="2:10" s="156" customFormat="1" ht="13.5" customHeight="1" x14ac:dyDescent="0.3">
      <c r="B371" s="937" t="s">
        <v>152</v>
      </c>
      <c r="C371" s="848"/>
      <c r="D371" s="848"/>
      <c r="E371" s="253"/>
      <c r="F371" s="284"/>
      <c r="G371" s="284"/>
      <c r="H371" s="285"/>
      <c r="I371" s="257"/>
      <c r="J371" s="258"/>
    </row>
    <row r="372" spans="2:10" s="156" customFormat="1" ht="13.5" customHeight="1" x14ac:dyDescent="0.3">
      <c r="B372" s="924" t="s">
        <v>151</v>
      </c>
      <c r="C372" s="821"/>
      <c r="D372" s="821"/>
      <c r="E372" s="821"/>
      <c r="F372" s="822"/>
      <c r="G372" s="259" t="s">
        <v>48</v>
      </c>
      <c r="H372" s="259" t="s">
        <v>19</v>
      </c>
      <c r="I372" s="260" t="s">
        <v>20</v>
      </c>
      <c r="J372" s="261" t="s">
        <v>37</v>
      </c>
    </row>
    <row r="373" spans="2:10" s="156" customFormat="1" x14ac:dyDescent="0.3">
      <c r="B373" s="927"/>
      <c r="C373" s="835"/>
      <c r="D373" s="835"/>
      <c r="E373" s="835"/>
      <c r="F373" s="836"/>
      <c r="G373" s="262"/>
      <c r="H373" s="263"/>
      <c r="I373" s="264"/>
      <c r="J373" s="265">
        <f>ROUND(I373*H373,0)</f>
        <v>0</v>
      </c>
    </row>
    <row r="374" spans="2:10" s="156" customFormat="1" x14ac:dyDescent="0.3">
      <c r="B374" s="927"/>
      <c r="C374" s="835"/>
      <c r="D374" s="835"/>
      <c r="E374" s="835"/>
      <c r="F374" s="836"/>
      <c r="G374" s="266"/>
      <c r="H374" s="263"/>
      <c r="I374" s="264"/>
      <c r="J374" s="265"/>
    </row>
    <row r="375" spans="2:10" s="156" customFormat="1" x14ac:dyDescent="0.3">
      <c r="B375" s="926"/>
      <c r="C375" s="827"/>
      <c r="D375" s="827"/>
      <c r="E375" s="268"/>
      <c r="F375" s="268"/>
      <c r="G375" s="268"/>
      <c r="H375" s="269"/>
      <c r="I375" s="270" t="s">
        <v>153</v>
      </c>
      <c r="J375" s="271">
        <f>+SUM(J373:J374)</f>
        <v>0</v>
      </c>
    </row>
    <row r="376" spans="2:10" s="156" customFormat="1" x14ac:dyDescent="0.3">
      <c r="B376" s="923" t="s">
        <v>154</v>
      </c>
      <c r="C376" s="838"/>
      <c r="D376" s="838"/>
      <c r="E376" s="255"/>
      <c r="F376" s="255"/>
      <c r="G376" s="255"/>
      <c r="H376" s="255"/>
      <c r="I376" s="272"/>
      <c r="J376" s="261"/>
    </row>
    <row r="377" spans="2:10" s="156" customFormat="1" x14ac:dyDescent="0.3">
      <c r="B377" s="924" t="s">
        <v>155</v>
      </c>
      <c r="C377" s="821"/>
      <c r="D377" s="821"/>
      <c r="E377" s="821"/>
      <c r="F377" s="822"/>
      <c r="G377" s="273"/>
      <c r="H377" s="274" t="s">
        <v>156</v>
      </c>
      <c r="I377" s="275" t="s">
        <v>157</v>
      </c>
      <c r="J377" s="276" t="s">
        <v>37</v>
      </c>
    </row>
    <row r="378" spans="2:10" s="156" customFormat="1" x14ac:dyDescent="0.3">
      <c r="B378" s="927"/>
      <c r="C378" s="835"/>
      <c r="D378" s="835"/>
      <c r="E378" s="835"/>
      <c r="F378" s="836"/>
      <c r="G378" s="273"/>
      <c r="H378" s="277"/>
      <c r="I378" s="278"/>
      <c r="J378" s="279"/>
    </row>
    <row r="379" spans="2:10" s="156" customFormat="1" x14ac:dyDescent="0.3">
      <c r="B379" s="927"/>
      <c r="C379" s="835"/>
      <c r="D379" s="835"/>
      <c r="E379" s="835"/>
      <c r="F379" s="836"/>
      <c r="G379" s="280"/>
      <c r="H379" s="277"/>
      <c r="I379" s="278"/>
      <c r="J379" s="279"/>
    </row>
    <row r="380" spans="2:10" s="156" customFormat="1" x14ac:dyDescent="0.3">
      <c r="B380" s="928"/>
      <c r="C380" s="840"/>
      <c r="D380" s="840"/>
      <c r="E380" s="840"/>
      <c r="F380" s="841"/>
      <c r="G380" s="281"/>
      <c r="H380" s="281"/>
      <c r="I380" s="282" t="s">
        <v>153</v>
      </c>
      <c r="J380" s="283">
        <f>SUM(J378:J379)</f>
        <v>0</v>
      </c>
    </row>
    <row r="381" spans="2:10" s="156" customFormat="1" x14ac:dyDescent="0.3">
      <c r="B381" s="923" t="s">
        <v>158</v>
      </c>
      <c r="C381" s="838"/>
      <c r="D381" s="838"/>
      <c r="E381" s="253"/>
      <c r="F381" s="284"/>
      <c r="G381" s="284"/>
      <c r="H381" s="285"/>
      <c r="I381" s="286"/>
      <c r="J381" s="287"/>
    </row>
    <row r="382" spans="2:10" s="156" customFormat="1" x14ac:dyDescent="0.3">
      <c r="B382" s="924" t="s">
        <v>151</v>
      </c>
      <c r="C382" s="821"/>
      <c r="D382" s="821"/>
      <c r="E382" s="821"/>
      <c r="F382" s="822"/>
      <c r="G382" s="259" t="s">
        <v>48</v>
      </c>
      <c r="H382" s="259" t="s">
        <v>19</v>
      </c>
      <c r="I382" s="260" t="s">
        <v>20</v>
      </c>
      <c r="J382" s="261" t="s">
        <v>37</v>
      </c>
    </row>
    <row r="383" spans="2:10" s="156" customFormat="1" x14ac:dyDescent="0.3">
      <c r="B383" s="925"/>
      <c r="C383" s="824"/>
      <c r="D383" s="824"/>
      <c r="E383" s="824"/>
      <c r="F383" s="825"/>
      <c r="G383" s="288"/>
      <c r="H383" s="288"/>
      <c r="I383" s="289"/>
      <c r="J383" s="265">
        <f>ROUND(H383*I383,0)</f>
        <v>0</v>
      </c>
    </row>
    <row r="384" spans="2:10" s="156" customFormat="1" x14ac:dyDescent="0.3">
      <c r="B384" s="925"/>
      <c r="C384" s="824"/>
      <c r="D384" s="824"/>
      <c r="E384" s="824"/>
      <c r="F384" s="825"/>
      <c r="G384" s="288"/>
      <c r="H384" s="288"/>
      <c r="I384" s="289"/>
      <c r="J384" s="265"/>
    </row>
    <row r="385" spans="2:10" s="156" customFormat="1" x14ac:dyDescent="0.3">
      <c r="B385" s="926"/>
      <c r="C385" s="827"/>
      <c r="D385" s="827"/>
      <c r="E385" s="267"/>
      <c r="F385" s="267"/>
      <c r="G385" s="267"/>
      <c r="H385" s="290"/>
      <c r="I385" s="291" t="s">
        <v>153</v>
      </c>
      <c r="J385" s="292">
        <f>SUM(J383:J384)</f>
        <v>0</v>
      </c>
    </row>
    <row r="386" spans="2:10" s="156" customFormat="1" x14ac:dyDescent="0.3">
      <c r="B386" s="938" t="s">
        <v>159</v>
      </c>
      <c r="C386" s="829"/>
      <c r="D386" s="829"/>
      <c r="E386" s="829"/>
      <c r="F386" s="829"/>
      <c r="G386" s="829"/>
      <c r="H386" s="829"/>
      <c r="I386" s="829"/>
      <c r="J386" s="939"/>
    </row>
    <row r="387" spans="2:10" s="156" customFormat="1" x14ac:dyDescent="0.3">
      <c r="B387" s="919" t="s">
        <v>151</v>
      </c>
      <c r="C387" s="832"/>
      <c r="D387" s="832"/>
      <c r="E387" s="832"/>
      <c r="F387" s="833"/>
      <c r="G387" s="232" t="s">
        <v>48</v>
      </c>
      <c r="H387" s="232" t="s">
        <v>19</v>
      </c>
      <c r="I387" s="233" t="s">
        <v>20</v>
      </c>
      <c r="J387" s="233" t="s">
        <v>37</v>
      </c>
    </row>
    <row r="388" spans="2:10" s="156" customFormat="1" x14ac:dyDescent="0.3">
      <c r="B388" s="917" t="s">
        <v>861</v>
      </c>
      <c r="C388" s="813"/>
      <c r="D388" s="813"/>
      <c r="E388" s="813"/>
      <c r="F388" s="814"/>
      <c r="G388" s="245" t="s">
        <v>26</v>
      </c>
      <c r="H388" s="245">
        <v>4</v>
      </c>
      <c r="I388" s="237">
        <v>2450000</v>
      </c>
      <c r="J388" s="237">
        <f>+H388*I388</f>
        <v>9800000</v>
      </c>
    </row>
    <row r="389" spans="2:10" s="156" customFormat="1" ht="13.5" customHeight="1" x14ac:dyDescent="0.3">
      <c r="B389" s="917"/>
      <c r="C389" s="813"/>
      <c r="D389" s="813"/>
      <c r="E389" s="813"/>
      <c r="F389" s="814"/>
      <c r="G389" s="245"/>
      <c r="H389" s="245"/>
      <c r="I389" s="237"/>
      <c r="J389" s="237"/>
    </row>
    <row r="390" spans="2:10" s="156" customFormat="1" ht="13.5" customHeight="1" x14ac:dyDescent="0.3">
      <c r="B390" s="917"/>
      <c r="C390" s="813"/>
      <c r="D390" s="813"/>
      <c r="E390" s="813"/>
      <c r="F390" s="814"/>
      <c r="G390" s="245"/>
      <c r="H390" s="245"/>
      <c r="I390" s="237"/>
      <c r="J390" s="237"/>
    </row>
    <row r="391" spans="2:10" s="156" customFormat="1" ht="13.5" customHeight="1" x14ac:dyDescent="0.3">
      <c r="B391" s="917"/>
      <c r="C391" s="813"/>
      <c r="D391" s="813"/>
      <c r="E391" s="813"/>
      <c r="F391" s="814"/>
      <c r="G391" s="245"/>
      <c r="H391" s="245"/>
      <c r="I391" s="237"/>
      <c r="J391" s="237"/>
    </row>
    <row r="392" spans="2:10" s="156" customFormat="1" ht="13.5" customHeight="1" x14ac:dyDescent="0.3">
      <c r="B392" s="917"/>
      <c r="C392" s="813"/>
      <c r="D392" s="813"/>
      <c r="E392" s="813"/>
      <c r="F392" s="814"/>
      <c r="G392" s="245"/>
      <c r="H392" s="245"/>
      <c r="I392" s="237"/>
      <c r="J392" s="237"/>
    </row>
    <row r="393" spans="2:10" s="156" customFormat="1" ht="13.5" customHeight="1" x14ac:dyDescent="0.3">
      <c r="B393" s="917"/>
      <c r="C393" s="813"/>
      <c r="D393" s="813"/>
      <c r="E393" s="813"/>
      <c r="F393" s="814"/>
      <c r="G393" s="245"/>
      <c r="H393" s="245"/>
      <c r="I393" s="237"/>
      <c r="J393" s="237"/>
    </row>
    <row r="394" spans="2:10" s="156" customFormat="1" ht="13.5" customHeight="1" x14ac:dyDescent="0.3">
      <c r="B394" s="917"/>
      <c r="C394" s="813"/>
      <c r="D394" s="813"/>
      <c r="E394" s="813"/>
      <c r="F394" s="814"/>
      <c r="G394" s="245"/>
      <c r="H394" s="245"/>
      <c r="I394" s="237"/>
      <c r="J394" s="237"/>
    </row>
    <row r="395" spans="2:10" s="156" customFormat="1" x14ac:dyDescent="0.3">
      <c r="B395" s="917"/>
      <c r="C395" s="813"/>
      <c r="D395" s="813"/>
      <c r="E395" s="813"/>
      <c r="F395" s="814"/>
      <c r="G395" s="245"/>
      <c r="H395" s="245"/>
      <c r="I395" s="237"/>
      <c r="J395" s="237"/>
    </row>
    <row r="396" spans="2:10" s="156" customFormat="1" x14ac:dyDescent="0.3">
      <c r="B396" s="929"/>
      <c r="C396" s="816"/>
      <c r="D396" s="816"/>
      <c r="E396" s="816"/>
      <c r="F396" s="817"/>
      <c r="G396" s="316"/>
      <c r="H396" s="316"/>
      <c r="I396" s="317" t="s">
        <v>153</v>
      </c>
      <c r="J396" s="318">
        <f>SUM(J388:J395)</f>
        <v>9800000</v>
      </c>
    </row>
    <row r="397" spans="2:10" s="156" customFormat="1" ht="13.5" customHeight="1" x14ac:dyDescent="0.3">
      <c r="B397" s="930"/>
      <c r="C397" s="819"/>
      <c r="D397" s="819"/>
      <c r="E397" s="319"/>
      <c r="F397" s="319"/>
      <c r="G397" s="319"/>
      <c r="H397" s="934" t="s">
        <v>160</v>
      </c>
      <c r="I397" s="935"/>
      <c r="J397" s="320">
        <f>+J385++J396+J380+J375</f>
        <v>9800000</v>
      </c>
    </row>
    <row r="398" spans="2:10" s="156" customFormat="1" ht="13.5" customHeight="1" x14ac:dyDescent="0.3">
      <c r="B398" s="931"/>
      <c r="C398" s="932"/>
      <c r="D398" s="932"/>
      <c r="E398" s="932"/>
      <c r="F398" s="932"/>
      <c r="G398" s="933"/>
      <c r="H398" s="806" t="s">
        <v>1004</v>
      </c>
      <c r="I398" s="807"/>
      <c r="J398" s="297">
        <v>0</v>
      </c>
    </row>
    <row r="399" spans="2:10" s="156" customFormat="1" x14ac:dyDescent="0.3">
      <c r="B399" s="798"/>
      <c r="C399" s="799"/>
      <c r="D399" s="799"/>
      <c r="E399" s="799"/>
      <c r="F399" s="799"/>
      <c r="G399" s="800"/>
      <c r="H399" s="801" t="s">
        <v>291</v>
      </c>
      <c r="I399" s="802"/>
      <c r="J399" s="248">
        <f>SUM(J397:J398)</f>
        <v>9800000</v>
      </c>
    </row>
    <row r="400" spans="2:10" s="156" customFormat="1" x14ac:dyDescent="0.3"/>
    <row r="401" spans="2:10" s="156" customFormat="1" x14ac:dyDescent="0.3"/>
    <row r="402" spans="2:10" s="156" customFormat="1" ht="26.7" customHeight="1" x14ac:dyDescent="0.3">
      <c r="B402" s="321" t="s">
        <v>15</v>
      </c>
      <c r="C402" s="842" t="s">
        <v>151</v>
      </c>
      <c r="D402" s="842"/>
      <c r="E402" s="842"/>
      <c r="F402" s="842"/>
      <c r="G402" s="842"/>
      <c r="H402" s="843"/>
      <c r="I402" s="260" t="s">
        <v>48</v>
      </c>
      <c r="J402" s="322" t="s">
        <v>19</v>
      </c>
    </row>
    <row r="403" spans="2:10" s="156" customFormat="1" x14ac:dyDescent="0.3">
      <c r="B403" s="221" t="str">
        <f>PPTO_PLANES!B14</f>
        <v>5.2.3</v>
      </c>
      <c r="C403" s="844" t="s">
        <v>134</v>
      </c>
      <c r="D403" s="845"/>
      <c r="E403" s="845"/>
      <c r="F403" s="845"/>
      <c r="G403" s="845"/>
      <c r="H403" s="846"/>
      <c r="I403" s="222" t="s">
        <v>18</v>
      </c>
      <c r="J403" s="223">
        <v>1</v>
      </c>
    </row>
    <row r="404" spans="2:10" s="156" customFormat="1" x14ac:dyDescent="0.3">
      <c r="B404" s="847" t="s">
        <v>152</v>
      </c>
      <c r="C404" s="848"/>
      <c r="D404" s="848"/>
      <c r="E404" s="253"/>
      <c r="F404" s="284"/>
      <c r="G404" s="284"/>
      <c r="H404" s="285"/>
      <c r="I404" s="257"/>
      <c r="J404" s="323"/>
    </row>
    <row r="405" spans="2:10" s="156" customFormat="1" x14ac:dyDescent="0.3">
      <c r="B405" s="820" t="s">
        <v>151</v>
      </c>
      <c r="C405" s="821"/>
      <c r="D405" s="821"/>
      <c r="E405" s="821"/>
      <c r="F405" s="822"/>
      <c r="G405" s="259" t="s">
        <v>48</v>
      </c>
      <c r="H405" s="259" t="s">
        <v>19</v>
      </c>
      <c r="I405" s="260" t="s">
        <v>20</v>
      </c>
      <c r="J405" s="322" t="s">
        <v>37</v>
      </c>
    </row>
    <row r="406" spans="2:10" s="156" customFormat="1" x14ac:dyDescent="0.3">
      <c r="B406" s="834"/>
      <c r="C406" s="835"/>
      <c r="D406" s="835"/>
      <c r="E406" s="835"/>
      <c r="F406" s="836"/>
      <c r="G406" s="262"/>
      <c r="H406" s="263"/>
      <c r="I406" s="264"/>
      <c r="J406" s="324">
        <f>ROUND(I406*H406,0)</f>
        <v>0</v>
      </c>
    </row>
    <row r="407" spans="2:10" s="156" customFormat="1" x14ac:dyDescent="0.3">
      <c r="B407" s="834"/>
      <c r="C407" s="835"/>
      <c r="D407" s="835"/>
      <c r="E407" s="835"/>
      <c r="F407" s="836"/>
      <c r="G407" s="266"/>
      <c r="H407" s="263"/>
      <c r="I407" s="264"/>
      <c r="J407" s="324"/>
    </row>
    <row r="408" spans="2:10" s="156" customFormat="1" x14ac:dyDescent="0.3">
      <c r="B408" s="826"/>
      <c r="C408" s="827"/>
      <c r="D408" s="827"/>
      <c r="E408" s="268"/>
      <c r="F408" s="268"/>
      <c r="G408" s="268"/>
      <c r="H408" s="269"/>
      <c r="I408" s="270" t="s">
        <v>153</v>
      </c>
      <c r="J408" s="325">
        <f>+SUM(J406:J407)</f>
        <v>0</v>
      </c>
    </row>
    <row r="409" spans="2:10" s="156" customFormat="1" x14ac:dyDescent="0.3">
      <c r="B409" s="837" t="s">
        <v>154</v>
      </c>
      <c r="C409" s="838"/>
      <c r="D409" s="838"/>
      <c r="E409" s="255"/>
      <c r="F409" s="255"/>
      <c r="G409" s="255"/>
      <c r="H409" s="255"/>
      <c r="I409" s="272"/>
      <c r="J409" s="322"/>
    </row>
    <row r="410" spans="2:10" s="156" customFormat="1" x14ac:dyDescent="0.3">
      <c r="B410" s="820" t="s">
        <v>155</v>
      </c>
      <c r="C410" s="821"/>
      <c r="D410" s="821"/>
      <c r="E410" s="821"/>
      <c r="F410" s="822"/>
      <c r="G410" s="273"/>
      <c r="H410" s="274" t="s">
        <v>156</v>
      </c>
      <c r="I410" s="275" t="s">
        <v>157</v>
      </c>
      <c r="J410" s="326" t="s">
        <v>37</v>
      </c>
    </row>
    <row r="411" spans="2:10" s="156" customFormat="1" x14ac:dyDescent="0.3">
      <c r="B411" s="834"/>
      <c r="C411" s="835"/>
      <c r="D411" s="835"/>
      <c r="E411" s="835"/>
      <c r="F411" s="836"/>
      <c r="G411" s="273"/>
      <c r="H411" s="277"/>
      <c r="I411" s="278"/>
      <c r="J411" s="327"/>
    </row>
    <row r="412" spans="2:10" s="156" customFormat="1" x14ac:dyDescent="0.3">
      <c r="B412" s="834"/>
      <c r="C412" s="835"/>
      <c r="D412" s="835"/>
      <c r="E412" s="835"/>
      <c r="F412" s="836"/>
      <c r="G412" s="280"/>
      <c r="H412" s="277"/>
      <c r="I412" s="278"/>
      <c r="J412" s="327"/>
    </row>
    <row r="413" spans="2:10" s="156" customFormat="1" x14ac:dyDescent="0.3">
      <c r="B413" s="839"/>
      <c r="C413" s="840"/>
      <c r="D413" s="840"/>
      <c r="E413" s="840"/>
      <c r="F413" s="841"/>
      <c r="G413" s="281"/>
      <c r="H413" s="281"/>
      <c r="I413" s="282" t="s">
        <v>153</v>
      </c>
      <c r="J413" s="328">
        <f>SUM(J411:J412)</f>
        <v>0</v>
      </c>
    </row>
    <row r="414" spans="2:10" s="156" customFormat="1" x14ac:dyDescent="0.3">
      <c r="B414" s="837" t="s">
        <v>158</v>
      </c>
      <c r="C414" s="838"/>
      <c r="D414" s="838"/>
      <c r="E414" s="253"/>
      <c r="F414" s="284"/>
      <c r="G414" s="284"/>
      <c r="H414" s="285"/>
      <c r="I414" s="286"/>
      <c r="J414" s="329"/>
    </row>
    <row r="415" spans="2:10" s="156" customFormat="1" x14ac:dyDescent="0.3">
      <c r="B415" s="820" t="s">
        <v>151</v>
      </c>
      <c r="C415" s="821"/>
      <c r="D415" s="821"/>
      <c r="E415" s="821"/>
      <c r="F415" s="822"/>
      <c r="G415" s="259" t="s">
        <v>48</v>
      </c>
      <c r="H415" s="259" t="s">
        <v>19</v>
      </c>
      <c r="I415" s="260" t="s">
        <v>20</v>
      </c>
      <c r="J415" s="322" t="s">
        <v>37</v>
      </c>
    </row>
    <row r="416" spans="2:10" s="156" customFormat="1" x14ac:dyDescent="0.3">
      <c r="B416" s="823"/>
      <c r="C416" s="824"/>
      <c r="D416" s="824"/>
      <c r="E416" s="824"/>
      <c r="F416" s="825"/>
      <c r="G416" s="288"/>
      <c r="H416" s="288"/>
      <c r="I416" s="289"/>
      <c r="J416" s="324">
        <f>ROUND(H416*I416,0)</f>
        <v>0</v>
      </c>
    </row>
    <row r="417" spans="2:10" s="156" customFormat="1" x14ac:dyDescent="0.3">
      <c r="B417" s="823"/>
      <c r="C417" s="824"/>
      <c r="D417" s="824"/>
      <c r="E417" s="824"/>
      <c r="F417" s="825"/>
      <c r="G417" s="288"/>
      <c r="H417" s="288"/>
      <c r="I417" s="289"/>
      <c r="J417" s="324"/>
    </row>
    <row r="418" spans="2:10" s="156" customFormat="1" x14ac:dyDescent="0.3">
      <c r="B418" s="826"/>
      <c r="C418" s="827"/>
      <c r="D418" s="827"/>
      <c r="E418" s="267"/>
      <c r="F418" s="267"/>
      <c r="G418" s="267"/>
      <c r="H418" s="290"/>
      <c r="I418" s="291" t="s">
        <v>153</v>
      </c>
      <c r="J418" s="330">
        <f>SUM(J416:J417)</f>
        <v>0</v>
      </c>
    </row>
    <row r="419" spans="2:10" s="156" customFormat="1" x14ac:dyDescent="0.3">
      <c r="B419" s="828" t="s">
        <v>159</v>
      </c>
      <c r="C419" s="829"/>
      <c r="D419" s="829"/>
      <c r="E419" s="829"/>
      <c r="F419" s="829"/>
      <c r="G419" s="829"/>
      <c r="H419" s="829"/>
      <c r="I419" s="829"/>
      <c r="J419" s="830"/>
    </row>
    <row r="420" spans="2:10" s="156" customFormat="1" x14ac:dyDescent="0.3">
      <c r="B420" s="831" t="s">
        <v>151</v>
      </c>
      <c r="C420" s="832"/>
      <c r="D420" s="832"/>
      <c r="E420" s="832"/>
      <c r="F420" s="833"/>
      <c r="G420" s="232" t="s">
        <v>48</v>
      </c>
      <c r="H420" s="232" t="s">
        <v>19</v>
      </c>
      <c r="I420" s="233" t="s">
        <v>20</v>
      </c>
      <c r="J420" s="331" t="s">
        <v>37</v>
      </c>
    </row>
    <row r="421" spans="2:10" s="156" customFormat="1" x14ac:dyDescent="0.3">
      <c r="B421" s="852" t="s">
        <v>224</v>
      </c>
      <c r="C421" s="853"/>
      <c r="D421" s="853"/>
      <c r="E421" s="853"/>
      <c r="F421" s="854"/>
      <c r="G421" s="280" t="s">
        <v>48</v>
      </c>
      <c r="H421" s="280">
        <v>1</v>
      </c>
      <c r="I421" s="293">
        <v>4900000</v>
      </c>
      <c r="J421" s="332">
        <f>+ROUND(H421*I421,0)</f>
        <v>4900000</v>
      </c>
    </row>
    <row r="422" spans="2:10" s="156" customFormat="1" x14ac:dyDescent="0.3">
      <c r="B422" s="834" t="s">
        <v>225</v>
      </c>
      <c r="C422" s="835"/>
      <c r="D422" s="835"/>
      <c r="E422" s="835"/>
      <c r="F422" s="836"/>
      <c r="G422" s="280" t="s">
        <v>48</v>
      </c>
      <c r="H422" s="280">
        <v>1</v>
      </c>
      <c r="I422" s="293">
        <v>500000</v>
      </c>
      <c r="J422" s="332">
        <f>+ROUND(H422*I422,0)</f>
        <v>500000</v>
      </c>
    </row>
    <row r="423" spans="2:10" s="156" customFormat="1" x14ac:dyDescent="0.3">
      <c r="B423" s="855"/>
      <c r="C423" s="856"/>
      <c r="D423" s="856"/>
      <c r="E423" s="856"/>
      <c r="F423" s="857"/>
      <c r="G423" s="245"/>
      <c r="H423" s="245"/>
      <c r="I423" s="237"/>
      <c r="J423" s="333"/>
    </row>
    <row r="424" spans="2:10" s="156" customFormat="1" x14ac:dyDescent="0.3">
      <c r="B424" s="812"/>
      <c r="C424" s="813"/>
      <c r="D424" s="813"/>
      <c r="E424" s="813"/>
      <c r="F424" s="814"/>
      <c r="G424" s="245"/>
      <c r="H424" s="245"/>
      <c r="I424" s="237"/>
      <c r="J424" s="333"/>
    </row>
    <row r="425" spans="2:10" s="156" customFormat="1" x14ac:dyDescent="0.3">
      <c r="B425" s="812"/>
      <c r="C425" s="813"/>
      <c r="D425" s="813"/>
      <c r="E425" s="813"/>
      <c r="F425" s="814"/>
      <c r="G425" s="245"/>
      <c r="H425" s="245"/>
      <c r="I425" s="237"/>
      <c r="J425" s="333"/>
    </row>
    <row r="426" spans="2:10" s="156" customFormat="1" x14ac:dyDescent="0.3">
      <c r="B426" s="812"/>
      <c r="C426" s="813"/>
      <c r="D426" s="813"/>
      <c r="E426" s="813"/>
      <c r="F426" s="814"/>
      <c r="G426" s="245"/>
      <c r="H426" s="245"/>
      <c r="I426" s="237"/>
      <c r="J426" s="333"/>
    </row>
    <row r="427" spans="2:10" s="156" customFormat="1" x14ac:dyDescent="0.3">
      <c r="B427" s="812"/>
      <c r="C427" s="813"/>
      <c r="D427" s="813"/>
      <c r="E427" s="813"/>
      <c r="F427" s="814"/>
      <c r="G427" s="245"/>
      <c r="H427" s="245"/>
      <c r="I427" s="237"/>
      <c r="J427" s="333"/>
    </row>
    <row r="428" spans="2:10" s="156" customFormat="1" x14ac:dyDescent="0.3">
      <c r="B428" s="815"/>
      <c r="C428" s="816"/>
      <c r="D428" s="816"/>
      <c r="E428" s="816"/>
      <c r="F428" s="817"/>
      <c r="G428" s="316"/>
      <c r="H428" s="316"/>
      <c r="I428" s="317" t="s">
        <v>153</v>
      </c>
      <c r="J428" s="334">
        <f>SUM(J421:J427)</f>
        <v>5400000</v>
      </c>
    </row>
    <row r="429" spans="2:10" s="156" customFormat="1" x14ac:dyDescent="0.3">
      <c r="B429" s="818"/>
      <c r="C429" s="819"/>
      <c r="D429" s="819"/>
      <c r="E429" s="319"/>
      <c r="F429" s="319"/>
      <c r="G429" s="319"/>
      <c r="H429" s="810" t="s">
        <v>160</v>
      </c>
      <c r="I429" s="811"/>
      <c r="J429" s="335">
        <f>+J418++J428+J413+J408</f>
        <v>5400000</v>
      </c>
    </row>
    <row r="430" spans="2:10" s="156" customFormat="1" x14ac:dyDescent="0.3"/>
    <row r="431" spans="2:10" s="156" customFormat="1" x14ac:dyDescent="0.3"/>
    <row r="432" spans="2:10" s="156" customFormat="1" x14ac:dyDescent="0.3">
      <c r="B432" s="314" t="s">
        <v>15</v>
      </c>
      <c r="C432" s="832" t="s">
        <v>151</v>
      </c>
      <c r="D432" s="832"/>
      <c r="E432" s="832"/>
      <c r="F432" s="832"/>
      <c r="G432" s="832"/>
      <c r="H432" s="936"/>
      <c r="I432" s="250" t="s">
        <v>48</v>
      </c>
      <c r="J432" s="251" t="s">
        <v>19</v>
      </c>
    </row>
    <row r="433" spans="2:10" s="156" customFormat="1" ht="29.4" customHeight="1" x14ac:dyDescent="0.3">
      <c r="B433" s="221" t="str">
        <f>PPTO_PLANES!B20</f>
        <v>5.3.2</v>
      </c>
      <c r="C433" s="844" t="s">
        <v>125</v>
      </c>
      <c r="D433" s="845"/>
      <c r="E433" s="845"/>
      <c r="F433" s="845"/>
      <c r="G433" s="845"/>
      <c r="H433" s="846"/>
      <c r="I433" s="222" t="s">
        <v>18</v>
      </c>
      <c r="J433" s="252">
        <v>1</v>
      </c>
    </row>
    <row r="434" spans="2:10" s="156" customFormat="1" x14ac:dyDescent="0.3">
      <c r="B434" s="937" t="s">
        <v>152</v>
      </c>
      <c r="C434" s="848"/>
      <c r="D434" s="848"/>
      <c r="E434" s="253"/>
      <c r="F434" s="284"/>
      <c r="G434" s="284"/>
      <c r="H434" s="285"/>
      <c r="I434" s="257"/>
      <c r="J434" s="258"/>
    </row>
    <row r="435" spans="2:10" s="156" customFormat="1" x14ac:dyDescent="0.3">
      <c r="B435" s="924" t="s">
        <v>151</v>
      </c>
      <c r="C435" s="821"/>
      <c r="D435" s="821"/>
      <c r="E435" s="821"/>
      <c r="F435" s="822"/>
      <c r="G435" s="259" t="s">
        <v>48</v>
      </c>
      <c r="H435" s="259" t="s">
        <v>19</v>
      </c>
      <c r="I435" s="260" t="s">
        <v>20</v>
      </c>
      <c r="J435" s="261" t="s">
        <v>37</v>
      </c>
    </row>
    <row r="436" spans="2:10" s="156" customFormat="1" x14ac:dyDescent="0.3">
      <c r="B436" s="925" t="s">
        <v>199</v>
      </c>
      <c r="C436" s="824"/>
      <c r="D436" s="824"/>
      <c r="E436" s="824"/>
      <c r="F436" s="825"/>
      <c r="G436" s="336" t="s">
        <v>290</v>
      </c>
      <c r="H436" s="288">
        <v>1</v>
      </c>
      <c r="I436" s="289">
        <v>7342000</v>
      </c>
      <c r="J436" s="265">
        <f>ROUND(I436*H436,0)</f>
        <v>7342000</v>
      </c>
    </row>
    <row r="437" spans="2:10" s="156" customFormat="1" x14ac:dyDescent="0.3">
      <c r="B437" s="925" t="s">
        <v>200</v>
      </c>
      <c r="C437" s="824"/>
      <c r="D437" s="824"/>
      <c r="E437" s="824"/>
      <c r="F437" s="825"/>
      <c r="G437" s="336" t="s">
        <v>290</v>
      </c>
      <c r="H437" s="288">
        <v>1</v>
      </c>
      <c r="I437" s="289">
        <v>1350000</v>
      </c>
      <c r="J437" s="265">
        <f>ROUND(I437*H437,0)</f>
        <v>1350000</v>
      </c>
    </row>
    <row r="438" spans="2:10" s="156" customFormat="1" ht="15" customHeight="1" x14ac:dyDescent="0.3">
      <c r="B438" s="926"/>
      <c r="C438" s="827"/>
      <c r="D438" s="827"/>
      <c r="E438" s="268"/>
      <c r="F438" s="268"/>
      <c r="G438" s="268"/>
      <c r="H438" s="269"/>
      <c r="I438" s="270" t="s">
        <v>153</v>
      </c>
      <c r="J438" s="271">
        <f>+SUM(J436:J437)</f>
        <v>8692000</v>
      </c>
    </row>
    <row r="439" spans="2:10" s="156" customFormat="1" ht="15" customHeight="1" x14ac:dyDescent="0.3">
      <c r="B439" s="923" t="s">
        <v>154</v>
      </c>
      <c r="C439" s="838"/>
      <c r="D439" s="838"/>
      <c r="E439" s="255"/>
      <c r="F439" s="255"/>
      <c r="G439" s="255"/>
      <c r="H439" s="255"/>
      <c r="I439" s="272"/>
      <c r="J439" s="261"/>
    </row>
    <row r="440" spans="2:10" s="156" customFormat="1" ht="15" customHeight="1" x14ac:dyDescent="0.3">
      <c r="B440" s="924" t="s">
        <v>155</v>
      </c>
      <c r="C440" s="821"/>
      <c r="D440" s="821"/>
      <c r="E440" s="821"/>
      <c r="F440" s="822"/>
      <c r="G440" s="273"/>
      <c r="H440" s="274" t="s">
        <v>156</v>
      </c>
      <c r="I440" s="275" t="s">
        <v>157</v>
      </c>
      <c r="J440" s="276" t="s">
        <v>37</v>
      </c>
    </row>
    <row r="441" spans="2:10" s="156" customFormat="1" ht="15" customHeight="1" x14ac:dyDescent="0.3">
      <c r="B441" s="927" t="s">
        <v>201</v>
      </c>
      <c r="C441" s="835"/>
      <c r="D441" s="835"/>
      <c r="E441" s="835"/>
      <c r="F441" s="836"/>
      <c r="G441" s="369">
        <v>15</v>
      </c>
      <c r="H441" s="412">
        <v>182000</v>
      </c>
      <c r="I441" s="338">
        <v>1</v>
      </c>
      <c r="J441" s="294">
        <f>+I441*H441*G441</f>
        <v>2730000</v>
      </c>
    </row>
    <row r="442" spans="2:10" s="156" customFormat="1" x14ac:dyDescent="0.3">
      <c r="B442" s="927" t="s">
        <v>202</v>
      </c>
      <c r="C442" s="835"/>
      <c r="D442" s="835"/>
      <c r="E442" s="835"/>
      <c r="F442" s="836"/>
      <c r="G442" s="273">
        <v>2</v>
      </c>
      <c r="H442" s="277">
        <f>+(1000000/30)*1.85</f>
        <v>61666.666666666672</v>
      </c>
      <c r="I442" s="338">
        <v>30</v>
      </c>
      <c r="J442" s="294">
        <f>+I442*H442*G442</f>
        <v>3700000.0000000005</v>
      </c>
    </row>
    <row r="443" spans="2:10" s="156" customFormat="1" x14ac:dyDescent="0.3">
      <c r="B443" s="928"/>
      <c r="C443" s="840"/>
      <c r="D443" s="840"/>
      <c r="E443" s="840"/>
      <c r="F443" s="841"/>
      <c r="G443" s="281"/>
      <c r="H443" s="281"/>
      <c r="I443" s="282" t="s">
        <v>153</v>
      </c>
      <c r="J443" s="283">
        <f>SUM(J441:J442)</f>
        <v>6430000</v>
      </c>
    </row>
    <row r="444" spans="2:10" s="156" customFormat="1" x14ac:dyDescent="0.3">
      <c r="B444" s="923" t="s">
        <v>158</v>
      </c>
      <c r="C444" s="838"/>
      <c r="D444" s="838"/>
      <c r="E444" s="253"/>
      <c r="F444" s="284"/>
      <c r="G444" s="284"/>
      <c r="H444" s="285"/>
      <c r="I444" s="286"/>
      <c r="J444" s="287"/>
    </row>
    <row r="445" spans="2:10" s="156" customFormat="1" x14ac:dyDescent="0.3">
      <c r="B445" s="924" t="s">
        <v>151</v>
      </c>
      <c r="C445" s="821"/>
      <c r="D445" s="821"/>
      <c r="E445" s="821"/>
      <c r="F445" s="822"/>
      <c r="G445" s="259" t="s">
        <v>48</v>
      </c>
      <c r="H445" s="259" t="s">
        <v>19</v>
      </c>
      <c r="I445" s="260" t="s">
        <v>20</v>
      </c>
      <c r="J445" s="261" t="s">
        <v>37</v>
      </c>
    </row>
    <row r="446" spans="2:10" s="156" customFormat="1" x14ac:dyDescent="0.3">
      <c r="B446" s="925" t="s">
        <v>203</v>
      </c>
      <c r="C446" s="824"/>
      <c r="D446" s="824"/>
      <c r="E446" s="824"/>
      <c r="F446" s="825"/>
      <c r="G446" s="336"/>
      <c r="H446" s="339">
        <v>0.05</v>
      </c>
      <c r="I446" s="264">
        <f>+J443</f>
        <v>6430000</v>
      </c>
      <c r="J446" s="265">
        <f>ROUND(H446*I446,0)</f>
        <v>321500</v>
      </c>
    </row>
    <row r="447" spans="2:10" s="156" customFormat="1" x14ac:dyDescent="0.3">
      <c r="B447" s="925"/>
      <c r="C447" s="824"/>
      <c r="D447" s="824"/>
      <c r="E447" s="824"/>
      <c r="F447" s="825"/>
      <c r="G447" s="288"/>
      <c r="H447" s="288"/>
      <c r="I447" s="289"/>
      <c r="J447" s="265"/>
    </row>
    <row r="448" spans="2:10" s="156" customFormat="1" x14ac:dyDescent="0.3">
      <c r="B448" s="926"/>
      <c r="C448" s="827"/>
      <c r="D448" s="827"/>
      <c r="E448" s="267"/>
      <c r="F448" s="267"/>
      <c r="G448" s="267"/>
      <c r="H448" s="290"/>
      <c r="I448" s="291" t="s">
        <v>153</v>
      </c>
      <c r="J448" s="292">
        <f>SUM(J446:J447)</f>
        <v>321500</v>
      </c>
    </row>
    <row r="449" spans="2:10" s="156" customFormat="1" x14ac:dyDescent="0.3">
      <c r="B449" s="923" t="s">
        <v>159</v>
      </c>
      <c r="C449" s="838"/>
      <c r="D449" s="838"/>
      <c r="E449" s="254"/>
      <c r="F449" s="255"/>
      <c r="G449" s="255"/>
      <c r="H449" s="255"/>
      <c r="I449" s="286"/>
      <c r="J449" s="287"/>
    </row>
    <row r="450" spans="2:10" s="156" customFormat="1" x14ac:dyDescent="0.3">
      <c r="B450" s="924" t="s">
        <v>151</v>
      </c>
      <c r="C450" s="821"/>
      <c r="D450" s="821"/>
      <c r="E450" s="821"/>
      <c r="F450" s="822"/>
      <c r="G450" s="274" t="s">
        <v>48</v>
      </c>
      <c r="H450" s="274" t="s">
        <v>19</v>
      </c>
      <c r="I450" s="275" t="s">
        <v>20</v>
      </c>
      <c r="J450" s="276" t="s">
        <v>37</v>
      </c>
    </row>
    <row r="451" spans="2:10" s="156" customFormat="1" ht="15" customHeight="1" x14ac:dyDescent="0.3">
      <c r="B451" s="927" t="s">
        <v>204</v>
      </c>
      <c r="C451" s="835"/>
      <c r="D451" s="835"/>
      <c r="E451" s="835"/>
      <c r="F451" s="836"/>
      <c r="G451" s="280" t="s">
        <v>205</v>
      </c>
      <c r="H451" s="280">
        <v>1</v>
      </c>
      <c r="I451" s="293">
        <v>1321500</v>
      </c>
      <c r="J451" s="294">
        <f>+I451*H451</f>
        <v>1321500</v>
      </c>
    </row>
    <row r="452" spans="2:10" s="156" customFormat="1" ht="15" customHeight="1" x14ac:dyDescent="0.3">
      <c r="B452" s="927"/>
      <c r="C452" s="835"/>
      <c r="D452" s="835"/>
      <c r="E452" s="835"/>
      <c r="F452" s="836"/>
      <c r="G452" s="280"/>
      <c r="H452" s="280"/>
      <c r="I452" s="293"/>
      <c r="J452" s="294"/>
    </row>
    <row r="453" spans="2:10" s="156" customFormat="1" x14ac:dyDescent="0.3">
      <c r="B453" s="954"/>
      <c r="C453" s="856"/>
      <c r="D453" s="856"/>
      <c r="E453" s="856"/>
      <c r="F453" s="955"/>
      <c r="G453" s="280"/>
      <c r="H453" s="280"/>
      <c r="I453" s="293"/>
      <c r="J453" s="295"/>
    </row>
    <row r="454" spans="2:10" s="156" customFormat="1" x14ac:dyDescent="0.3">
      <c r="B454" s="920"/>
      <c r="C454" s="921"/>
      <c r="D454" s="921"/>
      <c r="E454" s="921"/>
      <c r="F454" s="944"/>
      <c r="G454" s="239"/>
      <c r="H454" s="239"/>
      <c r="I454" s="240" t="s">
        <v>153</v>
      </c>
      <c r="J454" s="247">
        <f>SUM(J451:J453)</f>
        <v>1321500</v>
      </c>
    </row>
    <row r="455" spans="2:10" s="156" customFormat="1" x14ac:dyDescent="0.3">
      <c r="B455" s="798"/>
      <c r="C455" s="799"/>
      <c r="D455" s="799"/>
      <c r="E455" s="799"/>
      <c r="F455" s="799"/>
      <c r="G455" s="800"/>
      <c r="H455" s="801" t="s">
        <v>160</v>
      </c>
      <c r="I455" s="802"/>
      <c r="J455" s="248">
        <f>+J448++J454+J443+J438</f>
        <v>16765000</v>
      </c>
    </row>
    <row r="456" spans="2:10" s="156" customFormat="1" x14ac:dyDescent="0.3">
      <c r="B456" s="803"/>
      <c r="C456" s="804"/>
      <c r="D456" s="804"/>
      <c r="E456" s="804"/>
      <c r="F456" s="804"/>
      <c r="G456" s="805"/>
      <c r="H456" s="806" t="s">
        <v>1004</v>
      </c>
      <c r="I456" s="807"/>
      <c r="J456" s="297">
        <v>0</v>
      </c>
    </row>
    <row r="457" spans="2:10" s="156" customFormat="1" ht="12.75" customHeight="1" x14ac:dyDescent="0.3">
      <c r="B457" s="798"/>
      <c r="C457" s="799"/>
      <c r="D457" s="799"/>
      <c r="E457" s="799"/>
      <c r="F457" s="799"/>
      <c r="G457" s="800"/>
      <c r="H457" s="801" t="s">
        <v>291</v>
      </c>
      <c r="I457" s="802"/>
      <c r="J457" s="248">
        <f>SUM(J455:J456)</f>
        <v>16765000</v>
      </c>
    </row>
    <row r="458" spans="2:10" s="156" customFormat="1" x14ac:dyDescent="0.3"/>
    <row r="459" spans="2:10" s="156" customFormat="1" x14ac:dyDescent="0.3"/>
    <row r="460" spans="2:10" s="156" customFormat="1" x14ac:dyDescent="0.3">
      <c r="B460" s="861" t="s">
        <v>348</v>
      </c>
      <c r="C460" s="861" t="s">
        <v>1003</v>
      </c>
      <c r="D460" s="861"/>
      <c r="E460" s="861"/>
      <c r="F460" s="861"/>
      <c r="G460" s="861"/>
      <c r="H460" s="861"/>
      <c r="I460" s="861"/>
    </row>
    <row r="461" spans="2:10" s="156" customFormat="1" x14ac:dyDescent="0.3">
      <c r="B461" s="861"/>
      <c r="C461" s="861"/>
      <c r="D461" s="861"/>
      <c r="E461" s="861"/>
      <c r="F461" s="861"/>
      <c r="G461" s="861"/>
      <c r="H461" s="861"/>
      <c r="I461" s="861"/>
    </row>
    <row r="462" spans="2:10" s="156" customFormat="1" x14ac:dyDescent="0.3"/>
    <row r="463" spans="2:10" s="156" customFormat="1" ht="14.4" thickBot="1" x14ac:dyDescent="0.35"/>
    <row r="464" spans="2:10" s="156" customFormat="1" x14ac:dyDescent="0.3">
      <c r="B464" s="341" t="s">
        <v>15</v>
      </c>
      <c r="C464" s="1010" t="s">
        <v>151</v>
      </c>
      <c r="D464" s="1010"/>
      <c r="E464" s="1010"/>
      <c r="F464" s="1010"/>
      <c r="G464" s="1010"/>
      <c r="H464" s="1011"/>
      <c r="I464" s="342" t="s">
        <v>48</v>
      </c>
      <c r="J464" s="343" t="s">
        <v>19</v>
      </c>
    </row>
    <row r="465" spans="2:10" s="156" customFormat="1" ht="13.65" customHeight="1" x14ac:dyDescent="0.3">
      <c r="B465" s="344" t="s">
        <v>23</v>
      </c>
      <c r="C465" s="897" t="s">
        <v>323</v>
      </c>
      <c r="D465" s="897"/>
      <c r="E465" s="897"/>
      <c r="F465" s="897"/>
      <c r="G465" s="897"/>
      <c r="H465" s="897"/>
      <c r="I465" s="222" t="s">
        <v>324</v>
      </c>
      <c r="J465" s="345">
        <v>1</v>
      </c>
    </row>
    <row r="466" spans="2:10" s="156" customFormat="1" x14ac:dyDescent="0.3">
      <c r="B466" s="1012" t="s">
        <v>152</v>
      </c>
      <c r="C466" s="848"/>
      <c r="D466" s="848"/>
      <c r="E466" s="253"/>
      <c r="F466" s="284"/>
      <c r="G466" s="284"/>
      <c r="H466" s="285"/>
      <c r="I466" s="257"/>
      <c r="J466" s="346"/>
    </row>
    <row r="467" spans="2:10" s="156" customFormat="1" x14ac:dyDescent="0.3">
      <c r="B467" s="907" t="s">
        <v>151</v>
      </c>
      <c r="C467" s="821"/>
      <c r="D467" s="821"/>
      <c r="E467" s="821"/>
      <c r="F467" s="822"/>
      <c r="G467" s="259" t="s">
        <v>48</v>
      </c>
      <c r="H467" s="274" t="s">
        <v>19</v>
      </c>
      <c r="I467" s="275" t="s">
        <v>20</v>
      </c>
      <c r="J467" s="352" t="s">
        <v>37</v>
      </c>
    </row>
    <row r="468" spans="2:10" s="156" customFormat="1" ht="14.4" x14ac:dyDescent="0.3">
      <c r="B468" s="1013" t="s">
        <v>325</v>
      </c>
      <c r="C468" s="1014"/>
      <c r="D468" s="1014"/>
      <c r="E468" s="1014"/>
      <c r="F468" s="1015"/>
      <c r="G468" s="715" t="s">
        <v>330</v>
      </c>
      <c r="H468" s="235">
        <v>1.0999999999999999E-2</v>
      </c>
      <c r="I468" s="236">
        <v>5340</v>
      </c>
      <c r="J468" s="718">
        <f>+H468*I468</f>
        <v>58.739999999999995</v>
      </c>
    </row>
    <row r="469" spans="2:10" s="156" customFormat="1" ht="14.4" x14ac:dyDescent="0.3">
      <c r="B469" s="1013" t="s">
        <v>326</v>
      </c>
      <c r="C469" s="1014" t="s">
        <v>326</v>
      </c>
      <c r="D469" s="1014" t="s">
        <v>326</v>
      </c>
      <c r="E469" s="1014" t="s">
        <v>326</v>
      </c>
      <c r="F469" s="1015" t="s">
        <v>326</v>
      </c>
      <c r="G469" s="715" t="s">
        <v>330</v>
      </c>
      <c r="H469" s="235">
        <v>1.0999999999999999E-2</v>
      </c>
      <c r="I469" s="236">
        <v>1338</v>
      </c>
      <c r="J469" s="718">
        <f t="shared" ref="J469:J472" si="10">+H469*I469</f>
        <v>14.718</v>
      </c>
    </row>
    <row r="470" spans="2:10" s="156" customFormat="1" ht="14.4" x14ac:dyDescent="0.3">
      <c r="B470" s="1013" t="s">
        <v>327</v>
      </c>
      <c r="C470" s="1014" t="s">
        <v>327</v>
      </c>
      <c r="D470" s="1014" t="s">
        <v>327</v>
      </c>
      <c r="E470" s="1014" t="s">
        <v>327</v>
      </c>
      <c r="F470" s="1015" t="s">
        <v>327</v>
      </c>
      <c r="G470" s="715" t="s">
        <v>331</v>
      </c>
      <c r="H470" s="235">
        <v>6.9999999999999999E-4</v>
      </c>
      <c r="I470" s="236">
        <v>4664</v>
      </c>
      <c r="J470" s="718">
        <f t="shared" si="10"/>
        <v>3.2648000000000001</v>
      </c>
    </row>
    <row r="471" spans="2:10" s="156" customFormat="1" ht="12.75" customHeight="1" x14ac:dyDescent="0.3">
      <c r="B471" s="349" t="s">
        <v>328</v>
      </c>
      <c r="C471" s="350" t="s">
        <v>328</v>
      </c>
      <c r="D471" s="350" t="s">
        <v>328</v>
      </c>
      <c r="E471" s="350" t="s">
        <v>328</v>
      </c>
      <c r="F471" s="351" t="s">
        <v>328</v>
      </c>
      <c r="G471" s="715" t="s">
        <v>332</v>
      </c>
      <c r="H471" s="235">
        <v>6.9999999999999999E-4</v>
      </c>
      <c r="I471" s="236">
        <v>58811</v>
      </c>
      <c r="J471" s="718">
        <f t="shared" si="10"/>
        <v>41.167699999999996</v>
      </c>
    </row>
    <row r="472" spans="2:10" s="156" customFormat="1" ht="22.5" customHeight="1" x14ac:dyDescent="0.3">
      <c r="B472" s="349" t="s">
        <v>329</v>
      </c>
      <c r="C472" s="350" t="s">
        <v>329</v>
      </c>
      <c r="D472" s="350" t="s">
        <v>329</v>
      </c>
      <c r="E472" s="350" t="s">
        <v>329</v>
      </c>
      <c r="F472" s="351" t="s">
        <v>329</v>
      </c>
      <c r="G472" s="715" t="s">
        <v>332</v>
      </c>
      <c r="H472" s="235">
        <v>6.9999999999999999E-4</v>
      </c>
      <c r="I472" s="236">
        <v>111191</v>
      </c>
      <c r="J472" s="718">
        <f t="shared" si="10"/>
        <v>77.833699999999993</v>
      </c>
    </row>
    <row r="473" spans="2:10" s="156" customFormat="1" x14ac:dyDescent="0.3">
      <c r="B473" s="909"/>
      <c r="C473" s="827"/>
      <c r="D473" s="827"/>
      <c r="E473" s="268"/>
      <c r="F473" s="268"/>
      <c r="G473" s="268"/>
      <c r="H473" s="239"/>
      <c r="I473" s="240" t="s">
        <v>153</v>
      </c>
      <c r="J473" s="719">
        <f>SUM(J468:J472)</f>
        <v>195.7242</v>
      </c>
    </row>
    <row r="474" spans="2:10" s="156" customFormat="1" x14ac:dyDescent="0.3">
      <c r="B474" s="906" t="s">
        <v>154</v>
      </c>
      <c r="C474" s="838"/>
      <c r="D474" s="838"/>
      <c r="E474" s="255"/>
      <c r="F474" s="255"/>
      <c r="G474" s="255"/>
      <c r="H474" s="284"/>
      <c r="I474" s="716"/>
      <c r="J474" s="717"/>
    </row>
    <row r="475" spans="2:10" s="156" customFormat="1" x14ac:dyDescent="0.3">
      <c r="B475" s="907" t="s">
        <v>155</v>
      </c>
      <c r="C475" s="821"/>
      <c r="D475" s="821"/>
      <c r="E475" s="821"/>
      <c r="F475" s="822"/>
      <c r="G475" s="273"/>
      <c r="H475" s="274" t="s">
        <v>156</v>
      </c>
      <c r="I475" s="275" t="s">
        <v>157</v>
      </c>
      <c r="J475" s="352" t="s">
        <v>37</v>
      </c>
    </row>
    <row r="476" spans="2:10" s="156" customFormat="1" x14ac:dyDescent="0.3">
      <c r="B476" s="1016" t="s">
        <v>333</v>
      </c>
      <c r="C476" s="835"/>
      <c r="D476" s="835"/>
      <c r="E476" s="835"/>
      <c r="F476" s="836"/>
      <c r="G476" s="336" t="s">
        <v>223</v>
      </c>
      <c r="H476" s="336">
        <v>1.9E-3</v>
      </c>
      <c r="I476" s="277">
        <v>384100</v>
      </c>
      <c r="J476" s="353">
        <f>H476*I476</f>
        <v>729.79</v>
      </c>
    </row>
    <row r="477" spans="2:10" s="156" customFormat="1" x14ac:dyDescent="0.3">
      <c r="B477" s="1016"/>
      <c r="C477" s="835"/>
      <c r="D477" s="835"/>
      <c r="E477" s="835"/>
      <c r="F477" s="836"/>
      <c r="G477" s="280"/>
      <c r="H477" s="277"/>
      <c r="I477" s="278"/>
      <c r="J477" s="353"/>
    </row>
    <row r="478" spans="2:10" s="156" customFormat="1" x14ac:dyDescent="0.3">
      <c r="B478" s="905"/>
      <c r="C478" s="840"/>
      <c r="D478" s="840"/>
      <c r="E478" s="840"/>
      <c r="F478" s="841"/>
      <c r="G478" s="281"/>
      <c r="H478" s="281"/>
      <c r="I478" s="282" t="s">
        <v>153</v>
      </c>
      <c r="J478" s="354">
        <f>SUM(J476:J477)</f>
        <v>729.79</v>
      </c>
    </row>
    <row r="479" spans="2:10" s="156" customFormat="1" x14ac:dyDescent="0.3">
      <c r="B479" s="906" t="s">
        <v>158</v>
      </c>
      <c r="C479" s="838"/>
      <c r="D479" s="838"/>
      <c r="E479" s="253"/>
      <c r="F479" s="284"/>
      <c r="G479" s="284"/>
      <c r="H479" s="285"/>
      <c r="I479" s="286"/>
      <c r="J479" s="355"/>
    </row>
    <row r="480" spans="2:10" s="156" customFormat="1" x14ac:dyDescent="0.3">
      <c r="B480" s="907" t="s">
        <v>151</v>
      </c>
      <c r="C480" s="821"/>
      <c r="D480" s="821"/>
      <c r="E480" s="821"/>
      <c r="F480" s="822"/>
      <c r="G480" s="259" t="s">
        <v>48</v>
      </c>
      <c r="H480" s="259" t="s">
        <v>19</v>
      </c>
      <c r="I480" s="260" t="s">
        <v>20</v>
      </c>
      <c r="J480" s="347" t="s">
        <v>37</v>
      </c>
    </row>
    <row r="481" spans="2:10" s="156" customFormat="1" ht="14.4" x14ac:dyDescent="0.3">
      <c r="B481" s="908" t="s">
        <v>334</v>
      </c>
      <c r="C481" s="824"/>
      <c r="D481" s="824"/>
      <c r="E481" s="824"/>
      <c r="F481" s="825"/>
      <c r="G481" s="356" t="s">
        <v>31</v>
      </c>
      <c r="H481" s="357">
        <v>1E-4</v>
      </c>
      <c r="I481" s="358">
        <v>8456</v>
      </c>
      <c r="J481" s="348">
        <f t="shared" ref="J481:J483" si="11">+H481*I481</f>
        <v>0.84560000000000002</v>
      </c>
    </row>
    <row r="482" spans="2:10" s="156" customFormat="1" ht="14.4" x14ac:dyDescent="0.3">
      <c r="B482" s="908" t="s">
        <v>335</v>
      </c>
      <c r="C482" s="824"/>
      <c r="D482" s="824"/>
      <c r="E482" s="824"/>
      <c r="F482" s="825"/>
      <c r="G482" s="356" t="s">
        <v>235</v>
      </c>
      <c r="H482" s="357">
        <v>1.8E-3</v>
      </c>
      <c r="I482" s="358">
        <v>173447</v>
      </c>
      <c r="J482" s="348">
        <f t="shared" si="11"/>
        <v>312.20459999999997</v>
      </c>
    </row>
    <row r="483" spans="2:10" s="156" customFormat="1" ht="14.4" x14ac:dyDescent="0.3">
      <c r="B483" s="908" t="s">
        <v>336</v>
      </c>
      <c r="C483" s="824"/>
      <c r="D483" s="824"/>
      <c r="E483" s="824"/>
      <c r="F483" s="825"/>
      <c r="G483" s="356" t="s">
        <v>31</v>
      </c>
      <c r="H483" s="357">
        <v>1E-4</v>
      </c>
      <c r="I483" s="358">
        <v>326873</v>
      </c>
      <c r="J483" s="348">
        <f t="shared" si="11"/>
        <v>32.6873</v>
      </c>
    </row>
    <row r="484" spans="2:10" s="156" customFormat="1" x14ac:dyDescent="0.3">
      <c r="B484" s="908"/>
      <c r="C484" s="824"/>
      <c r="D484" s="824"/>
      <c r="E484" s="824"/>
      <c r="F484" s="825"/>
      <c r="G484" s="359"/>
      <c r="H484" s="288"/>
      <c r="I484" s="289"/>
      <c r="J484" s="360"/>
    </row>
    <row r="485" spans="2:10" s="156" customFormat="1" x14ac:dyDescent="0.3">
      <c r="B485" s="909"/>
      <c r="C485" s="827"/>
      <c r="D485" s="827"/>
      <c r="E485" s="267"/>
      <c r="F485" s="267"/>
      <c r="G485" s="267"/>
      <c r="H485" s="290"/>
      <c r="I485" s="291" t="s">
        <v>153</v>
      </c>
      <c r="J485" s="361">
        <f>SUM(J481:J483)</f>
        <v>345.73749999999995</v>
      </c>
    </row>
    <row r="486" spans="2:10" s="156" customFormat="1" x14ac:dyDescent="0.3">
      <c r="B486" s="910" t="s">
        <v>159</v>
      </c>
      <c r="C486" s="829"/>
      <c r="D486" s="829"/>
      <c r="E486" s="829"/>
      <c r="F486" s="829"/>
      <c r="G486" s="829"/>
      <c r="H486" s="829"/>
      <c r="I486" s="829"/>
      <c r="J486" s="911"/>
    </row>
    <row r="487" spans="2:10" s="156" customFormat="1" x14ac:dyDescent="0.3">
      <c r="B487" s="912" t="s">
        <v>151</v>
      </c>
      <c r="C487" s="832"/>
      <c r="D487" s="832"/>
      <c r="E487" s="832"/>
      <c r="F487" s="833"/>
      <c r="G487" s="232" t="s">
        <v>48</v>
      </c>
      <c r="H487" s="232" t="s">
        <v>19</v>
      </c>
      <c r="I487" s="233" t="s">
        <v>20</v>
      </c>
      <c r="J487" s="362" t="s">
        <v>37</v>
      </c>
    </row>
    <row r="488" spans="2:10" s="156" customFormat="1" x14ac:dyDescent="0.3">
      <c r="B488" s="913" t="s">
        <v>220</v>
      </c>
      <c r="C488" s="813"/>
      <c r="D488" s="813"/>
      <c r="E488" s="813"/>
      <c r="F488" s="814"/>
      <c r="G488" s="245" t="s">
        <v>337</v>
      </c>
      <c r="H488" s="245">
        <v>3.7000000000000002E-3</v>
      </c>
      <c r="I488" s="237">
        <v>37963</v>
      </c>
      <c r="J488" s="363">
        <f>+H488*I488</f>
        <v>140.4631</v>
      </c>
    </row>
    <row r="489" spans="2:10" s="156" customFormat="1" x14ac:dyDescent="0.3">
      <c r="B489" s="913"/>
      <c r="C489" s="813"/>
      <c r="D489" s="813"/>
      <c r="E489" s="813"/>
      <c r="F489" s="814"/>
      <c r="G489" s="245"/>
      <c r="H489" s="245"/>
      <c r="I489" s="237"/>
      <c r="J489" s="363"/>
    </row>
    <row r="490" spans="2:10" s="156" customFormat="1" x14ac:dyDescent="0.3">
      <c r="B490" s="913"/>
      <c r="C490" s="813"/>
      <c r="D490" s="813"/>
      <c r="E490" s="813"/>
      <c r="F490" s="814"/>
      <c r="G490" s="245"/>
      <c r="H490" s="245"/>
      <c r="I490" s="237"/>
      <c r="J490" s="363"/>
    </row>
    <row r="491" spans="2:10" s="156" customFormat="1" x14ac:dyDescent="0.3">
      <c r="B491" s="913"/>
      <c r="C491" s="813"/>
      <c r="D491" s="813"/>
      <c r="E491" s="813"/>
      <c r="F491" s="814"/>
      <c r="G491" s="245"/>
      <c r="H491" s="245"/>
      <c r="I491" s="237"/>
      <c r="J491" s="363"/>
    </row>
    <row r="492" spans="2:10" s="156" customFormat="1" x14ac:dyDescent="0.3">
      <c r="B492" s="913"/>
      <c r="C492" s="813"/>
      <c r="D492" s="813"/>
      <c r="E492" s="813"/>
      <c r="F492" s="814"/>
      <c r="G492" s="245"/>
      <c r="H492" s="245"/>
      <c r="I492" s="237"/>
      <c r="J492" s="363"/>
    </row>
    <row r="493" spans="2:10" s="156" customFormat="1" x14ac:dyDescent="0.3">
      <c r="B493" s="913"/>
      <c r="C493" s="813"/>
      <c r="D493" s="813"/>
      <c r="E493" s="813"/>
      <c r="F493" s="814"/>
      <c r="G493" s="245"/>
      <c r="H493" s="245"/>
      <c r="I493" s="237"/>
      <c r="J493" s="363"/>
    </row>
    <row r="494" spans="2:10" s="156" customFormat="1" x14ac:dyDescent="0.3">
      <c r="B494" s="913"/>
      <c r="C494" s="813"/>
      <c r="D494" s="813"/>
      <c r="E494" s="813"/>
      <c r="F494" s="814"/>
      <c r="G494" s="245"/>
      <c r="H494" s="245"/>
      <c r="I494" s="237"/>
      <c r="J494" s="363"/>
    </row>
    <row r="495" spans="2:10" s="156" customFormat="1" x14ac:dyDescent="0.3">
      <c r="B495" s="1017"/>
      <c r="C495" s="816"/>
      <c r="D495" s="816"/>
      <c r="E495" s="816"/>
      <c r="F495" s="817"/>
      <c r="G495" s="316"/>
      <c r="H495" s="316"/>
      <c r="I495" s="317" t="s">
        <v>153</v>
      </c>
      <c r="J495" s="720">
        <f>SUM(J488:J494)</f>
        <v>140.4631</v>
      </c>
    </row>
    <row r="496" spans="2:10" s="156" customFormat="1" ht="14.4" thickBot="1" x14ac:dyDescent="0.35">
      <c r="B496" s="901"/>
      <c r="C496" s="902"/>
      <c r="D496" s="902"/>
      <c r="E496" s="364"/>
      <c r="F496" s="364"/>
      <c r="G496" s="364"/>
      <c r="H496" s="903" t="s">
        <v>160</v>
      </c>
      <c r="I496" s="904"/>
      <c r="J496" s="721">
        <f>+J485++J495+J478+J473</f>
        <v>1411.7147999999997</v>
      </c>
    </row>
    <row r="497" spans="2:10" s="156" customFormat="1" x14ac:dyDescent="0.3">
      <c r="B497" s="803"/>
      <c r="C497" s="804"/>
      <c r="D497" s="804"/>
      <c r="E497" s="804"/>
      <c r="F497" s="804"/>
      <c r="G497" s="805"/>
      <c r="H497" s="806" t="s">
        <v>1004</v>
      </c>
      <c r="I497" s="807"/>
      <c r="J497" s="722">
        <f>+ROUND(J496*'PRESUPUESTO OFICIAL (Entidad)'!$K$56,2)</f>
        <v>367.05</v>
      </c>
    </row>
    <row r="498" spans="2:10" s="156" customFormat="1" x14ac:dyDescent="0.3">
      <c r="B498" s="798"/>
      <c r="C498" s="799"/>
      <c r="D498" s="799"/>
      <c r="E498" s="799"/>
      <c r="F498" s="799"/>
      <c r="G498" s="800"/>
      <c r="H498" s="801" t="s">
        <v>291</v>
      </c>
      <c r="I498" s="802"/>
      <c r="J498" s="723">
        <f>SUM(J496:J497)</f>
        <v>1778.7647999999997</v>
      </c>
    </row>
    <row r="499" spans="2:10" s="156" customFormat="1" x14ac:dyDescent="0.3"/>
    <row r="500" spans="2:10" s="156" customFormat="1" x14ac:dyDescent="0.3"/>
    <row r="501" spans="2:10" s="156" customFormat="1" x14ac:dyDescent="0.3"/>
    <row r="502" spans="2:10" s="156" customFormat="1" x14ac:dyDescent="0.3">
      <c r="B502" s="314" t="s">
        <v>15</v>
      </c>
      <c r="C502" s="832" t="s">
        <v>151</v>
      </c>
      <c r="D502" s="832"/>
      <c r="E502" s="832"/>
      <c r="F502" s="832"/>
      <c r="G502" s="832"/>
      <c r="H502" s="936"/>
      <c r="I502" s="250" t="s">
        <v>48</v>
      </c>
      <c r="J502" s="251" t="s">
        <v>19</v>
      </c>
    </row>
    <row r="503" spans="2:10" s="156" customFormat="1" ht="25.2" customHeight="1" x14ac:dyDescent="0.3">
      <c r="B503" s="221" t="s">
        <v>147</v>
      </c>
      <c r="C503" s="897" t="str">
        <f>'PRESUPUESTO OFICIAL (Entidad)'!$G$15</f>
        <v>Limpieza de lote perimetral a tribuna occidental e instalación de polisombras de división de tribuna occidental del resto del estadio</v>
      </c>
      <c r="D503" s="897"/>
      <c r="E503" s="897"/>
      <c r="F503" s="897"/>
      <c r="G503" s="897"/>
      <c r="H503" s="897"/>
      <c r="I503" s="222" t="str">
        <f>PPTO_OBRA_GENERAL!D8</f>
        <v>Und</v>
      </c>
      <c r="J503" s="252">
        <f>PPTO_OBRA_GENERAL!E8</f>
        <v>1</v>
      </c>
    </row>
    <row r="504" spans="2:10" s="156" customFormat="1" x14ac:dyDescent="0.3">
      <c r="B504" s="941" t="s">
        <v>152</v>
      </c>
      <c r="C504" s="886"/>
      <c r="D504" s="886"/>
      <c r="E504" s="253"/>
      <c r="F504" s="284"/>
      <c r="G504" s="284"/>
      <c r="H504" s="285"/>
      <c r="I504" s="257"/>
      <c r="J504" s="258"/>
    </row>
    <row r="505" spans="2:10" s="156" customFormat="1" x14ac:dyDescent="0.3">
      <c r="B505" s="924" t="s">
        <v>151</v>
      </c>
      <c r="C505" s="880"/>
      <c r="D505" s="880"/>
      <c r="E505" s="880"/>
      <c r="F505" s="881"/>
      <c r="G505" s="259" t="s">
        <v>48</v>
      </c>
      <c r="H505" s="259" t="s">
        <v>19</v>
      </c>
      <c r="I505" s="260" t="s">
        <v>20</v>
      </c>
      <c r="J505" s="261" t="s">
        <v>37</v>
      </c>
    </row>
    <row r="506" spans="2:10" s="156" customFormat="1" x14ac:dyDescent="0.3">
      <c r="B506" s="927" t="s">
        <v>207</v>
      </c>
      <c r="C506" s="880"/>
      <c r="D506" s="880"/>
      <c r="E506" s="880"/>
      <c r="F506" s="881"/>
      <c r="G506" s="262" t="s">
        <v>48</v>
      </c>
      <c r="H506" s="263">
        <f>ROUNDUP(125/3+1,0)</f>
        <v>43</v>
      </c>
      <c r="I506" s="264">
        <v>25400</v>
      </c>
      <c r="J506" s="265">
        <f>ROUND(I506*H506,0)</f>
        <v>1092200</v>
      </c>
    </row>
    <row r="507" spans="2:10" s="156" customFormat="1" x14ac:dyDescent="0.3">
      <c r="B507" s="927" t="s">
        <v>208</v>
      </c>
      <c r="C507" s="880"/>
      <c r="D507" s="880"/>
      <c r="E507" s="880"/>
      <c r="F507" s="881"/>
      <c r="G507" s="266" t="s">
        <v>209</v>
      </c>
      <c r="H507" s="263">
        <v>2</v>
      </c>
      <c r="I507" s="264">
        <v>320000</v>
      </c>
      <c r="J507" s="265">
        <f>ROUND(I507*H507,0)</f>
        <v>640000</v>
      </c>
    </row>
    <row r="508" spans="2:10" s="156" customFormat="1" x14ac:dyDescent="0.3">
      <c r="B508" s="927" t="s">
        <v>210</v>
      </c>
      <c r="C508" s="880"/>
      <c r="D508" s="880"/>
      <c r="E508" s="880"/>
      <c r="F508" s="881"/>
      <c r="G508" s="266" t="s">
        <v>290</v>
      </c>
      <c r="H508" s="263">
        <v>1</v>
      </c>
      <c r="I508" s="264">
        <v>370900</v>
      </c>
      <c r="J508" s="265">
        <f>ROUND(I508*H508,0)</f>
        <v>370900</v>
      </c>
    </row>
    <row r="509" spans="2:10" s="156" customFormat="1" x14ac:dyDescent="0.3">
      <c r="B509" s="926"/>
      <c r="C509" s="880"/>
      <c r="D509" s="880"/>
      <c r="E509" s="268"/>
      <c r="F509" s="268"/>
      <c r="G509" s="268"/>
      <c r="H509" s="269"/>
      <c r="I509" s="270" t="s">
        <v>153</v>
      </c>
      <c r="J509" s="271">
        <f>+SUM(J506:J508)</f>
        <v>2103100</v>
      </c>
    </row>
    <row r="510" spans="2:10" s="156" customFormat="1" x14ac:dyDescent="0.3">
      <c r="B510" s="923" t="s">
        <v>154</v>
      </c>
      <c r="C510" s="880"/>
      <c r="D510" s="880"/>
      <c r="E510" s="255"/>
      <c r="F510" s="255"/>
      <c r="G510" s="255"/>
      <c r="H510" s="255"/>
      <c r="I510" s="272"/>
      <c r="J510" s="261"/>
    </row>
    <row r="511" spans="2:10" s="156" customFormat="1" x14ac:dyDescent="0.3">
      <c r="B511" s="940" t="s">
        <v>155</v>
      </c>
      <c r="C511" s="886"/>
      <c r="D511" s="886"/>
      <c r="E511" s="886"/>
      <c r="F511" s="886"/>
      <c r="G511" s="273" t="s">
        <v>48</v>
      </c>
      <c r="H511" s="273" t="s">
        <v>19</v>
      </c>
      <c r="I511" s="275" t="s">
        <v>187</v>
      </c>
      <c r="J511" s="276" t="s">
        <v>37</v>
      </c>
    </row>
    <row r="512" spans="2:10" s="156" customFormat="1" x14ac:dyDescent="0.3">
      <c r="B512" s="927" t="s">
        <v>211</v>
      </c>
      <c r="C512" s="880"/>
      <c r="D512" s="880"/>
      <c r="E512" s="880"/>
      <c r="F512" s="880"/>
      <c r="G512" s="336" t="s">
        <v>188</v>
      </c>
      <c r="H512" s="336">
        <v>30</v>
      </c>
      <c r="I512" s="277">
        <f>610000/7*1.45</f>
        <v>126357.14285714286</v>
      </c>
      <c r="J512" s="279">
        <f>H512*I512</f>
        <v>3790714.2857142854</v>
      </c>
    </row>
    <row r="513" spans="2:23" s="156" customFormat="1" x14ac:dyDescent="0.3">
      <c r="B513" s="927"/>
      <c r="C513" s="880"/>
      <c r="D513" s="880"/>
      <c r="E513" s="880"/>
      <c r="F513" s="881"/>
      <c r="G513" s="280"/>
      <c r="H513" s="277"/>
      <c r="I513" s="278"/>
      <c r="J513" s="279"/>
    </row>
    <row r="514" spans="2:23" s="156" customFormat="1" x14ac:dyDescent="0.3">
      <c r="B514" s="928"/>
      <c r="C514" s="880"/>
      <c r="D514" s="880"/>
      <c r="E514" s="880"/>
      <c r="F514" s="881"/>
      <c r="G514" s="281"/>
      <c r="H514" s="281"/>
      <c r="I514" s="282" t="s">
        <v>153</v>
      </c>
      <c r="J514" s="283">
        <f>SUM(J512:J513)</f>
        <v>3790714.2857142854</v>
      </c>
    </row>
    <row r="515" spans="2:23" s="156" customFormat="1" x14ac:dyDescent="0.3">
      <c r="B515" s="941" t="s">
        <v>158</v>
      </c>
      <c r="C515" s="886"/>
      <c r="D515" s="886"/>
      <c r="E515" s="253"/>
      <c r="F515" s="284"/>
      <c r="G515" s="284"/>
      <c r="H515" s="285"/>
      <c r="I515" s="286"/>
      <c r="J515" s="287"/>
    </row>
    <row r="516" spans="2:23" s="156" customFormat="1" x14ac:dyDescent="0.3">
      <c r="B516" s="1009" t="s">
        <v>151</v>
      </c>
      <c r="C516" s="889"/>
      <c r="D516" s="889"/>
      <c r="E516" s="889"/>
      <c r="F516" s="890"/>
      <c r="G516" s="259" t="s">
        <v>48</v>
      </c>
      <c r="H516" s="259" t="s">
        <v>19</v>
      </c>
      <c r="I516" s="260" t="s">
        <v>20</v>
      </c>
      <c r="J516" s="261" t="s">
        <v>37</v>
      </c>
    </row>
    <row r="517" spans="2:23" s="156" customFormat="1" x14ac:dyDescent="0.3">
      <c r="B517" s="925" t="s">
        <v>212</v>
      </c>
      <c r="C517" s="880"/>
      <c r="D517" s="880"/>
      <c r="E517" s="880"/>
      <c r="F517" s="881"/>
      <c r="G517" s="288" t="s">
        <v>924</v>
      </c>
      <c r="H517" s="339">
        <v>0.25</v>
      </c>
      <c r="I517" s="610">
        <f>J514</f>
        <v>3790714.2857142854</v>
      </c>
      <c r="J517" s="265">
        <f>H517*I517</f>
        <v>947678.57142857136</v>
      </c>
    </row>
    <row r="518" spans="2:23" s="156" customFormat="1" x14ac:dyDescent="0.3">
      <c r="B518" s="925"/>
      <c r="C518" s="880"/>
      <c r="D518" s="880"/>
      <c r="E518" s="880"/>
      <c r="F518" s="881"/>
      <c r="G518" s="288"/>
      <c r="H518" s="288"/>
      <c r="I518" s="289"/>
      <c r="J518" s="265"/>
    </row>
    <row r="519" spans="2:23" s="156" customFormat="1" x14ac:dyDescent="0.3">
      <c r="B519" s="926"/>
      <c r="C519" s="880"/>
      <c r="D519" s="880"/>
      <c r="E519" s="267"/>
      <c r="F519" s="267"/>
      <c r="G519" s="267"/>
      <c r="H519" s="290"/>
      <c r="I519" s="291" t="s">
        <v>153</v>
      </c>
      <c r="J519" s="292">
        <f>SUM(J517:J518)</f>
        <v>947678.57142857136</v>
      </c>
    </row>
    <row r="520" spans="2:23" s="156" customFormat="1" x14ac:dyDescent="0.3">
      <c r="B520" s="938" t="s">
        <v>159</v>
      </c>
      <c r="C520" s="829"/>
      <c r="D520" s="829"/>
      <c r="E520" s="829"/>
      <c r="F520" s="829"/>
      <c r="G520" s="829"/>
      <c r="H520" s="829"/>
      <c r="I520" s="829"/>
      <c r="J520" s="939"/>
    </row>
    <row r="521" spans="2:23" s="156" customFormat="1" x14ac:dyDescent="0.3">
      <c r="B521" s="1007" t="s">
        <v>151</v>
      </c>
      <c r="C521" s="883"/>
      <c r="D521" s="883"/>
      <c r="E521" s="883"/>
      <c r="F521" s="883"/>
      <c r="G521" s="232" t="s">
        <v>48</v>
      </c>
      <c r="H521" s="232" t="s">
        <v>19</v>
      </c>
      <c r="I521" s="233" t="s">
        <v>20</v>
      </c>
      <c r="J521" s="233" t="s">
        <v>37</v>
      </c>
    </row>
    <row r="522" spans="2:23" s="156" customFormat="1" x14ac:dyDescent="0.3">
      <c r="B522" s="1008"/>
      <c r="C522" s="899"/>
      <c r="D522" s="899"/>
      <c r="E522" s="899"/>
      <c r="F522" s="899"/>
      <c r="G522" s="608"/>
      <c r="H522" s="608"/>
      <c r="I522" s="609"/>
      <c r="J522" s="609"/>
      <c r="K522" s="1018"/>
      <c r="L522" s="1019"/>
      <c r="M522" s="1019"/>
      <c r="N522" s="1019"/>
      <c r="O522" s="1019"/>
      <c r="P522" s="1019"/>
      <c r="Q522" s="1019"/>
      <c r="R522" s="1019"/>
      <c r="S522" s="1019"/>
      <c r="T522" s="1019"/>
      <c r="U522" s="1019"/>
      <c r="V522" s="1019"/>
      <c r="W522" s="1019"/>
    </row>
    <row r="523" spans="2:23" s="156" customFormat="1" x14ac:dyDescent="0.3">
      <c r="B523" s="1004"/>
      <c r="C523" s="883"/>
      <c r="D523" s="883"/>
      <c r="E523" s="883"/>
      <c r="F523" s="883"/>
      <c r="G523" s="245"/>
      <c r="H523" s="245"/>
      <c r="I523" s="237"/>
      <c r="J523" s="237"/>
      <c r="K523" s="1018"/>
      <c r="L523" s="1019"/>
      <c r="M523" s="1019"/>
      <c r="N523" s="1019"/>
      <c r="O523" s="1019"/>
      <c r="P523" s="1019"/>
      <c r="Q523" s="1019"/>
      <c r="R523" s="1019"/>
      <c r="S523" s="1019"/>
      <c r="T523" s="1019"/>
      <c r="U523" s="1019"/>
      <c r="V523" s="1019"/>
    </row>
    <row r="524" spans="2:23" s="156" customFormat="1" x14ac:dyDescent="0.3">
      <c r="B524" s="1004"/>
      <c r="C524" s="883"/>
      <c r="D524" s="883"/>
      <c r="E524" s="883"/>
      <c r="F524" s="883"/>
      <c r="G524" s="245"/>
      <c r="H524" s="245"/>
      <c r="I524" s="237"/>
      <c r="J524" s="237"/>
      <c r="K524" s="1018"/>
      <c r="L524" s="1019"/>
      <c r="M524" s="1019"/>
      <c r="N524" s="1019"/>
      <c r="O524" s="1019"/>
      <c r="P524" s="1019"/>
      <c r="Q524" s="1019"/>
      <c r="R524" s="1019"/>
      <c r="S524" s="1019"/>
      <c r="T524" s="1019"/>
      <c r="U524" s="1019"/>
      <c r="V524" s="1019"/>
    </row>
    <row r="525" spans="2:23" s="156" customFormat="1" x14ac:dyDescent="0.3">
      <c r="B525" s="918"/>
      <c r="C525" s="859"/>
      <c r="D525" s="859"/>
      <c r="E525" s="859"/>
      <c r="F525" s="860"/>
      <c r="G525" s="245"/>
      <c r="H525" s="245"/>
      <c r="I525" s="237"/>
      <c r="J525" s="237"/>
    </row>
    <row r="526" spans="2:23" s="156" customFormat="1" x14ac:dyDescent="0.3">
      <c r="B526" s="918"/>
      <c r="C526" s="859"/>
      <c r="D526" s="859"/>
      <c r="E526" s="859"/>
      <c r="F526" s="860"/>
      <c r="G526" s="245"/>
      <c r="H526" s="245"/>
      <c r="I526" s="237"/>
      <c r="J526" s="237"/>
    </row>
    <row r="527" spans="2:23" s="156" customFormat="1" x14ac:dyDescent="0.3">
      <c r="B527" s="918"/>
      <c r="C527" s="859"/>
      <c r="D527" s="859"/>
      <c r="E527" s="859"/>
      <c r="F527" s="860"/>
      <c r="G527" s="245"/>
      <c r="H527" s="245"/>
      <c r="I527" s="237"/>
      <c r="J527" s="237"/>
    </row>
    <row r="528" spans="2:23" s="156" customFormat="1" x14ac:dyDescent="0.3">
      <c r="B528" s="1004"/>
      <c r="C528" s="883"/>
      <c r="D528" s="883"/>
      <c r="E528" s="883"/>
      <c r="F528" s="883"/>
      <c r="G528" s="245"/>
      <c r="H528" s="245"/>
      <c r="I528" s="237"/>
      <c r="J528" s="237"/>
    </row>
    <row r="529" spans="2:10" s="156" customFormat="1" x14ac:dyDescent="0.3">
      <c r="B529" s="1005"/>
      <c r="C529" s="886"/>
      <c r="D529" s="886"/>
      <c r="E529" s="886"/>
      <c r="F529" s="887"/>
      <c r="G529" s="316"/>
      <c r="H529" s="316"/>
      <c r="I529" s="317" t="s">
        <v>153</v>
      </c>
      <c r="J529" s="318">
        <f>SUM(J522:J528)</f>
        <v>0</v>
      </c>
    </row>
    <row r="530" spans="2:10" s="156" customFormat="1" x14ac:dyDescent="0.3">
      <c r="B530" s="930"/>
      <c r="C530" s="880"/>
      <c r="D530" s="880"/>
      <c r="E530" s="319"/>
      <c r="F530" s="319"/>
      <c r="G530" s="319"/>
      <c r="H530" s="810" t="s">
        <v>160</v>
      </c>
      <c r="I530" s="881"/>
      <c r="J530" s="320">
        <f>+J519+J529+J514+J509</f>
        <v>6841492.8571428563</v>
      </c>
    </row>
    <row r="531" spans="2:10" s="156" customFormat="1" x14ac:dyDescent="0.3">
      <c r="B531" s="1006"/>
      <c r="C531" s="1006"/>
      <c r="D531" s="1006"/>
      <c r="E531" s="1006"/>
      <c r="F531" s="1006"/>
      <c r="G531" s="1006"/>
      <c r="H531" s="806" t="s">
        <v>1004</v>
      </c>
      <c r="I531" s="807"/>
      <c r="J531" s="722">
        <f>+ROUND(J530*'PRESUPUESTO OFICIAL (Entidad)'!$K$56,2)</f>
        <v>1778788.14</v>
      </c>
    </row>
    <row r="532" spans="2:10" s="156" customFormat="1" x14ac:dyDescent="0.3">
      <c r="B532" s="942"/>
      <c r="C532" s="942"/>
      <c r="D532" s="942"/>
      <c r="E532" s="942"/>
      <c r="F532" s="942"/>
      <c r="G532" s="942"/>
      <c r="H532" s="801" t="s">
        <v>291</v>
      </c>
      <c r="I532" s="802"/>
      <c r="J532" s="723">
        <f>SUM(J530:J531)</f>
        <v>8620280.9971428569</v>
      </c>
    </row>
    <row r="533" spans="2:10" s="156" customFormat="1" x14ac:dyDescent="0.3">
      <c r="B533" s="298"/>
      <c r="C533" s="298"/>
      <c r="D533" s="298"/>
      <c r="E533" s="298"/>
      <c r="F533" s="298"/>
      <c r="G533" s="298"/>
      <c r="H533" s="312"/>
      <c r="I533" s="312"/>
      <c r="J533" s="313"/>
    </row>
    <row r="534" spans="2:10" s="156" customFormat="1" x14ac:dyDescent="0.3">
      <c r="B534" s="298"/>
      <c r="C534" s="298"/>
      <c r="D534" s="298"/>
      <c r="E534" s="298"/>
      <c r="F534" s="298"/>
      <c r="G534" s="298"/>
      <c r="H534" s="312"/>
      <c r="I534" s="312"/>
      <c r="J534" s="313"/>
    </row>
    <row r="535" spans="2:10" s="156" customFormat="1" x14ac:dyDescent="0.3">
      <c r="B535" s="298"/>
      <c r="C535" s="298"/>
      <c r="D535" s="298"/>
      <c r="E535" s="298"/>
      <c r="F535" s="298"/>
      <c r="G535" s="298"/>
      <c r="H535" s="312"/>
      <c r="I535" s="312"/>
      <c r="J535" s="313"/>
    </row>
    <row r="536" spans="2:10" s="156" customFormat="1" x14ac:dyDescent="0.3">
      <c r="B536" s="298"/>
      <c r="C536" s="298"/>
      <c r="D536" s="298"/>
      <c r="E536" s="298"/>
      <c r="F536" s="298"/>
      <c r="G536" s="298"/>
      <c r="H536" s="312"/>
      <c r="I536" s="312"/>
      <c r="J536" s="313"/>
    </row>
    <row r="537" spans="2:10" s="156" customFormat="1" x14ac:dyDescent="0.3">
      <c r="B537" s="298"/>
      <c r="C537" s="298"/>
      <c r="D537" s="298"/>
      <c r="E537" s="298"/>
      <c r="F537" s="298"/>
      <c r="G537" s="298"/>
      <c r="H537" s="312"/>
      <c r="I537" s="312"/>
      <c r="J537" s="313"/>
    </row>
    <row r="538" spans="2:10" s="156" customFormat="1" x14ac:dyDescent="0.3">
      <c r="B538" s="321" t="s">
        <v>15</v>
      </c>
      <c r="C538" s="895" t="s">
        <v>151</v>
      </c>
      <c r="D538" s="895"/>
      <c r="E538" s="895"/>
      <c r="F538" s="895"/>
      <c r="G538" s="895"/>
      <c r="H538" s="896"/>
      <c r="I538" s="260" t="s">
        <v>48</v>
      </c>
      <c r="J538" s="322" t="s">
        <v>19</v>
      </c>
    </row>
    <row r="539" spans="2:10" s="156" customFormat="1" x14ac:dyDescent="0.3">
      <c r="B539" s="221" t="s">
        <v>292</v>
      </c>
      <c r="C539" s="897" t="s">
        <v>214</v>
      </c>
      <c r="D539" s="897"/>
      <c r="E539" s="897"/>
      <c r="F539" s="897"/>
      <c r="G539" s="897"/>
      <c r="H539" s="897"/>
      <c r="I539" s="222" t="s">
        <v>31</v>
      </c>
      <c r="J539" s="223">
        <v>1</v>
      </c>
    </row>
    <row r="540" spans="2:10" s="156" customFormat="1" x14ac:dyDescent="0.3">
      <c r="B540" s="893" t="s">
        <v>152</v>
      </c>
      <c r="C540" s="886"/>
      <c r="D540" s="886"/>
      <c r="E540" s="253"/>
      <c r="F540" s="284"/>
      <c r="G540" s="284"/>
      <c r="H540" s="285"/>
      <c r="I540" s="257"/>
      <c r="J540" s="323"/>
    </row>
    <row r="541" spans="2:10" s="156" customFormat="1" x14ac:dyDescent="0.3">
      <c r="B541" s="820" t="s">
        <v>151</v>
      </c>
      <c r="C541" s="880"/>
      <c r="D541" s="880"/>
      <c r="E541" s="880"/>
      <c r="F541" s="881"/>
      <c r="G541" s="259" t="s">
        <v>48</v>
      </c>
      <c r="H541" s="259" t="s">
        <v>19</v>
      </c>
      <c r="I541" s="260" t="s">
        <v>20</v>
      </c>
      <c r="J541" s="322" t="s">
        <v>37</v>
      </c>
    </row>
    <row r="542" spans="2:10" s="156" customFormat="1" ht="27.6" customHeight="1" x14ac:dyDescent="0.3">
      <c r="B542" s="834" t="s">
        <v>213</v>
      </c>
      <c r="C542" s="880"/>
      <c r="D542" s="880"/>
      <c r="E542" s="880"/>
      <c r="F542" s="881"/>
      <c r="G542" s="262" t="s">
        <v>48</v>
      </c>
      <c r="H542" s="263">
        <v>2</v>
      </c>
      <c r="I542" s="264">
        <v>1120400</v>
      </c>
      <c r="J542" s="324">
        <f>ROUND(I542*H542,0)</f>
        <v>2240800</v>
      </c>
    </row>
    <row r="543" spans="2:10" s="156" customFormat="1" ht="25.2" customHeight="1" x14ac:dyDescent="0.3">
      <c r="B543" s="914" t="s">
        <v>925</v>
      </c>
      <c r="C543" s="891"/>
      <c r="D543" s="891"/>
      <c r="E543" s="891"/>
      <c r="F543" s="892"/>
      <c r="G543" s="266" t="s">
        <v>48</v>
      </c>
      <c r="H543" s="263">
        <v>1</v>
      </c>
      <c r="I543" s="264">
        <v>3109200</v>
      </c>
      <c r="J543" s="324">
        <f>ROUND(I543*H543,0)</f>
        <v>3109200</v>
      </c>
    </row>
    <row r="544" spans="2:10" s="156" customFormat="1" x14ac:dyDescent="0.3">
      <c r="B544" s="826"/>
      <c r="C544" s="880"/>
      <c r="D544" s="880"/>
      <c r="E544" s="268"/>
      <c r="F544" s="268"/>
      <c r="G544" s="268"/>
      <c r="H544" s="269"/>
      <c r="I544" s="270" t="s">
        <v>153</v>
      </c>
      <c r="J544" s="325">
        <f>+SUM(J542:J543)</f>
        <v>5350000</v>
      </c>
    </row>
    <row r="545" spans="2:18" s="156" customFormat="1" x14ac:dyDescent="0.3">
      <c r="B545" s="837" t="s">
        <v>154</v>
      </c>
      <c r="C545" s="880"/>
      <c r="D545" s="880"/>
      <c r="E545" s="255"/>
      <c r="F545" s="255"/>
      <c r="G545" s="255"/>
      <c r="H545" s="255"/>
      <c r="I545" s="272"/>
      <c r="J545" s="322"/>
    </row>
    <row r="546" spans="2:18" s="156" customFormat="1" x14ac:dyDescent="0.3">
      <c r="B546" s="894" t="s">
        <v>155</v>
      </c>
      <c r="C546" s="886"/>
      <c r="D546" s="886"/>
      <c r="E546" s="886"/>
      <c r="F546" s="886"/>
      <c r="G546" s="273" t="s">
        <v>48</v>
      </c>
      <c r="H546" s="273" t="s">
        <v>19</v>
      </c>
      <c r="I546" s="275" t="s">
        <v>187</v>
      </c>
      <c r="J546" s="326" t="s">
        <v>37</v>
      </c>
    </row>
    <row r="547" spans="2:18" s="156" customFormat="1" x14ac:dyDescent="0.3">
      <c r="B547" s="834"/>
      <c r="C547" s="880"/>
      <c r="D547" s="880"/>
      <c r="E547" s="880"/>
      <c r="F547" s="880"/>
      <c r="G547" s="336"/>
      <c r="H547" s="336"/>
      <c r="I547" s="277"/>
      <c r="J547" s="327"/>
    </row>
    <row r="548" spans="2:18" s="156" customFormat="1" x14ac:dyDescent="0.3">
      <c r="B548" s="834"/>
      <c r="C548" s="880"/>
      <c r="D548" s="880"/>
      <c r="E548" s="880"/>
      <c r="F548" s="881"/>
      <c r="G548" s="280"/>
      <c r="H548" s="277"/>
      <c r="I548" s="278"/>
      <c r="J548" s="327"/>
    </row>
    <row r="549" spans="2:18" s="156" customFormat="1" x14ac:dyDescent="0.3">
      <c r="B549" s="839"/>
      <c r="C549" s="880"/>
      <c r="D549" s="880"/>
      <c r="E549" s="880"/>
      <c r="F549" s="881"/>
      <c r="G549" s="281"/>
      <c r="H549" s="281"/>
      <c r="I549" s="282" t="s">
        <v>153</v>
      </c>
      <c r="J549" s="328">
        <f>SUM(J547:J548)</f>
        <v>0</v>
      </c>
    </row>
    <row r="550" spans="2:18" s="156" customFormat="1" x14ac:dyDescent="0.3">
      <c r="B550" s="893" t="s">
        <v>158</v>
      </c>
      <c r="C550" s="886"/>
      <c r="D550" s="886"/>
      <c r="E550" s="253"/>
      <c r="F550" s="284"/>
      <c r="G550" s="284"/>
      <c r="H550" s="285"/>
      <c r="I550" s="286"/>
      <c r="J550" s="329"/>
    </row>
    <row r="551" spans="2:18" s="156" customFormat="1" x14ac:dyDescent="0.3">
      <c r="B551" s="888" t="s">
        <v>151</v>
      </c>
      <c r="C551" s="889"/>
      <c r="D551" s="889"/>
      <c r="E551" s="889"/>
      <c r="F551" s="890"/>
      <c r="G551" s="259" t="s">
        <v>48</v>
      </c>
      <c r="H551" s="259" t="s">
        <v>19</v>
      </c>
      <c r="I551" s="260" t="s">
        <v>20</v>
      </c>
      <c r="J551" s="322" t="s">
        <v>37</v>
      </c>
    </row>
    <row r="552" spans="2:18" s="156" customFormat="1" x14ac:dyDescent="0.3">
      <c r="B552" s="823"/>
      <c r="C552" s="880"/>
      <c r="D552" s="880"/>
      <c r="E552" s="880"/>
      <c r="F552" s="881"/>
      <c r="G552" s="288"/>
      <c r="H552" s="288"/>
      <c r="I552" s="289"/>
      <c r="J552" s="324">
        <f>ROUND(H552*I552,0)</f>
        <v>0</v>
      </c>
    </row>
    <row r="553" spans="2:18" s="156" customFormat="1" x14ac:dyDescent="0.3">
      <c r="B553" s="823"/>
      <c r="C553" s="880"/>
      <c r="D553" s="880"/>
      <c r="E553" s="880"/>
      <c r="F553" s="881"/>
      <c r="G553" s="288"/>
      <c r="H553" s="288"/>
      <c r="I553" s="289"/>
      <c r="J553" s="324"/>
      <c r="K553" s="1020"/>
      <c r="L553" s="1021"/>
      <c r="M553" s="1021"/>
      <c r="N553" s="1021"/>
      <c r="O553" s="1021"/>
      <c r="P553" s="1021"/>
      <c r="Q553" s="1021"/>
      <c r="R553" s="1021"/>
    </row>
    <row r="554" spans="2:18" s="156" customFormat="1" x14ac:dyDescent="0.3">
      <c r="B554" s="826"/>
      <c r="C554" s="880"/>
      <c r="D554" s="880"/>
      <c r="E554" s="267"/>
      <c r="F554" s="267"/>
      <c r="G554" s="267"/>
      <c r="H554" s="290"/>
      <c r="I554" s="291" t="s">
        <v>153</v>
      </c>
      <c r="J554" s="330">
        <f>SUM(J552:J553)</f>
        <v>0</v>
      </c>
      <c r="K554" s="1020"/>
      <c r="L554" s="1021"/>
      <c r="M554" s="1021"/>
      <c r="N554" s="1021"/>
      <c r="O554" s="1021"/>
      <c r="P554" s="1021"/>
      <c r="Q554" s="1021"/>
      <c r="R554" s="1021"/>
    </row>
    <row r="555" spans="2:18" s="156" customFormat="1" x14ac:dyDescent="0.3">
      <c r="B555" s="828" t="s">
        <v>159</v>
      </c>
      <c r="C555" s="829"/>
      <c r="D555" s="829"/>
      <c r="E555" s="829"/>
      <c r="F555" s="829"/>
      <c r="G555" s="829"/>
      <c r="H555" s="829"/>
      <c r="I555" s="829"/>
      <c r="J555" s="830"/>
    </row>
    <row r="556" spans="2:18" s="156" customFormat="1" x14ac:dyDescent="0.3">
      <c r="B556" s="882" t="s">
        <v>151</v>
      </c>
      <c r="C556" s="883"/>
      <c r="D556" s="883"/>
      <c r="E556" s="883"/>
      <c r="F556" s="883"/>
      <c r="G556" s="232" t="s">
        <v>48</v>
      </c>
      <c r="H556" s="232" t="s">
        <v>19</v>
      </c>
      <c r="I556" s="233" t="s">
        <v>20</v>
      </c>
      <c r="J556" s="331" t="s">
        <v>37</v>
      </c>
    </row>
    <row r="557" spans="2:18" s="156" customFormat="1" x14ac:dyDescent="0.3">
      <c r="B557" s="898"/>
      <c r="C557" s="899"/>
      <c r="D557" s="899"/>
      <c r="E557" s="899"/>
      <c r="F557" s="899"/>
      <c r="G557" s="608"/>
      <c r="H557" s="608"/>
      <c r="I557" s="609"/>
      <c r="J557" s="611"/>
    </row>
    <row r="558" spans="2:18" s="156" customFormat="1" x14ac:dyDescent="0.3">
      <c r="B558" s="884"/>
      <c r="C558" s="883"/>
      <c r="D558" s="883"/>
      <c r="E558" s="883"/>
      <c r="F558" s="883"/>
      <c r="G558" s="245"/>
      <c r="H558" s="245"/>
      <c r="I558" s="237"/>
      <c r="J558" s="333"/>
    </row>
    <row r="559" spans="2:18" s="156" customFormat="1" x14ac:dyDescent="0.3">
      <c r="B559" s="884"/>
      <c r="C559" s="883"/>
      <c r="D559" s="883"/>
      <c r="E559" s="883"/>
      <c r="F559" s="883"/>
      <c r="G559" s="245"/>
      <c r="H559" s="245"/>
      <c r="I559" s="237"/>
      <c r="J559" s="333"/>
    </row>
    <row r="560" spans="2:18" s="156" customFormat="1" x14ac:dyDescent="0.3">
      <c r="B560" s="884"/>
      <c r="C560" s="883"/>
      <c r="D560" s="883"/>
      <c r="E560" s="883"/>
      <c r="F560" s="883"/>
      <c r="G560" s="245"/>
      <c r="H560" s="245"/>
      <c r="I560" s="237"/>
      <c r="J560" s="333"/>
    </row>
    <row r="561" spans="2:10" s="156" customFormat="1" x14ac:dyDescent="0.3">
      <c r="B561" s="884"/>
      <c r="C561" s="883"/>
      <c r="D561" s="883"/>
      <c r="E561" s="883"/>
      <c r="F561" s="883"/>
      <c r="G561" s="245"/>
      <c r="H561" s="245"/>
      <c r="I561" s="237"/>
      <c r="J561" s="333"/>
    </row>
    <row r="562" spans="2:10" s="156" customFormat="1" x14ac:dyDescent="0.3">
      <c r="B562" s="884"/>
      <c r="C562" s="883"/>
      <c r="D562" s="883"/>
      <c r="E562" s="883"/>
      <c r="F562" s="883"/>
      <c r="G562" s="245"/>
      <c r="H562" s="245"/>
      <c r="I562" s="237"/>
      <c r="J562" s="333"/>
    </row>
    <row r="563" spans="2:10" s="156" customFormat="1" x14ac:dyDescent="0.3">
      <c r="B563" s="884"/>
      <c r="C563" s="883"/>
      <c r="D563" s="883"/>
      <c r="E563" s="883"/>
      <c r="F563" s="883"/>
      <c r="G563" s="245"/>
      <c r="H563" s="245"/>
      <c r="I563" s="237"/>
      <c r="J563" s="333"/>
    </row>
    <row r="564" spans="2:10" s="156" customFormat="1" x14ac:dyDescent="0.3">
      <c r="B564" s="885"/>
      <c r="C564" s="886"/>
      <c r="D564" s="886"/>
      <c r="E564" s="886"/>
      <c r="F564" s="887"/>
      <c r="G564" s="316"/>
      <c r="H564" s="316"/>
      <c r="I564" s="317" t="s">
        <v>153</v>
      </c>
      <c r="J564" s="334">
        <f>SUM(J557:J563)</f>
        <v>0</v>
      </c>
    </row>
    <row r="565" spans="2:10" s="156" customFormat="1" x14ac:dyDescent="0.3">
      <c r="B565" s="818"/>
      <c r="C565" s="880"/>
      <c r="D565" s="880"/>
      <c r="E565" s="319"/>
      <c r="F565" s="319"/>
      <c r="G565" s="319"/>
      <c r="H565" s="810" t="s">
        <v>160</v>
      </c>
      <c r="I565" s="881"/>
      <c r="J565" s="335">
        <f>+J554+J564+J549+J544</f>
        <v>5350000</v>
      </c>
    </row>
    <row r="566" spans="2:10" s="156" customFormat="1" x14ac:dyDescent="0.3">
      <c r="B566" s="803"/>
      <c r="C566" s="804"/>
      <c r="D566" s="804"/>
      <c r="E566" s="804"/>
      <c r="F566" s="804"/>
      <c r="G566" s="805"/>
      <c r="H566" s="806" t="s">
        <v>1004</v>
      </c>
      <c r="I566" s="807"/>
      <c r="J566" s="722">
        <f>+ROUND(J565*'PRESUPUESTO OFICIAL (Entidad)'!$K$56,2)</f>
        <v>1391000</v>
      </c>
    </row>
    <row r="567" spans="2:10" s="156" customFormat="1" x14ac:dyDescent="0.3">
      <c r="B567" s="798"/>
      <c r="C567" s="799"/>
      <c r="D567" s="799"/>
      <c r="E567" s="799"/>
      <c r="F567" s="799"/>
      <c r="G567" s="800"/>
      <c r="H567" s="801" t="s">
        <v>291</v>
      </c>
      <c r="I567" s="802"/>
      <c r="J567" s="723">
        <f>SUM(J565:J566)</f>
        <v>6741000</v>
      </c>
    </row>
    <row r="568" spans="2:10" s="156" customFormat="1" x14ac:dyDescent="0.3"/>
    <row r="569" spans="2:10" s="156" customFormat="1" x14ac:dyDescent="0.3"/>
    <row r="570" spans="2:10" s="156" customFormat="1" x14ac:dyDescent="0.3"/>
    <row r="571" spans="2:10" s="156" customFormat="1" x14ac:dyDescent="0.3">
      <c r="B571" s="321" t="s">
        <v>15</v>
      </c>
      <c r="C571" s="895" t="s">
        <v>151</v>
      </c>
      <c r="D571" s="895"/>
      <c r="E571" s="895"/>
      <c r="F571" s="895"/>
      <c r="G571" s="895"/>
      <c r="H571" s="896"/>
      <c r="I571" s="260" t="s">
        <v>48</v>
      </c>
      <c r="J571" s="322" t="s">
        <v>19</v>
      </c>
    </row>
    <row r="572" spans="2:10" s="156" customFormat="1" x14ac:dyDescent="0.3">
      <c r="B572" s="221" t="s">
        <v>293</v>
      </c>
      <c r="C572" s="897" t="s">
        <v>126</v>
      </c>
      <c r="D572" s="897"/>
      <c r="E572" s="897"/>
      <c r="F572" s="897"/>
      <c r="G572" s="897"/>
      <c r="H572" s="897"/>
      <c r="I572" s="222" t="s">
        <v>31</v>
      </c>
      <c r="J572" s="223">
        <v>90</v>
      </c>
    </row>
    <row r="573" spans="2:10" s="156" customFormat="1" x14ac:dyDescent="0.3">
      <c r="B573" s="893" t="s">
        <v>152</v>
      </c>
      <c r="C573" s="886"/>
      <c r="D573" s="886"/>
      <c r="E573" s="253"/>
      <c r="F573" s="284"/>
      <c r="G573" s="284"/>
      <c r="H573" s="285"/>
      <c r="I573" s="257"/>
      <c r="J573" s="323"/>
    </row>
    <row r="574" spans="2:10" s="156" customFormat="1" x14ac:dyDescent="0.3">
      <c r="B574" s="820" t="s">
        <v>151</v>
      </c>
      <c r="C574" s="880"/>
      <c r="D574" s="880"/>
      <c r="E574" s="880"/>
      <c r="F574" s="881"/>
      <c r="G574" s="259" t="s">
        <v>48</v>
      </c>
      <c r="H574" s="259" t="s">
        <v>19</v>
      </c>
      <c r="I574" s="260" t="s">
        <v>20</v>
      </c>
      <c r="J574" s="322" t="s">
        <v>37</v>
      </c>
    </row>
    <row r="575" spans="2:10" s="156" customFormat="1" x14ac:dyDescent="0.3">
      <c r="B575" s="834" t="s">
        <v>215</v>
      </c>
      <c r="C575" s="880"/>
      <c r="D575" s="880"/>
      <c r="E575" s="880"/>
      <c r="F575" s="881"/>
      <c r="G575" s="262" t="s">
        <v>48</v>
      </c>
      <c r="H575" s="263">
        <v>1.1111111111111112E-2</v>
      </c>
      <c r="I575" s="264">
        <v>65914</v>
      </c>
      <c r="J575" s="324">
        <f>ROUND(I575*H575,0)</f>
        <v>732</v>
      </c>
    </row>
    <row r="576" spans="2:10" s="156" customFormat="1" x14ac:dyDescent="0.3">
      <c r="B576" s="834" t="s">
        <v>216</v>
      </c>
      <c r="C576" s="880"/>
      <c r="D576" s="880"/>
      <c r="E576" s="880"/>
      <c r="F576" s="881"/>
      <c r="G576" s="266" t="s">
        <v>48</v>
      </c>
      <c r="H576" s="263">
        <v>0.25</v>
      </c>
      <c r="I576" s="264">
        <v>25400</v>
      </c>
      <c r="J576" s="324">
        <f>ROUND(I576*H576,0)</f>
        <v>6350</v>
      </c>
    </row>
    <row r="577" spans="2:10" s="156" customFormat="1" x14ac:dyDescent="0.3">
      <c r="B577" s="834" t="s">
        <v>219</v>
      </c>
      <c r="C577" s="880"/>
      <c r="D577" s="880"/>
      <c r="E577" s="880"/>
      <c r="F577" s="881"/>
      <c r="G577" s="266" t="s">
        <v>48</v>
      </c>
      <c r="H577" s="263">
        <v>0.22222222222222221</v>
      </c>
      <c r="I577" s="264">
        <v>50300</v>
      </c>
      <c r="J577" s="324">
        <f>ROUND(I577*H577,0)</f>
        <v>11178</v>
      </c>
    </row>
    <row r="578" spans="2:10" s="156" customFormat="1" ht="37.5" customHeight="1" x14ac:dyDescent="0.3">
      <c r="B578" s="826"/>
      <c r="C578" s="880"/>
      <c r="D578" s="880"/>
      <c r="E578" s="268"/>
      <c r="F578" s="268"/>
      <c r="G578" s="268"/>
      <c r="H578" s="269"/>
      <c r="I578" s="270" t="s">
        <v>153</v>
      </c>
      <c r="J578" s="325">
        <f>+SUM(J575:J577)</f>
        <v>18260</v>
      </c>
    </row>
    <row r="579" spans="2:10" s="156" customFormat="1" x14ac:dyDescent="0.3">
      <c r="B579" s="837" t="s">
        <v>154</v>
      </c>
      <c r="C579" s="880"/>
      <c r="D579" s="880"/>
      <c r="E579" s="255"/>
      <c r="F579" s="255"/>
      <c r="G579" s="255"/>
      <c r="H579" s="255"/>
      <c r="I579" s="272"/>
      <c r="J579" s="322"/>
    </row>
    <row r="580" spans="2:10" s="156" customFormat="1" ht="20.399999999999999" customHeight="1" x14ac:dyDescent="0.3">
      <c r="B580" s="894" t="s">
        <v>155</v>
      </c>
      <c r="C580" s="886"/>
      <c r="D580" s="886"/>
      <c r="E580" s="886"/>
      <c r="F580" s="886"/>
      <c r="G580" s="273" t="s">
        <v>48</v>
      </c>
      <c r="H580" s="273" t="s">
        <v>19</v>
      </c>
      <c r="I580" s="275" t="s">
        <v>187</v>
      </c>
      <c r="J580" s="326" t="s">
        <v>37</v>
      </c>
    </row>
    <row r="581" spans="2:10" s="156" customFormat="1" x14ac:dyDescent="0.3">
      <c r="B581" s="834" t="s">
        <v>211</v>
      </c>
      <c r="C581" s="880"/>
      <c r="D581" s="880"/>
      <c r="E581" s="880"/>
      <c r="F581" s="880"/>
      <c r="G581" s="336" t="s">
        <v>188</v>
      </c>
      <c r="H581" s="741">
        <v>0.6411999246278518</v>
      </c>
      <c r="I581" s="277">
        <f>+I512</f>
        <v>126357.14285714286</v>
      </c>
      <c r="J581" s="327">
        <f>H581*I581</f>
        <v>81020.190476190706</v>
      </c>
    </row>
    <row r="582" spans="2:10" s="156" customFormat="1" x14ac:dyDescent="0.3">
      <c r="B582" s="834"/>
      <c r="C582" s="880"/>
      <c r="D582" s="880"/>
      <c r="E582" s="880"/>
      <c r="F582" s="881"/>
      <c r="G582" s="280"/>
      <c r="H582" s="277"/>
      <c r="I582" s="278"/>
      <c r="J582" s="327"/>
    </row>
    <row r="583" spans="2:10" s="156" customFormat="1" x14ac:dyDescent="0.3">
      <c r="B583" s="839"/>
      <c r="C583" s="880"/>
      <c r="D583" s="880"/>
      <c r="E583" s="880"/>
      <c r="F583" s="881"/>
      <c r="G583" s="281"/>
      <c r="H583" s="281"/>
      <c r="I583" s="282" t="s">
        <v>153</v>
      </c>
      <c r="J583" s="328">
        <f>SUM(J581:J582)</f>
        <v>81020.190476190706</v>
      </c>
    </row>
    <row r="584" spans="2:10" s="156" customFormat="1" x14ac:dyDescent="0.3">
      <c r="B584" s="893" t="s">
        <v>158</v>
      </c>
      <c r="C584" s="886"/>
      <c r="D584" s="886"/>
      <c r="E584" s="253"/>
      <c r="F584" s="284"/>
      <c r="G584" s="284"/>
      <c r="H584" s="285"/>
      <c r="I584" s="286"/>
      <c r="J584" s="329"/>
    </row>
    <row r="585" spans="2:10" s="156" customFormat="1" x14ac:dyDescent="0.3">
      <c r="B585" s="888" t="s">
        <v>151</v>
      </c>
      <c r="C585" s="889"/>
      <c r="D585" s="889"/>
      <c r="E585" s="889"/>
      <c r="F585" s="890"/>
      <c r="G585" s="259" t="s">
        <v>48</v>
      </c>
      <c r="H585" s="259" t="s">
        <v>19</v>
      </c>
      <c r="I585" s="260" t="s">
        <v>20</v>
      </c>
      <c r="J585" s="322" t="s">
        <v>37</v>
      </c>
    </row>
    <row r="586" spans="2:10" s="156" customFormat="1" x14ac:dyDescent="0.3">
      <c r="B586" s="823"/>
      <c r="C586" s="880"/>
      <c r="D586" s="880"/>
      <c r="E586" s="880"/>
      <c r="F586" s="881"/>
      <c r="G586" s="288"/>
      <c r="H586" s="288"/>
      <c r="I586" s="289"/>
      <c r="J586" s="324">
        <f>ROUND(H586*I586,0)</f>
        <v>0</v>
      </c>
    </row>
    <row r="587" spans="2:10" s="156" customFormat="1" x14ac:dyDescent="0.3">
      <c r="B587" s="823"/>
      <c r="C587" s="880"/>
      <c r="D587" s="880"/>
      <c r="E587" s="880"/>
      <c r="F587" s="881"/>
      <c r="G587" s="288"/>
      <c r="H587" s="288"/>
      <c r="I587" s="289"/>
      <c r="J587" s="324"/>
    </row>
    <row r="588" spans="2:10" s="156" customFormat="1" x14ac:dyDescent="0.3">
      <c r="B588" s="826"/>
      <c r="C588" s="880"/>
      <c r="D588" s="880"/>
      <c r="E588" s="267"/>
      <c r="F588" s="267"/>
      <c r="G588" s="267"/>
      <c r="H588" s="290"/>
      <c r="I588" s="291" t="s">
        <v>153</v>
      </c>
      <c r="J588" s="330">
        <f>SUM(J586:J587)</f>
        <v>0</v>
      </c>
    </row>
    <row r="589" spans="2:10" s="156" customFormat="1" x14ac:dyDescent="0.3">
      <c r="B589" s="828" t="s">
        <v>159</v>
      </c>
      <c r="C589" s="829"/>
      <c r="D589" s="829"/>
      <c r="E589" s="829"/>
      <c r="F589" s="829"/>
      <c r="G589" s="829"/>
      <c r="H589" s="829"/>
      <c r="I589" s="829"/>
      <c r="J589" s="830"/>
    </row>
    <row r="590" spans="2:10" s="156" customFormat="1" x14ac:dyDescent="0.3">
      <c r="B590" s="882" t="s">
        <v>151</v>
      </c>
      <c r="C590" s="883"/>
      <c r="D590" s="883"/>
      <c r="E590" s="883"/>
      <c r="F590" s="883"/>
      <c r="G590" s="232" t="s">
        <v>48</v>
      </c>
      <c r="H590" s="232" t="s">
        <v>19</v>
      </c>
      <c r="I590" s="233" t="s">
        <v>20</v>
      </c>
      <c r="J590" s="331" t="s">
        <v>37</v>
      </c>
    </row>
    <row r="591" spans="2:10" s="156" customFormat="1" x14ac:dyDescent="0.3">
      <c r="B591" s="884" t="s">
        <v>217</v>
      </c>
      <c r="C591" s="883"/>
      <c r="D591" s="883"/>
      <c r="E591" s="883"/>
      <c r="F591" s="883"/>
      <c r="G591" s="245" t="s">
        <v>218</v>
      </c>
      <c r="H591" s="740">
        <f>1/90</f>
        <v>1.1111111111111112E-2</v>
      </c>
      <c r="I591" s="237">
        <v>350400</v>
      </c>
      <c r="J591" s="333">
        <f>+H591*I591</f>
        <v>3893.3333333333335</v>
      </c>
    </row>
    <row r="592" spans="2:10" s="156" customFormat="1" x14ac:dyDescent="0.3">
      <c r="B592" s="884"/>
      <c r="C592" s="883"/>
      <c r="D592" s="883"/>
      <c r="E592" s="883"/>
      <c r="F592" s="883"/>
      <c r="G592" s="245"/>
      <c r="H592" s="245"/>
      <c r="I592" s="237"/>
      <c r="J592" s="333"/>
    </row>
    <row r="593" spans="2:11" s="156" customFormat="1" x14ac:dyDescent="0.3">
      <c r="B593" s="884"/>
      <c r="C593" s="883"/>
      <c r="D593" s="883"/>
      <c r="E593" s="883"/>
      <c r="F593" s="883"/>
      <c r="G593" s="245"/>
      <c r="H593" s="245"/>
      <c r="I593" s="237"/>
      <c r="J593" s="333"/>
    </row>
    <row r="594" spans="2:11" s="156" customFormat="1" x14ac:dyDescent="0.3">
      <c r="B594" s="884"/>
      <c r="C594" s="883"/>
      <c r="D594" s="883"/>
      <c r="E594" s="883"/>
      <c r="F594" s="883"/>
      <c r="G594" s="245"/>
      <c r="H594" s="245"/>
      <c r="I594" s="237"/>
      <c r="J594" s="333"/>
    </row>
    <row r="595" spans="2:11" s="156" customFormat="1" x14ac:dyDescent="0.3">
      <c r="B595" s="884"/>
      <c r="C595" s="883"/>
      <c r="D595" s="883"/>
      <c r="E595" s="883"/>
      <c r="F595" s="883"/>
      <c r="G595" s="245"/>
      <c r="H595" s="245"/>
      <c r="I595" s="237"/>
      <c r="J595" s="333"/>
    </row>
    <row r="596" spans="2:11" s="156" customFormat="1" x14ac:dyDescent="0.3">
      <c r="B596" s="884"/>
      <c r="C596" s="883"/>
      <c r="D596" s="883"/>
      <c r="E596" s="883"/>
      <c r="F596" s="883"/>
      <c r="G596" s="245"/>
      <c r="H596" s="245"/>
      <c r="I596" s="237"/>
      <c r="J596" s="333"/>
    </row>
    <row r="597" spans="2:11" s="156" customFormat="1" x14ac:dyDescent="0.3">
      <c r="B597" s="884"/>
      <c r="C597" s="883"/>
      <c r="D597" s="883"/>
      <c r="E597" s="883"/>
      <c r="F597" s="883"/>
      <c r="G597" s="245"/>
      <c r="H597" s="245"/>
      <c r="I597" s="237"/>
      <c r="J597" s="333"/>
    </row>
    <row r="598" spans="2:11" s="156" customFormat="1" x14ac:dyDescent="0.3">
      <c r="B598" s="885"/>
      <c r="C598" s="886"/>
      <c r="D598" s="886"/>
      <c r="E598" s="886"/>
      <c r="F598" s="887"/>
      <c r="G598" s="316"/>
      <c r="H598" s="316"/>
      <c r="I598" s="317" t="s">
        <v>153</v>
      </c>
      <c r="J598" s="334">
        <f>SUM(J591:J597)</f>
        <v>3893.3333333333335</v>
      </c>
    </row>
    <row r="599" spans="2:11" s="156" customFormat="1" x14ac:dyDescent="0.3">
      <c r="B599" s="818"/>
      <c r="C599" s="880"/>
      <c r="D599" s="880"/>
      <c r="E599" s="319"/>
      <c r="F599" s="319"/>
      <c r="G599" s="319"/>
      <c r="H599" s="810" t="s">
        <v>160</v>
      </c>
      <c r="I599" s="881"/>
      <c r="J599" s="335">
        <f>(J578+J583+J588+J598)</f>
        <v>103173.52380952403</v>
      </c>
      <c r="K599" s="739"/>
    </row>
    <row r="600" spans="2:11" s="156" customFormat="1" x14ac:dyDescent="0.3">
      <c r="B600" s="803"/>
      <c r="C600" s="804"/>
      <c r="D600" s="804"/>
      <c r="E600" s="804"/>
      <c r="F600" s="804"/>
      <c r="G600" s="805"/>
      <c r="H600" s="806" t="s">
        <v>1004</v>
      </c>
      <c r="I600" s="807"/>
      <c r="J600" s="722">
        <f>+ROUND(J599*'PRESUPUESTO OFICIAL (Entidad)'!$K$56,2)</f>
        <v>26825.119999999999</v>
      </c>
      <c r="K600" s="739"/>
    </row>
    <row r="601" spans="2:11" s="156" customFormat="1" x14ac:dyDescent="0.3">
      <c r="B601" s="798"/>
      <c r="C601" s="799"/>
      <c r="D601" s="799"/>
      <c r="E601" s="799"/>
      <c r="F601" s="799"/>
      <c r="G601" s="800"/>
      <c r="H601" s="801" t="s">
        <v>291</v>
      </c>
      <c r="I601" s="802"/>
      <c r="J601" s="723">
        <f>SUM(J599:J600)</f>
        <v>129998.64380952403</v>
      </c>
      <c r="K601" s="739"/>
    </row>
    <row r="602" spans="2:11" s="156" customFormat="1" x14ac:dyDescent="0.3"/>
    <row r="603" spans="2:11" s="156" customFormat="1" x14ac:dyDescent="0.3"/>
    <row r="604" spans="2:11" s="156" customFormat="1" x14ac:dyDescent="0.3"/>
    <row r="605" spans="2:11" s="156" customFormat="1" x14ac:dyDescent="0.3"/>
    <row r="606" spans="2:11" s="156" customFormat="1" x14ac:dyDescent="0.3">
      <c r="B606" s="321" t="s">
        <v>15</v>
      </c>
      <c r="C606" s="895" t="s">
        <v>151</v>
      </c>
      <c r="D606" s="895"/>
      <c r="E606" s="895"/>
      <c r="F606" s="895"/>
      <c r="G606" s="895"/>
      <c r="H606" s="896"/>
      <c r="I606" s="260" t="s">
        <v>48</v>
      </c>
      <c r="J606" s="322" t="s">
        <v>19</v>
      </c>
    </row>
    <row r="607" spans="2:11" s="156" customFormat="1" x14ac:dyDescent="0.3">
      <c r="B607" s="221" t="s">
        <v>294</v>
      </c>
      <c r="C607" s="897" t="s">
        <v>128</v>
      </c>
      <c r="D607" s="897"/>
      <c r="E607" s="897"/>
      <c r="F607" s="897"/>
      <c r="G607" s="897"/>
      <c r="H607" s="897"/>
      <c r="I607" s="222" t="s">
        <v>31</v>
      </c>
      <c r="J607" s="223">
        <v>1</v>
      </c>
    </row>
    <row r="608" spans="2:11" s="156" customFormat="1" ht="10.050000000000001" customHeight="1" x14ac:dyDescent="0.3">
      <c r="B608" s="893" t="s">
        <v>152</v>
      </c>
      <c r="C608" s="886"/>
      <c r="D608" s="886"/>
      <c r="E608" s="253"/>
      <c r="F608" s="284"/>
      <c r="G608" s="284"/>
      <c r="H608" s="285"/>
      <c r="I608" s="257"/>
      <c r="J608" s="323"/>
    </row>
    <row r="609" spans="2:10" s="156" customFormat="1" x14ac:dyDescent="0.3">
      <c r="B609" s="820" t="s">
        <v>151</v>
      </c>
      <c r="C609" s="880"/>
      <c r="D609" s="880"/>
      <c r="E609" s="880"/>
      <c r="F609" s="881"/>
      <c r="G609" s="259" t="s">
        <v>48</v>
      </c>
      <c r="H609" s="259" t="s">
        <v>19</v>
      </c>
      <c r="I609" s="260" t="s">
        <v>20</v>
      </c>
      <c r="J609" s="322" t="s">
        <v>37</v>
      </c>
    </row>
    <row r="610" spans="2:10" s="156" customFormat="1" x14ac:dyDescent="0.3">
      <c r="B610" s="834" t="s">
        <v>222</v>
      </c>
      <c r="C610" s="880"/>
      <c r="D610" s="880"/>
      <c r="E610" s="880"/>
      <c r="F610" s="881"/>
      <c r="G610" s="262" t="s">
        <v>48</v>
      </c>
      <c r="H610" s="263">
        <v>70</v>
      </c>
      <c r="I610" s="264">
        <v>80</v>
      </c>
      <c r="J610" s="324">
        <f>ROUND(I610*H610,0)</f>
        <v>5600</v>
      </c>
    </row>
    <row r="611" spans="2:10" s="156" customFormat="1" x14ac:dyDescent="0.3">
      <c r="B611" s="834"/>
      <c r="C611" s="880"/>
      <c r="D611" s="880"/>
      <c r="E611" s="880"/>
      <c r="F611" s="881"/>
      <c r="G611" s="266"/>
      <c r="H611" s="263"/>
      <c r="I611" s="264"/>
      <c r="J611" s="324"/>
    </row>
    <row r="612" spans="2:10" s="156" customFormat="1" x14ac:dyDescent="0.3">
      <c r="B612" s="826"/>
      <c r="C612" s="880"/>
      <c r="D612" s="880"/>
      <c r="E612" s="268"/>
      <c r="F612" s="268"/>
      <c r="G612" s="268"/>
      <c r="H612" s="269"/>
      <c r="I612" s="270" t="s">
        <v>153</v>
      </c>
      <c r="J612" s="325">
        <f>+SUM(J610:J611)</f>
        <v>5600</v>
      </c>
    </row>
    <row r="613" spans="2:10" s="156" customFormat="1" ht="53.25" customHeight="1" x14ac:dyDescent="0.3">
      <c r="B613" s="837" t="s">
        <v>154</v>
      </c>
      <c r="C613" s="880"/>
      <c r="D613" s="880"/>
      <c r="E613" s="255"/>
      <c r="F613" s="255"/>
      <c r="G613" s="255"/>
      <c r="H613" s="255"/>
      <c r="I613" s="272"/>
      <c r="J613" s="322"/>
    </row>
    <row r="614" spans="2:10" s="156" customFormat="1" x14ac:dyDescent="0.3">
      <c r="B614" s="894" t="s">
        <v>155</v>
      </c>
      <c r="C614" s="886"/>
      <c r="D614" s="886"/>
      <c r="E614" s="886"/>
      <c r="F614" s="886"/>
      <c r="G614" s="273"/>
      <c r="H614" s="274" t="s">
        <v>156</v>
      </c>
      <c r="I614" s="275" t="s">
        <v>157</v>
      </c>
      <c r="J614" s="326" t="s">
        <v>37</v>
      </c>
    </row>
    <row r="615" spans="2:10" s="156" customFormat="1" ht="30" customHeight="1" x14ac:dyDescent="0.3">
      <c r="B615" s="834" t="s">
        <v>211</v>
      </c>
      <c r="C615" s="880"/>
      <c r="D615" s="880"/>
      <c r="E615" s="880"/>
      <c r="F615" s="880"/>
      <c r="G615" s="336" t="s">
        <v>223</v>
      </c>
      <c r="H615" s="336">
        <v>30</v>
      </c>
      <c r="I615" s="277">
        <f>+I581</f>
        <v>126357.14285714286</v>
      </c>
      <c r="J615" s="327">
        <f>H615*I615</f>
        <v>3790714.2857142854</v>
      </c>
    </row>
    <row r="616" spans="2:10" s="156" customFormat="1" x14ac:dyDescent="0.3">
      <c r="B616" s="834"/>
      <c r="C616" s="880"/>
      <c r="D616" s="880"/>
      <c r="E616" s="880"/>
      <c r="F616" s="881"/>
      <c r="G616" s="280"/>
      <c r="H616" s="277"/>
      <c r="I616" s="278"/>
      <c r="J616" s="327"/>
    </row>
    <row r="617" spans="2:10" s="156" customFormat="1" x14ac:dyDescent="0.3">
      <c r="B617" s="839"/>
      <c r="C617" s="880"/>
      <c r="D617" s="880"/>
      <c r="E617" s="880"/>
      <c r="F617" s="881"/>
      <c r="G617" s="281"/>
      <c r="H617" s="281"/>
      <c r="I617" s="282" t="s">
        <v>153</v>
      </c>
      <c r="J617" s="328">
        <f>SUM(J615:J616)</f>
        <v>3790714.2857142854</v>
      </c>
    </row>
    <row r="618" spans="2:10" s="156" customFormat="1" x14ac:dyDescent="0.3">
      <c r="B618" s="893" t="s">
        <v>158</v>
      </c>
      <c r="C618" s="886"/>
      <c r="D618" s="886"/>
      <c r="E618" s="253"/>
      <c r="F618" s="284"/>
      <c r="G618" s="284"/>
      <c r="H618" s="285"/>
      <c r="I618" s="286"/>
      <c r="J618" s="329"/>
    </row>
    <row r="619" spans="2:10" s="156" customFormat="1" x14ac:dyDescent="0.3">
      <c r="B619" s="888" t="s">
        <v>151</v>
      </c>
      <c r="C619" s="889"/>
      <c r="D619" s="889"/>
      <c r="E619" s="889"/>
      <c r="F619" s="890"/>
      <c r="G619" s="259" t="s">
        <v>48</v>
      </c>
      <c r="H619" s="259" t="s">
        <v>19</v>
      </c>
      <c r="I619" s="260" t="s">
        <v>20</v>
      </c>
      <c r="J619" s="322" t="s">
        <v>37</v>
      </c>
    </row>
    <row r="620" spans="2:10" s="156" customFormat="1" x14ac:dyDescent="0.3">
      <c r="B620" s="823"/>
      <c r="C620" s="880"/>
      <c r="D620" s="880"/>
      <c r="E620" s="880"/>
      <c r="F620" s="881"/>
      <c r="G620" s="288"/>
      <c r="H620" s="288"/>
      <c r="I620" s="289"/>
      <c r="J620" s="324">
        <f>ROUND(H620*I620,0)</f>
        <v>0</v>
      </c>
    </row>
    <row r="621" spans="2:10" s="156" customFormat="1" x14ac:dyDescent="0.3">
      <c r="B621" s="823"/>
      <c r="C621" s="880"/>
      <c r="D621" s="880"/>
      <c r="E621" s="880"/>
      <c r="F621" s="881"/>
      <c r="G621" s="288"/>
      <c r="H621" s="288"/>
      <c r="I621" s="289"/>
      <c r="J621" s="324"/>
    </row>
    <row r="622" spans="2:10" s="156" customFormat="1" x14ac:dyDescent="0.3">
      <c r="B622" s="826"/>
      <c r="C622" s="880"/>
      <c r="D622" s="880"/>
      <c r="E622" s="267"/>
      <c r="F622" s="267"/>
      <c r="G622" s="267"/>
      <c r="H622" s="290"/>
      <c r="I622" s="291" t="s">
        <v>153</v>
      </c>
      <c r="J622" s="330">
        <f>SUM(J620:J621)</f>
        <v>0</v>
      </c>
    </row>
    <row r="623" spans="2:10" s="156" customFormat="1" x14ac:dyDescent="0.3">
      <c r="B623" s="828" t="s">
        <v>159</v>
      </c>
      <c r="C623" s="829"/>
      <c r="D623" s="829"/>
      <c r="E623" s="829"/>
      <c r="F623" s="829"/>
      <c r="G623" s="829"/>
      <c r="H623" s="829"/>
      <c r="I623" s="829"/>
      <c r="J623" s="830"/>
    </row>
    <row r="624" spans="2:10" s="156" customFormat="1" x14ac:dyDescent="0.3">
      <c r="B624" s="882" t="s">
        <v>151</v>
      </c>
      <c r="C624" s="883"/>
      <c r="D624" s="883"/>
      <c r="E624" s="883"/>
      <c r="F624" s="883"/>
      <c r="G624" s="232" t="s">
        <v>48</v>
      </c>
      <c r="H624" s="232" t="s">
        <v>19</v>
      </c>
      <c r="I624" s="233" t="s">
        <v>20</v>
      </c>
      <c r="J624" s="331" t="s">
        <v>37</v>
      </c>
    </row>
    <row r="625" spans="2:10" s="156" customFormat="1" x14ac:dyDescent="0.3">
      <c r="B625" s="884" t="s">
        <v>220</v>
      </c>
      <c r="C625" s="883"/>
      <c r="D625" s="883"/>
      <c r="E625" s="883"/>
      <c r="F625" s="883"/>
      <c r="G625" s="245" t="s">
        <v>221</v>
      </c>
      <c r="H625" s="245">
        <v>50</v>
      </c>
      <c r="I625" s="237">
        <v>128198.09523809527</v>
      </c>
      <c r="J625" s="333">
        <f>+H625*I625</f>
        <v>6409904.7619047631</v>
      </c>
    </row>
    <row r="626" spans="2:10" s="156" customFormat="1" x14ac:dyDescent="0.3">
      <c r="B626" s="884"/>
      <c r="C626" s="883"/>
      <c r="D626" s="883"/>
      <c r="E626" s="883"/>
      <c r="F626" s="883"/>
      <c r="G626" s="245"/>
      <c r="H626" s="245"/>
      <c r="I626" s="237"/>
      <c r="J626" s="333"/>
    </row>
    <row r="627" spans="2:10" s="156" customFormat="1" x14ac:dyDescent="0.3">
      <c r="B627" s="884"/>
      <c r="C627" s="883"/>
      <c r="D627" s="883"/>
      <c r="E627" s="883"/>
      <c r="F627" s="883"/>
      <c r="G627" s="245"/>
      <c r="H627" s="245"/>
      <c r="I627" s="237"/>
      <c r="J627" s="333"/>
    </row>
    <row r="628" spans="2:10" s="156" customFormat="1" x14ac:dyDescent="0.3">
      <c r="B628" s="884"/>
      <c r="C628" s="883"/>
      <c r="D628" s="883"/>
      <c r="E628" s="883"/>
      <c r="F628" s="883"/>
      <c r="G628" s="245"/>
      <c r="H628" s="245"/>
      <c r="I628" s="237"/>
      <c r="J628" s="333"/>
    </row>
    <row r="629" spans="2:10" s="156" customFormat="1" x14ac:dyDescent="0.3">
      <c r="B629" s="884"/>
      <c r="C629" s="883"/>
      <c r="D629" s="883"/>
      <c r="E629" s="883"/>
      <c r="F629" s="883"/>
      <c r="G629" s="245"/>
      <c r="H629" s="245"/>
      <c r="I629" s="237"/>
      <c r="J629" s="333"/>
    </row>
    <row r="630" spans="2:10" s="156" customFormat="1" x14ac:dyDescent="0.3">
      <c r="B630" s="884"/>
      <c r="C630" s="883"/>
      <c r="D630" s="883"/>
      <c r="E630" s="883"/>
      <c r="F630" s="883"/>
      <c r="G630" s="245"/>
      <c r="H630" s="245"/>
      <c r="I630" s="237"/>
      <c r="J630" s="333"/>
    </row>
    <row r="631" spans="2:10" s="156" customFormat="1" ht="30.45" customHeight="1" x14ac:dyDescent="0.3">
      <c r="B631" s="884"/>
      <c r="C631" s="883"/>
      <c r="D631" s="883"/>
      <c r="E631" s="883"/>
      <c r="F631" s="883"/>
      <c r="G631" s="245"/>
      <c r="H631" s="245"/>
      <c r="I631" s="237"/>
      <c r="J631" s="333"/>
    </row>
    <row r="632" spans="2:10" s="156" customFormat="1" x14ac:dyDescent="0.3">
      <c r="B632" s="885"/>
      <c r="C632" s="886"/>
      <c r="D632" s="886"/>
      <c r="E632" s="886"/>
      <c r="F632" s="887"/>
      <c r="G632" s="316"/>
      <c r="H632" s="316"/>
      <c r="I632" s="317" t="s">
        <v>153</v>
      </c>
      <c r="J632" s="334">
        <f>SUM(J625:J631)</f>
        <v>6409904.7619047631</v>
      </c>
    </row>
    <row r="633" spans="2:10" s="156" customFormat="1" x14ac:dyDescent="0.3">
      <c r="B633" s="818"/>
      <c r="C633" s="880"/>
      <c r="D633" s="880"/>
      <c r="E633" s="319"/>
      <c r="F633" s="319"/>
      <c r="G633" s="319"/>
      <c r="H633" s="810" t="s">
        <v>160</v>
      </c>
      <c r="I633" s="881"/>
      <c r="J633" s="335">
        <f>+J622+J632+J617+J612</f>
        <v>10206219.047619049</v>
      </c>
    </row>
    <row r="634" spans="2:10" s="156" customFormat="1" x14ac:dyDescent="0.3">
      <c r="B634" s="803"/>
      <c r="C634" s="804"/>
      <c r="D634" s="804"/>
      <c r="E634" s="804"/>
      <c r="F634" s="804"/>
      <c r="G634" s="805"/>
      <c r="H634" s="806" t="s">
        <v>1004</v>
      </c>
      <c r="I634" s="807"/>
      <c r="J634" s="722">
        <f>+ROUND(J633*'PRESUPUESTO OFICIAL (Entidad)'!$K$56,2)</f>
        <v>2653616.9500000002</v>
      </c>
    </row>
    <row r="635" spans="2:10" s="156" customFormat="1" x14ac:dyDescent="0.3">
      <c r="B635" s="798"/>
      <c r="C635" s="799"/>
      <c r="D635" s="799"/>
      <c r="E635" s="799"/>
      <c r="F635" s="799"/>
      <c r="G635" s="800"/>
      <c r="H635" s="801" t="s">
        <v>291</v>
      </c>
      <c r="I635" s="802"/>
      <c r="J635" s="723">
        <f>SUM(J633:J634)</f>
        <v>12859835.997619048</v>
      </c>
    </row>
    <row r="636" spans="2:10" s="156" customFormat="1" x14ac:dyDescent="0.3"/>
    <row r="637" spans="2:10" s="156" customFormat="1" x14ac:dyDescent="0.3"/>
    <row r="638" spans="2:10" s="156" customFormat="1" x14ac:dyDescent="0.3"/>
    <row r="639" spans="2:10" s="156" customFormat="1" x14ac:dyDescent="0.3">
      <c r="B639" s="861" t="s">
        <v>349</v>
      </c>
      <c r="C639" s="861" t="str">
        <f>PPTO_OBRA_GENERAL!$C$13</f>
        <v xml:space="preserve">CAPITULO DE  IMPLOSION </v>
      </c>
      <c r="D639" s="861"/>
      <c r="E639" s="861"/>
      <c r="F639" s="861"/>
      <c r="G639" s="861"/>
      <c r="H639" s="861"/>
      <c r="I639" s="861"/>
    </row>
    <row r="640" spans="2:10" s="156" customFormat="1" x14ac:dyDescent="0.3">
      <c r="B640" s="861"/>
      <c r="C640" s="861"/>
      <c r="D640" s="861"/>
      <c r="E640" s="861"/>
      <c r="F640" s="861"/>
      <c r="G640" s="861"/>
      <c r="H640" s="861"/>
      <c r="I640" s="861"/>
    </row>
    <row r="641" spans="2:10" s="156" customFormat="1" ht="28.05" customHeight="1" x14ac:dyDescent="0.3">
      <c r="B641" s="340"/>
      <c r="C641" s="340"/>
      <c r="D641" s="340"/>
      <c r="E641" s="340"/>
      <c r="F641" s="340"/>
      <c r="G641" s="340"/>
      <c r="H641" s="340"/>
      <c r="I641" s="340"/>
    </row>
    <row r="642" spans="2:10" s="156" customFormat="1" ht="21" x14ac:dyDescent="0.3">
      <c r="B642" s="340"/>
      <c r="C642" s="340"/>
      <c r="D642" s="340"/>
      <c r="E642" s="340"/>
      <c r="F642" s="340"/>
      <c r="G642" s="340"/>
      <c r="H642" s="340"/>
      <c r="I642" s="340"/>
    </row>
    <row r="643" spans="2:10" s="156" customFormat="1" x14ac:dyDescent="0.3">
      <c r="B643" s="321" t="s">
        <v>15</v>
      </c>
      <c r="C643" s="895" t="s">
        <v>151</v>
      </c>
      <c r="D643" s="895"/>
      <c r="E643" s="895"/>
      <c r="F643" s="895"/>
      <c r="G643" s="895"/>
      <c r="H643" s="896"/>
      <c r="I643" s="260" t="s">
        <v>48</v>
      </c>
      <c r="J643" s="322" t="s">
        <v>19</v>
      </c>
    </row>
    <row r="644" spans="2:10" s="156" customFormat="1" ht="36.6" customHeight="1" x14ac:dyDescent="0.3">
      <c r="B644" s="221" t="s">
        <v>149</v>
      </c>
      <c r="C644" s="897" t="str">
        <f>'PRESUPUESTO OFICIAL (Entidad)'!$G$21</f>
        <v>Desarrollo del proceso tecnico de implosión controlada para garantizar el derribamiento seguro de estructura con criterios de protección ambiental, análisis de riesgo, SST y Comunidad (Incluye, verificación  de estructura y de elementos estructurales)</v>
      </c>
      <c r="D644" s="897"/>
      <c r="E644" s="897"/>
      <c r="F644" s="897"/>
      <c r="G644" s="897"/>
      <c r="H644" s="897"/>
      <c r="I644" s="222" t="s">
        <v>25</v>
      </c>
      <c r="J644" s="223">
        <v>15435.59</v>
      </c>
    </row>
    <row r="645" spans="2:10" s="156" customFormat="1" x14ac:dyDescent="0.3">
      <c r="B645" s="893" t="s">
        <v>152</v>
      </c>
      <c r="C645" s="886"/>
      <c r="D645" s="886"/>
      <c r="E645" s="253"/>
      <c r="F645" s="284"/>
      <c r="G645" s="284"/>
      <c r="H645" s="285"/>
      <c r="I645" s="257"/>
      <c r="J645" s="323"/>
    </row>
    <row r="646" spans="2:10" s="156" customFormat="1" x14ac:dyDescent="0.3">
      <c r="B646" s="820" t="s">
        <v>151</v>
      </c>
      <c r="C646" s="880"/>
      <c r="D646" s="880"/>
      <c r="E646" s="880"/>
      <c r="F646" s="881"/>
      <c r="G646" s="259" t="s">
        <v>48</v>
      </c>
      <c r="H646" s="259" t="s">
        <v>19</v>
      </c>
      <c r="I646" s="260" t="s">
        <v>20</v>
      </c>
      <c r="J646" s="322" t="s">
        <v>37</v>
      </c>
    </row>
    <row r="647" spans="2:10" s="156" customFormat="1" x14ac:dyDescent="0.3">
      <c r="B647" s="823"/>
      <c r="C647" s="880"/>
      <c r="D647" s="880"/>
      <c r="E647" s="880"/>
      <c r="F647" s="881"/>
      <c r="G647" s="336"/>
      <c r="H647" s="288"/>
      <c r="I647" s="289"/>
      <c r="J647" s="324"/>
    </row>
    <row r="648" spans="2:10" s="156" customFormat="1" x14ac:dyDescent="0.3">
      <c r="B648" s="823"/>
      <c r="C648" s="880"/>
      <c r="D648" s="880"/>
      <c r="E648" s="880"/>
      <c r="F648" s="881"/>
      <c r="G648" s="336"/>
      <c r="H648" s="288"/>
      <c r="I648" s="289"/>
      <c r="J648" s="324"/>
    </row>
    <row r="649" spans="2:10" s="156" customFormat="1" x14ac:dyDescent="0.3">
      <c r="B649" s="826"/>
      <c r="C649" s="880"/>
      <c r="D649" s="880"/>
      <c r="E649" s="268"/>
      <c r="F649" s="268"/>
      <c r="G649" s="268"/>
      <c r="H649" s="269"/>
      <c r="I649" s="270" t="s">
        <v>153</v>
      </c>
      <c r="J649" s="325">
        <f>+SUM(J647:J648)</f>
        <v>0</v>
      </c>
    </row>
    <row r="650" spans="2:10" s="156" customFormat="1" x14ac:dyDescent="0.3">
      <c r="B650" s="837" t="s">
        <v>154</v>
      </c>
      <c r="C650" s="880"/>
      <c r="D650" s="880"/>
      <c r="E650" s="255"/>
      <c r="F650" s="255"/>
      <c r="G650" s="255"/>
      <c r="H650" s="255"/>
      <c r="I650" s="272"/>
      <c r="J650" s="322"/>
    </row>
    <row r="651" spans="2:10" s="156" customFormat="1" x14ac:dyDescent="0.3">
      <c r="B651" s="894" t="s">
        <v>155</v>
      </c>
      <c r="C651" s="886"/>
      <c r="D651" s="886"/>
      <c r="E651" s="886"/>
      <c r="F651" s="886"/>
      <c r="G651" s="273"/>
      <c r="H651" s="274" t="s">
        <v>156</v>
      </c>
      <c r="I651" s="275" t="s">
        <v>157</v>
      </c>
      <c r="J651" s="326" t="s">
        <v>37</v>
      </c>
    </row>
    <row r="652" spans="2:10" s="156" customFormat="1" x14ac:dyDescent="0.3">
      <c r="B652" s="834"/>
      <c r="C652" s="880"/>
      <c r="D652" s="880"/>
      <c r="E652" s="880"/>
      <c r="F652" s="881"/>
      <c r="G652" s="280"/>
      <c r="H652" s="337"/>
      <c r="I652" s="338"/>
      <c r="J652" s="332"/>
    </row>
    <row r="653" spans="2:10" s="156" customFormat="1" x14ac:dyDescent="0.3">
      <c r="B653" s="834"/>
      <c r="C653" s="880"/>
      <c r="D653" s="880"/>
      <c r="E653" s="880"/>
      <c r="F653" s="880"/>
      <c r="G653" s="273"/>
      <c r="H653" s="277"/>
      <c r="I653" s="338"/>
      <c r="J653" s="332"/>
    </row>
    <row r="654" spans="2:10" s="156" customFormat="1" x14ac:dyDescent="0.3">
      <c r="B654" s="839"/>
      <c r="C654" s="880"/>
      <c r="D654" s="880"/>
      <c r="E654" s="880"/>
      <c r="F654" s="881"/>
      <c r="G654" s="281"/>
      <c r="H654" s="281"/>
      <c r="I654" s="282" t="s">
        <v>153</v>
      </c>
      <c r="J654" s="328">
        <f>SUM(J652:J653)</f>
        <v>0</v>
      </c>
    </row>
    <row r="655" spans="2:10" s="156" customFormat="1" x14ac:dyDescent="0.3">
      <c r="B655" s="893" t="s">
        <v>158</v>
      </c>
      <c r="C655" s="886"/>
      <c r="D655" s="886"/>
      <c r="E655" s="253"/>
      <c r="F655" s="284"/>
      <c r="G655" s="284"/>
      <c r="H655" s="285"/>
      <c r="I655" s="286"/>
      <c r="J655" s="329"/>
    </row>
    <row r="656" spans="2:10" s="156" customFormat="1" x14ac:dyDescent="0.3">
      <c r="B656" s="888" t="s">
        <v>151</v>
      </c>
      <c r="C656" s="889"/>
      <c r="D656" s="889"/>
      <c r="E656" s="889"/>
      <c r="F656" s="890"/>
      <c r="G656" s="259" t="s">
        <v>48</v>
      </c>
      <c r="H656" s="259" t="s">
        <v>19</v>
      </c>
      <c r="I656" s="260" t="s">
        <v>20</v>
      </c>
      <c r="J656" s="322" t="s">
        <v>37</v>
      </c>
    </row>
    <row r="657" spans="2:10" s="156" customFormat="1" x14ac:dyDescent="0.3">
      <c r="B657" s="823"/>
      <c r="C657" s="880"/>
      <c r="D657" s="880"/>
      <c r="E657" s="880"/>
      <c r="F657" s="881"/>
      <c r="G657" s="336"/>
      <c r="H657" s="339"/>
      <c r="I657" s="264"/>
      <c r="J657" s="324"/>
    </row>
    <row r="658" spans="2:10" s="156" customFormat="1" x14ac:dyDescent="0.3">
      <c r="B658" s="823"/>
      <c r="C658" s="880"/>
      <c r="D658" s="880"/>
      <c r="E658" s="880"/>
      <c r="F658" s="881"/>
      <c r="G658" s="288"/>
      <c r="H658" s="288"/>
      <c r="I658" s="289"/>
      <c r="J658" s="324"/>
    </row>
    <row r="659" spans="2:10" s="156" customFormat="1" x14ac:dyDescent="0.3">
      <c r="B659" s="826"/>
      <c r="C659" s="880"/>
      <c r="D659" s="880"/>
      <c r="E659" s="267"/>
      <c r="F659" s="267"/>
      <c r="G659" s="267"/>
      <c r="H659" s="290"/>
      <c r="I659" s="291" t="s">
        <v>153</v>
      </c>
      <c r="J659" s="330">
        <f>SUM(J657:J658)</f>
        <v>0</v>
      </c>
    </row>
    <row r="660" spans="2:10" s="156" customFormat="1" x14ac:dyDescent="0.3">
      <c r="B660" s="837" t="s">
        <v>159</v>
      </c>
      <c r="C660" s="880"/>
      <c r="D660" s="880"/>
      <c r="E660" s="254"/>
      <c r="F660" s="255"/>
      <c r="G660" s="255"/>
      <c r="H660" s="255"/>
      <c r="I660" s="286"/>
      <c r="J660" s="329"/>
    </row>
    <row r="661" spans="2:10" s="156" customFormat="1" x14ac:dyDescent="0.3">
      <c r="B661" s="820" t="s">
        <v>151</v>
      </c>
      <c r="C661" s="880"/>
      <c r="D661" s="880"/>
      <c r="E661" s="880"/>
      <c r="F661" s="881"/>
      <c r="G661" s="274" t="s">
        <v>48</v>
      </c>
      <c r="H661" s="274" t="s">
        <v>19</v>
      </c>
      <c r="I661" s="275" t="s">
        <v>20</v>
      </c>
      <c r="J661" s="326" t="s">
        <v>37</v>
      </c>
    </row>
    <row r="662" spans="2:10" s="156" customFormat="1" ht="25.2" customHeight="1" x14ac:dyDescent="0.3">
      <c r="B662" s="834" t="s">
        <v>226</v>
      </c>
      <c r="C662" s="880"/>
      <c r="D662" s="880"/>
      <c r="E662" s="880"/>
      <c r="F662" s="881"/>
      <c r="G662" s="365" t="str">
        <f>I644</f>
        <v>m²</v>
      </c>
      <c r="H662" s="366">
        <v>1</v>
      </c>
      <c r="I662" s="293">
        <v>27480</v>
      </c>
      <c r="J662" s="332">
        <f>H662*I662</f>
        <v>27480</v>
      </c>
    </row>
    <row r="663" spans="2:10" s="156" customFormat="1" x14ac:dyDescent="0.3">
      <c r="B663" s="834"/>
      <c r="C663" s="880"/>
      <c r="D663" s="880"/>
      <c r="E663" s="880"/>
      <c r="F663" s="881"/>
      <c r="G663" s="280"/>
      <c r="H663" s="280"/>
      <c r="I663" s="293"/>
      <c r="J663" s="332"/>
    </row>
    <row r="664" spans="2:10" s="156" customFormat="1" x14ac:dyDescent="0.3">
      <c r="B664" s="834"/>
      <c r="C664" s="880"/>
      <c r="D664" s="880"/>
      <c r="E664" s="880"/>
      <c r="F664" s="881"/>
      <c r="G664" s="280"/>
      <c r="H664" s="280"/>
      <c r="I664" s="293"/>
      <c r="J664" s="332"/>
    </row>
    <row r="665" spans="2:10" s="156" customFormat="1" ht="31.65" customHeight="1" x14ac:dyDescent="0.3">
      <c r="B665" s="849"/>
      <c r="C665" s="880"/>
      <c r="D665" s="880"/>
      <c r="E665" s="880"/>
      <c r="F665" s="881"/>
      <c r="G665" s="316"/>
      <c r="H665" s="316"/>
      <c r="I665" s="317" t="s">
        <v>153</v>
      </c>
      <c r="J665" s="334">
        <f>SUM(J662:J664)</f>
        <v>27480</v>
      </c>
    </row>
    <row r="666" spans="2:10" s="156" customFormat="1" x14ac:dyDescent="0.3">
      <c r="B666" s="818"/>
      <c r="C666" s="880"/>
      <c r="D666" s="880"/>
      <c r="E666" s="319"/>
      <c r="F666" s="319"/>
      <c r="G666" s="319"/>
      <c r="H666" s="810" t="s">
        <v>160</v>
      </c>
      <c r="I666" s="881"/>
      <c r="J666" s="335">
        <f>(+J659++J665+J654+J649)</f>
        <v>27480</v>
      </c>
    </row>
    <row r="667" spans="2:10" s="156" customFormat="1" x14ac:dyDescent="0.3">
      <c r="B667" s="803"/>
      <c r="C667" s="804"/>
      <c r="D667" s="804"/>
      <c r="E667" s="804"/>
      <c r="F667" s="804"/>
      <c r="G667" s="805"/>
      <c r="H667" s="806" t="s">
        <v>1004</v>
      </c>
      <c r="I667" s="807"/>
      <c r="J667" s="722">
        <f>+ROUND(J666*'PRESUPUESTO OFICIAL (Entidad)'!$K$56,2)</f>
        <v>7144.8</v>
      </c>
    </row>
    <row r="668" spans="2:10" s="156" customFormat="1" x14ac:dyDescent="0.3">
      <c r="B668" s="798"/>
      <c r="C668" s="799"/>
      <c r="D668" s="799"/>
      <c r="E668" s="799"/>
      <c r="F668" s="799"/>
      <c r="G668" s="800"/>
      <c r="H668" s="801" t="s">
        <v>291</v>
      </c>
      <c r="I668" s="802"/>
      <c r="J668" s="723">
        <f>SUM(J666:J667)</f>
        <v>34624.800000000003</v>
      </c>
    </row>
    <row r="669" spans="2:10" s="156" customFormat="1" x14ac:dyDescent="0.3"/>
    <row r="670" spans="2:10" s="156" customFormat="1" x14ac:dyDescent="0.3"/>
    <row r="671" spans="2:10" s="156" customFormat="1" x14ac:dyDescent="0.3">
      <c r="B671" s="321" t="s">
        <v>15</v>
      </c>
      <c r="C671" s="895" t="s">
        <v>151</v>
      </c>
      <c r="D671" s="895"/>
      <c r="E671" s="895"/>
      <c r="F671" s="895"/>
      <c r="G671" s="895"/>
      <c r="H671" s="896"/>
      <c r="I671" s="260" t="s">
        <v>48</v>
      </c>
      <c r="J671" s="322" t="s">
        <v>19</v>
      </c>
    </row>
    <row r="672" spans="2:10" s="156" customFormat="1" ht="33.6" customHeight="1" x14ac:dyDescent="0.3">
      <c r="B672" s="221" t="s">
        <v>150</v>
      </c>
      <c r="C672" s="897" t="str">
        <f>'PRESUPUESTO OFICIAL (Entidad)'!$G$22</f>
        <v>Perforación de elementos estructurales en las mallas de implosión según lo indicado en el diseño de implosion planteada por el contratista seleccionado (Incluye, perforación, soplado de perforación y limpieza de las perforaciones).</v>
      </c>
      <c r="D672" s="897"/>
      <c r="E672" s="897"/>
      <c r="F672" s="897"/>
      <c r="G672" s="897"/>
      <c r="H672" s="897"/>
      <c r="I672" s="222" t="s">
        <v>25</v>
      </c>
      <c r="J672" s="223">
        <v>15435.59</v>
      </c>
    </row>
    <row r="673" spans="2:10" s="156" customFormat="1" x14ac:dyDescent="0.3">
      <c r="B673" s="893" t="s">
        <v>152</v>
      </c>
      <c r="C673" s="886"/>
      <c r="D673" s="886"/>
      <c r="E673" s="253"/>
      <c r="F673" s="284"/>
      <c r="G673" s="284"/>
      <c r="H673" s="285"/>
      <c r="I673" s="257"/>
      <c r="J673" s="323"/>
    </row>
    <row r="674" spans="2:10" s="156" customFormat="1" x14ac:dyDescent="0.3">
      <c r="B674" s="820" t="s">
        <v>151</v>
      </c>
      <c r="C674" s="880"/>
      <c r="D674" s="880"/>
      <c r="E674" s="880"/>
      <c r="F674" s="881"/>
      <c r="G674" s="259" t="s">
        <v>48</v>
      </c>
      <c r="H674" s="259" t="s">
        <v>19</v>
      </c>
      <c r="I674" s="260" t="s">
        <v>20</v>
      </c>
      <c r="J674" s="322" t="s">
        <v>37</v>
      </c>
    </row>
    <row r="675" spans="2:10" s="156" customFormat="1" x14ac:dyDescent="0.3">
      <c r="B675" s="834"/>
      <c r="C675" s="880"/>
      <c r="D675" s="880"/>
      <c r="E675" s="880"/>
      <c r="F675" s="881"/>
      <c r="G675" s="262"/>
      <c r="H675" s="263"/>
      <c r="I675" s="264"/>
      <c r="J675" s="324"/>
    </row>
    <row r="676" spans="2:10" s="156" customFormat="1" x14ac:dyDescent="0.3">
      <c r="B676" s="834"/>
      <c r="C676" s="880"/>
      <c r="D676" s="880"/>
      <c r="E676" s="880"/>
      <c r="F676" s="881"/>
      <c r="G676" s="266"/>
      <c r="H676" s="263"/>
      <c r="I676" s="264"/>
      <c r="J676" s="324"/>
    </row>
    <row r="677" spans="2:10" s="156" customFormat="1" x14ac:dyDescent="0.3">
      <c r="B677" s="826"/>
      <c r="C677" s="880"/>
      <c r="D677" s="880"/>
      <c r="E677" s="268"/>
      <c r="F677" s="268"/>
      <c r="G677" s="268"/>
      <c r="H677" s="269"/>
      <c r="I677" s="270" t="s">
        <v>153</v>
      </c>
      <c r="J677" s="325">
        <f>+SUM(J675:J676)</f>
        <v>0</v>
      </c>
    </row>
    <row r="678" spans="2:10" s="156" customFormat="1" x14ac:dyDescent="0.3">
      <c r="B678" s="837" t="s">
        <v>154</v>
      </c>
      <c r="C678" s="880"/>
      <c r="D678" s="880"/>
      <c r="E678" s="255"/>
      <c r="F678" s="255"/>
      <c r="G678" s="255"/>
      <c r="H678" s="255"/>
      <c r="I678" s="272"/>
      <c r="J678" s="322"/>
    </row>
    <row r="679" spans="2:10" s="156" customFormat="1" x14ac:dyDescent="0.3">
      <c r="B679" s="894" t="s">
        <v>155</v>
      </c>
      <c r="C679" s="886"/>
      <c r="D679" s="886"/>
      <c r="E679" s="886"/>
      <c r="F679" s="886"/>
      <c r="G679" s="273" t="s">
        <v>48</v>
      </c>
      <c r="H679" s="273" t="s">
        <v>19</v>
      </c>
      <c r="I679" s="275" t="s">
        <v>187</v>
      </c>
      <c r="J679" s="326" t="s">
        <v>37</v>
      </c>
    </row>
    <row r="680" spans="2:10" s="156" customFormat="1" x14ac:dyDescent="0.3">
      <c r="B680" s="834" t="s">
        <v>926</v>
      </c>
      <c r="C680" s="880"/>
      <c r="D680" s="880"/>
      <c r="E680" s="880"/>
      <c r="F680" s="881"/>
      <c r="G680" s="367" t="s">
        <v>930</v>
      </c>
      <c r="H680" s="629">
        <f>60/15435.59</f>
        <v>3.8871206089304004E-3</v>
      </c>
      <c r="I680" s="613">
        <v>2970000</v>
      </c>
      <c r="J680" s="332">
        <f>H680*I680</f>
        <v>11544.74820852329</v>
      </c>
    </row>
    <row r="681" spans="2:10" s="156" customFormat="1" x14ac:dyDescent="0.3">
      <c r="B681" s="834" t="s">
        <v>927</v>
      </c>
      <c r="C681" s="880"/>
      <c r="D681" s="880"/>
      <c r="E681" s="880"/>
      <c r="F681" s="881"/>
      <c r="G681" s="367" t="s">
        <v>223</v>
      </c>
      <c r="H681" s="629">
        <f>90*6/15435.59</f>
        <v>3.4984085480373607E-2</v>
      </c>
      <c r="I681" s="613">
        <f>+I615*1.5</f>
        <v>189535.71428571429</v>
      </c>
      <c r="J681" s="332">
        <f>H681*I681</f>
        <v>6630.7336301550977</v>
      </c>
    </row>
    <row r="682" spans="2:10" s="156" customFormat="1" ht="32.25" customHeight="1" x14ac:dyDescent="0.3">
      <c r="B682" s="839"/>
      <c r="C682" s="880"/>
      <c r="D682" s="880"/>
      <c r="E682" s="880"/>
      <c r="F682" s="881"/>
      <c r="G682" s="281"/>
      <c r="H682" s="281"/>
      <c r="I682" s="282" t="s">
        <v>153</v>
      </c>
      <c r="J682" s="328">
        <f>SUM(J680:J681)</f>
        <v>18175.481838678388</v>
      </c>
    </row>
    <row r="683" spans="2:10" s="156" customFormat="1" x14ac:dyDescent="0.3">
      <c r="B683" s="893" t="s">
        <v>158</v>
      </c>
      <c r="C683" s="886"/>
      <c r="D683" s="886"/>
      <c r="E683" s="253"/>
      <c r="F683" s="284"/>
      <c r="G683" s="284"/>
      <c r="H683" s="285"/>
      <c r="I683" s="286"/>
      <c r="J683" s="329"/>
    </row>
    <row r="684" spans="2:10" s="156" customFormat="1" x14ac:dyDescent="0.3">
      <c r="B684" s="888" t="s">
        <v>151</v>
      </c>
      <c r="C684" s="889"/>
      <c r="D684" s="889"/>
      <c r="E684" s="889"/>
      <c r="F684" s="890"/>
      <c r="G684" s="259" t="s">
        <v>48</v>
      </c>
      <c r="H684" s="259" t="s">
        <v>19</v>
      </c>
      <c r="I684" s="260" t="s">
        <v>20</v>
      </c>
      <c r="J684" s="322" t="s">
        <v>37</v>
      </c>
    </row>
    <row r="685" spans="2:10" s="156" customFormat="1" x14ac:dyDescent="0.3">
      <c r="B685" s="900" t="s">
        <v>928</v>
      </c>
      <c r="C685" s="889"/>
      <c r="D685" s="889"/>
      <c r="E685" s="889"/>
      <c r="F685" s="890"/>
      <c r="G685" s="336" t="s">
        <v>229</v>
      </c>
      <c r="H685" s="629">
        <f>2*60/15435.59</f>
        <v>7.7742412178608009E-3</v>
      </c>
      <c r="I685" s="289">
        <v>240000</v>
      </c>
      <c r="J685" s="324">
        <f t="shared" ref="J685:J691" si="12">ROUND(H685*I685,0)</f>
        <v>1866</v>
      </c>
    </row>
    <row r="686" spans="2:10" s="156" customFormat="1" x14ac:dyDescent="0.3">
      <c r="B686" s="900" t="s">
        <v>929</v>
      </c>
      <c r="C686" s="889"/>
      <c r="D686" s="889"/>
      <c r="E686" s="889"/>
      <c r="F686" s="890"/>
      <c r="G686" s="336" t="s">
        <v>229</v>
      </c>
      <c r="H686" s="629">
        <f>8*60/15435.59</f>
        <v>3.1096964871443204E-2</v>
      </c>
      <c r="I686" s="289">
        <v>210000</v>
      </c>
      <c r="J686" s="324">
        <f t="shared" si="12"/>
        <v>6530</v>
      </c>
    </row>
    <row r="687" spans="2:10" s="156" customFormat="1" x14ac:dyDescent="0.3">
      <c r="B687" s="823" t="s">
        <v>230</v>
      </c>
      <c r="C687" s="880"/>
      <c r="D687" s="880"/>
      <c r="E687" s="880"/>
      <c r="F687" s="881"/>
      <c r="G687" s="370" t="s">
        <v>231</v>
      </c>
      <c r="H687" s="629">
        <f>185/15435.59</f>
        <v>1.1985288544202067E-2</v>
      </c>
      <c r="I687" s="289">
        <v>120000</v>
      </c>
      <c r="J687" s="324">
        <f t="shared" si="12"/>
        <v>1438</v>
      </c>
    </row>
    <row r="688" spans="2:10" s="156" customFormat="1" x14ac:dyDescent="0.3">
      <c r="B688" s="823" t="s">
        <v>232</v>
      </c>
      <c r="C688" s="880"/>
      <c r="D688" s="880"/>
      <c r="E688" s="880"/>
      <c r="F688" s="881"/>
      <c r="G688" s="288" t="s">
        <v>231</v>
      </c>
      <c r="H688" s="629">
        <f>+H687</f>
        <v>1.1985288544202067E-2</v>
      </c>
      <c r="I688" s="289">
        <v>130000</v>
      </c>
      <c r="J688" s="324">
        <f t="shared" si="12"/>
        <v>1558</v>
      </c>
    </row>
    <row r="689" spans="2:10" s="156" customFormat="1" x14ac:dyDescent="0.3">
      <c r="B689" s="823" t="s">
        <v>233</v>
      </c>
      <c r="C689" s="880"/>
      <c r="D689" s="880"/>
      <c r="E689" s="880"/>
      <c r="F689" s="881"/>
      <c r="G689" s="288" t="s">
        <v>231</v>
      </c>
      <c r="H689" s="629">
        <f>4/15435.59</f>
        <v>2.5914137392869335E-4</v>
      </c>
      <c r="I689" s="289">
        <v>450000</v>
      </c>
      <c r="J689" s="324">
        <f t="shared" si="12"/>
        <v>117</v>
      </c>
    </row>
    <row r="690" spans="2:10" s="156" customFormat="1" x14ac:dyDescent="0.3">
      <c r="B690" s="823" t="s">
        <v>234</v>
      </c>
      <c r="C690" s="880"/>
      <c r="D690" s="880"/>
      <c r="E690" s="880"/>
      <c r="F690" s="881"/>
      <c r="G690" s="288" t="s">
        <v>235</v>
      </c>
      <c r="H690" s="629">
        <f>20/15435.59</f>
        <v>1.2957068696434668E-3</v>
      </c>
      <c r="I690" s="371">
        <v>35200</v>
      </c>
      <c r="J690" s="324">
        <f t="shared" si="12"/>
        <v>46</v>
      </c>
    </row>
    <row r="691" spans="2:10" s="156" customFormat="1" x14ac:dyDescent="0.3">
      <c r="B691" s="823" t="s">
        <v>236</v>
      </c>
      <c r="C691" s="880"/>
      <c r="D691" s="880"/>
      <c r="E691" s="880"/>
      <c r="F691" s="881"/>
      <c r="G691" s="372" t="s">
        <v>237</v>
      </c>
      <c r="H691" s="630">
        <f>0.5/15435.59</f>
        <v>3.2392671741086669E-5</v>
      </c>
      <c r="I691" s="371">
        <v>2740000</v>
      </c>
      <c r="J691" s="324">
        <f t="shared" si="12"/>
        <v>89</v>
      </c>
    </row>
    <row r="692" spans="2:10" s="156" customFormat="1" x14ac:dyDescent="0.3">
      <c r="B692" s="823"/>
      <c r="C692" s="880"/>
      <c r="D692" s="880"/>
      <c r="E692" s="880"/>
      <c r="F692" s="881"/>
      <c r="G692" s="288"/>
      <c r="H692" s="629"/>
      <c r="I692" s="289"/>
      <c r="J692" s="324">
        <f>ROUND(H692*I692,0)</f>
        <v>0</v>
      </c>
    </row>
    <row r="693" spans="2:10" s="156" customFormat="1" x14ac:dyDescent="0.3">
      <c r="B693" s="823"/>
      <c r="C693" s="880"/>
      <c r="D693" s="880"/>
      <c r="E693" s="880"/>
      <c r="F693" s="881"/>
      <c r="G693" s="288"/>
      <c r="H693" s="288"/>
      <c r="I693" s="289"/>
      <c r="J693" s="324"/>
    </row>
    <row r="694" spans="2:10" s="156" customFormat="1" x14ac:dyDescent="0.3">
      <c r="B694" s="826"/>
      <c r="C694" s="880"/>
      <c r="D694" s="880"/>
      <c r="E694" s="267"/>
      <c r="F694" s="267"/>
      <c r="G694" s="267"/>
      <c r="H694" s="290"/>
      <c r="I694" s="291" t="s">
        <v>153</v>
      </c>
      <c r="J694" s="330">
        <f>SUM(J685:J693)</f>
        <v>11644</v>
      </c>
    </row>
    <row r="695" spans="2:10" s="156" customFormat="1" x14ac:dyDescent="0.3">
      <c r="B695" s="828" t="s">
        <v>159</v>
      </c>
      <c r="C695" s="829"/>
      <c r="D695" s="829"/>
      <c r="E695" s="829"/>
      <c r="F695" s="829"/>
      <c r="G695" s="829"/>
      <c r="H695" s="829"/>
      <c r="I695" s="829"/>
      <c r="J695" s="830"/>
    </row>
    <row r="696" spans="2:10" s="156" customFormat="1" ht="24.75" customHeight="1" x14ac:dyDescent="0.3">
      <c r="B696" s="882" t="s">
        <v>151</v>
      </c>
      <c r="C696" s="883"/>
      <c r="D696" s="883"/>
      <c r="E696" s="883"/>
      <c r="F696" s="883"/>
      <c r="G696" s="232" t="s">
        <v>48</v>
      </c>
      <c r="H696" s="232" t="s">
        <v>19</v>
      </c>
      <c r="I696" s="233" t="s">
        <v>20</v>
      </c>
      <c r="J696" s="331" t="s">
        <v>37</v>
      </c>
    </row>
    <row r="697" spans="2:10" s="156" customFormat="1" x14ac:dyDescent="0.3">
      <c r="B697" s="898"/>
      <c r="C697" s="899"/>
      <c r="D697" s="899"/>
      <c r="E697" s="899"/>
      <c r="F697" s="899"/>
      <c r="G697" s="608"/>
      <c r="H697" s="608"/>
      <c r="I697" s="609"/>
      <c r="J697" s="611"/>
    </row>
    <row r="698" spans="2:10" s="156" customFormat="1" x14ac:dyDescent="0.3">
      <c r="B698" s="884"/>
      <c r="C698" s="883"/>
      <c r="D698" s="883"/>
      <c r="E698" s="883"/>
      <c r="F698" s="883"/>
      <c r="G698" s="245"/>
      <c r="H698" s="245"/>
      <c r="I698" s="237"/>
      <c r="J698" s="333"/>
    </row>
    <row r="699" spans="2:10" s="156" customFormat="1" x14ac:dyDescent="0.3">
      <c r="B699" s="884"/>
      <c r="C699" s="883"/>
      <c r="D699" s="883"/>
      <c r="E699" s="883"/>
      <c r="F699" s="883"/>
      <c r="G699" s="245"/>
      <c r="H699" s="245"/>
      <c r="I699" s="237"/>
      <c r="J699" s="333"/>
    </row>
    <row r="700" spans="2:10" s="156" customFormat="1" x14ac:dyDescent="0.3">
      <c r="B700" s="884"/>
      <c r="C700" s="883"/>
      <c r="D700" s="883"/>
      <c r="E700" s="883"/>
      <c r="F700" s="883"/>
      <c r="G700" s="245"/>
      <c r="H700" s="245"/>
      <c r="I700" s="237"/>
      <c r="J700" s="333"/>
    </row>
    <row r="701" spans="2:10" s="156" customFormat="1" x14ac:dyDescent="0.3">
      <c r="B701" s="884"/>
      <c r="C701" s="883"/>
      <c r="D701" s="883"/>
      <c r="E701" s="883"/>
      <c r="F701" s="883"/>
      <c r="G701" s="245"/>
      <c r="H701" s="245"/>
      <c r="I701" s="237"/>
      <c r="J701" s="333"/>
    </row>
    <row r="702" spans="2:10" s="156" customFormat="1" x14ac:dyDescent="0.3">
      <c r="B702" s="884"/>
      <c r="C702" s="883"/>
      <c r="D702" s="883"/>
      <c r="E702" s="883"/>
      <c r="F702" s="883"/>
      <c r="G702" s="245"/>
      <c r="H702" s="245"/>
      <c r="I702" s="237"/>
      <c r="J702" s="333"/>
    </row>
    <row r="703" spans="2:10" s="156" customFormat="1" x14ac:dyDescent="0.3">
      <c r="B703" s="884"/>
      <c r="C703" s="883"/>
      <c r="D703" s="883"/>
      <c r="E703" s="883"/>
      <c r="F703" s="883"/>
      <c r="G703" s="245"/>
      <c r="H703" s="245"/>
      <c r="I703" s="237"/>
      <c r="J703" s="333"/>
    </row>
    <row r="704" spans="2:10" s="156" customFormat="1" x14ac:dyDescent="0.3">
      <c r="B704" s="885"/>
      <c r="C704" s="886"/>
      <c r="D704" s="886"/>
      <c r="E704" s="886"/>
      <c r="F704" s="887"/>
      <c r="G704" s="316"/>
      <c r="H704" s="316"/>
      <c r="I704" s="317" t="s">
        <v>153</v>
      </c>
      <c r="J704" s="334">
        <f>SUM(J697:J703)</f>
        <v>0</v>
      </c>
    </row>
    <row r="705" spans="2:10" s="156" customFormat="1" x14ac:dyDescent="0.3">
      <c r="B705" s="818"/>
      <c r="C705" s="880"/>
      <c r="D705" s="880"/>
      <c r="E705" s="319"/>
      <c r="F705" s="319"/>
      <c r="G705" s="319"/>
      <c r="H705" s="810" t="s">
        <v>160</v>
      </c>
      <c r="I705" s="881"/>
      <c r="J705" s="335">
        <f>(J694++J704+J682+J677)</f>
        <v>29819.481838678388</v>
      </c>
    </row>
    <row r="706" spans="2:10" s="156" customFormat="1" x14ac:dyDescent="0.3">
      <c r="B706" s="803"/>
      <c r="C706" s="804"/>
      <c r="D706" s="804"/>
      <c r="E706" s="804"/>
      <c r="F706" s="804"/>
      <c r="G706" s="805"/>
      <c r="H706" s="806" t="s">
        <v>1004</v>
      </c>
      <c r="I706" s="807"/>
      <c r="J706" s="722">
        <f>+ROUND(J705*'PRESUPUESTO OFICIAL (Entidad)'!$K$56,2)</f>
        <v>7753.07</v>
      </c>
    </row>
    <row r="707" spans="2:10" s="156" customFormat="1" x14ac:dyDescent="0.3">
      <c r="B707" s="798"/>
      <c r="C707" s="799"/>
      <c r="D707" s="799"/>
      <c r="E707" s="799"/>
      <c r="F707" s="799"/>
      <c r="G707" s="800"/>
      <c r="H707" s="801" t="s">
        <v>291</v>
      </c>
      <c r="I707" s="802"/>
      <c r="J707" s="723">
        <f>SUM(J705:J706)</f>
        <v>37572.551838678388</v>
      </c>
    </row>
    <row r="708" spans="2:10" s="156" customFormat="1" x14ac:dyDescent="0.3">
      <c r="B708" s="298"/>
      <c r="C708" s="298"/>
      <c r="D708" s="298"/>
      <c r="E708" s="298"/>
      <c r="F708" s="298"/>
      <c r="G708" s="298"/>
      <c r="H708" s="312"/>
      <c r="I708" s="312"/>
      <c r="J708" s="313"/>
    </row>
    <row r="709" spans="2:10" s="156" customFormat="1" x14ac:dyDescent="0.3">
      <c r="B709" s="298"/>
      <c r="C709" s="298"/>
      <c r="D709" s="298"/>
      <c r="E709" s="298"/>
      <c r="F709" s="298"/>
      <c r="G709" s="298"/>
      <c r="H709" s="312"/>
      <c r="I709" s="312"/>
      <c r="J709" s="313"/>
    </row>
    <row r="710" spans="2:10" s="156" customFormat="1" x14ac:dyDescent="0.3">
      <c r="B710" s="298"/>
      <c r="C710" s="298"/>
      <c r="D710" s="298"/>
      <c r="E710" s="298"/>
      <c r="F710" s="298"/>
      <c r="G710" s="298"/>
      <c r="H710" s="312"/>
      <c r="I710" s="312"/>
      <c r="J710" s="313"/>
    </row>
    <row r="711" spans="2:10" s="156" customFormat="1" x14ac:dyDescent="0.3"/>
    <row r="712" spans="2:10" s="156" customFormat="1" x14ac:dyDescent="0.3">
      <c r="B712" s="321" t="s">
        <v>15</v>
      </c>
      <c r="C712" s="895" t="s">
        <v>151</v>
      </c>
      <c r="D712" s="895"/>
      <c r="E712" s="895"/>
      <c r="F712" s="895"/>
      <c r="G712" s="895"/>
      <c r="H712" s="896"/>
      <c r="I712" s="260" t="s">
        <v>48</v>
      </c>
      <c r="J712" s="322" t="s">
        <v>19</v>
      </c>
    </row>
    <row r="713" spans="2:10" s="156" customFormat="1" ht="35.4" customHeight="1" x14ac:dyDescent="0.3">
      <c r="B713" s="221" t="s">
        <v>297</v>
      </c>
      <c r="C713" s="897" t="str">
        <f>'PRESUPUESTO OFICIAL (Entidad)'!$G$23</f>
        <v>Instalación de explosivo y cordon detonante según lo indicado en el diseño de implosión en cuanto a tipo, cantidades y profundidad (Incluye el cierre de los huecos con mortero de pega)</v>
      </c>
      <c r="D713" s="897"/>
      <c r="E713" s="897"/>
      <c r="F713" s="897"/>
      <c r="G713" s="897"/>
      <c r="H713" s="897"/>
      <c r="I713" s="222" t="s">
        <v>25</v>
      </c>
      <c r="J713" s="223">
        <v>15435.59</v>
      </c>
    </row>
    <row r="714" spans="2:10" s="156" customFormat="1" x14ac:dyDescent="0.3">
      <c r="B714" s="893" t="s">
        <v>152</v>
      </c>
      <c r="C714" s="886"/>
      <c r="D714" s="886"/>
      <c r="E714" s="253"/>
      <c r="F714" s="284"/>
      <c r="G714" s="284"/>
      <c r="H714" s="285"/>
      <c r="I714" s="257"/>
      <c r="J714" s="323"/>
    </row>
    <row r="715" spans="2:10" s="156" customFormat="1" ht="12.75" customHeight="1" x14ac:dyDescent="0.3">
      <c r="B715" s="820" t="s">
        <v>151</v>
      </c>
      <c r="C715" s="880"/>
      <c r="D715" s="880"/>
      <c r="E715" s="880"/>
      <c r="F715" s="881"/>
      <c r="G715" s="259" t="s">
        <v>48</v>
      </c>
      <c r="H715" s="259" t="s">
        <v>19</v>
      </c>
      <c r="I715" s="260" t="s">
        <v>20</v>
      </c>
      <c r="J715" s="322" t="s">
        <v>37</v>
      </c>
    </row>
    <row r="716" spans="2:10" s="156" customFormat="1" x14ac:dyDescent="0.3">
      <c r="B716" s="834" t="s">
        <v>245</v>
      </c>
      <c r="C716" s="880"/>
      <c r="D716" s="880"/>
      <c r="E716" s="880"/>
      <c r="F716" s="881"/>
      <c r="G716" s="262" t="s">
        <v>240</v>
      </c>
      <c r="H716" s="263">
        <f>350/J713</f>
        <v>2.2674870218760669E-2</v>
      </c>
      <c r="I716" s="373">
        <v>172499.99999999997</v>
      </c>
      <c r="J716" s="324">
        <f t="shared" ref="J716:J719" si="13">ROUND(I716*H716,0)</f>
        <v>3911</v>
      </c>
    </row>
    <row r="717" spans="2:10" s="156" customFormat="1" x14ac:dyDescent="0.3">
      <c r="B717" s="834" t="s">
        <v>244</v>
      </c>
      <c r="C717" s="835"/>
      <c r="D717" s="835"/>
      <c r="E717" s="835"/>
      <c r="F717" s="836"/>
      <c r="G717" s="266" t="s">
        <v>238</v>
      </c>
      <c r="H717" s="263">
        <f>2500/J713</f>
        <v>0.16196335870543335</v>
      </c>
      <c r="I717" s="373">
        <v>10350.000000000004</v>
      </c>
      <c r="J717" s="324">
        <f t="shared" si="13"/>
        <v>1676</v>
      </c>
    </row>
    <row r="718" spans="2:10" s="156" customFormat="1" x14ac:dyDescent="0.3">
      <c r="B718" s="834" t="s">
        <v>239</v>
      </c>
      <c r="C718" s="880"/>
      <c r="D718" s="880"/>
      <c r="E718" s="880"/>
      <c r="F718" s="881"/>
      <c r="G718" s="266" t="s">
        <v>240</v>
      </c>
      <c r="H718" s="263">
        <f>250/J713</f>
        <v>1.6196335870543335E-2</v>
      </c>
      <c r="I718" s="373">
        <f>45000/50</f>
        <v>900</v>
      </c>
      <c r="J718" s="324">
        <f t="shared" si="13"/>
        <v>15</v>
      </c>
    </row>
    <row r="719" spans="2:10" s="156" customFormat="1" ht="12.75" customHeight="1" x14ac:dyDescent="0.3">
      <c r="B719" s="834" t="s">
        <v>241</v>
      </c>
      <c r="C719" s="880"/>
      <c r="D719" s="880"/>
      <c r="E719" s="880"/>
      <c r="F719" s="881"/>
      <c r="G719" s="266" t="s">
        <v>242</v>
      </c>
      <c r="H719" s="374">
        <f>3/J713</f>
        <v>1.9435603044652003E-4</v>
      </c>
      <c r="I719" s="373">
        <v>80000</v>
      </c>
      <c r="J719" s="324">
        <f t="shared" si="13"/>
        <v>16</v>
      </c>
    </row>
    <row r="720" spans="2:10" s="156" customFormat="1" x14ac:dyDescent="0.3">
      <c r="B720" s="826"/>
      <c r="C720" s="880"/>
      <c r="D720" s="880"/>
      <c r="E720" s="268"/>
      <c r="F720" s="268"/>
      <c r="G720" s="268"/>
      <c r="H720" s="269"/>
      <c r="I720" s="270" t="s">
        <v>153</v>
      </c>
      <c r="J720" s="325">
        <f>+SUM(J716:J719)</f>
        <v>5618</v>
      </c>
    </row>
    <row r="721" spans="2:10" s="156" customFormat="1" x14ac:dyDescent="0.3">
      <c r="B721" s="837" t="s">
        <v>154</v>
      </c>
      <c r="C721" s="880"/>
      <c r="D721" s="880"/>
      <c r="E721" s="255"/>
      <c r="F721" s="255"/>
      <c r="G721" s="255"/>
      <c r="H721" s="255"/>
      <c r="I721" s="272"/>
      <c r="J721" s="322"/>
    </row>
    <row r="722" spans="2:10" s="156" customFormat="1" x14ac:dyDescent="0.3">
      <c r="B722" s="894" t="s">
        <v>155</v>
      </c>
      <c r="C722" s="886"/>
      <c r="D722" s="886"/>
      <c r="E722" s="886"/>
      <c r="F722" s="886"/>
      <c r="G722" s="273" t="s">
        <v>48</v>
      </c>
      <c r="H722" s="273" t="s">
        <v>19</v>
      </c>
      <c r="I722" s="275" t="s">
        <v>187</v>
      </c>
      <c r="J722" s="326" t="s">
        <v>37</v>
      </c>
    </row>
    <row r="723" spans="2:10" s="156" customFormat="1" x14ac:dyDescent="0.3">
      <c r="B723" s="834" t="s">
        <v>243</v>
      </c>
      <c r="C723" s="880"/>
      <c r="D723" s="880"/>
      <c r="E723" s="880"/>
      <c r="F723" s="881"/>
      <c r="G723" s="367" t="s">
        <v>188</v>
      </c>
      <c r="H723" s="742">
        <f>8/J713</f>
        <v>5.182827478573867E-4</v>
      </c>
      <c r="I723" s="412">
        <f>I680</f>
        <v>2970000</v>
      </c>
      <c r="J723" s="332">
        <f>H723*I723</f>
        <v>1539.2997611364385</v>
      </c>
    </row>
    <row r="724" spans="2:10" s="156" customFormat="1" x14ac:dyDescent="0.3">
      <c r="B724" s="834" t="s">
        <v>228</v>
      </c>
      <c r="C724" s="880"/>
      <c r="D724" s="880"/>
      <c r="E724" s="880"/>
      <c r="F724" s="881"/>
      <c r="G724" s="367" t="s">
        <v>223</v>
      </c>
      <c r="H724" s="742">
        <f>(6*8)/J713</f>
        <v>3.1096964871443204E-3</v>
      </c>
      <c r="I724" s="412">
        <f>+I681</f>
        <v>189535.71428571429</v>
      </c>
      <c r="J724" s="332">
        <f>H724*I724</f>
        <v>589.39854490267533</v>
      </c>
    </row>
    <row r="725" spans="2:10" s="156" customFormat="1" x14ac:dyDescent="0.3">
      <c r="B725" s="839"/>
      <c r="C725" s="880"/>
      <c r="D725" s="880"/>
      <c r="E725" s="880"/>
      <c r="F725" s="881"/>
      <c r="G725" s="281"/>
      <c r="H725" s="281"/>
      <c r="I725" s="282" t="s">
        <v>153</v>
      </c>
      <c r="J725" s="328">
        <f>SUM(J723:J724)</f>
        <v>2128.698306039114</v>
      </c>
    </row>
    <row r="726" spans="2:10" s="156" customFormat="1" x14ac:dyDescent="0.3">
      <c r="B726" s="893" t="s">
        <v>158</v>
      </c>
      <c r="C726" s="886"/>
      <c r="D726" s="886"/>
      <c r="E726" s="253"/>
      <c r="F726" s="284"/>
      <c r="G726" s="284"/>
      <c r="H726" s="285"/>
      <c r="I726" s="286"/>
      <c r="J726" s="329"/>
    </row>
    <row r="727" spans="2:10" s="156" customFormat="1" x14ac:dyDescent="0.3">
      <c r="B727" s="888" t="s">
        <v>151</v>
      </c>
      <c r="C727" s="889"/>
      <c r="D727" s="889"/>
      <c r="E727" s="889"/>
      <c r="F727" s="890"/>
      <c r="G727" s="259" t="s">
        <v>48</v>
      </c>
      <c r="H727" s="259" t="s">
        <v>19</v>
      </c>
      <c r="I727" s="260" t="s">
        <v>20</v>
      </c>
      <c r="J727" s="322" t="s">
        <v>37</v>
      </c>
    </row>
    <row r="728" spans="2:10" s="156" customFormat="1" x14ac:dyDescent="0.3">
      <c r="B728" s="874" t="s">
        <v>931</v>
      </c>
      <c r="C728" s="891"/>
      <c r="D728" s="891"/>
      <c r="E728" s="891"/>
      <c r="F728" s="892"/>
      <c r="G728" s="614" t="s">
        <v>237</v>
      </c>
      <c r="H728" s="615">
        <v>0.1</v>
      </c>
      <c r="I728" s="371">
        <f>+J725</f>
        <v>2128.698306039114</v>
      </c>
      <c r="J728" s="324">
        <f t="shared" ref="J728" si="14">ROUND(H728*I728,0)</f>
        <v>213</v>
      </c>
    </row>
    <row r="729" spans="2:10" s="156" customFormat="1" x14ac:dyDescent="0.3">
      <c r="B729" s="823"/>
      <c r="C729" s="880"/>
      <c r="D729" s="880"/>
      <c r="E729" s="880"/>
      <c r="F729" s="881"/>
      <c r="G729" s="288"/>
      <c r="H729" s="288"/>
      <c r="I729" s="289"/>
      <c r="J729" s="324"/>
    </row>
    <row r="730" spans="2:10" s="156" customFormat="1" x14ac:dyDescent="0.3">
      <c r="B730" s="826"/>
      <c r="C730" s="880"/>
      <c r="D730" s="880"/>
      <c r="E730" s="267"/>
      <c r="F730" s="267"/>
      <c r="G730" s="267"/>
      <c r="H730" s="290"/>
      <c r="I730" s="291" t="s">
        <v>153</v>
      </c>
      <c r="J730" s="330">
        <f>SUM(J728:J729)</f>
        <v>213</v>
      </c>
    </row>
    <row r="731" spans="2:10" s="156" customFormat="1" x14ac:dyDescent="0.3">
      <c r="B731" s="828" t="s">
        <v>159</v>
      </c>
      <c r="C731" s="829"/>
      <c r="D731" s="829"/>
      <c r="E731" s="829"/>
      <c r="F731" s="829"/>
      <c r="G731" s="829"/>
      <c r="H731" s="829"/>
      <c r="I731" s="829"/>
      <c r="J731" s="830"/>
    </row>
    <row r="732" spans="2:10" s="156" customFormat="1" x14ac:dyDescent="0.3">
      <c r="B732" s="882" t="s">
        <v>151</v>
      </c>
      <c r="C732" s="883"/>
      <c r="D732" s="883"/>
      <c r="E732" s="883"/>
      <c r="F732" s="883"/>
      <c r="G732" s="232" t="s">
        <v>48</v>
      </c>
      <c r="H732" s="232" t="s">
        <v>19</v>
      </c>
      <c r="I732" s="233" t="s">
        <v>20</v>
      </c>
      <c r="J732" s="331" t="s">
        <v>37</v>
      </c>
    </row>
    <row r="733" spans="2:10" s="156" customFormat="1" x14ac:dyDescent="0.3">
      <c r="B733" s="884" t="s">
        <v>932</v>
      </c>
      <c r="C733" s="883"/>
      <c r="D733" s="883"/>
      <c r="E733" s="883"/>
      <c r="F733" s="883"/>
      <c r="G733" s="266" t="s">
        <v>238</v>
      </c>
      <c r="H733" s="263">
        <v>0.17005789495850504</v>
      </c>
      <c r="I733" s="373">
        <f>76400+62.6596400000052</f>
        <v>76462.659639999998</v>
      </c>
      <c r="J733" s="324">
        <f>ROUND(I733*H733,2)+0.00752111192196026</f>
        <v>13003.087521111922</v>
      </c>
    </row>
    <row r="734" spans="2:10" s="156" customFormat="1" x14ac:dyDescent="0.3">
      <c r="B734" s="884"/>
      <c r="C734" s="883"/>
      <c r="D734" s="883"/>
      <c r="E734" s="883"/>
      <c r="F734" s="883"/>
      <c r="G734" s="245"/>
      <c r="H734" s="245"/>
      <c r="I734" s="237"/>
      <c r="J734" s="333"/>
    </row>
    <row r="735" spans="2:10" s="156" customFormat="1" x14ac:dyDescent="0.3">
      <c r="B735" s="884"/>
      <c r="C735" s="883"/>
      <c r="D735" s="883"/>
      <c r="E735" s="883"/>
      <c r="F735" s="883"/>
      <c r="G735" s="245"/>
      <c r="H735" s="245"/>
      <c r="I735" s="237"/>
      <c r="J735" s="333"/>
    </row>
    <row r="736" spans="2:10" s="156" customFormat="1" x14ac:dyDescent="0.3">
      <c r="B736" s="884"/>
      <c r="C736" s="883"/>
      <c r="D736" s="883"/>
      <c r="E736" s="883"/>
      <c r="F736" s="883"/>
      <c r="G736" s="245"/>
      <c r="H736" s="245"/>
      <c r="I736" s="237"/>
      <c r="J736" s="333"/>
    </row>
    <row r="737" spans="2:12" s="156" customFormat="1" x14ac:dyDescent="0.3">
      <c r="B737" s="884"/>
      <c r="C737" s="883"/>
      <c r="D737" s="883"/>
      <c r="E737" s="883"/>
      <c r="F737" s="883"/>
      <c r="G737" s="245"/>
      <c r="H737" s="245"/>
      <c r="I737" s="237"/>
      <c r="J737" s="333"/>
    </row>
    <row r="738" spans="2:12" s="156" customFormat="1" x14ac:dyDescent="0.3">
      <c r="B738" s="884"/>
      <c r="C738" s="883"/>
      <c r="D738" s="883"/>
      <c r="E738" s="883"/>
      <c r="F738" s="883"/>
      <c r="G738" s="245"/>
      <c r="H738" s="245"/>
      <c r="I738" s="237"/>
      <c r="J738" s="333"/>
    </row>
    <row r="739" spans="2:12" s="156" customFormat="1" x14ac:dyDescent="0.3">
      <c r="B739" s="884"/>
      <c r="C739" s="883"/>
      <c r="D739" s="883"/>
      <c r="E739" s="883"/>
      <c r="F739" s="883"/>
      <c r="G739" s="245"/>
      <c r="H739" s="245"/>
      <c r="I739" s="237"/>
      <c r="J739" s="333"/>
    </row>
    <row r="740" spans="2:12" s="156" customFormat="1" x14ac:dyDescent="0.3">
      <c r="B740" s="885"/>
      <c r="C740" s="886"/>
      <c r="D740" s="886"/>
      <c r="E740" s="886"/>
      <c r="F740" s="887"/>
      <c r="G740" s="316"/>
      <c r="H740" s="316"/>
      <c r="I740" s="317" t="s">
        <v>153</v>
      </c>
      <c r="J740" s="334">
        <f>SUM(J733:J739)</f>
        <v>13003.087521111922</v>
      </c>
    </row>
    <row r="741" spans="2:12" s="156" customFormat="1" x14ac:dyDescent="0.3">
      <c r="B741" s="818"/>
      <c r="C741" s="880"/>
      <c r="D741" s="880"/>
      <c r="E741" s="319"/>
      <c r="F741" s="319"/>
      <c r="G741" s="319"/>
      <c r="H741" s="810" t="s">
        <v>160</v>
      </c>
      <c r="I741" s="881"/>
      <c r="J741" s="743">
        <f>+J740+J730+J725+J720</f>
        <v>20962.785827151034</v>
      </c>
      <c r="K741" s="744"/>
      <c r="L741" s="746"/>
    </row>
    <row r="742" spans="2:12" s="156" customFormat="1" ht="12.75" customHeight="1" x14ac:dyDescent="0.3">
      <c r="B742" s="803"/>
      <c r="C742" s="804"/>
      <c r="D742" s="804"/>
      <c r="E742" s="804"/>
      <c r="F742" s="804"/>
      <c r="G742" s="805"/>
      <c r="H742" s="806" t="s">
        <v>1004</v>
      </c>
      <c r="I742" s="807"/>
      <c r="J742" s="722">
        <f>+ROUND(J741*'PRESUPUESTO OFICIAL (Entidad)'!$K$56,2)</f>
        <v>5450.32</v>
      </c>
      <c r="K742" s="739"/>
    </row>
    <row r="743" spans="2:12" s="156" customFormat="1" x14ac:dyDescent="0.3">
      <c r="B743" s="798"/>
      <c r="C743" s="799"/>
      <c r="D743" s="799"/>
      <c r="E743" s="799"/>
      <c r="F743" s="799"/>
      <c r="G743" s="800"/>
      <c r="H743" s="801" t="s">
        <v>291</v>
      </c>
      <c r="I743" s="802"/>
      <c r="J743" s="723">
        <f>SUM(J741:J742)</f>
        <v>26413.105827151034</v>
      </c>
      <c r="K743" s="745"/>
    </row>
    <row r="744" spans="2:12" s="156" customFormat="1" x14ac:dyDescent="0.3"/>
    <row r="745" spans="2:12" s="156" customFormat="1" x14ac:dyDescent="0.3"/>
    <row r="746" spans="2:12" s="156" customFormat="1" x14ac:dyDescent="0.3">
      <c r="B746" s="321" t="s">
        <v>15</v>
      </c>
      <c r="C746" s="842" t="s">
        <v>151</v>
      </c>
      <c r="D746" s="842"/>
      <c r="E746" s="842"/>
      <c r="F746" s="842"/>
      <c r="G746" s="842"/>
      <c r="H746" s="843"/>
      <c r="I746" s="260" t="s">
        <v>48</v>
      </c>
      <c r="J746" s="322" t="s">
        <v>19</v>
      </c>
    </row>
    <row r="747" spans="2:12" s="156" customFormat="1" ht="38.4" customHeight="1" x14ac:dyDescent="0.3">
      <c r="B747" s="221" t="s">
        <v>298</v>
      </c>
      <c r="C747" s="844" t="str">
        <f>'PRESUPUESTO OFICIAL (Entidad)'!$G$24</f>
        <v>Instalación de detonadores indicados en el diseño de implosión (Incluye la programación de los tiempos según lo indicado en el diseño de implosión)</v>
      </c>
      <c r="D747" s="845"/>
      <c r="E747" s="845"/>
      <c r="F747" s="845"/>
      <c r="G747" s="845"/>
      <c r="H747" s="846"/>
      <c r="I747" s="222" t="s">
        <v>290</v>
      </c>
      <c r="J747" s="223">
        <v>1</v>
      </c>
    </row>
    <row r="748" spans="2:12" s="156" customFormat="1" ht="36" customHeight="1" x14ac:dyDescent="0.3">
      <c r="B748" s="847" t="s">
        <v>152</v>
      </c>
      <c r="C748" s="848"/>
      <c r="D748" s="848"/>
      <c r="E748" s="253"/>
      <c r="F748" s="284"/>
      <c r="G748" s="284"/>
      <c r="H748" s="285"/>
      <c r="I748" s="257"/>
      <c r="J748" s="323"/>
    </row>
    <row r="749" spans="2:12" s="156" customFormat="1" x14ac:dyDescent="0.3">
      <c r="B749" s="820" t="s">
        <v>151</v>
      </c>
      <c r="C749" s="821"/>
      <c r="D749" s="821"/>
      <c r="E749" s="821"/>
      <c r="F749" s="822"/>
      <c r="G749" s="259" t="s">
        <v>48</v>
      </c>
      <c r="H749" s="259" t="s">
        <v>19</v>
      </c>
      <c r="I749" s="260" t="s">
        <v>20</v>
      </c>
      <c r="J749" s="322" t="s">
        <v>37</v>
      </c>
    </row>
    <row r="750" spans="2:12" s="156" customFormat="1" x14ac:dyDescent="0.3">
      <c r="B750" s="834" t="s">
        <v>249</v>
      </c>
      <c r="C750" s="835"/>
      <c r="D750" s="835"/>
      <c r="E750" s="835"/>
      <c r="F750" s="836"/>
      <c r="G750" s="266" t="s">
        <v>290</v>
      </c>
      <c r="H750" s="263">
        <v>1</v>
      </c>
      <c r="I750" s="373">
        <v>22430500</v>
      </c>
      <c r="J750" s="324">
        <f t="shared" ref="J750" si="15">ROUND(I750*H750,0)</f>
        <v>22430500</v>
      </c>
    </row>
    <row r="751" spans="2:12" s="156" customFormat="1" x14ac:dyDescent="0.3">
      <c r="B751" s="834"/>
      <c r="C751" s="835"/>
      <c r="D751" s="835"/>
      <c r="E751" s="835"/>
      <c r="F751" s="836"/>
      <c r="G751" s="266"/>
      <c r="H751" s="263"/>
      <c r="I751" s="264"/>
      <c r="J751" s="324"/>
    </row>
    <row r="752" spans="2:12" s="156" customFormat="1" ht="12.75" customHeight="1" x14ac:dyDescent="0.3">
      <c r="B752" s="826"/>
      <c r="C752" s="827"/>
      <c r="D752" s="827"/>
      <c r="E752" s="268"/>
      <c r="F752" s="268"/>
      <c r="G752" s="268"/>
      <c r="H752" s="269"/>
      <c r="I752" s="270" t="s">
        <v>153</v>
      </c>
      <c r="J752" s="325">
        <f>+SUM(J750:J751)</f>
        <v>22430500</v>
      </c>
    </row>
    <row r="753" spans="2:10" s="156" customFormat="1" x14ac:dyDescent="0.3">
      <c r="B753" s="837" t="s">
        <v>154</v>
      </c>
      <c r="C753" s="838"/>
      <c r="D753" s="838"/>
      <c r="E753" s="255"/>
      <c r="F753" s="255"/>
      <c r="G753" s="255"/>
      <c r="H753" s="255"/>
      <c r="I753" s="272"/>
      <c r="J753" s="322"/>
    </row>
    <row r="754" spans="2:10" s="156" customFormat="1" x14ac:dyDescent="0.3">
      <c r="B754" s="820" t="s">
        <v>155</v>
      </c>
      <c r="C754" s="821"/>
      <c r="D754" s="821"/>
      <c r="E754" s="821"/>
      <c r="F754" s="822"/>
      <c r="G754" s="273" t="s">
        <v>48</v>
      </c>
      <c r="H754" s="273" t="s">
        <v>19</v>
      </c>
      <c r="I754" s="275" t="s">
        <v>187</v>
      </c>
      <c r="J754" s="326" t="s">
        <v>37</v>
      </c>
    </row>
    <row r="755" spans="2:10" s="156" customFormat="1" x14ac:dyDescent="0.3">
      <c r="B755" s="823" t="s">
        <v>246</v>
      </c>
      <c r="C755" s="824"/>
      <c r="D755" s="824"/>
      <c r="E755" s="824"/>
      <c r="F755" s="825"/>
      <c r="G755" s="367" t="s">
        <v>223</v>
      </c>
      <c r="H755" s="369">
        <f>2*4</f>
        <v>8</v>
      </c>
      <c r="I755" s="412">
        <f>250000*1.5</f>
        <v>375000</v>
      </c>
      <c r="J755" s="332">
        <f>H755*I755</f>
        <v>3000000</v>
      </c>
    </row>
    <row r="756" spans="2:10" s="156" customFormat="1" x14ac:dyDescent="0.3">
      <c r="B756" s="834" t="s">
        <v>228</v>
      </c>
      <c r="C756" s="835"/>
      <c r="D756" s="835"/>
      <c r="E756" s="835"/>
      <c r="F756" s="836"/>
      <c r="G756" s="367" t="s">
        <v>223</v>
      </c>
      <c r="H756" s="369">
        <f>6*7</f>
        <v>42</v>
      </c>
      <c r="I756" s="412">
        <f>+I724</f>
        <v>189535.71428571429</v>
      </c>
      <c r="J756" s="332">
        <f>H756*I756</f>
        <v>7960500</v>
      </c>
    </row>
    <row r="757" spans="2:10" s="156" customFormat="1" x14ac:dyDescent="0.3">
      <c r="B757" s="839"/>
      <c r="C757" s="840"/>
      <c r="D757" s="840"/>
      <c r="E757" s="840"/>
      <c r="F757" s="841"/>
      <c r="G757" s="281"/>
      <c r="H757" s="281"/>
      <c r="I757" s="282" t="s">
        <v>153</v>
      </c>
      <c r="J757" s="328">
        <f>SUM(J755:J756)</f>
        <v>10960500</v>
      </c>
    </row>
    <row r="758" spans="2:10" s="156" customFormat="1" x14ac:dyDescent="0.3">
      <c r="B758" s="837" t="s">
        <v>158</v>
      </c>
      <c r="C758" s="838"/>
      <c r="D758" s="838"/>
      <c r="E758" s="253"/>
      <c r="F758" s="284"/>
      <c r="G758" s="284"/>
      <c r="H758" s="285"/>
      <c r="I758" s="286"/>
      <c r="J758" s="329"/>
    </row>
    <row r="759" spans="2:10" s="156" customFormat="1" x14ac:dyDescent="0.3">
      <c r="B759" s="820" t="s">
        <v>151</v>
      </c>
      <c r="C759" s="821"/>
      <c r="D759" s="821"/>
      <c r="E759" s="821"/>
      <c r="F759" s="822"/>
      <c r="G759" s="259" t="s">
        <v>48</v>
      </c>
      <c r="H759" s="259" t="s">
        <v>19</v>
      </c>
      <c r="I759" s="260" t="s">
        <v>20</v>
      </c>
      <c r="J759" s="322" t="s">
        <v>37</v>
      </c>
    </row>
    <row r="760" spans="2:10" s="156" customFormat="1" x14ac:dyDescent="0.3">
      <c r="B760" s="823"/>
      <c r="C760" s="824"/>
      <c r="D760" s="824"/>
      <c r="E760" s="824"/>
      <c r="F760" s="825"/>
      <c r="G760" s="288"/>
      <c r="H760" s="288"/>
      <c r="I760" s="289"/>
      <c r="J760" s="324">
        <f>ROUND(H760*I760,0)</f>
        <v>0</v>
      </c>
    </row>
    <row r="761" spans="2:10" s="156" customFormat="1" x14ac:dyDescent="0.3">
      <c r="B761" s="823"/>
      <c r="C761" s="824"/>
      <c r="D761" s="824"/>
      <c r="E761" s="824"/>
      <c r="F761" s="825"/>
      <c r="G761" s="288"/>
      <c r="H761" s="288"/>
      <c r="I761" s="289"/>
      <c r="J761" s="324"/>
    </row>
    <row r="762" spans="2:10" s="156" customFormat="1" x14ac:dyDescent="0.3">
      <c r="B762" s="826"/>
      <c r="C762" s="827"/>
      <c r="D762" s="827"/>
      <c r="E762" s="267"/>
      <c r="F762" s="267"/>
      <c r="G762" s="267"/>
      <c r="H762" s="290"/>
      <c r="I762" s="291" t="s">
        <v>153</v>
      </c>
      <c r="J762" s="330">
        <f>SUM(J760:J761)</f>
        <v>0</v>
      </c>
    </row>
    <row r="763" spans="2:10" s="156" customFormat="1" x14ac:dyDescent="0.3">
      <c r="B763" s="828" t="s">
        <v>159</v>
      </c>
      <c r="C763" s="829"/>
      <c r="D763" s="829"/>
      <c r="E763" s="829"/>
      <c r="F763" s="829"/>
      <c r="G763" s="829"/>
      <c r="H763" s="829"/>
      <c r="I763" s="829"/>
      <c r="J763" s="830"/>
    </row>
    <row r="764" spans="2:10" s="156" customFormat="1" x14ac:dyDescent="0.3">
      <c r="B764" s="831" t="s">
        <v>151</v>
      </c>
      <c r="C764" s="832"/>
      <c r="D764" s="832"/>
      <c r="E764" s="832"/>
      <c r="F764" s="833"/>
      <c r="G764" s="232" t="s">
        <v>48</v>
      </c>
      <c r="H764" s="232" t="s">
        <v>19</v>
      </c>
      <c r="I764" s="233" t="s">
        <v>20</v>
      </c>
      <c r="J764" s="331" t="s">
        <v>37</v>
      </c>
    </row>
    <row r="765" spans="2:10" s="156" customFormat="1" x14ac:dyDescent="0.3">
      <c r="B765" s="862"/>
      <c r="C765" s="863"/>
      <c r="D765" s="863"/>
      <c r="E765" s="863"/>
      <c r="F765" s="864"/>
      <c r="G765" s="375"/>
      <c r="H765" s="368"/>
      <c r="I765" s="376"/>
      <c r="J765" s="332"/>
    </row>
    <row r="766" spans="2:10" s="156" customFormat="1" x14ac:dyDescent="0.3">
      <c r="B766" s="855"/>
      <c r="C766" s="856"/>
      <c r="D766" s="856"/>
      <c r="E766" s="856"/>
      <c r="F766" s="857"/>
      <c r="G766" s="245"/>
      <c r="H766" s="245"/>
      <c r="I766" s="237"/>
      <c r="J766" s="333"/>
    </row>
    <row r="767" spans="2:10" s="156" customFormat="1" x14ac:dyDescent="0.3">
      <c r="B767" s="812"/>
      <c r="C767" s="813"/>
      <c r="D767" s="813"/>
      <c r="E767" s="813"/>
      <c r="F767" s="814"/>
      <c r="G767" s="245"/>
      <c r="H767" s="245"/>
      <c r="I767" s="237"/>
      <c r="J767" s="333"/>
    </row>
    <row r="768" spans="2:10" s="156" customFormat="1" x14ac:dyDescent="0.3">
      <c r="B768" s="812"/>
      <c r="C768" s="813"/>
      <c r="D768" s="813"/>
      <c r="E768" s="813"/>
      <c r="F768" s="814"/>
      <c r="G768" s="245"/>
      <c r="H768" s="245"/>
      <c r="I768" s="237"/>
      <c r="J768" s="333"/>
    </row>
    <row r="769" spans="2:10" s="156" customFormat="1" x14ac:dyDescent="0.3">
      <c r="B769" s="812"/>
      <c r="C769" s="813"/>
      <c r="D769" s="813"/>
      <c r="E769" s="813"/>
      <c r="F769" s="814"/>
      <c r="G769" s="245"/>
      <c r="H769" s="245"/>
      <c r="I769" s="237"/>
      <c r="J769" s="333"/>
    </row>
    <row r="770" spans="2:10" s="156" customFormat="1" x14ac:dyDescent="0.3">
      <c r="B770" s="812"/>
      <c r="C770" s="813"/>
      <c r="D770" s="813"/>
      <c r="E770" s="813"/>
      <c r="F770" s="814"/>
      <c r="G770" s="245"/>
      <c r="H770" s="245"/>
      <c r="I770" s="237"/>
      <c r="J770" s="333"/>
    </row>
    <row r="771" spans="2:10" s="156" customFormat="1" x14ac:dyDescent="0.3">
      <c r="B771" s="812"/>
      <c r="C771" s="813"/>
      <c r="D771" s="813"/>
      <c r="E771" s="813"/>
      <c r="F771" s="814"/>
      <c r="G771" s="245"/>
      <c r="H771" s="245"/>
      <c r="I771" s="237"/>
      <c r="J771" s="333"/>
    </row>
    <row r="772" spans="2:10" s="156" customFormat="1" x14ac:dyDescent="0.3">
      <c r="B772" s="815"/>
      <c r="C772" s="816"/>
      <c r="D772" s="816"/>
      <c r="E772" s="816"/>
      <c r="F772" s="817"/>
      <c r="G772" s="316"/>
      <c r="H772" s="316"/>
      <c r="I772" s="317" t="s">
        <v>153</v>
      </c>
      <c r="J772" s="334">
        <f>SUM(J765:J771)</f>
        <v>0</v>
      </c>
    </row>
    <row r="773" spans="2:10" s="156" customFormat="1" x14ac:dyDescent="0.3">
      <c r="B773" s="818"/>
      <c r="C773" s="819"/>
      <c r="D773" s="819"/>
      <c r="E773" s="319"/>
      <c r="F773" s="319"/>
      <c r="G773" s="319"/>
      <c r="H773" s="810" t="s">
        <v>160</v>
      </c>
      <c r="I773" s="811"/>
      <c r="J773" s="335">
        <f>+J762++J772+J757+J752</f>
        <v>33391000</v>
      </c>
    </row>
    <row r="774" spans="2:10" s="156" customFormat="1" x14ac:dyDescent="0.3">
      <c r="B774" s="803"/>
      <c r="C774" s="804"/>
      <c r="D774" s="804"/>
      <c r="E774" s="804"/>
      <c r="F774" s="804"/>
      <c r="G774" s="805"/>
      <c r="H774" s="806" t="s">
        <v>1004</v>
      </c>
      <c r="I774" s="807"/>
      <c r="J774" s="722">
        <f>+ROUND(J773*'PRESUPUESTO OFICIAL (Entidad)'!$K$56,2)</f>
        <v>8681660</v>
      </c>
    </row>
    <row r="775" spans="2:10" s="156" customFormat="1" ht="12.75" customHeight="1" x14ac:dyDescent="0.3">
      <c r="B775" s="798"/>
      <c r="C775" s="799"/>
      <c r="D775" s="799"/>
      <c r="E775" s="799"/>
      <c r="F775" s="799"/>
      <c r="G775" s="800"/>
      <c r="H775" s="801" t="s">
        <v>291</v>
      </c>
      <c r="I775" s="802"/>
      <c r="J775" s="723">
        <f>SUM(J773:J774)</f>
        <v>42072660</v>
      </c>
    </row>
    <row r="776" spans="2:10" s="156" customFormat="1" x14ac:dyDescent="0.3"/>
    <row r="777" spans="2:10" s="156" customFormat="1" x14ac:dyDescent="0.3"/>
    <row r="778" spans="2:10" s="156" customFormat="1" x14ac:dyDescent="0.3">
      <c r="B778" s="321" t="s">
        <v>15</v>
      </c>
      <c r="C778" s="842" t="s">
        <v>151</v>
      </c>
      <c r="D778" s="842"/>
      <c r="E778" s="842"/>
      <c r="F778" s="842"/>
      <c r="G778" s="842"/>
      <c r="H778" s="843"/>
      <c r="I778" s="260" t="s">
        <v>48</v>
      </c>
      <c r="J778" s="322" t="s">
        <v>19</v>
      </c>
    </row>
    <row r="779" spans="2:10" s="156" customFormat="1" ht="26.25" customHeight="1" x14ac:dyDescent="0.3">
      <c r="B779" s="221" t="s">
        <v>299</v>
      </c>
      <c r="C779" s="844" t="str">
        <f>'PRESUPUESTO OFICIAL (Entidad)'!$G$25</f>
        <v>Instalación de protecciones de confinamiento de fragmentos de elementos estructurales esto incluye el suministro de mallas y geotextiles indicados en el diseño de implosión)</v>
      </c>
      <c r="D779" s="845"/>
      <c r="E779" s="845"/>
      <c r="F779" s="845"/>
      <c r="G779" s="845"/>
      <c r="H779" s="846"/>
      <c r="I779" s="222" t="s">
        <v>290</v>
      </c>
      <c r="J779" s="223">
        <v>1</v>
      </c>
    </row>
    <row r="780" spans="2:10" s="156" customFormat="1" ht="12.75" customHeight="1" x14ac:dyDescent="0.3">
      <c r="B780" s="847" t="s">
        <v>152</v>
      </c>
      <c r="C780" s="848"/>
      <c r="D780" s="848"/>
      <c r="E780" s="253"/>
      <c r="F780" s="284"/>
      <c r="G780" s="284"/>
      <c r="H780" s="285"/>
      <c r="I780" s="257"/>
      <c r="J780" s="323"/>
    </row>
    <row r="781" spans="2:10" s="156" customFormat="1" ht="34.5" customHeight="1" x14ac:dyDescent="0.3">
      <c r="B781" s="820" t="s">
        <v>151</v>
      </c>
      <c r="C781" s="821"/>
      <c r="D781" s="821"/>
      <c r="E781" s="821"/>
      <c r="F781" s="822"/>
      <c r="G781" s="259" t="s">
        <v>48</v>
      </c>
      <c r="H781" s="259" t="s">
        <v>19</v>
      </c>
      <c r="I781" s="260" t="s">
        <v>20</v>
      </c>
      <c r="J781" s="322" t="s">
        <v>37</v>
      </c>
    </row>
    <row r="782" spans="2:10" s="156" customFormat="1" x14ac:dyDescent="0.3">
      <c r="B782" s="877" t="s">
        <v>250</v>
      </c>
      <c r="C782" s="878"/>
      <c r="D782" s="878"/>
      <c r="E782" s="878"/>
      <c r="F782" s="879"/>
      <c r="G782" s="266" t="s">
        <v>290</v>
      </c>
      <c r="H782" s="263">
        <v>1</v>
      </c>
      <c r="I782" s="373">
        <v>95743000</v>
      </c>
      <c r="J782" s="324">
        <f t="shared" ref="J782:J784" si="16">ROUND(I782*H782,0)</f>
        <v>95743000</v>
      </c>
    </row>
    <row r="783" spans="2:10" s="156" customFormat="1" x14ac:dyDescent="0.3">
      <c r="B783" s="877" t="s">
        <v>251</v>
      </c>
      <c r="C783" s="878"/>
      <c r="D783" s="878"/>
      <c r="E783" s="878"/>
      <c r="F783" s="879"/>
      <c r="G783" s="266" t="s">
        <v>290</v>
      </c>
      <c r="H783" s="263">
        <v>1</v>
      </c>
      <c r="I783" s="373">
        <v>150430264</v>
      </c>
      <c r="J783" s="324">
        <f t="shared" si="16"/>
        <v>150430264</v>
      </c>
    </row>
    <row r="784" spans="2:10" s="156" customFormat="1" ht="12.75" customHeight="1" x14ac:dyDescent="0.3">
      <c r="B784" s="877" t="s">
        <v>252</v>
      </c>
      <c r="C784" s="878"/>
      <c r="D784" s="878"/>
      <c r="E784" s="878"/>
      <c r="F784" s="879"/>
      <c r="G784" s="266" t="s">
        <v>240</v>
      </c>
      <c r="H784" s="263">
        <v>357</v>
      </c>
      <c r="I784" s="373">
        <v>2500</v>
      </c>
      <c r="J784" s="324">
        <f t="shared" si="16"/>
        <v>892500</v>
      </c>
    </row>
    <row r="785" spans="2:10" s="156" customFormat="1" x14ac:dyDescent="0.3">
      <c r="B785" s="826"/>
      <c r="C785" s="827"/>
      <c r="D785" s="827"/>
      <c r="E785" s="268"/>
      <c r="F785" s="268"/>
      <c r="G785" s="268"/>
      <c r="H785" s="269"/>
      <c r="I785" s="270" t="s">
        <v>153</v>
      </c>
      <c r="J785" s="325">
        <f>+SUM(J782:J784)</f>
        <v>247065764</v>
      </c>
    </row>
    <row r="786" spans="2:10" s="156" customFormat="1" x14ac:dyDescent="0.3">
      <c r="B786" s="837" t="s">
        <v>154</v>
      </c>
      <c r="C786" s="838"/>
      <c r="D786" s="838"/>
      <c r="E786" s="255"/>
      <c r="F786" s="255"/>
      <c r="G786" s="255"/>
      <c r="H786" s="255"/>
      <c r="I786" s="272"/>
      <c r="J786" s="322"/>
    </row>
    <row r="787" spans="2:10" s="156" customFormat="1" x14ac:dyDescent="0.3">
      <c r="B787" s="820" t="s">
        <v>155</v>
      </c>
      <c r="C787" s="821"/>
      <c r="D787" s="821"/>
      <c r="E787" s="821"/>
      <c r="F787" s="822"/>
      <c r="G787" s="273" t="s">
        <v>48</v>
      </c>
      <c r="H787" s="273" t="s">
        <v>19</v>
      </c>
      <c r="I787" s="275" t="s">
        <v>187</v>
      </c>
      <c r="J787" s="326" t="s">
        <v>37</v>
      </c>
    </row>
    <row r="788" spans="2:10" s="156" customFormat="1" x14ac:dyDescent="0.3">
      <c r="B788" s="834" t="s">
        <v>227</v>
      </c>
      <c r="C788" s="835"/>
      <c r="D788" s="835"/>
      <c r="E788" s="835"/>
      <c r="F788" s="836"/>
      <c r="G788" s="367" t="s">
        <v>930</v>
      </c>
      <c r="H788" s="612">
        <v>15</v>
      </c>
      <c r="I788" s="412">
        <f>I723</f>
        <v>2970000</v>
      </c>
      <c r="J788" s="332">
        <f>H788*I788</f>
        <v>44550000</v>
      </c>
    </row>
    <row r="789" spans="2:10" s="156" customFormat="1" x14ac:dyDescent="0.3">
      <c r="B789" s="834"/>
      <c r="C789" s="835"/>
      <c r="D789" s="835"/>
      <c r="E789" s="835"/>
      <c r="F789" s="836"/>
      <c r="G789" s="280"/>
      <c r="H789" s="277"/>
      <c r="I789" s="278"/>
      <c r="J789" s="327"/>
    </row>
    <row r="790" spans="2:10" s="156" customFormat="1" x14ac:dyDescent="0.3">
      <c r="B790" s="839"/>
      <c r="C790" s="840"/>
      <c r="D790" s="840"/>
      <c r="E790" s="840"/>
      <c r="F790" s="841"/>
      <c r="G790" s="281"/>
      <c r="H790" s="281"/>
      <c r="I790" s="282" t="s">
        <v>153</v>
      </c>
      <c r="J790" s="328">
        <f>SUM(J788:J789)</f>
        <v>44550000</v>
      </c>
    </row>
    <row r="791" spans="2:10" s="156" customFormat="1" x14ac:dyDescent="0.3">
      <c r="B791" s="837" t="s">
        <v>158</v>
      </c>
      <c r="C791" s="838"/>
      <c r="D791" s="838"/>
      <c r="E791" s="253"/>
      <c r="F791" s="284"/>
      <c r="G791" s="284"/>
      <c r="H791" s="285"/>
      <c r="I791" s="286"/>
      <c r="J791" s="329"/>
    </row>
    <row r="792" spans="2:10" s="156" customFormat="1" x14ac:dyDescent="0.3">
      <c r="B792" s="820" t="s">
        <v>151</v>
      </c>
      <c r="C792" s="821"/>
      <c r="D792" s="821"/>
      <c r="E792" s="821"/>
      <c r="F792" s="822"/>
      <c r="G792" s="259" t="s">
        <v>48</v>
      </c>
      <c r="H792" s="259" t="s">
        <v>19</v>
      </c>
      <c r="I792" s="260" t="s">
        <v>20</v>
      </c>
      <c r="J792" s="322" t="s">
        <v>37</v>
      </c>
    </row>
    <row r="793" spans="2:10" s="156" customFormat="1" x14ac:dyDescent="0.3">
      <c r="B793" s="823"/>
      <c r="C793" s="824"/>
      <c r="D793" s="824"/>
      <c r="E793" s="824"/>
      <c r="F793" s="825"/>
      <c r="G793" s="288"/>
      <c r="H793" s="288"/>
      <c r="I793" s="289"/>
      <c r="J793" s="324">
        <f>ROUND(H793*I793,0)</f>
        <v>0</v>
      </c>
    </row>
    <row r="794" spans="2:10" s="156" customFormat="1" x14ac:dyDescent="0.3">
      <c r="B794" s="823"/>
      <c r="C794" s="824"/>
      <c r="D794" s="824"/>
      <c r="E794" s="824"/>
      <c r="F794" s="825"/>
      <c r="G794" s="288"/>
      <c r="H794" s="288"/>
      <c r="I794" s="289"/>
      <c r="J794" s="324"/>
    </row>
    <row r="795" spans="2:10" s="156" customFormat="1" x14ac:dyDescent="0.3">
      <c r="B795" s="826"/>
      <c r="C795" s="827"/>
      <c r="D795" s="827"/>
      <c r="E795" s="267"/>
      <c r="F795" s="267"/>
      <c r="G795" s="267"/>
      <c r="H795" s="290"/>
      <c r="I795" s="291" t="s">
        <v>153</v>
      </c>
      <c r="J795" s="330">
        <f>SUM(J793:J794)</f>
        <v>0</v>
      </c>
    </row>
    <row r="796" spans="2:10" s="156" customFormat="1" x14ac:dyDescent="0.3">
      <c r="B796" s="828" t="s">
        <v>159</v>
      </c>
      <c r="C796" s="829"/>
      <c r="D796" s="829"/>
      <c r="E796" s="829"/>
      <c r="F796" s="829"/>
      <c r="G796" s="829"/>
      <c r="H796" s="829"/>
      <c r="I796" s="829"/>
      <c r="J796" s="830"/>
    </row>
    <row r="797" spans="2:10" s="156" customFormat="1" x14ac:dyDescent="0.3">
      <c r="B797" s="831" t="s">
        <v>151</v>
      </c>
      <c r="C797" s="832"/>
      <c r="D797" s="832"/>
      <c r="E797" s="832"/>
      <c r="F797" s="833"/>
      <c r="G797" s="232" t="s">
        <v>48</v>
      </c>
      <c r="H797" s="232" t="s">
        <v>19</v>
      </c>
      <c r="I797" s="233" t="s">
        <v>20</v>
      </c>
      <c r="J797" s="331" t="s">
        <v>37</v>
      </c>
    </row>
    <row r="798" spans="2:10" s="156" customFormat="1" x14ac:dyDescent="0.3">
      <c r="B798" s="812"/>
      <c r="C798" s="813"/>
      <c r="D798" s="813"/>
      <c r="E798" s="813"/>
      <c r="F798" s="814"/>
      <c r="G798" s="245"/>
      <c r="H798" s="245"/>
      <c r="I798" s="237"/>
      <c r="J798" s="333"/>
    </row>
    <row r="799" spans="2:10" s="156" customFormat="1" ht="12.75" customHeight="1" x14ac:dyDescent="0.3">
      <c r="B799" s="812"/>
      <c r="C799" s="813"/>
      <c r="D799" s="813"/>
      <c r="E799" s="813"/>
      <c r="F799" s="814"/>
      <c r="G799" s="245"/>
      <c r="H799" s="245"/>
      <c r="I799" s="237"/>
      <c r="J799" s="333"/>
    </row>
    <row r="800" spans="2:10" s="156" customFormat="1" x14ac:dyDescent="0.3">
      <c r="B800" s="812"/>
      <c r="C800" s="813"/>
      <c r="D800" s="813"/>
      <c r="E800" s="813"/>
      <c r="F800" s="814"/>
      <c r="G800" s="245"/>
      <c r="H800" s="245"/>
      <c r="I800" s="237"/>
      <c r="J800" s="333"/>
    </row>
    <row r="801" spans="2:10" s="156" customFormat="1" x14ac:dyDescent="0.3">
      <c r="B801" s="812"/>
      <c r="C801" s="813"/>
      <c r="D801" s="813"/>
      <c r="E801" s="813"/>
      <c r="F801" s="814"/>
      <c r="G801" s="245"/>
      <c r="H801" s="245"/>
      <c r="I801" s="237"/>
      <c r="J801" s="333"/>
    </row>
    <row r="802" spans="2:10" s="156" customFormat="1" x14ac:dyDescent="0.3">
      <c r="B802" s="812"/>
      <c r="C802" s="813"/>
      <c r="D802" s="813"/>
      <c r="E802" s="813"/>
      <c r="F802" s="814"/>
      <c r="G802" s="245"/>
      <c r="H802" s="245"/>
      <c r="I802" s="237"/>
      <c r="J802" s="333"/>
    </row>
    <row r="803" spans="2:10" s="156" customFormat="1" x14ac:dyDescent="0.3">
      <c r="B803" s="812"/>
      <c r="C803" s="813"/>
      <c r="D803" s="813"/>
      <c r="E803" s="813"/>
      <c r="F803" s="814"/>
      <c r="G803" s="245"/>
      <c r="H803" s="245"/>
      <c r="I803" s="237"/>
      <c r="J803" s="333"/>
    </row>
    <row r="804" spans="2:10" s="156" customFormat="1" x14ac:dyDescent="0.3">
      <c r="B804" s="812"/>
      <c r="C804" s="813"/>
      <c r="D804" s="813"/>
      <c r="E804" s="813"/>
      <c r="F804" s="814"/>
      <c r="G804" s="245"/>
      <c r="H804" s="245"/>
      <c r="I804" s="237"/>
      <c r="J804" s="333"/>
    </row>
    <row r="805" spans="2:10" s="156" customFormat="1" x14ac:dyDescent="0.3">
      <c r="B805" s="815"/>
      <c r="C805" s="816"/>
      <c r="D805" s="816"/>
      <c r="E805" s="816"/>
      <c r="F805" s="817"/>
      <c r="G805" s="316"/>
      <c r="H805" s="316"/>
      <c r="I805" s="317" t="s">
        <v>153</v>
      </c>
      <c r="J805" s="334">
        <f>SUM(J798:J804)/J779</f>
        <v>0</v>
      </c>
    </row>
    <row r="806" spans="2:10" s="156" customFormat="1" x14ac:dyDescent="0.3">
      <c r="B806" s="818"/>
      <c r="C806" s="819"/>
      <c r="D806" s="819"/>
      <c r="E806" s="319"/>
      <c r="F806" s="319"/>
      <c r="G806" s="319"/>
      <c r="H806" s="810" t="s">
        <v>160</v>
      </c>
      <c r="I806" s="811"/>
      <c r="J806" s="335">
        <f>+J795++J805+J790+J785</f>
        <v>291615764</v>
      </c>
    </row>
    <row r="807" spans="2:10" s="156" customFormat="1" ht="12.75" customHeight="1" x14ac:dyDescent="0.3">
      <c r="B807" s="803"/>
      <c r="C807" s="804"/>
      <c r="D807" s="804"/>
      <c r="E807" s="804"/>
      <c r="F807" s="804"/>
      <c r="G807" s="805"/>
      <c r="H807" s="806" t="s">
        <v>1004</v>
      </c>
      <c r="I807" s="807"/>
      <c r="J807" s="722">
        <f>+ROUND(J806*'PRESUPUESTO OFICIAL (Entidad)'!$K$56,2)</f>
        <v>75820098.640000001</v>
      </c>
    </row>
    <row r="808" spans="2:10" s="156" customFormat="1" x14ac:dyDescent="0.3">
      <c r="B808" s="798"/>
      <c r="C808" s="799"/>
      <c r="D808" s="799"/>
      <c r="E808" s="799"/>
      <c r="F808" s="799"/>
      <c r="G808" s="800"/>
      <c r="H808" s="801" t="s">
        <v>291</v>
      </c>
      <c r="I808" s="802"/>
      <c r="J808" s="723">
        <f>SUM(J806:J807)</f>
        <v>367435862.63999999</v>
      </c>
    </row>
    <row r="809" spans="2:10" s="156" customFormat="1" x14ac:dyDescent="0.3"/>
    <row r="810" spans="2:10" s="156" customFormat="1" x14ac:dyDescent="0.3"/>
    <row r="811" spans="2:10" s="156" customFormat="1" x14ac:dyDescent="0.3">
      <c r="B811" s="321" t="s">
        <v>15</v>
      </c>
      <c r="C811" s="842" t="s">
        <v>151</v>
      </c>
      <c r="D811" s="842"/>
      <c r="E811" s="842"/>
      <c r="F811" s="842"/>
      <c r="G811" s="842"/>
      <c r="H811" s="843"/>
      <c r="I811" s="260" t="s">
        <v>48</v>
      </c>
      <c r="J811" s="322" t="s">
        <v>19</v>
      </c>
    </row>
    <row r="812" spans="2:10" s="156" customFormat="1" ht="32.4" customHeight="1" x14ac:dyDescent="0.3">
      <c r="B812" s="221" t="s">
        <v>300</v>
      </c>
      <c r="C812" s="844" t="str">
        <f>'PRESUPUESTO OFICIAL (Entidad)'!$G$26</f>
        <v>Instalación de cordón detonante desde ramales de la edificación hasta el Explosor ubicado en el punto de mando unificado incluye (el cheque de continuidad de todos los detonadores y alistamiento de evento de implosión)</v>
      </c>
      <c r="D812" s="845"/>
      <c r="E812" s="845"/>
      <c r="F812" s="845"/>
      <c r="G812" s="845"/>
      <c r="H812" s="846"/>
      <c r="I812" s="222" t="s">
        <v>290</v>
      </c>
      <c r="J812" s="223">
        <v>1</v>
      </c>
    </row>
    <row r="813" spans="2:10" s="156" customFormat="1" ht="47.25" customHeight="1" x14ac:dyDescent="0.3">
      <c r="B813" s="847" t="s">
        <v>152</v>
      </c>
      <c r="C813" s="848"/>
      <c r="D813" s="848"/>
      <c r="E813" s="253"/>
      <c r="F813" s="284"/>
      <c r="G813" s="284"/>
      <c r="H813" s="285"/>
      <c r="I813" s="257"/>
      <c r="J813" s="323"/>
    </row>
    <row r="814" spans="2:10" s="156" customFormat="1" x14ac:dyDescent="0.3">
      <c r="B814" s="820" t="s">
        <v>151</v>
      </c>
      <c r="C814" s="821"/>
      <c r="D814" s="821"/>
      <c r="E814" s="821"/>
      <c r="F814" s="822"/>
      <c r="G814" s="259" t="s">
        <v>48</v>
      </c>
      <c r="H814" s="259" t="s">
        <v>19</v>
      </c>
      <c r="I814" s="260" t="s">
        <v>20</v>
      </c>
      <c r="J814" s="322" t="s">
        <v>37</v>
      </c>
    </row>
    <row r="815" spans="2:10" s="156" customFormat="1" x14ac:dyDescent="0.3">
      <c r="B815" s="834" t="s">
        <v>244</v>
      </c>
      <c r="C815" s="835"/>
      <c r="D815" s="835"/>
      <c r="E815" s="835"/>
      <c r="F815" s="836"/>
      <c r="G815" s="266" t="s">
        <v>238</v>
      </c>
      <c r="H815" s="263">
        <v>480</v>
      </c>
      <c r="I815" s="373">
        <v>10350.000000000004</v>
      </c>
      <c r="J815" s="324">
        <f t="shared" ref="J815" si="17">ROUND(I815*H815,0)</f>
        <v>4968000</v>
      </c>
    </row>
    <row r="816" spans="2:10" s="156" customFormat="1" x14ac:dyDescent="0.3">
      <c r="B816" s="834"/>
      <c r="C816" s="835"/>
      <c r="D816" s="835"/>
      <c r="E816" s="835"/>
      <c r="F816" s="836"/>
      <c r="G816" s="266"/>
      <c r="H816" s="263"/>
      <c r="I816" s="264"/>
      <c r="J816" s="324"/>
    </row>
    <row r="817" spans="2:10" s="156" customFormat="1" x14ac:dyDescent="0.3">
      <c r="B817" s="826"/>
      <c r="C817" s="827"/>
      <c r="D817" s="827"/>
      <c r="E817" s="268"/>
      <c r="F817" s="268"/>
      <c r="G817" s="268"/>
      <c r="H817" s="269"/>
      <c r="I817" s="270" t="s">
        <v>153</v>
      </c>
      <c r="J817" s="325">
        <f>+SUM(J815:J816)</f>
        <v>4968000</v>
      </c>
    </row>
    <row r="818" spans="2:10" s="156" customFormat="1" x14ac:dyDescent="0.3">
      <c r="B818" s="837" t="s">
        <v>154</v>
      </c>
      <c r="C818" s="838"/>
      <c r="D818" s="838"/>
      <c r="E818" s="255"/>
      <c r="F818" s="255"/>
      <c r="G818" s="255"/>
      <c r="H818" s="255"/>
      <c r="I818" s="272"/>
      <c r="J818" s="322"/>
    </row>
    <row r="819" spans="2:10" s="156" customFormat="1" x14ac:dyDescent="0.3">
      <c r="B819" s="820" t="s">
        <v>155</v>
      </c>
      <c r="C819" s="821"/>
      <c r="D819" s="821"/>
      <c r="E819" s="821"/>
      <c r="F819" s="822"/>
      <c r="G819" s="273" t="s">
        <v>48</v>
      </c>
      <c r="H819" s="273" t="s">
        <v>19</v>
      </c>
      <c r="I819" s="275" t="s">
        <v>187</v>
      </c>
      <c r="J819" s="326" t="s">
        <v>37</v>
      </c>
    </row>
    <row r="820" spans="2:10" s="156" customFormat="1" x14ac:dyDescent="0.3">
      <c r="B820" s="834" t="s">
        <v>243</v>
      </c>
      <c r="C820" s="835"/>
      <c r="D820" s="835"/>
      <c r="E820" s="835"/>
      <c r="F820" s="836"/>
      <c r="G820" s="367" t="s">
        <v>223</v>
      </c>
      <c r="H820" s="369">
        <f>7</f>
        <v>7</v>
      </c>
      <c r="I820" s="412">
        <v>2310000</v>
      </c>
      <c r="J820" s="332">
        <f>H820*I820</f>
        <v>16170000</v>
      </c>
    </row>
    <row r="821" spans="2:10" s="156" customFormat="1" x14ac:dyDescent="0.3">
      <c r="B821" s="834"/>
      <c r="C821" s="835"/>
      <c r="D821" s="835"/>
      <c r="E821" s="835"/>
      <c r="F821" s="836"/>
      <c r="G821" s="280"/>
      <c r="H821" s="277"/>
      <c r="I821" s="278"/>
      <c r="J821" s="327"/>
    </row>
    <row r="822" spans="2:10" s="156" customFormat="1" x14ac:dyDescent="0.3">
      <c r="B822" s="839"/>
      <c r="C822" s="840"/>
      <c r="D822" s="840"/>
      <c r="E822" s="840"/>
      <c r="F822" s="841"/>
      <c r="G822" s="281"/>
      <c r="H822" s="281"/>
      <c r="I822" s="282" t="s">
        <v>153</v>
      </c>
      <c r="J822" s="328">
        <f>SUM(J820:J821)</f>
        <v>16170000</v>
      </c>
    </row>
    <row r="823" spans="2:10" s="156" customFormat="1" x14ac:dyDescent="0.3">
      <c r="B823" s="837" t="s">
        <v>158</v>
      </c>
      <c r="C823" s="838"/>
      <c r="D823" s="838"/>
      <c r="E823" s="253"/>
      <c r="F823" s="284"/>
      <c r="G823" s="284"/>
      <c r="H823" s="285"/>
      <c r="I823" s="286"/>
      <c r="J823" s="329"/>
    </row>
    <row r="824" spans="2:10" s="156" customFormat="1" x14ac:dyDescent="0.3">
      <c r="B824" s="820" t="s">
        <v>151</v>
      </c>
      <c r="C824" s="821"/>
      <c r="D824" s="821"/>
      <c r="E824" s="821"/>
      <c r="F824" s="822"/>
      <c r="G824" s="259" t="s">
        <v>48</v>
      </c>
      <c r="H824" s="259" t="s">
        <v>19</v>
      </c>
      <c r="I824" s="260" t="s">
        <v>20</v>
      </c>
      <c r="J824" s="322" t="s">
        <v>37</v>
      </c>
    </row>
    <row r="825" spans="2:10" s="156" customFormat="1" x14ac:dyDescent="0.3">
      <c r="B825" s="823"/>
      <c r="C825" s="824"/>
      <c r="D825" s="824"/>
      <c r="E825" s="824"/>
      <c r="F825" s="825"/>
      <c r="G825" s="288"/>
      <c r="H825" s="288"/>
      <c r="I825" s="289"/>
      <c r="J825" s="324">
        <f>ROUND(H825*I825,0)</f>
        <v>0</v>
      </c>
    </row>
    <row r="826" spans="2:10" s="156" customFormat="1" x14ac:dyDescent="0.3">
      <c r="B826" s="823"/>
      <c r="C826" s="824"/>
      <c r="D826" s="824"/>
      <c r="E826" s="824"/>
      <c r="F826" s="825"/>
      <c r="G826" s="288"/>
      <c r="H826" s="288"/>
      <c r="I826" s="289"/>
      <c r="J826" s="324"/>
    </row>
    <row r="827" spans="2:10" s="156" customFormat="1" x14ac:dyDescent="0.3">
      <c r="B827" s="826"/>
      <c r="C827" s="827"/>
      <c r="D827" s="827"/>
      <c r="E827" s="267"/>
      <c r="F827" s="267"/>
      <c r="G827" s="267"/>
      <c r="H827" s="290"/>
      <c r="I827" s="291" t="s">
        <v>153</v>
      </c>
      <c r="J827" s="330">
        <f>SUM(J825:J826)</f>
        <v>0</v>
      </c>
    </row>
    <row r="828" spans="2:10" s="156" customFormat="1" x14ac:dyDescent="0.3">
      <c r="B828" s="828" t="s">
        <v>159</v>
      </c>
      <c r="C828" s="829"/>
      <c r="D828" s="829"/>
      <c r="E828" s="829"/>
      <c r="F828" s="829"/>
      <c r="G828" s="829"/>
      <c r="H828" s="829"/>
      <c r="I828" s="829"/>
      <c r="J828" s="830"/>
    </row>
    <row r="829" spans="2:10" s="156" customFormat="1" ht="12.75" customHeight="1" x14ac:dyDescent="0.3">
      <c r="B829" s="831" t="s">
        <v>151</v>
      </c>
      <c r="C829" s="832"/>
      <c r="D829" s="832"/>
      <c r="E829" s="832"/>
      <c r="F829" s="833"/>
      <c r="G829" s="232" t="s">
        <v>48</v>
      </c>
      <c r="H829" s="232" t="s">
        <v>19</v>
      </c>
      <c r="I829" s="233" t="s">
        <v>20</v>
      </c>
      <c r="J829" s="331" t="s">
        <v>37</v>
      </c>
    </row>
    <row r="830" spans="2:10" s="156" customFormat="1" x14ac:dyDescent="0.3">
      <c r="B830" s="852" t="s">
        <v>253</v>
      </c>
      <c r="C830" s="853"/>
      <c r="D830" s="853"/>
      <c r="E830" s="853"/>
      <c r="F830" s="854"/>
      <c r="G830" s="280" t="s">
        <v>290</v>
      </c>
      <c r="H830" s="280">
        <v>1</v>
      </c>
      <c r="I830" s="293">
        <v>3360009</v>
      </c>
      <c r="J830" s="332">
        <f>H830*I830</f>
        <v>3360009</v>
      </c>
    </row>
    <row r="831" spans="2:10" s="156" customFormat="1" x14ac:dyDescent="0.3">
      <c r="B831" s="834"/>
      <c r="C831" s="835"/>
      <c r="D831" s="835"/>
      <c r="E831" s="835"/>
      <c r="F831" s="836"/>
      <c r="G831" s="280"/>
      <c r="H831" s="280"/>
      <c r="I831" s="293"/>
      <c r="J831" s="332"/>
    </row>
    <row r="832" spans="2:10" s="156" customFormat="1" x14ac:dyDescent="0.3">
      <c r="B832" s="855"/>
      <c r="C832" s="856"/>
      <c r="D832" s="856"/>
      <c r="E832" s="856"/>
      <c r="F832" s="857"/>
      <c r="G832" s="245"/>
      <c r="H832" s="245"/>
      <c r="I832" s="237"/>
      <c r="J832" s="333"/>
    </row>
    <row r="833" spans="2:10" s="156" customFormat="1" x14ac:dyDescent="0.3">
      <c r="B833" s="812"/>
      <c r="C833" s="813"/>
      <c r="D833" s="813"/>
      <c r="E833" s="813"/>
      <c r="F833" s="814"/>
      <c r="G833" s="245"/>
      <c r="H833" s="245"/>
      <c r="I833" s="237"/>
      <c r="J833" s="333"/>
    </row>
    <row r="834" spans="2:10" s="156" customFormat="1" x14ac:dyDescent="0.3">
      <c r="B834" s="812"/>
      <c r="C834" s="813"/>
      <c r="D834" s="813"/>
      <c r="E834" s="813"/>
      <c r="F834" s="814"/>
      <c r="G834" s="245"/>
      <c r="H834" s="245"/>
      <c r="I834" s="237"/>
      <c r="J834" s="333"/>
    </row>
    <row r="835" spans="2:10" s="156" customFormat="1" x14ac:dyDescent="0.3">
      <c r="B835" s="812"/>
      <c r="C835" s="813"/>
      <c r="D835" s="813"/>
      <c r="E835" s="813"/>
      <c r="F835" s="814"/>
      <c r="G835" s="245"/>
      <c r="H835" s="245"/>
      <c r="I835" s="237"/>
      <c r="J835" s="333"/>
    </row>
    <row r="836" spans="2:10" s="156" customFormat="1" x14ac:dyDescent="0.3">
      <c r="B836" s="812"/>
      <c r="C836" s="813"/>
      <c r="D836" s="813"/>
      <c r="E836" s="813"/>
      <c r="F836" s="814"/>
      <c r="G836" s="245"/>
      <c r="H836" s="245"/>
      <c r="I836" s="237"/>
      <c r="J836" s="333"/>
    </row>
    <row r="837" spans="2:10" s="156" customFormat="1" ht="12.75" customHeight="1" x14ac:dyDescent="0.3">
      <c r="B837" s="815"/>
      <c r="C837" s="816"/>
      <c r="D837" s="816"/>
      <c r="E837" s="816"/>
      <c r="F837" s="817"/>
      <c r="G837" s="316"/>
      <c r="H837" s="316"/>
      <c r="I837" s="317" t="s">
        <v>153</v>
      </c>
      <c r="J837" s="334">
        <f>SUM(J830:J836)</f>
        <v>3360009</v>
      </c>
    </row>
    <row r="838" spans="2:10" s="156" customFormat="1" x14ac:dyDescent="0.3">
      <c r="B838" s="818"/>
      <c r="C838" s="819"/>
      <c r="D838" s="819"/>
      <c r="E838" s="319"/>
      <c r="F838" s="319"/>
      <c r="G838" s="319"/>
      <c r="H838" s="810" t="s">
        <v>160</v>
      </c>
      <c r="I838" s="811"/>
      <c r="J838" s="335">
        <f>+J827+J837+J822+J817</f>
        <v>24498009</v>
      </c>
    </row>
    <row r="839" spans="2:10" s="156" customFormat="1" x14ac:dyDescent="0.3">
      <c r="B839" s="803"/>
      <c r="C839" s="804"/>
      <c r="D839" s="804"/>
      <c r="E839" s="804"/>
      <c r="F839" s="804"/>
      <c r="G839" s="805"/>
      <c r="H839" s="806" t="s">
        <v>1004</v>
      </c>
      <c r="I839" s="807"/>
      <c r="J839" s="722">
        <f>+ROUND(J838*'PRESUPUESTO OFICIAL (Entidad)'!$K$56,2)</f>
        <v>6369482.3399999999</v>
      </c>
    </row>
    <row r="840" spans="2:10" s="156" customFormat="1" x14ac:dyDescent="0.3">
      <c r="B840" s="798"/>
      <c r="C840" s="799"/>
      <c r="D840" s="799"/>
      <c r="E840" s="799"/>
      <c r="F840" s="799"/>
      <c r="G840" s="800"/>
      <c r="H840" s="801" t="s">
        <v>291</v>
      </c>
      <c r="I840" s="802"/>
      <c r="J840" s="723">
        <f>SUM(J838:J839)</f>
        <v>30867491.34</v>
      </c>
    </row>
    <row r="841" spans="2:10" s="156" customFormat="1" ht="21" x14ac:dyDescent="0.3">
      <c r="B841" s="340"/>
      <c r="C841" s="861"/>
      <c r="D841" s="861"/>
      <c r="E841" s="861"/>
      <c r="F841" s="861"/>
      <c r="G841" s="861"/>
      <c r="H841" s="861"/>
      <c r="I841" s="861"/>
      <c r="J841" s="861"/>
    </row>
    <row r="842" spans="2:10" s="156" customFormat="1" ht="12.75" customHeight="1" x14ac:dyDescent="0.3"/>
    <row r="843" spans="2:10" s="156" customFormat="1" ht="30" customHeight="1" x14ac:dyDescent="0.3">
      <c r="B843" s="321" t="s">
        <v>15</v>
      </c>
      <c r="C843" s="842" t="s">
        <v>151</v>
      </c>
      <c r="D843" s="842"/>
      <c r="E843" s="842"/>
      <c r="F843" s="842"/>
      <c r="G843" s="842"/>
      <c r="H843" s="843"/>
      <c r="I843" s="260" t="s">
        <v>48</v>
      </c>
      <c r="J843" s="322" t="s">
        <v>19</v>
      </c>
    </row>
    <row r="844" spans="2:10" s="156" customFormat="1" ht="33.6" customHeight="1" x14ac:dyDescent="0.3">
      <c r="B844" s="221" t="s">
        <v>301</v>
      </c>
      <c r="C844" s="844" t="str">
        <f>'PRESUPUESTO OFICIAL (Entidad)'!$G$27</f>
        <v>Demolición manual de elementos no estructurales que interfieran con las actividades de perforación (incluye demolición manual y trasiego a zonas que no generen interferencia con la implosión)</v>
      </c>
      <c r="D844" s="845"/>
      <c r="E844" s="845"/>
      <c r="F844" s="845"/>
      <c r="G844" s="845"/>
      <c r="H844" s="846"/>
      <c r="I844" s="222" t="s">
        <v>25</v>
      </c>
      <c r="J844" s="223">
        <v>15435.59</v>
      </c>
    </row>
    <row r="845" spans="2:10" s="156" customFormat="1" x14ac:dyDescent="0.3">
      <c r="B845" s="847" t="s">
        <v>152</v>
      </c>
      <c r="C845" s="848"/>
      <c r="D845" s="848"/>
      <c r="E845" s="253"/>
      <c r="F845" s="284"/>
      <c r="G845" s="284"/>
      <c r="H845" s="285"/>
      <c r="I845" s="257"/>
      <c r="J845" s="323"/>
    </row>
    <row r="846" spans="2:10" s="156" customFormat="1" ht="12.75" customHeight="1" x14ac:dyDescent="0.3">
      <c r="B846" s="820" t="s">
        <v>151</v>
      </c>
      <c r="C846" s="821"/>
      <c r="D846" s="821"/>
      <c r="E846" s="821"/>
      <c r="F846" s="822"/>
      <c r="G846" s="259" t="s">
        <v>48</v>
      </c>
      <c r="H846" s="259" t="s">
        <v>19</v>
      </c>
      <c r="I846" s="260" t="s">
        <v>20</v>
      </c>
      <c r="J846" s="322" t="s">
        <v>37</v>
      </c>
    </row>
    <row r="847" spans="2:10" s="156" customFormat="1" x14ac:dyDescent="0.3">
      <c r="B847" s="823"/>
      <c r="C847" s="824"/>
      <c r="D847" s="824"/>
      <c r="E847" s="824"/>
      <c r="F847" s="825"/>
      <c r="G847" s="336"/>
      <c r="H847" s="288"/>
      <c r="I847" s="289"/>
      <c r="J847" s="324"/>
    </row>
    <row r="848" spans="2:10" s="156" customFormat="1" x14ac:dyDescent="0.3">
      <c r="B848" s="823"/>
      <c r="C848" s="824"/>
      <c r="D848" s="824"/>
      <c r="E848" s="824"/>
      <c r="F848" s="825"/>
      <c r="G848" s="336"/>
      <c r="H848" s="288"/>
      <c r="I848" s="289"/>
      <c r="J848" s="324"/>
    </row>
    <row r="849" spans="2:12" s="156" customFormat="1" x14ac:dyDescent="0.3">
      <c r="B849" s="826"/>
      <c r="C849" s="827"/>
      <c r="D849" s="827"/>
      <c r="E849" s="268"/>
      <c r="F849" s="268"/>
      <c r="G849" s="268"/>
      <c r="H849" s="269"/>
      <c r="I849" s="270" t="s">
        <v>153</v>
      </c>
      <c r="J849" s="325">
        <f>+SUM(J847:J848)</f>
        <v>0</v>
      </c>
    </row>
    <row r="850" spans="2:12" s="156" customFormat="1" x14ac:dyDescent="0.3">
      <c r="B850" s="837" t="s">
        <v>154</v>
      </c>
      <c r="C850" s="838"/>
      <c r="D850" s="838"/>
      <c r="E850" s="255"/>
      <c r="F850" s="255"/>
      <c r="G850" s="255"/>
      <c r="H850" s="255"/>
      <c r="I850" s="272"/>
      <c r="J850" s="322"/>
    </row>
    <row r="851" spans="2:12" s="156" customFormat="1" x14ac:dyDescent="0.3">
      <c r="B851" s="820" t="s">
        <v>155</v>
      </c>
      <c r="C851" s="821"/>
      <c r="D851" s="821"/>
      <c r="E851" s="821"/>
      <c r="F851" s="822"/>
      <c r="G851" s="273" t="s">
        <v>48</v>
      </c>
      <c r="H851" s="273" t="s">
        <v>19</v>
      </c>
      <c r="I851" s="275" t="s">
        <v>187</v>
      </c>
      <c r="J851" s="326" t="s">
        <v>37</v>
      </c>
    </row>
    <row r="852" spans="2:12" s="156" customFormat="1" x14ac:dyDescent="0.3">
      <c r="B852" s="834" t="s">
        <v>243</v>
      </c>
      <c r="C852" s="835"/>
      <c r="D852" s="835"/>
      <c r="E852" s="835"/>
      <c r="F852" s="836"/>
      <c r="G852" s="367" t="s">
        <v>933</v>
      </c>
      <c r="H852" s="742">
        <f>15/J844</f>
        <v>9.7178015223260011E-4</v>
      </c>
      <c r="I852" s="412">
        <f>I820</f>
        <v>2310000</v>
      </c>
      <c r="J852" s="332">
        <f>H852*I852</f>
        <v>2244.8121516573065</v>
      </c>
    </row>
    <row r="853" spans="2:12" s="156" customFormat="1" x14ac:dyDescent="0.3">
      <c r="B853" s="834" t="s">
        <v>256</v>
      </c>
      <c r="C853" s="835"/>
      <c r="D853" s="835"/>
      <c r="E853" s="835"/>
      <c r="F853" s="836"/>
      <c r="G853" s="367" t="s">
        <v>223</v>
      </c>
      <c r="H853" s="742">
        <f>(15*4)/J844</f>
        <v>3.8871206089304004E-3</v>
      </c>
      <c r="I853" s="412">
        <f>+I756</f>
        <v>189535.71428571429</v>
      </c>
      <c r="J853" s="332">
        <f>H853*I853</f>
        <v>736.74818112834419</v>
      </c>
    </row>
    <row r="854" spans="2:12" s="156" customFormat="1" x14ac:dyDescent="0.3">
      <c r="B854" s="839"/>
      <c r="C854" s="840"/>
      <c r="D854" s="840"/>
      <c r="E854" s="840"/>
      <c r="F854" s="841"/>
      <c r="G854" s="281"/>
      <c r="H854" s="281"/>
      <c r="I854" s="282" t="s">
        <v>153</v>
      </c>
      <c r="J854" s="328">
        <f>SUM(J852:J853)</f>
        <v>2981.5603327856506</v>
      </c>
    </row>
    <row r="855" spans="2:12" s="156" customFormat="1" x14ac:dyDescent="0.3">
      <c r="B855" s="837" t="s">
        <v>158</v>
      </c>
      <c r="C855" s="838"/>
      <c r="D855" s="838"/>
      <c r="E855" s="253"/>
      <c r="F855" s="284"/>
      <c r="G855" s="284"/>
      <c r="H855" s="285"/>
      <c r="I855" s="286"/>
      <c r="J855" s="329"/>
    </row>
    <row r="856" spans="2:12" s="156" customFormat="1" x14ac:dyDescent="0.3">
      <c r="B856" s="820" t="s">
        <v>151</v>
      </c>
      <c r="C856" s="821"/>
      <c r="D856" s="821"/>
      <c r="E856" s="821"/>
      <c r="F856" s="822"/>
      <c r="G856" s="259" t="s">
        <v>48</v>
      </c>
      <c r="H856" s="259" t="s">
        <v>19</v>
      </c>
      <c r="I856" s="260" t="s">
        <v>20</v>
      </c>
      <c r="J856" s="322" t="s">
        <v>37</v>
      </c>
    </row>
    <row r="857" spans="2:12" s="156" customFormat="1" x14ac:dyDescent="0.3">
      <c r="B857" s="823" t="s">
        <v>254</v>
      </c>
      <c r="C857" s="824"/>
      <c r="D857" s="824"/>
      <c r="E857" s="824"/>
      <c r="F857" s="825"/>
      <c r="G857" s="336" t="s">
        <v>290</v>
      </c>
      <c r="H857" s="749">
        <f>10/J844</f>
        <v>6.4785343482173341E-4</v>
      </c>
      <c r="I857" s="610">
        <f>I685</f>
        <v>240000</v>
      </c>
      <c r="J857" s="747">
        <f>H857*I857</f>
        <v>155.48482435721601</v>
      </c>
    </row>
    <row r="858" spans="2:12" s="156" customFormat="1" x14ac:dyDescent="0.3">
      <c r="B858" s="823" t="s">
        <v>255</v>
      </c>
      <c r="C858" s="824"/>
      <c r="D858" s="824"/>
      <c r="E858" s="824"/>
      <c r="F858" s="825"/>
      <c r="G858" s="288" t="s">
        <v>290</v>
      </c>
      <c r="H858" s="750">
        <f>1/J844</f>
        <v>6.4785343482173338E-5</v>
      </c>
      <c r="I858" s="289">
        <v>20300</v>
      </c>
      <c r="J858" s="747">
        <f t="shared" ref="J858:J860" si="18">H858*I858</f>
        <v>1.3151424726881187</v>
      </c>
    </row>
    <row r="859" spans="2:12" s="156" customFormat="1" x14ac:dyDescent="0.3">
      <c r="B859" s="823" t="s">
        <v>257</v>
      </c>
      <c r="C859" s="824"/>
      <c r="D859" s="824"/>
      <c r="E859" s="824"/>
      <c r="F859" s="825"/>
      <c r="G859" s="288" t="s">
        <v>290</v>
      </c>
      <c r="H859" s="750">
        <f>1/J844</f>
        <v>6.4785343482173338E-5</v>
      </c>
      <c r="I859" s="289">
        <v>670400</v>
      </c>
      <c r="J859" s="747">
        <f t="shared" si="18"/>
        <v>43.432094270449007</v>
      </c>
    </row>
    <row r="860" spans="2:12" s="156" customFormat="1" x14ac:dyDescent="0.3">
      <c r="B860" s="874" t="s">
        <v>944</v>
      </c>
      <c r="C860" s="875"/>
      <c r="D860" s="875"/>
      <c r="E860" s="875"/>
      <c r="F860" s="876"/>
      <c r="G860" s="617" t="s">
        <v>290</v>
      </c>
      <c r="H860" s="628">
        <v>5.5190824292654156E-3</v>
      </c>
      <c r="I860" s="610">
        <f>J854*H860</f>
        <v>16.455477244472029</v>
      </c>
      <c r="J860" s="747">
        <f t="shared" si="18"/>
        <v>9.081913532514245E-2</v>
      </c>
      <c r="L860" s="627"/>
    </row>
    <row r="861" spans="2:12" s="156" customFormat="1" x14ac:dyDescent="0.3">
      <c r="B861" s="826"/>
      <c r="C861" s="827"/>
      <c r="D861" s="827"/>
      <c r="E861" s="267"/>
      <c r="F861" s="267"/>
      <c r="G861" s="267"/>
      <c r="H861" s="290"/>
      <c r="I861" s="291" t="s">
        <v>153</v>
      </c>
      <c r="J861" s="748">
        <f>SUM(J857:J860)</f>
        <v>200.32288023567827</v>
      </c>
    </row>
    <row r="862" spans="2:12" s="156" customFormat="1" x14ac:dyDescent="0.3">
      <c r="B862" s="837" t="s">
        <v>159</v>
      </c>
      <c r="C862" s="838"/>
      <c r="D862" s="838"/>
      <c r="E862" s="254"/>
      <c r="F862" s="255"/>
      <c r="G862" s="255"/>
      <c r="H862" s="255"/>
      <c r="I862" s="286"/>
      <c r="J862" s="329"/>
    </row>
    <row r="863" spans="2:12" s="156" customFormat="1" x14ac:dyDescent="0.3">
      <c r="B863" s="820" t="s">
        <v>151</v>
      </c>
      <c r="C863" s="821"/>
      <c r="D863" s="821"/>
      <c r="E863" s="821"/>
      <c r="F863" s="822"/>
      <c r="G863" s="274" t="s">
        <v>48</v>
      </c>
      <c r="H863" s="274" t="s">
        <v>19</v>
      </c>
      <c r="I863" s="275" t="s">
        <v>20</v>
      </c>
      <c r="J863" s="326" t="s">
        <v>37</v>
      </c>
    </row>
    <row r="864" spans="2:12" s="156" customFormat="1" x14ac:dyDescent="0.3">
      <c r="B864" s="834"/>
      <c r="C864" s="835"/>
      <c r="D864" s="835"/>
      <c r="E864" s="835"/>
      <c r="F864" s="836"/>
      <c r="G864" s="365"/>
      <c r="H864" s="366"/>
      <c r="I864" s="293"/>
      <c r="J864" s="332"/>
    </row>
    <row r="865" spans="2:11" s="156" customFormat="1" x14ac:dyDescent="0.3">
      <c r="B865" s="834"/>
      <c r="C865" s="835"/>
      <c r="D865" s="835"/>
      <c r="E865" s="835"/>
      <c r="F865" s="836"/>
      <c r="G865" s="280"/>
      <c r="H865" s="280"/>
      <c r="I865" s="293"/>
      <c r="J865" s="332"/>
    </row>
    <row r="866" spans="2:11" s="156" customFormat="1" x14ac:dyDescent="0.3">
      <c r="B866" s="834"/>
      <c r="C866" s="835"/>
      <c r="D866" s="835"/>
      <c r="E866" s="835"/>
      <c r="F866" s="836"/>
      <c r="G866" s="280"/>
      <c r="H866" s="280"/>
      <c r="I866" s="293"/>
      <c r="J866" s="332"/>
    </row>
    <row r="867" spans="2:11" s="156" customFormat="1" ht="12.75" customHeight="1" x14ac:dyDescent="0.3">
      <c r="B867" s="849"/>
      <c r="C867" s="850"/>
      <c r="D867" s="850"/>
      <c r="E867" s="850"/>
      <c r="F867" s="851"/>
      <c r="G867" s="316"/>
      <c r="H867" s="316"/>
      <c r="I867" s="317" t="s">
        <v>153</v>
      </c>
      <c r="J867" s="334">
        <f>SUM(J864:J866)</f>
        <v>0</v>
      </c>
      <c r="K867" s="739"/>
    </row>
    <row r="868" spans="2:11" s="156" customFormat="1" x14ac:dyDescent="0.3">
      <c r="B868" s="818"/>
      <c r="C868" s="819"/>
      <c r="D868" s="819"/>
      <c r="E868" s="319"/>
      <c r="F868" s="319"/>
      <c r="G868" s="319"/>
      <c r="H868" s="810" t="s">
        <v>160</v>
      </c>
      <c r="I868" s="811"/>
      <c r="J868" s="743">
        <f>(+J861++J867+J854+J849)</f>
        <v>3181.8832130213291</v>
      </c>
      <c r="K868" s="751"/>
    </row>
    <row r="869" spans="2:11" s="156" customFormat="1" x14ac:dyDescent="0.3">
      <c r="B869" s="803"/>
      <c r="C869" s="804"/>
      <c r="D869" s="804"/>
      <c r="E869" s="804"/>
      <c r="F869" s="804"/>
      <c r="G869" s="805"/>
      <c r="H869" s="806" t="s">
        <v>1004</v>
      </c>
      <c r="I869" s="807"/>
      <c r="J869" s="722">
        <f>+ROUND(J868*'PRESUPUESTO OFICIAL (Entidad)'!$K$56,2)</f>
        <v>827.29</v>
      </c>
      <c r="K869" s="751"/>
    </row>
    <row r="870" spans="2:11" s="156" customFormat="1" x14ac:dyDescent="0.3">
      <c r="B870" s="798"/>
      <c r="C870" s="799"/>
      <c r="D870" s="799"/>
      <c r="E870" s="799"/>
      <c r="F870" s="799"/>
      <c r="G870" s="800"/>
      <c r="H870" s="801" t="s">
        <v>291</v>
      </c>
      <c r="I870" s="802"/>
      <c r="J870" s="723">
        <f>SUM(J868:J869)</f>
        <v>4009.173213021329</v>
      </c>
      <c r="K870" s="751"/>
    </row>
    <row r="871" spans="2:11" s="156" customFormat="1" x14ac:dyDescent="0.3">
      <c r="K871" s="739"/>
    </row>
    <row r="872" spans="2:11" s="156" customFormat="1" x14ac:dyDescent="0.3"/>
    <row r="873" spans="2:11" s="156" customFormat="1" x14ac:dyDescent="0.3">
      <c r="B873" s="321" t="s">
        <v>15</v>
      </c>
      <c r="C873" s="842" t="s">
        <v>151</v>
      </c>
      <c r="D873" s="842"/>
      <c r="E873" s="842"/>
      <c r="F873" s="842"/>
      <c r="G873" s="842"/>
      <c r="H873" s="843"/>
      <c r="I873" s="260" t="s">
        <v>48</v>
      </c>
      <c r="J873" s="322" t="s">
        <v>19</v>
      </c>
    </row>
    <row r="874" spans="2:11" s="156" customFormat="1" ht="29.1" customHeight="1" x14ac:dyDescent="0.3">
      <c r="B874" s="221" t="s">
        <v>302</v>
      </c>
      <c r="C874" s="844" t="str">
        <f>'PRESUPUESTO OFICIAL (Entidad)'!$G$28</f>
        <v xml:space="preserve">Instalación de guayas para sostenimiento estructural las cuales quedan bajo el criterio del especialista de demolición </v>
      </c>
      <c r="D874" s="845"/>
      <c r="E874" s="845"/>
      <c r="F874" s="845"/>
      <c r="G874" s="845"/>
      <c r="H874" s="846"/>
      <c r="I874" s="222" t="s">
        <v>290</v>
      </c>
      <c r="J874" s="223">
        <v>1</v>
      </c>
    </row>
    <row r="875" spans="2:11" s="156" customFormat="1" ht="29.1" customHeight="1" x14ac:dyDescent="0.3">
      <c r="B875" s="847" t="s">
        <v>152</v>
      </c>
      <c r="C875" s="848"/>
      <c r="D875" s="848"/>
      <c r="E875" s="253"/>
      <c r="F875" s="284"/>
      <c r="G875" s="284"/>
      <c r="H875" s="285"/>
      <c r="I875" s="257"/>
      <c r="J875" s="323"/>
    </row>
    <row r="876" spans="2:11" s="156" customFormat="1" x14ac:dyDescent="0.3">
      <c r="B876" s="820" t="s">
        <v>151</v>
      </c>
      <c r="C876" s="821"/>
      <c r="D876" s="821"/>
      <c r="E876" s="821"/>
      <c r="F876" s="822"/>
      <c r="G876" s="259" t="s">
        <v>48</v>
      </c>
      <c r="H876" s="259" t="s">
        <v>19</v>
      </c>
      <c r="I876" s="260" t="s">
        <v>20</v>
      </c>
      <c r="J876" s="322" t="s">
        <v>37</v>
      </c>
    </row>
    <row r="877" spans="2:11" s="156" customFormat="1" ht="12.75" customHeight="1" x14ac:dyDescent="0.3">
      <c r="B877" s="823" t="s">
        <v>258</v>
      </c>
      <c r="C877" s="824"/>
      <c r="D877" s="824"/>
      <c r="E877" s="824"/>
      <c r="F877" s="825"/>
      <c r="G877" s="336" t="s">
        <v>260</v>
      </c>
      <c r="H877" s="288">
        <v>100</v>
      </c>
      <c r="I877" s="289">
        <v>25952.926904761898</v>
      </c>
      <c r="J877" s="324">
        <f>H877*I877</f>
        <v>2595292.6904761898</v>
      </c>
    </row>
    <row r="878" spans="2:11" s="156" customFormat="1" x14ac:dyDescent="0.3">
      <c r="B878" s="823" t="s">
        <v>259</v>
      </c>
      <c r="C878" s="824"/>
      <c r="D878" s="824"/>
      <c r="E878" s="824"/>
      <c r="F878" s="825"/>
      <c r="G878" s="336" t="s">
        <v>48</v>
      </c>
      <c r="H878" s="288">
        <v>30</v>
      </c>
      <c r="I878" s="289">
        <v>12300</v>
      </c>
      <c r="J878" s="324">
        <f>H878*I878</f>
        <v>369000</v>
      </c>
    </row>
    <row r="879" spans="2:11" s="156" customFormat="1" x14ac:dyDescent="0.3">
      <c r="B879" s="826"/>
      <c r="C879" s="827"/>
      <c r="D879" s="827"/>
      <c r="E879" s="268"/>
      <c r="F879" s="268"/>
      <c r="G879" s="268"/>
      <c r="H879" s="269"/>
      <c r="I879" s="270" t="s">
        <v>153</v>
      </c>
      <c r="J879" s="325">
        <f>+SUM(J877:J878)</f>
        <v>2964292.6904761898</v>
      </c>
    </row>
    <row r="880" spans="2:11" s="156" customFormat="1" x14ac:dyDescent="0.3">
      <c r="B880" s="837" t="s">
        <v>154</v>
      </c>
      <c r="C880" s="838"/>
      <c r="D880" s="838"/>
      <c r="E880" s="255"/>
      <c r="F880" s="255"/>
      <c r="G880" s="255"/>
      <c r="H880" s="255"/>
      <c r="I880" s="272"/>
      <c r="J880" s="322"/>
    </row>
    <row r="881" spans="2:10" s="156" customFormat="1" x14ac:dyDescent="0.3">
      <c r="B881" s="820" t="s">
        <v>155</v>
      </c>
      <c r="C881" s="821"/>
      <c r="D881" s="821"/>
      <c r="E881" s="821"/>
      <c r="F881" s="822"/>
      <c r="G881" s="273" t="s">
        <v>48</v>
      </c>
      <c r="H881" s="273" t="s">
        <v>19</v>
      </c>
      <c r="I881" s="275" t="s">
        <v>187</v>
      </c>
      <c r="J881" s="326" t="s">
        <v>37</v>
      </c>
    </row>
    <row r="882" spans="2:10" s="156" customFormat="1" x14ac:dyDescent="0.3">
      <c r="B882" s="834" t="s">
        <v>256</v>
      </c>
      <c r="C882" s="835"/>
      <c r="D882" s="835"/>
      <c r="E882" s="835"/>
      <c r="F882" s="836"/>
      <c r="G882" s="367" t="s">
        <v>223</v>
      </c>
      <c r="H882" s="369">
        <f>4*5</f>
        <v>20</v>
      </c>
      <c r="I882" s="412">
        <f>+I853</f>
        <v>189535.71428571429</v>
      </c>
      <c r="J882" s="332">
        <f>H882*I882</f>
        <v>3790714.2857142859</v>
      </c>
    </row>
    <row r="883" spans="2:10" s="156" customFormat="1" x14ac:dyDescent="0.3">
      <c r="B883" s="834"/>
      <c r="C883" s="835"/>
      <c r="D883" s="835"/>
      <c r="E883" s="835"/>
      <c r="F883" s="836"/>
      <c r="G883" s="367"/>
      <c r="H883" s="368"/>
      <c r="I883" s="369"/>
      <c r="J883" s="332"/>
    </row>
    <row r="884" spans="2:10" s="156" customFormat="1" x14ac:dyDescent="0.3">
      <c r="B884" s="839"/>
      <c r="C884" s="840"/>
      <c r="D884" s="840"/>
      <c r="E884" s="840"/>
      <c r="F884" s="841"/>
      <c r="G884" s="281"/>
      <c r="H884" s="281"/>
      <c r="I884" s="282" t="s">
        <v>153</v>
      </c>
      <c r="J884" s="328">
        <f>SUM(J882:J883)</f>
        <v>3790714.2857142859</v>
      </c>
    </row>
    <row r="885" spans="2:10" s="156" customFormat="1" x14ac:dyDescent="0.3">
      <c r="B885" s="837" t="s">
        <v>158</v>
      </c>
      <c r="C885" s="838"/>
      <c r="D885" s="838"/>
      <c r="E885" s="253"/>
      <c r="F885" s="284"/>
      <c r="G885" s="284"/>
      <c r="H885" s="285"/>
      <c r="I885" s="286"/>
      <c r="J885" s="329"/>
    </row>
    <row r="886" spans="2:10" s="156" customFormat="1" x14ac:dyDescent="0.3">
      <c r="B886" s="820" t="s">
        <v>151</v>
      </c>
      <c r="C886" s="821"/>
      <c r="D886" s="821"/>
      <c r="E886" s="821"/>
      <c r="F886" s="822"/>
      <c r="G886" s="259" t="s">
        <v>48</v>
      </c>
      <c r="H886" s="259" t="s">
        <v>19</v>
      </c>
      <c r="I886" s="260" t="s">
        <v>20</v>
      </c>
      <c r="J886" s="322" t="s">
        <v>37</v>
      </c>
    </row>
    <row r="887" spans="2:10" s="156" customFormat="1" x14ac:dyDescent="0.3">
      <c r="B887" s="823"/>
      <c r="C887" s="824"/>
      <c r="D887" s="824"/>
      <c r="E887" s="824"/>
      <c r="F887" s="825"/>
      <c r="G887" s="336"/>
      <c r="H887" s="288"/>
      <c r="I887" s="289"/>
      <c r="J887" s="324"/>
    </row>
    <row r="888" spans="2:10" s="156" customFormat="1" x14ac:dyDescent="0.3">
      <c r="B888" s="823"/>
      <c r="C888" s="824"/>
      <c r="D888" s="824"/>
      <c r="E888" s="824"/>
      <c r="F888" s="825"/>
      <c r="G888" s="288"/>
      <c r="H888" s="288"/>
      <c r="I888" s="289"/>
      <c r="J888" s="324"/>
    </row>
    <row r="889" spans="2:10" s="156" customFormat="1" x14ac:dyDescent="0.3">
      <c r="B889" s="823"/>
      <c r="C889" s="824"/>
      <c r="D889" s="824"/>
      <c r="E889" s="824"/>
      <c r="F889" s="825"/>
      <c r="G889" s="288"/>
      <c r="H889" s="288"/>
      <c r="I889" s="289"/>
      <c r="J889" s="324"/>
    </row>
    <row r="890" spans="2:10" s="156" customFormat="1" x14ac:dyDescent="0.3">
      <c r="B890" s="823"/>
      <c r="C890" s="824"/>
      <c r="D890" s="824"/>
      <c r="E890" s="824"/>
      <c r="F890" s="825"/>
      <c r="G890" s="288"/>
      <c r="H890" s="288"/>
      <c r="I890" s="289"/>
      <c r="J890" s="324"/>
    </row>
    <row r="891" spans="2:10" s="156" customFormat="1" x14ac:dyDescent="0.3">
      <c r="B891" s="826"/>
      <c r="C891" s="827"/>
      <c r="D891" s="827"/>
      <c r="E891" s="267"/>
      <c r="F891" s="267"/>
      <c r="G891" s="267"/>
      <c r="H891" s="290"/>
      <c r="I891" s="291" t="s">
        <v>153</v>
      </c>
      <c r="J891" s="330">
        <f>SUM(J887:J890)</f>
        <v>0</v>
      </c>
    </row>
    <row r="892" spans="2:10" s="156" customFormat="1" x14ac:dyDescent="0.3">
      <c r="B892" s="837" t="s">
        <v>159</v>
      </c>
      <c r="C892" s="838"/>
      <c r="D892" s="838"/>
      <c r="E892" s="254"/>
      <c r="F892" s="255"/>
      <c r="G892" s="255"/>
      <c r="H892" s="255"/>
      <c r="I892" s="286"/>
      <c r="J892" s="329"/>
    </row>
    <row r="893" spans="2:10" s="156" customFormat="1" x14ac:dyDescent="0.3">
      <c r="B893" s="820" t="s">
        <v>151</v>
      </c>
      <c r="C893" s="821"/>
      <c r="D893" s="821"/>
      <c r="E893" s="821"/>
      <c r="F893" s="822"/>
      <c r="G893" s="274" t="s">
        <v>48</v>
      </c>
      <c r="H893" s="274" t="s">
        <v>19</v>
      </c>
      <c r="I893" s="275" t="s">
        <v>20</v>
      </c>
      <c r="J893" s="326" t="s">
        <v>37</v>
      </c>
    </row>
    <row r="894" spans="2:10" s="156" customFormat="1" x14ac:dyDescent="0.3">
      <c r="B894" s="834"/>
      <c r="C894" s="835"/>
      <c r="D894" s="835"/>
      <c r="E894" s="835"/>
      <c r="F894" s="836"/>
      <c r="G894" s="365"/>
      <c r="H894" s="366"/>
      <c r="I894" s="293"/>
      <c r="J894" s="332"/>
    </row>
    <row r="895" spans="2:10" s="156" customFormat="1" x14ac:dyDescent="0.3">
      <c r="B895" s="834"/>
      <c r="C895" s="835"/>
      <c r="D895" s="835"/>
      <c r="E895" s="835"/>
      <c r="F895" s="835"/>
      <c r="G895" s="619"/>
      <c r="H895" s="620"/>
      <c r="I895" s="621"/>
      <c r="J895" s="324"/>
    </row>
    <row r="896" spans="2:10" s="156" customFormat="1" x14ac:dyDescent="0.3">
      <c r="B896" s="834"/>
      <c r="C896" s="835"/>
      <c r="D896" s="835"/>
      <c r="E896" s="835"/>
      <c r="F896" s="835"/>
      <c r="G896" s="245"/>
      <c r="H896" s="245"/>
      <c r="I896" s="237"/>
      <c r="J896" s="324"/>
    </row>
    <row r="897" spans="2:10" s="156" customFormat="1" x14ac:dyDescent="0.3">
      <c r="B897" s="849"/>
      <c r="C897" s="850"/>
      <c r="D897" s="850"/>
      <c r="E897" s="850"/>
      <c r="F897" s="850"/>
      <c r="G897" s="239"/>
      <c r="H897" s="239"/>
      <c r="I897" s="240" t="s">
        <v>153</v>
      </c>
      <c r="J897" s="334">
        <f>SUM(J894:J896)</f>
        <v>0</v>
      </c>
    </row>
    <row r="898" spans="2:10" s="156" customFormat="1" x14ac:dyDescent="0.3">
      <c r="B898" s="818"/>
      <c r="C898" s="819"/>
      <c r="D898" s="819"/>
      <c r="E898" s="319"/>
      <c r="F898" s="319"/>
      <c r="G898" s="618"/>
      <c r="H898" s="872" t="s">
        <v>160</v>
      </c>
      <c r="I898" s="873"/>
      <c r="J898" s="335">
        <f>(+J891++J897+J884+J879)</f>
        <v>6755006.9761904757</v>
      </c>
    </row>
    <row r="899" spans="2:10" s="156" customFormat="1" ht="12.75" customHeight="1" x14ac:dyDescent="0.3">
      <c r="B899" s="803"/>
      <c r="C899" s="804"/>
      <c r="D899" s="804"/>
      <c r="E899" s="804"/>
      <c r="F899" s="804"/>
      <c r="G899" s="805"/>
      <c r="H899" s="806" t="s">
        <v>1004</v>
      </c>
      <c r="I899" s="807"/>
      <c r="J899" s="722">
        <f>+ROUND(J898*'PRESUPUESTO OFICIAL (Entidad)'!$K$56,2)</f>
        <v>1756301.81</v>
      </c>
    </row>
    <row r="900" spans="2:10" s="156" customFormat="1" ht="12.75" customHeight="1" x14ac:dyDescent="0.3">
      <c r="B900" s="798"/>
      <c r="C900" s="799"/>
      <c r="D900" s="799"/>
      <c r="E900" s="799"/>
      <c r="F900" s="799"/>
      <c r="G900" s="800"/>
      <c r="H900" s="801" t="s">
        <v>291</v>
      </c>
      <c r="I900" s="802"/>
      <c r="J900" s="723">
        <f>SUM(J898:J899)</f>
        <v>8511308.7861904763</v>
      </c>
    </row>
    <row r="901" spans="2:10" s="156" customFormat="1" ht="12.75" customHeight="1" x14ac:dyDescent="0.3"/>
    <row r="902" spans="2:10" s="156" customFormat="1" x14ac:dyDescent="0.3"/>
    <row r="903" spans="2:10" s="156" customFormat="1" x14ac:dyDescent="0.3"/>
    <row r="904" spans="2:10" s="156" customFormat="1" x14ac:dyDescent="0.3">
      <c r="B904" s="861" t="s">
        <v>350</v>
      </c>
      <c r="C904" s="861" t="str">
        <f>PPTO_OBRA_GENERAL!$C$23</f>
        <v>EJECUCIÓN DE IMPLOSIÓN CONTROLADA</v>
      </c>
      <c r="D904" s="861"/>
      <c r="E904" s="861"/>
      <c r="F904" s="861"/>
      <c r="G904" s="861"/>
      <c r="H904" s="861"/>
      <c r="I904" s="861"/>
    </row>
    <row r="905" spans="2:10" s="156" customFormat="1" x14ac:dyDescent="0.3">
      <c r="B905" s="861"/>
      <c r="C905" s="861"/>
      <c r="D905" s="861"/>
      <c r="E905" s="861"/>
      <c r="F905" s="861"/>
      <c r="G905" s="861"/>
      <c r="H905" s="861"/>
      <c r="I905" s="861"/>
    </row>
    <row r="906" spans="2:10" s="156" customFormat="1" x14ac:dyDescent="0.3"/>
    <row r="907" spans="2:10" s="156" customFormat="1" ht="12.75" customHeight="1" x14ac:dyDescent="0.3"/>
    <row r="908" spans="2:10" s="156" customFormat="1" x14ac:dyDescent="0.3">
      <c r="B908" s="321" t="s">
        <v>15</v>
      </c>
      <c r="C908" s="842" t="s">
        <v>151</v>
      </c>
      <c r="D908" s="842"/>
      <c r="E908" s="842"/>
      <c r="F908" s="842"/>
      <c r="G908" s="842"/>
      <c r="H908" s="843"/>
      <c r="I908" s="260" t="s">
        <v>48</v>
      </c>
      <c r="J908" s="322" t="s">
        <v>19</v>
      </c>
    </row>
    <row r="909" spans="2:10" s="156" customFormat="1" ht="23.4" customHeight="1" x14ac:dyDescent="0.3">
      <c r="B909" s="221" t="s">
        <v>305</v>
      </c>
      <c r="C909" s="844" t="str">
        <f>'PRESUPUESTO OFICIAL (Entidad)'!$G$31</f>
        <v>Evento de implosión (incluye la detonación, los profesionales de acompañamiento estructural, demolición SST Y Ambiental</v>
      </c>
      <c r="D909" s="845"/>
      <c r="E909" s="845"/>
      <c r="F909" s="845"/>
      <c r="G909" s="845"/>
      <c r="H909" s="846"/>
      <c r="I909" s="222" t="s">
        <v>25</v>
      </c>
      <c r="J909" s="624">
        <v>15435.59</v>
      </c>
    </row>
    <row r="910" spans="2:10" s="156" customFormat="1" x14ac:dyDescent="0.3">
      <c r="B910" s="847" t="s">
        <v>152</v>
      </c>
      <c r="C910" s="848"/>
      <c r="D910" s="848"/>
      <c r="E910" s="253"/>
      <c r="F910" s="284"/>
      <c r="G910" s="284"/>
      <c r="H910" s="285"/>
      <c r="I910" s="257"/>
      <c r="J910" s="323"/>
    </row>
    <row r="911" spans="2:10" s="156" customFormat="1" x14ac:dyDescent="0.3">
      <c r="B911" s="820" t="s">
        <v>151</v>
      </c>
      <c r="C911" s="821"/>
      <c r="D911" s="821"/>
      <c r="E911" s="821"/>
      <c r="F911" s="822"/>
      <c r="G911" s="259" t="s">
        <v>48</v>
      </c>
      <c r="H911" s="259" t="s">
        <v>19</v>
      </c>
      <c r="I911" s="260" t="s">
        <v>20</v>
      </c>
      <c r="J911" s="322" t="s">
        <v>37</v>
      </c>
    </row>
    <row r="912" spans="2:10" s="156" customFormat="1" x14ac:dyDescent="0.3">
      <c r="B912" s="834"/>
      <c r="C912" s="835"/>
      <c r="D912" s="835"/>
      <c r="E912" s="835"/>
      <c r="F912" s="836"/>
      <c r="G912" s="262"/>
      <c r="H912" s="263"/>
      <c r="I912" s="264"/>
      <c r="J912" s="324"/>
    </row>
    <row r="913" spans="2:10" s="156" customFormat="1" x14ac:dyDescent="0.3">
      <c r="B913" s="834"/>
      <c r="C913" s="835"/>
      <c r="D913" s="835"/>
      <c r="E913" s="835"/>
      <c r="F913" s="836"/>
      <c r="G913" s="266"/>
      <c r="H913" s="263"/>
      <c r="I913" s="264"/>
      <c r="J913" s="324"/>
    </row>
    <row r="914" spans="2:10" s="156" customFormat="1" ht="12.75" customHeight="1" x14ac:dyDescent="0.3">
      <c r="B914" s="826"/>
      <c r="C914" s="827"/>
      <c r="D914" s="827"/>
      <c r="E914" s="268"/>
      <c r="F914" s="268"/>
      <c r="G914" s="268"/>
      <c r="H914" s="269"/>
      <c r="I914" s="270" t="s">
        <v>153</v>
      </c>
      <c r="J914" s="325">
        <f>+SUM(J912:J913)</f>
        <v>0</v>
      </c>
    </row>
    <row r="915" spans="2:10" s="156" customFormat="1" x14ac:dyDescent="0.3">
      <c r="B915" s="837" t="s">
        <v>154</v>
      </c>
      <c r="C915" s="838"/>
      <c r="D915" s="838"/>
      <c r="E915" s="255"/>
      <c r="F915" s="255"/>
      <c r="G915" s="255"/>
      <c r="H915" s="255"/>
      <c r="I915" s="272"/>
      <c r="J915" s="322"/>
    </row>
    <row r="916" spans="2:10" s="156" customFormat="1" x14ac:dyDescent="0.3">
      <c r="B916" s="820" t="s">
        <v>155</v>
      </c>
      <c r="C916" s="821"/>
      <c r="D916" s="821"/>
      <c r="E916" s="821"/>
      <c r="F916" s="822"/>
      <c r="G916" s="273" t="s">
        <v>48</v>
      </c>
      <c r="H916" s="273" t="s">
        <v>19</v>
      </c>
      <c r="I916" s="275" t="s">
        <v>187</v>
      </c>
      <c r="J916" s="326" t="s">
        <v>37</v>
      </c>
    </row>
    <row r="917" spans="2:10" s="156" customFormat="1" x14ac:dyDescent="0.3">
      <c r="B917" s="834" t="s">
        <v>227</v>
      </c>
      <c r="C917" s="835"/>
      <c r="D917" s="835"/>
      <c r="E917" s="835"/>
      <c r="F917" s="836"/>
      <c r="G917" s="367" t="s">
        <v>223</v>
      </c>
      <c r="H917" s="622">
        <f>3/15435.59</f>
        <v>1.9435603044652003E-4</v>
      </c>
      <c r="I917" s="412">
        <f>CUADRILLA!F4</f>
        <v>2970000</v>
      </c>
      <c r="J917" s="332">
        <f>H917*I917</f>
        <v>577.2374104261645</v>
      </c>
    </row>
    <row r="918" spans="2:10" s="156" customFormat="1" x14ac:dyDescent="0.3">
      <c r="B918" s="834" t="s">
        <v>228</v>
      </c>
      <c r="C918" s="835"/>
      <c r="D918" s="835"/>
      <c r="E918" s="835"/>
      <c r="F918" s="836"/>
      <c r="G918" s="367" t="s">
        <v>223</v>
      </c>
      <c r="H918" s="622">
        <f>6*5/15435.59</f>
        <v>1.9435603044652002E-3</v>
      </c>
      <c r="I918" s="412">
        <f>+I882</f>
        <v>189535.71428571429</v>
      </c>
      <c r="J918" s="332">
        <f>H918*I918</f>
        <v>368.37409056417209</v>
      </c>
    </row>
    <row r="919" spans="2:10" s="156" customFormat="1" x14ac:dyDescent="0.3">
      <c r="B919" s="839"/>
      <c r="C919" s="840"/>
      <c r="D919" s="840"/>
      <c r="E919" s="840"/>
      <c r="F919" s="841"/>
      <c r="G919" s="281"/>
      <c r="H919" s="281"/>
      <c r="I919" s="282" t="s">
        <v>153</v>
      </c>
      <c r="J919" s="328">
        <f>SUM(J917:J918)</f>
        <v>945.61150099033659</v>
      </c>
    </row>
    <row r="920" spans="2:10" s="156" customFormat="1" x14ac:dyDescent="0.3">
      <c r="B920" s="837" t="s">
        <v>158</v>
      </c>
      <c r="C920" s="838"/>
      <c r="D920" s="838"/>
      <c r="E920" s="253"/>
      <c r="F920" s="284"/>
      <c r="G920" s="284"/>
      <c r="H920" s="285"/>
      <c r="I920" s="286"/>
      <c r="J920" s="329"/>
    </row>
    <row r="921" spans="2:10" s="156" customFormat="1" x14ac:dyDescent="0.3">
      <c r="B921" s="820" t="s">
        <v>151</v>
      </c>
      <c r="C921" s="821"/>
      <c r="D921" s="821"/>
      <c r="E921" s="821"/>
      <c r="F921" s="822"/>
      <c r="G921" s="259" t="s">
        <v>48</v>
      </c>
      <c r="H921" s="259" t="s">
        <v>19</v>
      </c>
      <c r="I921" s="260" t="s">
        <v>20</v>
      </c>
      <c r="J921" s="322" t="s">
        <v>37</v>
      </c>
    </row>
    <row r="922" spans="2:10" s="156" customFormat="1" x14ac:dyDescent="0.3">
      <c r="B922" s="823"/>
      <c r="C922" s="824"/>
      <c r="D922" s="824"/>
      <c r="E922" s="824"/>
      <c r="F922" s="825"/>
      <c r="G922" s="336"/>
      <c r="H922" s="263"/>
      <c r="I922" s="289"/>
      <c r="J922" s="324"/>
    </row>
    <row r="923" spans="2:10" s="156" customFormat="1" x14ac:dyDescent="0.3">
      <c r="B923" s="823"/>
      <c r="C923" s="824"/>
      <c r="D923" s="824"/>
      <c r="E923" s="824"/>
      <c r="F923" s="825"/>
      <c r="G923" s="336"/>
      <c r="H923" s="263"/>
      <c r="I923" s="289"/>
      <c r="J923" s="324"/>
    </row>
    <row r="924" spans="2:10" s="156" customFormat="1" x14ac:dyDescent="0.3">
      <c r="B924" s="823"/>
      <c r="C924" s="824"/>
      <c r="D924" s="824"/>
      <c r="E924" s="824"/>
      <c r="F924" s="825"/>
      <c r="G924" s="370"/>
      <c r="H924" s="263"/>
      <c r="I924" s="289"/>
      <c r="J924" s="324"/>
    </row>
    <row r="925" spans="2:10" s="156" customFormat="1" x14ac:dyDescent="0.3">
      <c r="B925" s="823"/>
      <c r="C925" s="824"/>
      <c r="D925" s="824"/>
      <c r="E925" s="824"/>
      <c r="F925" s="825"/>
      <c r="G925" s="288"/>
      <c r="H925" s="263"/>
      <c r="I925" s="289"/>
      <c r="J925" s="324"/>
    </row>
    <row r="926" spans="2:10" s="156" customFormat="1" x14ac:dyDescent="0.3">
      <c r="B926" s="823"/>
      <c r="C926" s="824"/>
      <c r="D926" s="824"/>
      <c r="E926" s="824"/>
      <c r="F926" s="825"/>
      <c r="G926" s="288"/>
      <c r="H926" s="263"/>
      <c r="I926" s="289"/>
      <c r="J926" s="324"/>
    </row>
    <row r="927" spans="2:10" s="156" customFormat="1" x14ac:dyDescent="0.3">
      <c r="B927" s="826"/>
      <c r="C927" s="827"/>
      <c r="D927" s="827"/>
      <c r="E927" s="267"/>
      <c r="F927" s="267"/>
      <c r="G927" s="267"/>
      <c r="H927" s="290"/>
      <c r="I927" s="291" t="s">
        <v>153</v>
      </c>
      <c r="J927" s="330">
        <f>SUM(J922:J926)</f>
        <v>0</v>
      </c>
    </row>
    <row r="928" spans="2:10" s="156" customFormat="1" x14ac:dyDescent="0.3">
      <c r="B928" s="828" t="s">
        <v>159</v>
      </c>
      <c r="C928" s="829"/>
      <c r="D928" s="829"/>
      <c r="E928" s="829"/>
      <c r="F928" s="829"/>
      <c r="G928" s="829"/>
      <c r="H928" s="829"/>
      <c r="I928" s="829"/>
      <c r="J928" s="830"/>
    </row>
    <row r="929" spans="2:10" s="156" customFormat="1" x14ac:dyDescent="0.3">
      <c r="B929" s="831" t="s">
        <v>151</v>
      </c>
      <c r="C929" s="832"/>
      <c r="D929" s="832"/>
      <c r="E929" s="832"/>
      <c r="F929" s="833"/>
      <c r="G929" s="232" t="s">
        <v>48</v>
      </c>
      <c r="H929" s="232" t="s">
        <v>19</v>
      </c>
      <c r="I929" s="233" t="s">
        <v>20</v>
      </c>
      <c r="J929" s="331" t="s">
        <v>37</v>
      </c>
    </row>
    <row r="930" spans="2:10" s="156" customFormat="1" x14ac:dyDescent="0.3">
      <c r="B930" s="812" t="s">
        <v>262</v>
      </c>
      <c r="C930" s="813"/>
      <c r="D930" s="813"/>
      <c r="E930" s="813"/>
      <c r="F930" s="814"/>
      <c r="G930" s="608" t="s">
        <v>263</v>
      </c>
      <c r="H930" s="623">
        <v>1</v>
      </c>
      <c r="I930" s="609">
        <v>23403</v>
      </c>
      <c r="J930" s="611">
        <f>H930*I930</f>
        <v>23403</v>
      </c>
    </row>
    <row r="931" spans="2:10" s="156" customFormat="1" x14ac:dyDescent="0.3">
      <c r="B931" s="812" t="s">
        <v>264</v>
      </c>
      <c r="C931" s="813"/>
      <c r="D931" s="813"/>
      <c r="E931" s="813"/>
      <c r="F931" s="814"/>
      <c r="G931" s="245" t="s">
        <v>48</v>
      </c>
      <c r="H931" s="623">
        <v>1</v>
      </c>
      <c r="I931" s="237">
        <v>99.769428962546939</v>
      </c>
      <c r="J931" s="333">
        <f>H931*I931</f>
        <v>99.769428962546939</v>
      </c>
    </row>
    <row r="932" spans="2:10" s="156" customFormat="1" x14ac:dyDescent="0.3">
      <c r="B932" s="812" t="s">
        <v>265</v>
      </c>
      <c r="C932" s="813"/>
      <c r="D932" s="813"/>
      <c r="E932" s="813"/>
      <c r="F932" s="814"/>
      <c r="G932" s="245" t="s">
        <v>48</v>
      </c>
      <c r="H932" s="623">
        <v>1</v>
      </c>
      <c r="I932" s="237">
        <v>1271.088439120241</v>
      </c>
      <c r="J932" s="333">
        <f t="shared" ref="J932:J933" si="19">H932*I932</f>
        <v>1271.088439120241</v>
      </c>
    </row>
    <row r="933" spans="2:10" s="156" customFormat="1" x14ac:dyDescent="0.3">
      <c r="B933" s="812" t="s">
        <v>266</v>
      </c>
      <c r="C933" s="813"/>
      <c r="D933" s="813"/>
      <c r="E933" s="813"/>
      <c r="F933" s="814"/>
      <c r="G933" s="245" t="s">
        <v>48</v>
      </c>
      <c r="H933" s="623">
        <v>1</v>
      </c>
      <c r="I933" s="237">
        <v>345.95373419480563</v>
      </c>
      <c r="J933" s="333">
        <f t="shared" si="19"/>
        <v>345.95373419480563</v>
      </c>
    </row>
    <row r="934" spans="2:10" s="156" customFormat="1" x14ac:dyDescent="0.3">
      <c r="B934" s="812"/>
      <c r="C934" s="813"/>
      <c r="D934" s="813"/>
      <c r="E934" s="813"/>
      <c r="F934" s="814"/>
      <c r="G934" s="245"/>
      <c r="H934" s="245"/>
      <c r="I934" s="237"/>
      <c r="J934" s="333"/>
    </row>
    <row r="935" spans="2:10" s="156" customFormat="1" ht="12.75" customHeight="1" x14ac:dyDescent="0.3">
      <c r="B935" s="812"/>
      <c r="C935" s="813"/>
      <c r="D935" s="813"/>
      <c r="E935" s="813"/>
      <c r="F935" s="814"/>
      <c r="G935" s="245"/>
      <c r="H935" s="245"/>
      <c r="I935" s="237"/>
      <c r="J935" s="333"/>
    </row>
    <row r="936" spans="2:10" s="156" customFormat="1" ht="12.75" customHeight="1" x14ac:dyDescent="0.3">
      <c r="B936" s="812"/>
      <c r="C936" s="813"/>
      <c r="D936" s="813"/>
      <c r="E936" s="813"/>
      <c r="F936" s="814"/>
      <c r="G936" s="245"/>
      <c r="H936" s="245"/>
      <c r="I936" s="237"/>
      <c r="J936" s="333"/>
    </row>
    <row r="937" spans="2:10" s="156" customFormat="1" ht="12.75" customHeight="1" x14ac:dyDescent="0.3">
      <c r="B937" s="815"/>
      <c r="C937" s="816"/>
      <c r="D937" s="816"/>
      <c r="E937" s="816"/>
      <c r="F937" s="817"/>
      <c r="G937" s="316"/>
      <c r="H937" s="316"/>
      <c r="I937" s="317" t="s">
        <v>153</v>
      </c>
      <c r="J937" s="334">
        <f>SUM(J930:J936)</f>
        <v>25119.811602277594</v>
      </c>
    </row>
    <row r="938" spans="2:10" s="156" customFormat="1" x14ac:dyDescent="0.3">
      <c r="B938" s="818"/>
      <c r="C938" s="819"/>
      <c r="D938" s="819"/>
      <c r="E938" s="319"/>
      <c r="F938" s="319"/>
      <c r="G938" s="319"/>
      <c r="H938" s="810" t="s">
        <v>160</v>
      </c>
      <c r="I938" s="811"/>
      <c r="J938" s="248">
        <f>(J927++J937+J919+J914)</f>
        <v>26065.423103267931</v>
      </c>
    </row>
    <row r="939" spans="2:10" s="156" customFormat="1" x14ac:dyDescent="0.3">
      <c r="B939" s="803"/>
      <c r="C939" s="804"/>
      <c r="D939" s="804"/>
      <c r="E939" s="804"/>
      <c r="F939" s="804"/>
      <c r="G939" s="805"/>
      <c r="H939" s="806" t="s">
        <v>1004</v>
      </c>
      <c r="I939" s="807"/>
      <c r="J939" s="722">
        <f>+ROUND(J938*'PRESUPUESTO OFICIAL (Entidad)'!$K$56,2)</f>
        <v>6777.01</v>
      </c>
    </row>
    <row r="940" spans="2:10" s="156" customFormat="1" x14ac:dyDescent="0.3">
      <c r="B940" s="798"/>
      <c r="C940" s="799"/>
      <c r="D940" s="799"/>
      <c r="E940" s="799"/>
      <c r="F940" s="799"/>
      <c r="G940" s="800"/>
      <c r="H940" s="801" t="s">
        <v>291</v>
      </c>
      <c r="I940" s="802"/>
      <c r="J940" s="723">
        <f>SUM(J938:J939)</f>
        <v>32842.433103267933</v>
      </c>
    </row>
    <row r="941" spans="2:10" s="156" customFormat="1" x14ac:dyDescent="0.3"/>
    <row r="942" spans="2:10" s="156" customFormat="1" x14ac:dyDescent="0.3"/>
    <row r="943" spans="2:10" s="156" customFormat="1" ht="12.75" customHeight="1" x14ac:dyDescent="0.3"/>
    <row r="944" spans="2:10" s="156" customFormat="1" x14ac:dyDescent="0.3"/>
    <row r="945" spans="2:10" s="156" customFormat="1" x14ac:dyDescent="0.3">
      <c r="B945" s="321" t="s">
        <v>15</v>
      </c>
      <c r="C945" s="842" t="s">
        <v>151</v>
      </c>
      <c r="D945" s="842"/>
      <c r="E945" s="842"/>
      <c r="F945" s="842"/>
      <c r="G945" s="842"/>
      <c r="H945" s="843"/>
      <c r="I945" s="260" t="s">
        <v>48</v>
      </c>
      <c r="J945" s="322" t="s">
        <v>19</v>
      </c>
    </row>
    <row r="946" spans="2:10" s="156" customFormat="1" ht="30.6" customHeight="1" x14ac:dyDescent="0.3">
      <c r="B946" s="221" t="s">
        <v>306</v>
      </c>
      <c r="C946" s="844" t="str">
        <f>'PRESUPUESTO OFICIAL (Entidad)'!$G$32</f>
        <v>Seguimiento de vibraciones mediante sismógrafos (Incluye la instalación, el seguimiento y el informe de onda sísmica originada por el derribo controlado del edificio)</v>
      </c>
      <c r="D946" s="845"/>
      <c r="E946" s="845"/>
      <c r="F946" s="845"/>
      <c r="G946" s="845"/>
      <c r="H946" s="846"/>
      <c r="I946" s="222" t="s">
        <v>25</v>
      </c>
      <c r="J946" s="223">
        <v>15435.59</v>
      </c>
    </row>
    <row r="947" spans="2:10" s="156" customFormat="1" x14ac:dyDescent="0.3">
      <c r="B947" s="847" t="s">
        <v>152</v>
      </c>
      <c r="C947" s="848"/>
      <c r="D947" s="848"/>
      <c r="E947" s="253"/>
      <c r="F947" s="284"/>
      <c r="G947" s="284"/>
      <c r="H947" s="285"/>
      <c r="I947" s="257"/>
      <c r="J947" s="323"/>
    </row>
    <row r="948" spans="2:10" s="156" customFormat="1" x14ac:dyDescent="0.3">
      <c r="B948" s="820" t="s">
        <v>151</v>
      </c>
      <c r="C948" s="821"/>
      <c r="D948" s="821"/>
      <c r="E948" s="821"/>
      <c r="F948" s="822"/>
      <c r="G948" s="259" t="s">
        <v>48</v>
      </c>
      <c r="H948" s="259" t="s">
        <v>19</v>
      </c>
      <c r="I948" s="260" t="s">
        <v>20</v>
      </c>
      <c r="J948" s="322" t="s">
        <v>37</v>
      </c>
    </row>
    <row r="949" spans="2:10" s="156" customFormat="1" ht="12.75" customHeight="1" x14ac:dyDescent="0.3">
      <c r="B949" s="834"/>
      <c r="C949" s="835"/>
      <c r="D949" s="835"/>
      <c r="E949" s="835"/>
      <c r="F949" s="836"/>
      <c r="G949" s="262"/>
      <c r="H949" s="263"/>
      <c r="I949" s="373"/>
      <c r="J949" s="324"/>
    </row>
    <row r="950" spans="2:10" s="156" customFormat="1" ht="36" customHeight="1" x14ac:dyDescent="0.3">
      <c r="B950" s="834"/>
      <c r="C950" s="835"/>
      <c r="D950" s="835"/>
      <c r="E950" s="835"/>
      <c r="F950" s="836"/>
      <c r="G950" s="266"/>
      <c r="H950" s="263"/>
      <c r="I950" s="373"/>
      <c r="J950" s="324"/>
    </row>
    <row r="951" spans="2:10" s="156" customFormat="1" x14ac:dyDescent="0.3">
      <c r="B951" s="834"/>
      <c r="C951" s="835"/>
      <c r="D951" s="835"/>
      <c r="E951" s="835"/>
      <c r="F951" s="836"/>
      <c r="G951" s="266"/>
      <c r="H951" s="263"/>
      <c r="I951" s="373"/>
      <c r="J951" s="324"/>
    </row>
    <row r="952" spans="2:10" s="156" customFormat="1" x14ac:dyDescent="0.3">
      <c r="B952" s="834"/>
      <c r="C952" s="835"/>
      <c r="D952" s="835"/>
      <c r="E952" s="835"/>
      <c r="F952" s="836"/>
      <c r="G952" s="266"/>
      <c r="H952" s="374"/>
      <c r="I952" s="373"/>
      <c r="J952" s="324"/>
    </row>
    <row r="953" spans="2:10" s="156" customFormat="1" x14ac:dyDescent="0.3">
      <c r="B953" s="826"/>
      <c r="C953" s="827"/>
      <c r="D953" s="827"/>
      <c r="E953" s="268"/>
      <c r="F953" s="268"/>
      <c r="G953" s="268"/>
      <c r="H953" s="269"/>
      <c r="I953" s="270" t="s">
        <v>153</v>
      </c>
      <c r="J953" s="325">
        <f>+SUM(J949:J952)</f>
        <v>0</v>
      </c>
    </row>
    <row r="954" spans="2:10" s="156" customFormat="1" x14ac:dyDescent="0.3">
      <c r="B954" s="837" t="s">
        <v>154</v>
      </c>
      <c r="C954" s="838"/>
      <c r="D954" s="838"/>
      <c r="E954" s="255"/>
      <c r="F954" s="255"/>
      <c r="G954" s="255"/>
      <c r="H954" s="255"/>
      <c r="I954" s="272"/>
      <c r="J954" s="322"/>
    </row>
    <row r="955" spans="2:10" s="156" customFormat="1" x14ac:dyDescent="0.3">
      <c r="B955" s="820" t="s">
        <v>155</v>
      </c>
      <c r="C955" s="821"/>
      <c r="D955" s="821"/>
      <c r="E955" s="821"/>
      <c r="F955" s="822"/>
      <c r="G955" s="273" t="s">
        <v>48</v>
      </c>
      <c r="H955" s="273" t="s">
        <v>19</v>
      </c>
      <c r="I955" s="275" t="s">
        <v>187</v>
      </c>
      <c r="J955" s="326" t="s">
        <v>37</v>
      </c>
    </row>
    <row r="956" spans="2:10" s="156" customFormat="1" x14ac:dyDescent="0.3">
      <c r="B956" s="834" t="s">
        <v>267</v>
      </c>
      <c r="C956" s="835"/>
      <c r="D956" s="835"/>
      <c r="E956" s="835"/>
      <c r="F956" s="836"/>
      <c r="G956" s="367" t="s">
        <v>223</v>
      </c>
      <c r="H956" s="622">
        <f>3*4/15435.59</f>
        <v>7.7742412178608011E-4</v>
      </c>
      <c r="I956" s="412">
        <f>+I918</f>
        <v>189535.71428571429</v>
      </c>
      <c r="J956" s="332">
        <f>H956*I956</f>
        <v>147.34963622566883</v>
      </c>
    </row>
    <row r="957" spans="2:10" s="156" customFormat="1" x14ac:dyDescent="0.3">
      <c r="B957" s="834"/>
      <c r="C957" s="835"/>
      <c r="D957" s="835"/>
      <c r="E957" s="835"/>
      <c r="F957" s="836"/>
      <c r="G957" s="367"/>
      <c r="H957" s="368"/>
      <c r="I957" s="369"/>
      <c r="J957" s="332"/>
    </row>
    <row r="958" spans="2:10" s="156" customFormat="1" x14ac:dyDescent="0.3">
      <c r="B958" s="839"/>
      <c r="C958" s="840"/>
      <c r="D958" s="840"/>
      <c r="E958" s="840"/>
      <c r="F958" s="841"/>
      <c r="G958" s="281"/>
      <c r="H958" s="281"/>
      <c r="I958" s="282" t="s">
        <v>153</v>
      </c>
      <c r="J958" s="328">
        <f>SUM(J956:J957)</f>
        <v>147.34963622566883</v>
      </c>
    </row>
    <row r="959" spans="2:10" s="156" customFormat="1" x14ac:dyDescent="0.3">
      <c r="B959" s="837" t="s">
        <v>158</v>
      </c>
      <c r="C959" s="838"/>
      <c r="D959" s="838"/>
      <c r="E959" s="253"/>
      <c r="F959" s="284"/>
      <c r="G959" s="284"/>
      <c r="H959" s="285"/>
      <c r="I959" s="286"/>
      <c r="J959" s="329"/>
    </row>
    <row r="960" spans="2:10" s="156" customFormat="1" x14ac:dyDescent="0.3">
      <c r="B960" s="820" t="s">
        <v>151</v>
      </c>
      <c r="C960" s="821"/>
      <c r="D960" s="821"/>
      <c r="E960" s="821"/>
      <c r="F960" s="822"/>
      <c r="G960" s="259" t="s">
        <v>48</v>
      </c>
      <c r="H960" s="259" t="s">
        <v>19</v>
      </c>
      <c r="I960" s="260" t="s">
        <v>20</v>
      </c>
      <c r="J960" s="322" t="s">
        <v>37</v>
      </c>
    </row>
    <row r="961" spans="2:10" s="156" customFormat="1" x14ac:dyDescent="0.3">
      <c r="B961" s="823"/>
      <c r="C961" s="824"/>
      <c r="D961" s="824"/>
      <c r="E961" s="824"/>
      <c r="F961" s="825"/>
      <c r="G961" s="372"/>
      <c r="H961" s="374"/>
      <c r="I961" s="371"/>
      <c r="J961" s="324"/>
    </row>
    <row r="962" spans="2:10" s="156" customFormat="1" x14ac:dyDescent="0.3">
      <c r="B962" s="823"/>
      <c r="C962" s="824"/>
      <c r="D962" s="824"/>
      <c r="E962" s="824"/>
      <c r="F962" s="825"/>
      <c r="G962" s="288"/>
      <c r="H962" s="288"/>
      <c r="I962" s="289"/>
      <c r="J962" s="324"/>
    </row>
    <row r="963" spans="2:10" s="156" customFormat="1" x14ac:dyDescent="0.3">
      <c r="B963" s="826"/>
      <c r="C963" s="827"/>
      <c r="D963" s="827"/>
      <c r="E963" s="267"/>
      <c r="F963" s="267"/>
      <c r="G963" s="267"/>
      <c r="H963" s="290"/>
      <c r="I963" s="291" t="s">
        <v>153</v>
      </c>
      <c r="J963" s="330">
        <f>SUM(J961:J962)</f>
        <v>0</v>
      </c>
    </row>
    <row r="964" spans="2:10" s="156" customFormat="1" x14ac:dyDescent="0.3">
      <c r="B964" s="828" t="s">
        <v>159</v>
      </c>
      <c r="C964" s="829"/>
      <c r="D964" s="829"/>
      <c r="E964" s="829"/>
      <c r="F964" s="829"/>
      <c r="G964" s="829"/>
      <c r="H964" s="829"/>
      <c r="I964" s="829"/>
      <c r="J964" s="830"/>
    </row>
    <row r="965" spans="2:10" s="156" customFormat="1" x14ac:dyDescent="0.3">
      <c r="B965" s="831" t="s">
        <v>151</v>
      </c>
      <c r="C965" s="832"/>
      <c r="D965" s="832"/>
      <c r="E965" s="832"/>
      <c r="F965" s="833"/>
      <c r="G965" s="232" t="s">
        <v>48</v>
      </c>
      <c r="H965" s="232" t="s">
        <v>19</v>
      </c>
      <c r="I965" s="233" t="s">
        <v>20</v>
      </c>
      <c r="J965" s="331" t="s">
        <v>37</v>
      </c>
    </row>
    <row r="966" spans="2:10" s="156" customFormat="1" ht="28.2" customHeight="1" x14ac:dyDescent="0.3">
      <c r="B966" s="812" t="s">
        <v>268</v>
      </c>
      <c r="C966" s="813"/>
      <c r="D966" s="813"/>
      <c r="E966" s="813"/>
      <c r="F966" s="868"/>
      <c r="G966" s="266" t="s">
        <v>48</v>
      </c>
      <c r="H966" s="632">
        <v>1</v>
      </c>
      <c r="I966" s="373">
        <v>1713.4825037462124</v>
      </c>
      <c r="J966" s="324">
        <f>H966*I966</f>
        <v>1713.4825037462124</v>
      </c>
    </row>
    <row r="967" spans="2:10" s="156" customFormat="1" ht="25.2" customHeight="1" x14ac:dyDescent="0.3">
      <c r="B967" s="869" t="s">
        <v>269</v>
      </c>
      <c r="C967" s="870"/>
      <c r="D967" s="870"/>
      <c r="E967" s="870"/>
      <c r="F967" s="871"/>
      <c r="G967" s="266" t="s">
        <v>48</v>
      </c>
      <c r="H967" s="632">
        <v>1</v>
      </c>
      <c r="I967" s="373">
        <v>2331.5597265799361</v>
      </c>
      <c r="J967" s="324">
        <f>H967*I967</f>
        <v>2331.5597265799361</v>
      </c>
    </row>
    <row r="968" spans="2:10" s="156" customFormat="1" ht="17.100000000000001" customHeight="1" x14ac:dyDescent="0.3">
      <c r="B968" s="812" t="s">
        <v>261</v>
      </c>
      <c r="C968" s="813"/>
      <c r="D968" s="813"/>
      <c r="E968" s="813"/>
      <c r="F968" s="814"/>
      <c r="G968" s="245" t="s">
        <v>270</v>
      </c>
      <c r="H968" s="633">
        <v>1</v>
      </c>
      <c r="I968" s="237">
        <v>74.373574317534988</v>
      </c>
      <c r="J968" s="333">
        <f>H968*I968</f>
        <v>74.373574317534988</v>
      </c>
    </row>
    <row r="969" spans="2:10" s="156" customFormat="1" ht="12.75" customHeight="1" x14ac:dyDescent="0.3">
      <c r="B969" s="812"/>
      <c r="C969" s="813"/>
      <c r="D969" s="813"/>
      <c r="E969" s="813"/>
      <c r="F969" s="814"/>
      <c r="G969" s="245"/>
      <c r="H969" s="245"/>
      <c r="I969" s="237"/>
      <c r="J969" s="333"/>
    </row>
    <row r="970" spans="2:10" s="156" customFormat="1" ht="12.75" customHeight="1" x14ac:dyDescent="0.3">
      <c r="B970" s="812"/>
      <c r="C970" s="813"/>
      <c r="D970" s="813"/>
      <c r="E970" s="813"/>
      <c r="F970" s="814"/>
      <c r="G970" s="245"/>
      <c r="H970" s="245"/>
      <c r="I970" s="237"/>
      <c r="J970" s="333"/>
    </row>
    <row r="971" spans="2:10" s="156" customFormat="1" x14ac:dyDescent="0.3">
      <c r="B971" s="812"/>
      <c r="C971" s="813"/>
      <c r="D971" s="813"/>
      <c r="E971" s="813"/>
      <c r="F971" s="814"/>
      <c r="G971" s="245"/>
      <c r="H971" s="245"/>
      <c r="I971" s="237"/>
      <c r="J971" s="333"/>
    </row>
    <row r="972" spans="2:10" s="156" customFormat="1" x14ac:dyDescent="0.3">
      <c r="B972" s="812"/>
      <c r="C972" s="813"/>
      <c r="D972" s="813"/>
      <c r="E972" s="813"/>
      <c r="F972" s="814"/>
      <c r="G972" s="245"/>
      <c r="H972" s="245"/>
      <c r="I972" s="237"/>
      <c r="J972" s="333"/>
    </row>
    <row r="973" spans="2:10" s="156" customFormat="1" x14ac:dyDescent="0.3">
      <c r="B973" s="815"/>
      <c r="C973" s="816"/>
      <c r="D973" s="816"/>
      <c r="E973" s="816"/>
      <c r="F973" s="817"/>
      <c r="G973" s="316"/>
      <c r="H973" s="316"/>
      <c r="I973" s="317" t="s">
        <v>153</v>
      </c>
      <c r="J973" s="334">
        <f>SUM(J966:J972)</f>
        <v>4119.4158046436833</v>
      </c>
    </row>
    <row r="974" spans="2:10" s="156" customFormat="1" x14ac:dyDescent="0.3">
      <c r="B974" s="818"/>
      <c r="C974" s="819"/>
      <c r="D974" s="819"/>
      <c r="E974" s="319"/>
      <c r="F974" s="319"/>
      <c r="G974" s="319"/>
      <c r="H974" s="810" t="s">
        <v>160</v>
      </c>
      <c r="I974" s="811"/>
      <c r="J974" s="335">
        <f>(J953+J958+J963+J973)</f>
        <v>4266.7654408693525</v>
      </c>
    </row>
    <row r="975" spans="2:10" s="156" customFormat="1" x14ac:dyDescent="0.3">
      <c r="B975" s="803"/>
      <c r="C975" s="804"/>
      <c r="D975" s="804"/>
      <c r="E975" s="804"/>
      <c r="F975" s="804"/>
      <c r="G975" s="805"/>
      <c r="H975" s="806" t="s">
        <v>1004</v>
      </c>
      <c r="I975" s="807"/>
      <c r="J975" s="722">
        <f>+ROUND(J974*'PRESUPUESTO OFICIAL (Entidad)'!$K$56,2)</f>
        <v>1109.3599999999999</v>
      </c>
    </row>
    <row r="976" spans="2:10" s="156" customFormat="1" ht="12.75" customHeight="1" x14ac:dyDescent="0.3">
      <c r="B976" s="798"/>
      <c r="C976" s="799"/>
      <c r="D976" s="799"/>
      <c r="E976" s="799"/>
      <c r="F976" s="799"/>
      <c r="G976" s="800"/>
      <c r="H976" s="801" t="s">
        <v>291</v>
      </c>
      <c r="I976" s="802"/>
      <c r="J976" s="723">
        <f>SUM(J974:J975)</f>
        <v>5376.1254408693521</v>
      </c>
    </row>
    <row r="977" spans="2:10" s="156" customFormat="1" x14ac:dyDescent="0.3">
      <c r="B977" s="298"/>
      <c r="C977" s="298"/>
      <c r="D977" s="298"/>
      <c r="E977" s="298"/>
      <c r="F977" s="298"/>
      <c r="G977" s="298"/>
      <c r="H977" s="312"/>
      <c r="I977" s="312"/>
      <c r="J977" s="313"/>
    </row>
    <row r="978" spans="2:10" s="156" customFormat="1" x14ac:dyDescent="0.3">
      <c r="B978" s="298"/>
      <c r="C978" s="298"/>
      <c r="D978" s="298"/>
      <c r="E978" s="298"/>
      <c r="F978" s="298"/>
      <c r="G978" s="298"/>
      <c r="H978" s="312"/>
      <c r="I978" s="312"/>
      <c r="J978" s="313"/>
    </row>
    <row r="979" spans="2:10" s="156" customFormat="1" x14ac:dyDescent="0.3"/>
    <row r="980" spans="2:10" s="156" customFormat="1" x14ac:dyDescent="0.3">
      <c r="B980" s="321" t="s">
        <v>15</v>
      </c>
      <c r="C980" s="842" t="s">
        <v>151</v>
      </c>
      <c r="D980" s="842"/>
      <c r="E980" s="842"/>
      <c r="F980" s="842"/>
      <c r="G980" s="842"/>
      <c r="H980" s="843"/>
      <c r="I980" s="260" t="s">
        <v>48</v>
      </c>
      <c r="J980" s="322" t="s">
        <v>19</v>
      </c>
    </row>
    <row r="981" spans="2:10" s="156" customFormat="1" ht="28.2" customHeight="1" x14ac:dyDescent="0.3">
      <c r="B981" s="221" t="s">
        <v>307</v>
      </c>
      <c r="C981" s="844" t="str">
        <f>'PRESUPUESTO OFICIAL (Entidad)'!$G$33</f>
        <v>Inspección y aseguramiento de zona implosionada (Incluye, la verificación de la estructura con los diferentes especialistas</v>
      </c>
      <c r="D981" s="845"/>
      <c r="E981" s="845"/>
      <c r="F981" s="845"/>
      <c r="G981" s="845"/>
      <c r="H981" s="846"/>
      <c r="I981" s="222" t="s">
        <v>25</v>
      </c>
      <c r="J981" s="223">
        <v>15435.59</v>
      </c>
    </row>
    <row r="982" spans="2:10" s="156" customFormat="1" x14ac:dyDescent="0.3">
      <c r="B982" s="847" t="s">
        <v>152</v>
      </c>
      <c r="C982" s="848"/>
      <c r="D982" s="848"/>
      <c r="E982" s="253"/>
      <c r="F982" s="284"/>
      <c r="G982" s="284"/>
      <c r="H982" s="285"/>
      <c r="I982" s="257"/>
      <c r="J982" s="323"/>
    </row>
    <row r="983" spans="2:10" s="156" customFormat="1" x14ac:dyDescent="0.3">
      <c r="B983" s="820" t="s">
        <v>151</v>
      </c>
      <c r="C983" s="821"/>
      <c r="D983" s="821"/>
      <c r="E983" s="821"/>
      <c r="F983" s="822"/>
      <c r="G983" s="259" t="s">
        <v>48</v>
      </c>
      <c r="H983" s="259" t="s">
        <v>19</v>
      </c>
      <c r="I983" s="260" t="s">
        <v>20</v>
      </c>
      <c r="J983" s="322" t="s">
        <v>37</v>
      </c>
    </row>
    <row r="984" spans="2:10" s="156" customFormat="1" x14ac:dyDescent="0.3">
      <c r="B984" s="834"/>
      <c r="C984" s="835"/>
      <c r="D984" s="835"/>
      <c r="E984" s="835"/>
      <c r="F984" s="836"/>
      <c r="G984" s="266"/>
      <c r="H984" s="263"/>
      <c r="I984" s="373"/>
      <c r="J984" s="324"/>
    </row>
    <row r="985" spans="2:10" s="156" customFormat="1" ht="12.75" customHeight="1" x14ac:dyDescent="0.3">
      <c r="B985" s="834"/>
      <c r="C985" s="835"/>
      <c r="D985" s="835"/>
      <c r="E985" s="835"/>
      <c r="F985" s="836"/>
      <c r="G985" s="266"/>
      <c r="H985" s="263"/>
      <c r="I985" s="264"/>
      <c r="J985" s="324"/>
    </row>
    <row r="986" spans="2:10" s="156" customFormat="1" x14ac:dyDescent="0.3">
      <c r="B986" s="826"/>
      <c r="C986" s="827"/>
      <c r="D986" s="827"/>
      <c r="E986" s="268"/>
      <c r="F986" s="268"/>
      <c r="G986" s="268"/>
      <c r="H986" s="269"/>
      <c r="I986" s="270" t="s">
        <v>153</v>
      </c>
      <c r="J986" s="325">
        <f>+SUM(J984:J985)</f>
        <v>0</v>
      </c>
    </row>
    <row r="987" spans="2:10" s="156" customFormat="1" x14ac:dyDescent="0.3">
      <c r="B987" s="837" t="s">
        <v>154</v>
      </c>
      <c r="C987" s="838"/>
      <c r="D987" s="838"/>
      <c r="E987" s="255"/>
      <c r="F987" s="255"/>
      <c r="G987" s="255"/>
      <c r="H987" s="255"/>
      <c r="I987" s="272"/>
      <c r="J987" s="322"/>
    </row>
    <row r="988" spans="2:10" s="156" customFormat="1" x14ac:dyDescent="0.3">
      <c r="B988" s="820" t="s">
        <v>155</v>
      </c>
      <c r="C988" s="821"/>
      <c r="D988" s="821"/>
      <c r="E988" s="821"/>
      <c r="F988" s="822"/>
      <c r="G988" s="273" t="s">
        <v>48</v>
      </c>
      <c r="H988" s="273" t="s">
        <v>19</v>
      </c>
      <c r="I988" s="275" t="s">
        <v>187</v>
      </c>
      <c r="J988" s="326" t="s">
        <v>37</v>
      </c>
    </row>
    <row r="989" spans="2:10" s="156" customFormat="1" x14ac:dyDescent="0.3">
      <c r="B989" s="823"/>
      <c r="C989" s="824"/>
      <c r="D989" s="824"/>
      <c r="E989" s="824"/>
      <c r="F989" s="825"/>
      <c r="G989" s="367"/>
      <c r="H989" s="368"/>
      <c r="I989" s="369"/>
      <c r="J989" s="332"/>
    </row>
    <row r="990" spans="2:10" s="156" customFormat="1" x14ac:dyDescent="0.3">
      <c r="B990" s="834"/>
      <c r="C990" s="835"/>
      <c r="D990" s="835"/>
      <c r="E990" s="835"/>
      <c r="F990" s="836"/>
      <c r="G990" s="367"/>
      <c r="H990" s="368"/>
      <c r="I990" s="369"/>
      <c r="J990" s="332"/>
    </row>
    <row r="991" spans="2:10" s="156" customFormat="1" x14ac:dyDescent="0.3">
      <c r="B991" s="839"/>
      <c r="C991" s="840"/>
      <c r="D991" s="840"/>
      <c r="E991" s="840"/>
      <c r="F991" s="841"/>
      <c r="G991" s="281"/>
      <c r="H991" s="281"/>
      <c r="I991" s="282" t="s">
        <v>153</v>
      </c>
      <c r="J991" s="328">
        <f>SUM(J989:J990)</f>
        <v>0</v>
      </c>
    </row>
    <row r="992" spans="2:10" s="156" customFormat="1" x14ac:dyDescent="0.3">
      <c r="B992" s="837" t="s">
        <v>158</v>
      </c>
      <c r="C992" s="838"/>
      <c r="D992" s="838"/>
      <c r="E992" s="253"/>
      <c r="F992" s="284"/>
      <c r="G992" s="284"/>
      <c r="H992" s="285"/>
      <c r="I992" s="286"/>
      <c r="J992" s="329"/>
    </row>
    <row r="993" spans="2:10" s="156" customFormat="1" x14ac:dyDescent="0.3">
      <c r="B993" s="820" t="s">
        <v>151</v>
      </c>
      <c r="C993" s="821"/>
      <c r="D993" s="821"/>
      <c r="E993" s="821"/>
      <c r="F993" s="822"/>
      <c r="G993" s="259" t="s">
        <v>48</v>
      </c>
      <c r="H993" s="259" t="s">
        <v>19</v>
      </c>
      <c r="I993" s="260" t="s">
        <v>20</v>
      </c>
      <c r="J993" s="322" t="s">
        <v>37</v>
      </c>
    </row>
    <row r="994" spans="2:10" s="156" customFormat="1" x14ac:dyDescent="0.3">
      <c r="B994" s="823"/>
      <c r="C994" s="824"/>
      <c r="D994" s="824"/>
      <c r="E994" s="824"/>
      <c r="F994" s="825"/>
      <c r="G994" s="288"/>
      <c r="H994" s="288"/>
      <c r="I994" s="289"/>
      <c r="J994" s="324">
        <f>ROUND(H994*I994,0)</f>
        <v>0</v>
      </c>
    </row>
    <row r="995" spans="2:10" s="156" customFormat="1" x14ac:dyDescent="0.3">
      <c r="B995" s="823"/>
      <c r="C995" s="824"/>
      <c r="D995" s="824"/>
      <c r="E995" s="824"/>
      <c r="F995" s="825"/>
      <c r="G995" s="288"/>
      <c r="H995" s="288"/>
      <c r="I995" s="289"/>
      <c r="J995" s="324"/>
    </row>
    <row r="996" spans="2:10" s="156" customFormat="1" x14ac:dyDescent="0.3">
      <c r="B996" s="826"/>
      <c r="C996" s="827"/>
      <c r="D996" s="827"/>
      <c r="E996" s="267"/>
      <c r="F996" s="267"/>
      <c r="G996" s="267"/>
      <c r="H996" s="290"/>
      <c r="I996" s="291" t="s">
        <v>153</v>
      </c>
      <c r="J996" s="330">
        <f>SUM(J994:J995)</f>
        <v>0</v>
      </c>
    </row>
    <row r="997" spans="2:10" s="156" customFormat="1" x14ac:dyDescent="0.3">
      <c r="B997" s="828" t="s">
        <v>159</v>
      </c>
      <c r="C997" s="829"/>
      <c r="D997" s="829"/>
      <c r="E997" s="829"/>
      <c r="F997" s="829"/>
      <c r="G997" s="829"/>
      <c r="H997" s="829"/>
      <c r="I997" s="829"/>
      <c r="J997" s="830"/>
    </row>
    <row r="998" spans="2:10" s="156" customFormat="1" x14ac:dyDescent="0.3">
      <c r="B998" s="831" t="s">
        <v>151</v>
      </c>
      <c r="C998" s="832"/>
      <c r="D998" s="832"/>
      <c r="E998" s="832"/>
      <c r="F998" s="833"/>
      <c r="G998" s="232" t="s">
        <v>48</v>
      </c>
      <c r="H998" s="232" t="s">
        <v>19</v>
      </c>
      <c r="I998" s="233" t="s">
        <v>20</v>
      </c>
      <c r="J998" s="331" t="s">
        <v>37</v>
      </c>
    </row>
    <row r="999" spans="2:10" s="156" customFormat="1" x14ac:dyDescent="0.3">
      <c r="B999" s="862" t="s">
        <v>271</v>
      </c>
      <c r="C999" s="863"/>
      <c r="D999" s="863"/>
      <c r="E999" s="863"/>
      <c r="F999" s="864"/>
      <c r="G999" s="367" t="s">
        <v>290</v>
      </c>
      <c r="H999" s="377">
        <v>1</v>
      </c>
      <c r="I999" s="237">
        <v>677.02627499175605</v>
      </c>
      <c r="J999" s="332">
        <f>H999*I999</f>
        <v>677.02627499175605</v>
      </c>
    </row>
    <row r="1000" spans="2:10" s="156" customFormat="1" x14ac:dyDescent="0.3">
      <c r="B1000" s="865" t="s">
        <v>934</v>
      </c>
      <c r="C1000" s="866"/>
      <c r="D1000" s="866"/>
      <c r="E1000" s="866"/>
      <c r="F1000" s="867"/>
      <c r="G1000" s="245" t="s">
        <v>290</v>
      </c>
      <c r="H1000" s="377">
        <v>1</v>
      </c>
      <c r="I1000" s="237">
        <v>415.92190515555285</v>
      </c>
      <c r="J1000" s="332">
        <f>H1000*I1000</f>
        <v>415.92190515555285</v>
      </c>
    </row>
    <row r="1001" spans="2:10" s="156" customFormat="1" x14ac:dyDescent="0.3">
      <c r="B1001" s="812"/>
      <c r="C1001" s="813"/>
      <c r="D1001" s="813"/>
      <c r="E1001" s="813"/>
      <c r="F1001" s="814"/>
      <c r="G1001" s="245"/>
      <c r="H1001" s="245"/>
      <c r="I1001" s="237"/>
      <c r="J1001" s="332"/>
    </row>
    <row r="1002" spans="2:10" s="156" customFormat="1" x14ac:dyDescent="0.3">
      <c r="B1002" s="812"/>
      <c r="C1002" s="813"/>
      <c r="D1002" s="813"/>
      <c r="E1002" s="813"/>
      <c r="F1002" s="814"/>
      <c r="G1002" s="245"/>
      <c r="H1002" s="245"/>
      <c r="I1002" s="237"/>
      <c r="J1002" s="333"/>
    </row>
    <row r="1003" spans="2:10" s="156" customFormat="1" x14ac:dyDescent="0.3">
      <c r="B1003" s="812"/>
      <c r="C1003" s="813"/>
      <c r="D1003" s="813"/>
      <c r="E1003" s="813"/>
      <c r="F1003" s="814"/>
      <c r="G1003" s="245"/>
      <c r="H1003" s="245"/>
      <c r="I1003" s="237"/>
      <c r="J1003" s="333"/>
    </row>
    <row r="1004" spans="2:10" s="156" customFormat="1" ht="12.75" customHeight="1" x14ac:dyDescent="0.3">
      <c r="B1004" s="812"/>
      <c r="C1004" s="813"/>
      <c r="D1004" s="813"/>
      <c r="E1004" s="813"/>
      <c r="F1004" s="814"/>
      <c r="G1004" s="245"/>
      <c r="H1004" s="245"/>
      <c r="I1004" s="237"/>
      <c r="J1004" s="333"/>
    </row>
    <row r="1005" spans="2:10" s="156" customFormat="1" ht="12.75" customHeight="1" x14ac:dyDescent="0.3">
      <c r="B1005" s="812"/>
      <c r="C1005" s="813"/>
      <c r="D1005" s="813"/>
      <c r="E1005" s="813"/>
      <c r="F1005" s="814"/>
      <c r="G1005" s="245"/>
      <c r="H1005" s="245"/>
      <c r="I1005" s="237"/>
      <c r="J1005" s="333"/>
    </row>
    <row r="1006" spans="2:10" s="156" customFormat="1" ht="12.75" customHeight="1" x14ac:dyDescent="0.3">
      <c r="B1006" s="815"/>
      <c r="C1006" s="816"/>
      <c r="D1006" s="816"/>
      <c r="E1006" s="816"/>
      <c r="F1006" s="817"/>
      <c r="G1006" s="316"/>
      <c r="H1006" s="316"/>
      <c r="I1006" s="317" t="s">
        <v>153</v>
      </c>
      <c r="J1006" s="334">
        <f>SUM(J999:J1005)</f>
        <v>1092.9481801473089</v>
      </c>
    </row>
    <row r="1007" spans="2:10" s="156" customFormat="1" x14ac:dyDescent="0.3">
      <c r="B1007" s="818"/>
      <c r="C1007" s="819"/>
      <c r="D1007" s="819"/>
      <c r="E1007" s="319"/>
      <c r="F1007" s="319"/>
      <c r="G1007" s="319"/>
      <c r="H1007" s="810" t="s">
        <v>160</v>
      </c>
      <c r="I1007" s="811"/>
      <c r="J1007" s="335">
        <f>(J996+J1006+J991+J986)</f>
        <v>1092.9481801473089</v>
      </c>
    </row>
    <row r="1008" spans="2:10" s="156" customFormat="1" x14ac:dyDescent="0.3">
      <c r="B1008" s="803"/>
      <c r="C1008" s="804"/>
      <c r="D1008" s="804"/>
      <c r="E1008" s="804"/>
      <c r="F1008" s="804"/>
      <c r="G1008" s="805"/>
      <c r="H1008" s="806" t="s">
        <v>1004</v>
      </c>
      <c r="I1008" s="807"/>
      <c r="J1008" s="722">
        <f>+ROUND(J1007*'PRESUPUESTO OFICIAL (Entidad)'!$K$56,2)</f>
        <v>284.17</v>
      </c>
    </row>
    <row r="1009" spans="2:12" s="156" customFormat="1" x14ac:dyDescent="0.3">
      <c r="B1009" s="798"/>
      <c r="C1009" s="799"/>
      <c r="D1009" s="799"/>
      <c r="E1009" s="799"/>
      <c r="F1009" s="799"/>
      <c r="G1009" s="800"/>
      <c r="H1009" s="801" t="s">
        <v>291</v>
      </c>
      <c r="I1009" s="802"/>
      <c r="J1009" s="723">
        <f>SUM(J1007:J1008)</f>
        <v>1377.118180147309</v>
      </c>
      <c r="L1009" s="301"/>
    </row>
    <row r="1010" spans="2:12" s="156" customFormat="1" x14ac:dyDescent="0.3">
      <c r="B1010" s="298"/>
      <c r="C1010" s="298"/>
      <c r="D1010" s="298"/>
      <c r="E1010" s="298"/>
      <c r="F1010" s="298"/>
      <c r="G1010" s="298"/>
      <c r="H1010" s="312"/>
      <c r="I1010" s="312"/>
      <c r="J1010" s="313"/>
    </row>
    <row r="1011" spans="2:12" s="156" customFormat="1" ht="12.75" customHeight="1" x14ac:dyDescent="0.3">
      <c r="B1011" s="298"/>
      <c r="C1011" s="298"/>
      <c r="D1011" s="298"/>
      <c r="E1011" s="298"/>
      <c r="F1011" s="298"/>
      <c r="G1011" s="298"/>
      <c r="H1011" s="312"/>
      <c r="I1011" s="312"/>
      <c r="J1011" s="313"/>
    </row>
    <row r="1012" spans="2:12" s="156" customFormat="1" x14ac:dyDescent="0.3">
      <c r="B1012" s="298"/>
      <c r="C1012" s="298"/>
      <c r="D1012" s="298"/>
      <c r="E1012" s="298"/>
      <c r="F1012" s="298"/>
      <c r="G1012" s="298"/>
      <c r="H1012" s="312"/>
      <c r="I1012" s="312"/>
      <c r="J1012" s="313"/>
    </row>
    <row r="1013" spans="2:12" s="156" customFormat="1" x14ac:dyDescent="0.3">
      <c r="B1013" s="861" t="s">
        <v>351</v>
      </c>
      <c r="C1013" s="861" t="str">
        <f>PPTO_OBRA_GENERAL!$C$28</f>
        <v>DEMOLICIÓN MECÁNICA POST-IMPLOSIÓN</v>
      </c>
      <c r="D1013" s="861"/>
      <c r="E1013" s="861"/>
      <c r="F1013" s="861"/>
      <c r="G1013" s="861"/>
      <c r="H1013" s="861"/>
      <c r="I1013" s="861"/>
    </row>
    <row r="1014" spans="2:12" s="156" customFormat="1" x14ac:dyDescent="0.3">
      <c r="B1014" s="861"/>
      <c r="C1014" s="861"/>
      <c r="D1014" s="861"/>
      <c r="E1014" s="861"/>
      <c r="F1014" s="861"/>
      <c r="G1014" s="861"/>
      <c r="H1014" s="861"/>
      <c r="I1014" s="861"/>
    </row>
    <row r="1015" spans="2:12" s="156" customFormat="1" ht="21" x14ac:dyDescent="0.3">
      <c r="B1015" s="340"/>
      <c r="C1015" s="340"/>
      <c r="D1015" s="340"/>
      <c r="E1015" s="340"/>
      <c r="F1015" s="340"/>
      <c r="G1015" s="340"/>
      <c r="H1015" s="340"/>
      <c r="I1015" s="340"/>
    </row>
    <row r="1016" spans="2:12" s="156" customFormat="1" ht="12.75" customHeight="1" x14ac:dyDescent="0.3">
      <c r="B1016" s="321" t="s">
        <v>15</v>
      </c>
      <c r="C1016" s="842" t="s">
        <v>151</v>
      </c>
      <c r="D1016" s="842"/>
      <c r="E1016" s="842"/>
      <c r="F1016" s="842"/>
      <c r="G1016" s="842"/>
      <c r="H1016" s="843"/>
      <c r="I1016" s="260" t="s">
        <v>48</v>
      </c>
      <c r="J1016" s="322" t="s">
        <v>19</v>
      </c>
    </row>
    <row r="1017" spans="2:12" s="156" customFormat="1" ht="47.85" customHeight="1" x14ac:dyDescent="0.3">
      <c r="B1017" s="221" t="s">
        <v>344</v>
      </c>
      <c r="C1017" s="844" t="s">
        <v>1007</v>
      </c>
      <c r="D1017" s="845"/>
      <c r="E1017" s="845"/>
      <c r="F1017" s="845"/>
      <c r="G1017" s="845"/>
      <c r="H1017" s="846"/>
      <c r="I1017" s="222" t="s">
        <v>24</v>
      </c>
      <c r="J1017" s="223">
        <f>MEMORIA_IMPLOSION!L18</f>
        <v>11258.712017308404</v>
      </c>
    </row>
    <row r="1018" spans="2:12" s="156" customFormat="1" x14ac:dyDescent="0.3">
      <c r="B1018" s="847" t="s">
        <v>152</v>
      </c>
      <c r="C1018" s="848"/>
      <c r="D1018" s="848"/>
      <c r="E1018" s="253"/>
      <c r="F1018" s="284"/>
      <c r="G1018" s="284"/>
      <c r="H1018" s="285"/>
      <c r="I1018" s="257"/>
      <c r="J1018" s="323"/>
    </row>
    <row r="1019" spans="2:12" s="156" customFormat="1" ht="21" customHeight="1" x14ac:dyDescent="0.3">
      <c r="B1019" s="820" t="s">
        <v>151</v>
      </c>
      <c r="C1019" s="821"/>
      <c r="D1019" s="821"/>
      <c r="E1019" s="821"/>
      <c r="F1019" s="822"/>
      <c r="G1019" s="259" t="s">
        <v>48</v>
      </c>
      <c r="H1019" s="259" t="s">
        <v>19</v>
      </c>
      <c r="I1019" s="260" t="s">
        <v>20</v>
      </c>
      <c r="J1019" s="322" t="s">
        <v>37</v>
      </c>
    </row>
    <row r="1020" spans="2:12" s="156" customFormat="1" x14ac:dyDescent="0.3">
      <c r="B1020" s="823" t="s">
        <v>272</v>
      </c>
      <c r="C1020" s="824"/>
      <c r="D1020" s="824"/>
      <c r="E1020" s="824"/>
      <c r="F1020" s="825"/>
      <c r="G1020" s="336" t="s">
        <v>48</v>
      </c>
      <c r="H1020" s="631">
        <f>J1017*0.05/J1017</f>
        <v>0.05</v>
      </c>
      <c r="I1020" s="289">
        <v>135000</v>
      </c>
      <c r="J1020" s="324">
        <f>H1020*I1020</f>
        <v>6750</v>
      </c>
    </row>
    <row r="1021" spans="2:12" s="156" customFormat="1" x14ac:dyDescent="0.3">
      <c r="B1021" s="823" t="s">
        <v>273</v>
      </c>
      <c r="C1021" s="824"/>
      <c r="D1021" s="824"/>
      <c r="E1021" s="824"/>
      <c r="F1021" s="825"/>
      <c r="G1021" s="336" t="s">
        <v>48</v>
      </c>
      <c r="H1021" s="631">
        <f>J1017*0.05/7/J1017</f>
        <v>7.1428571428571435E-3</v>
      </c>
      <c r="I1021" s="289">
        <v>100500</v>
      </c>
      <c r="J1021" s="324">
        <f>H1021*I1021</f>
        <v>717.85714285714289</v>
      </c>
    </row>
    <row r="1022" spans="2:12" s="156" customFormat="1" x14ac:dyDescent="0.3">
      <c r="B1022" s="826"/>
      <c r="C1022" s="827"/>
      <c r="D1022" s="827"/>
      <c r="E1022" s="268"/>
      <c r="F1022" s="268"/>
      <c r="G1022" s="268"/>
      <c r="H1022" s="269"/>
      <c r="I1022" s="270" t="s">
        <v>153</v>
      </c>
      <c r="J1022" s="325">
        <f>+SUM(J1020:J1021)</f>
        <v>7467.8571428571431</v>
      </c>
    </row>
    <row r="1023" spans="2:12" s="156" customFormat="1" x14ac:dyDescent="0.3">
      <c r="B1023" s="837" t="s">
        <v>154</v>
      </c>
      <c r="C1023" s="838"/>
      <c r="D1023" s="838"/>
      <c r="E1023" s="255"/>
      <c r="F1023" s="255"/>
      <c r="G1023" s="255"/>
      <c r="H1023" s="255"/>
      <c r="I1023" s="272"/>
      <c r="J1023" s="322"/>
    </row>
    <row r="1024" spans="2:12" s="156" customFormat="1" x14ac:dyDescent="0.3">
      <c r="B1024" s="820" t="s">
        <v>155</v>
      </c>
      <c r="C1024" s="821"/>
      <c r="D1024" s="821"/>
      <c r="E1024" s="821"/>
      <c r="F1024" s="822"/>
      <c r="G1024" s="273" t="s">
        <v>48</v>
      </c>
      <c r="H1024" s="273" t="s">
        <v>19</v>
      </c>
      <c r="I1024" s="275" t="s">
        <v>187</v>
      </c>
      <c r="J1024" s="326" t="s">
        <v>37</v>
      </c>
    </row>
    <row r="1025" spans="2:13" s="156" customFormat="1" x14ac:dyDescent="0.3">
      <c r="B1025" s="834" t="s">
        <v>936</v>
      </c>
      <c r="C1025" s="835"/>
      <c r="D1025" s="835"/>
      <c r="E1025" s="835"/>
      <c r="F1025" s="836"/>
      <c r="G1025" s="367" t="s">
        <v>223</v>
      </c>
      <c r="H1025" s="631">
        <f>3*96/J1017</f>
        <v>2.5580190660996368E-2</v>
      </c>
      <c r="I1025" s="412">
        <f>CUADRILLA!F6</f>
        <v>2560000</v>
      </c>
      <c r="J1025" s="332">
        <f>H1025*I1025</f>
        <v>65485.288092150702</v>
      </c>
      <c r="K1025" s="1020"/>
      <c r="L1025" s="1021"/>
      <c r="M1025" s="1021"/>
    </row>
    <row r="1026" spans="2:13" s="156" customFormat="1" x14ac:dyDescent="0.3">
      <c r="B1026" s="834" t="s">
        <v>228</v>
      </c>
      <c r="C1026" s="835"/>
      <c r="D1026" s="835"/>
      <c r="E1026" s="835"/>
      <c r="F1026" s="836"/>
      <c r="G1026" s="367" t="s">
        <v>223</v>
      </c>
      <c r="H1026" s="631">
        <f>6*96/J1017</f>
        <v>5.1160381321992736E-2</v>
      </c>
      <c r="I1026" s="412">
        <f>+I956</f>
        <v>189535.71428571429</v>
      </c>
      <c r="J1026" s="332">
        <f>H1026*I1026</f>
        <v>9696.7194169934082</v>
      </c>
      <c r="K1026" s="1020"/>
      <c r="L1026" s="1021"/>
      <c r="M1026" s="1021"/>
    </row>
    <row r="1027" spans="2:13" s="156" customFormat="1" x14ac:dyDescent="0.3">
      <c r="B1027" s="839"/>
      <c r="C1027" s="840"/>
      <c r="D1027" s="840"/>
      <c r="E1027" s="840"/>
      <c r="F1027" s="841"/>
      <c r="G1027" s="281"/>
      <c r="H1027" s="281"/>
      <c r="I1027" s="282" t="s">
        <v>153</v>
      </c>
      <c r="J1027" s="328">
        <f>SUM(J1025:J1026)</f>
        <v>75182.00750914411</v>
      </c>
    </row>
    <row r="1028" spans="2:13" s="156" customFormat="1" x14ac:dyDescent="0.3">
      <c r="B1028" s="837" t="s">
        <v>158</v>
      </c>
      <c r="C1028" s="838"/>
      <c r="D1028" s="838"/>
      <c r="E1028" s="253"/>
      <c r="F1028" s="284"/>
      <c r="G1028" s="284"/>
      <c r="H1028" s="285"/>
      <c r="I1028" s="286"/>
      <c r="J1028" s="329"/>
    </row>
    <row r="1029" spans="2:13" s="156" customFormat="1" x14ac:dyDescent="0.3">
      <c r="B1029" s="820" t="s">
        <v>151</v>
      </c>
      <c r="C1029" s="821"/>
      <c r="D1029" s="821"/>
      <c r="E1029" s="821"/>
      <c r="F1029" s="822"/>
      <c r="G1029" s="259" t="s">
        <v>48</v>
      </c>
      <c r="H1029" s="259" t="s">
        <v>19</v>
      </c>
      <c r="I1029" s="260" t="s">
        <v>20</v>
      </c>
      <c r="J1029" s="322" t="s">
        <v>37</v>
      </c>
    </row>
    <row r="1030" spans="2:13" s="156" customFormat="1" x14ac:dyDescent="0.3">
      <c r="B1030" s="823" t="s">
        <v>274</v>
      </c>
      <c r="C1030" s="824"/>
      <c r="D1030" s="824"/>
      <c r="E1030" s="824"/>
      <c r="F1030" s="825"/>
      <c r="G1030" s="336" t="s">
        <v>48</v>
      </c>
      <c r="H1030" s="631">
        <f>8/J1017</f>
        <v>7.1056085169434347E-4</v>
      </c>
      <c r="I1030" s="293">
        <v>3740000</v>
      </c>
      <c r="J1030" s="324">
        <f>H1030*I1030</f>
        <v>2657.4975853368446</v>
      </c>
    </row>
    <row r="1031" spans="2:13" s="156" customFormat="1" x14ac:dyDescent="0.3">
      <c r="B1031" s="823" t="s">
        <v>275</v>
      </c>
      <c r="C1031" s="824"/>
      <c r="D1031" s="824"/>
      <c r="E1031" s="824"/>
      <c r="F1031" s="825"/>
      <c r="G1031" s="336" t="s">
        <v>48</v>
      </c>
      <c r="H1031" s="631">
        <f>8/J1017</f>
        <v>7.1056085169434347E-4</v>
      </c>
      <c r="I1031" s="293">
        <v>525000</v>
      </c>
      <c r="J1031" s="324">
        <f>H1031*I1031</f>
        <v>373.04444713953035</v>
      </c>
    </row>
    <row r="1032" spans="2:13" s="156" customFormat="1" x14ac:dyDescent="0.3">
      <c r="B1032" s="826"/>
      <c r="C1032" s="827"/>
      <c r="D1032" s="827"/>
      <c r="E1032" s="267"/>
      <c r="F1032" s="267"/>
      <c r="G1032" s="267"/>
      <c r="H1032" s="290"/>
      <c r="I1032" s="291" t="s">
        <v>153</v>
      </c>
      <c r="J1032" s="330">
        <f>SUM(J1030:J1031)</f>
        <v>3030.542032476375</v>
      </c>
    </row>
    <row r="1033" spans="2:13" s="156" customFormat="1" x14ac:dyDescent="0.3">
      <c r="B1033" s="837" t="s">
        <v>159</v>
      </c>
      <c r="C1033" s="838"/>
      <c r="D1033" s="838"/>
      <c r="E1033" s="254"/>
      <c r="F1033" s="255"/>
      <c r="G1033" s="255"/>
      <c r="H1033" s="255"/>
      <c r="I1033" s="286"/>
      <c r="J1033" s="329"/>
    </row>
    <row r="1034" spans="2:13" s="156" customFormat="1" x14ac:dyDescent="0.3">
      <c r="B1034" s="820" t="s">
        <v>151</v>
      </c>
      <c r="C1034" s="821"/>
      <c r="D1034" s="821"/>
      <c r="E1034" s="821"/>
      <c r="F1034" s="822"/>
      <c r="G1034" s="274" t="s">
        <v>48</v>
      </c>
      <c r="H1034" s="274" t="s">
        <v>19</v>
      </c>
      <c r="I1034" s="275" t="s">
        <v>20</v>
      </c>
      <c r="J1034" s="326" t="s">
        <v>37</v>
      </c>
    </row>
    <row r="1035" spans="2:13" s="156" customFormat="1" x14ac:dyDescent="0.3">
      <c r="B1035" s="834" t="s">
        <v>276</v>
      </c>
      <c r="C1035" s="835"/>
      <c r="D1035" s="835"/>
      <c r="E1035" s="835"/>
      <c r="F1035" s="836"/>
      <c r="G1035" s="365" t="s">
        <v>277</v>
      </c>
      <c r="H1035" s="634">
        <v>1</v>
      </c>
      <c r="I1035" s="293">
        <v>58333.333333333328</v>
      </c>
      <c r="J1035" s="332">
        <f>H1035*I1035</f>
        <v>58333.333333333328</v>
      </c>
    </row>
    <row r="1036" spans="2:13" s="156" customFormat="1" ht="12.75" customHeight="1" x14ac:dyDescent="0.3">
      <c r="B1036" s="834" t="s">
        <v>278</v>
      </c>
      <c r="C1036" s="835"/>
      <c r="D1036" s="835"/>
      <c r="E1036" s="835"/>
      <c r="F1036" s="836"/>
      <c r="G1036" s="365" t="s">
        <v>277</v>
      </c>
      <c r="H1036" s="634">
        <v>1</v>
      </c>
      <c r="I1036" s="293">
        <v>50000</v>
      </c>
      <c r="J1036" s="332">
        <f>H1036*I1036</f>
        <v>50000</v>
      </c>
    </row>
    <row r="1037" spans="2:13" s="156" customFormat="1" x14ac:dyDescent="0.3">
      <c r="B1037" s="834" t="s">
        <v>852</v>
      </c>
      <c r="C1037" s="835"/>
      <c r="D1037" s="835"/>
      <c r="E1037" s="835"/>
      <c r="F1037" s="836"/>
      <c r="G1037" s="365" t="s">
        <v>290</v>
      </c>
      <c r="H1037" s="634">
        <v>1</v>
      </c>
      <c r="I1037" s="293">
        <v>3986.6817339171193</v>
      </c>
      <c r="J1037" s="332">
        <f>H1037*I1037</f>
        <v>3986.6817339171193</v>
      </c>
    </row>
    <row r="1038" spans="2:13" s="156" customFormat="1" x14ac:dyDescent="0.3">
      <c r="B1038" s="834" t="s">
        <v>942</v>
      </c>
      <c r="C1038" s="835"/>
      <c r="D1038" s="835"/>
      <c r="E1038" s="835"/>
      <c r="F1038" s="836"/>
      <c r="G1038" s="365" t="s">
        <v>943</v>
      </c>
      <c r="H1038" s="366">
        <v>1</v>
      </c>
      <c r="I1038" s="293">
        <v>-3419.5740987790282</v>
      </c>
      <c r="J1038" s="332">
        <f>H1038*I1038</f>
        <v>-3419.5740987790282</v>
      </c>
    </row>
    <row r="1039" spans="2:13" s="156" customFormat="1" x14ac:dyDescent="0.3">
      <c r="B1039" s="834"/>
      <c r="C1039" s="835"/>
      <c r="D1039" s="835"/>
      <c r="E1039" s="835"/>
      <c r="F1039" s="836"/>
      <c r="G1039" s="365"/>
      <c r="H1039" s="280"/>
      <c r="I1039" s="293"/>
      <c r="J1039" s="332"/>
    </row>
    <row r="1040" spans="2:13" s="156" customFormat="1" x14ac:dyDescent="0.3">
      <c r="B1040" s="834"/>
      <c r="C1040" s="835"/>
      <c r="D1040" s="835"/>
      <c r="E1040" s="835"/>
      <c r="F1040" s="836"/>
      <c r="G1040" s="365"/>
      <c r="H1040" s="280"/>
      <c r="I1040" s="293"/>
      <c r="J1040" s="332"/>
    </row>
    <row r="1041" spans="2:10" s="156" customFormat="1" x14ac:dyDescent="0.3">
      <c r="B1041" s="849"/>
      <c r="C1041" s="850"/>
      <c r="D1041" s="850"/>
      <c r="E1041" s="850"/>
      <c r="F1041" s="851"/>
      <c r="G1041" s="316"/>
      <c r="H1041" s="316"/>
      <c r="I1041" s="317" t="s">
        <v>153</v>
      </c>
      <c r="J1041" s="334">
        <f>SUM(J1035:J1040)</f>
        <v>108900.44096847142</v>
      </c>
    </row>
    <row r="1042" spans="2:10" s="156" customFormat="1" ht="12.75" customHeight="1" x14ac:dyDescent="0.3">
      <c r="B1042" s="818"/>
      <c r="C1042" s="819"/>
      <c r="D1042" s="819"/>
      <c r="E1042" s="319"/>
      <c r="F1042" s="319"/>
      <c r="G1042" s="319"/>
      <c r="H1042" s="810" t="s">
        <v>160</v>
      </c>
      <c r="I1042" s="811"/>
      <c r="J1042" s="335">
        <f>(+J1032++J1041+J1027+J1022)</f>
        <v>194580.84765294901</v>
      </c>
    </row>
    <row r="1043" spans="2:10" s="156" customFormat="1" x14ac:dyDescent="0.3">
      <c r="B1043" s="803"/>
      <c r="C1043" s="804"/>
      <c r="D1043" s="804"/>
      <c r="E1043" s="804"/>
      <c r="F1043" s="804"/>
      <c r="G1043" s="805"/>
      <c r="H1043" s="806" t="s">
        <v>1004</v>
      </c>
      <c r="I1043" s="807"/>
      <c r="J1043" s="722">
        <f>+ROUND(J1042*'PRESUPUESTO OFICIAL (Entidad)'!$K$56,2)</f>
        <v>50591.02</v>
      </c>
    </row>
    <row r="1044" spans="2:10" s="156" customFormat="1" x14ac:dyDescent="0.3">
      <c r="B1044" s="798"/>
      <c r="C1044" s="799"/>
      <c r="D1044" s="799"/>
      <c r="E1044" s="799"/>
      <c r="F1044" s="799"/>
      <c r="G1044" s="800"/>
      <c r="H1044" s="801" t="s">
        <v>291</v>
      </c>
      <c r="I1044" s="802"/>
      <c r="J1044" s="723">
        <f>SUM(J1042:J1043)</f>
        <v>245171.867652949</v>
      </c>
    </row>
    <row r="1045" spans="2:10" s="156" customFormat="1" x14ac:dyDescent="0.3">
      <c r="B1045" s="298"/>
      <c r="C1045" s="635"/>
      <c r="D1045" s="635"/>
      <c r="E1045" s="635"/>
      <c r="F1045" s="635"/>
      <c r="G1045" s="635"/>
      <c r="H1045" s="636"/>
      <c r="I1045" s="312"/>
      <c r="J1045" s="313"/>
    </row>
    <row r="1046" spans="2:10" s="156" customFormat="1" ht="12.75" customHeight="1" x14ac:dyDescent="0.3">
      <c r="B1046" s="298"/>
      <c r="C1046" s="378"/>
      <c r="D1046" s="378"/>
      <c r="E1046" s="378"/>
      <c r="F1046" s="378"/>
      <c r="G1046" s="378"/>
      <c r="H1046" s="379"/>
      <c r="I1046" s="312"/>
      <c r="J1046" s="313"/>
    </row>
    <row r="1047" spans="2:10" s="156" customFormat="1" ht="41.25" customHeight="1" x14ac:dyDescent="0.3">
      <c r="B1047" s="321" t="s">
        <v>15</v>
      </c>
      <c r="C1047" s="842" t="s">
        <v>151</v>
      </c>
      <c r="D1047" s="842"/>
      <c r="E1047" s="842"/>
      <c r="F1047" s="842"/>
      <c r="G1047" s="842"/>
      <c r="H1047" s="843"/>
      <c r="I1047" s="260" t="s">
        <v>48</v>
      </c>
      <c r="J1047" s="322" t="s">
        <v>19</v>
      </c>
    </row>
    <row r="1048" spans="2:10" s="156" customFormat="1" ht="24.9" customHeight="1" x14ac:dyDescent="0.3">
      <c r="B1048" s="221" t="s">
        <v>345</v>
      </c>
      <c r="C1048" s="844" t="str">
        <f>'PRESUPUESTO OFICIAL (Entidad)'!$G$37</f>
        <v>Selección y acopio de RCD de elementos implosionados (incluye separación en la fuente de material metálico y material pétreo, acopio de material según su tipología).</v>
      </c>
      <c r="D1048" s="845"/>
      <c r="E1048" s="845"/>
      <c r="F1048" s="845"/>
      <c r="G1048" s="845"/>
      <c r="H1048" s="846"/>
      <c r="I1048" s="222" t="s">
        <v>24</v>
      </c>
      <c r="J1048" s="223">
        <v>7092.2802667084006</v>
      </c>
    </row>
    <row r="1049" spans="2:10" s="156" customFormat="1" x14ac:dyDescent="0.3">
      <c r="B1049" s="847" t="s">
        <v>152</v>
      </c>
      <c r="C1049" s="848"/>
      <c r="D1049" s="848"/>
      <c r="E1049" s="253"/>
      <c r="F1049" s="284"/>
      <c r="G1049" s="284"/>
      <c r="H1049" s="285"/>
      <c r="I1049" s="257"/>
      <c r="J1049" s="323"/>
    </row>
    <row r="1050" spans="2:10" s="156" customFormat="1" x14ac:dyDescent="0.3">
      <c r="B1050" s="820" t="s">
        <v>151</v>
      </c>
      <c r="C1050" s="821"/>
      <c r="D1050" s="821"/>
      <c r="E1050" s="821"/>
      <c r="F1050" s="822"/>
      <c r="G1050" s="259" t="s">
        <v>48</v>
      </c>
      <c r="H1050" s="259" t="s">
        <v>19</v>
      </c>
      <c r="I1050" s="260" t="s">
        <v>20</v>
      </c>
      <c r="J1050" s="322" t="s">
        <v>37</v>
      </c>
    </row>
    <row r="1051" spans="2:10" s="156" customFormat="1" x14ac:dyDescent="0.3">
      <c r="B1051" s="823" t="s">
        <v>279</v>
      </c>
      <c r="C1051" s="824"/>
      <c r="D1051" s="824"/>
      <c r="E1051" s="824"/>
      <c r="F1051" s="825"/>
      <c r="G1051" s="336" t="s">
        <v>48</v>
      </c>
      <c r="H1051" s="637">
        <f>2/J1048</f>
        <v>2.8199675207254895E-4</v>
      </c>
      <c r="I1051" s="289">
        <v>350000</v>
      </c>
      <c r="J1051" s="324">
        <f>H1051*I1051</f>
        <v>98.698863225392131</v>
      </c>
    </row>
    <row r="1052" spans="2:10" s="156" customFormat="1" x14ac:dyDescent="0.3">
      <c r="B1052" s="823" t="s">
        <v>280</v>
      </c>
      <c r="C1052" s="824"/>
      <c r="D1052" s="824"/>
      <c r="E1052" s="824"/>
      <c r="F1052" s="825"/>
      <c r="G1052" s="336" t="str">
        <f>+G1051</f>
        <v>UNIDAD</v>
      </c>
      <c r="H1052" s="637">
        <f>1/J1048</f>
        <v>1.4099837603627447E-4</v>
      </c>
      <c r="I1052" s="289">
        <v>3400000</v>
      </c>
      <c r="J1052" s="324">
        <f>H1052*I1052</f>
        <v>479.39447852333319</v>
      </c>
    </row>
    <row r="1053" spans="2:10" s="156" customFormat="1" x14ac:dyDescent="0.3">
      <c r="B1053" s="834" t="s">
        <v>281</v>
      </c>
      <c r="C1053" s="835"/>
      <c r="D1053" s="835"/>
      <c r="E1053" s="835"/>
      <c r="F1053" s="836"/>
      <c r="G1053" s="336" t="str">
        <f>+G1052</f>
        <v>UNIDAD</v>
      </c>
      <c r="H1053" s="637">
        <f>1/J1048</f>
        <v>1.4099837603627447E-4</v>
      </c>
      <c r="I1053" s="289">
        <v>4990000</v>
      </c>
      <c r="J1053" s="324">
        <f>H1053*I1053</f>
        <v>703.58189642100967</v>
      </c>
    </row>
    <row r="1054" spans="2:10" s="156" customFormat="1" x14ac:dyDescent="0.3">
      <c r="B1054" s="826"/>
      <c r="C1054" s="827"/>
      <c r="D1054" s="827"/>
      <c r="E1054" s="268"/>
      <c r="F1054" s="268"/>
      <c r="G1054" s="268"/>
      <c r="H1054" s="269"/>
      <c r="I1054" s="270" t="s">
        <v>153</v>
      </c>
      <c r="J1054" s="325">
        <f>+SUM(J1051:J1053)</f>
        <v>1281.6752381697352</v>
      </c>
    </row>
    <row r="1055" spans="2:10" s="156" customFormat="1" x14ac:dyDescent="0.3">
      <c r="B1055" s="837" t="s">
        <v>154</v>
      </c>
      <c r="C1055" s="838"/>
      <c r="D1055" s="838"/>
      <c r="E1055" s="255"/>
      <c r="F1055" s="255"/>
      <c r="G1055" s="255"/>
      <c r="H1055" s="255"/>
      <c r="I1055" s="272"/>
      <c r="J1055" s="322"/>
    </row>
    <row r="1056" spans="2:10" s="156" customFormat="1" x14ac:dyDescent="0.3">
      <c r="B1056" s="820" t="s">
        <v>155</v>
      </c>
      <c r="C1056" s="821"/>
      <c r="D1056" s="821"/>
      <c r="E1056" s="821"/>
      <c r="F1056" s="822"/>
      <c r="G1056" s="273" t="s">
        <v>48</v>
      </c>
      <c r="H1056" s="273" t="s">
        <v>19</v>
      </c>
      <c r="I1056" s="275" t="s">
        <v>187</v>
      </c>
      <c r="J1056" s="326" t="s">
        <v>37</v>
      </c>
    </row>
    <row r="1057" spans="2:10" s="156" customFormat="1" x14ac:dyDescent="0.3">
      <c r="B1057" s="834" t="s">
        <v>228</v>
      </c>
      <c r="C1057" s="835"/>
      <c r="D1057" s="835"/>
      <c r="E1057" s="835"/>
      <c r="F1057" s="836"/>
      <c r="G1057" s="367" t="s">
        <v>223</v>
      </c>
      <c r="H1057" s="369">
        <f>360/J1048</f>
        <v>5.0759415373058808E-2</v>
      </c>
      <c r="I1057" s="412">
        <f>+I1026</f>
        <v>189535.71428571429</v>
      </c>
      <c r="J1057" s="332">
        <f>H1057*I1057</f>
        <v>9620.7220494579688</v>
      </c>
    </row>
    <row r="1058" spans="2:10" s="156" customFormat="1" x14ac:dyDescent="0.3">
      <c r="B1058" s="834"/>
      <c r="C1058" s="835"/>
      <c r="D1058" s="835"/>
      <c r="E1058" s="835"/>
      <c r="F1058" s="836"/>
      <c r="G1058" s="367"/>
      <c r="H1058" s="368"/>
      <c r="I1058" s="369"/>
      <c r="J1058" s="332"/>
    </row>
    <row r="1059" spans="2:10" s="156" customFormat="1" x14ac:dyDescent="0.3">
      <c r="B1059" s="839"/>
      <c r="C1059" s="840"/>
      <c r="D1059" s="840"/>
      <c r="E1059" s="840"/>
      <c r="F1059" s="841"/>
      <c r="G1059" s="281"/>
      <c r="H1059" s="281"/>
      <c r="I1059" s="282" t="s">
        <v>153</v>
      </c>
      <c r="J1059" s="328">
        <f>SUM(J1057:J1058)</f>
        <v>9620.7220494579688</v>
      </c>
    </row>
    <row r="1060" spans="2:10" s="156" customFormat="1" x14ac:dyDescent="0.3">
      <c r="B1060" s="837" t="s">
        <v>158</v>
      </c>
      <c r="C1060" s="838"/>
      <c r="D1060" s="838"/>
      <c r="E1060" s="253"/>
      <c r="F1060" s="284"/>
      <c r="G1060" s="284"/>
      <c r="H1060" s="285"/>
      <c r="I1060" s="286"/>
      <c r="J1060" s="329"/>
    </row>
    <row r="1061" spans="2:10" s="156" customFormat="1" x14ac:dyDescent="0.3">
      <c r="B1061" s="820" t="s">
        <v>151</v>
      </c>
      <c r="C1061" s="821"/>
      <c r="D1061" s="821"/>
      <c r="E1061" s="821"/>
      <c r="F1061" s="822"/>
      <c r="G1061" s="259" t="s">
        <v>48</v>
      </c>
      <c r="H1061" s="259" t="s">
        <v>19</v>
      </c>
      <c r="I1061" s="260" t="s">
        <v>20</v>
      </c>
      <c r="J1061" s="322" t="s">
        <v>37</v>
      </c>
    </row>
    <row r="1062" spans="2:10" s="156" customFormat="1" x14ac:dyDescent="0.3">
      <c r="B1062" s="823"/>
      <c r="C1062" s="824"/>
      <c r="D1062" s="824"/>
      <c r="E1062" s="824"/>
      <c r="F1062" s="825"/>
      <c r="G1062" s="288"/>
      <c r="H1062" s="288"/>
      <c r="I1062" s="289"/>
      <c r="J1062" s="324"/>
    </row>
    <row r="1063" spans="2:10" s="156" customFormat="1" x14ac:dyDescent="0.3">
      <c r="B1063" s="823"/>
      <c r="C1063" s="824"/>
      <c r="D1063" s="824"/>
      <c r="E1063" s="824"/>
      <c r="F1063" s="825"/>
      <c r="G1063" s="288"/>
      <c r="H1063" s="288"/>
      <c r="I1063" s="289"/>
      <c r="J1063" s="324"/>
    </row>
    <row r="1064" spans="2:10" s="156" customFormat="1" x14ac:dyDescent="0.3">
      <c r="B1064" s="826"/>
      <c r="C1064" s="827"/>
      <c r="D1064" s="827"/>
      <c r="E1064" s="267"/>
      <c r="F1064" s="267"/>
      <c r="G1064" s="267"/>
      <c r="H1064" s="290"/>
      <c r="I1064" s="291" t="s">
        <v>153</v>
      </c>
      <c r="J1064" s="330">
        <f>SUM(J1062:J1063)</f>
        <v>0</v>
      </c>
    </row>
    <row r="1065" spans="2:10" s="156" customFormat="1" x14ac:dyDescent="0.3">
      <c r="B1065" s="828" t="s">
        <v>159</v>
      </c>
      <c r="C1065" s="829"/>
      <c r="D1065" s="829"/>
      <c r="E1065" s="829"/>
      <c r="F1065" s="829"/>
      <c r="G1065" s="829"/>
      <c r="H1065" s="829"/>
      <c r="I1065" s="829"/>
      <c r="J1065" s="830"/>
    </row>
    <row r="1066" spans="2:10" s="156" customFormat="1" x14ac:dyDescent="0.3">
      <c r="B1066" s="831" t="s">
        <v>151</v>
      </c>
      <c r="C1066" s="832"/>
      <c r="D1066" s="832"/>
      <c r="E1066" s="832"/>
      <c r="F1066" s="833"/>
      <c r="G1066" s="232" t="s">
        <v>48</v>
      </c>
      <c r="H1066" s="232" t="s">
        <v>19</v>
      </c>
      <c r="I1066" s="233" t="s">
        <v>20</v>
      </c>
      <c r="J1066" s="331" t="s">
        <v>37</v>
      </c>
    </row>
    <row r="1067" spans="2:10" s="156" customFormat="1" x14ac:dyDescent="0.3">
      <c r="B1067" s="852" t="s">
        <v>282</v>
      </c>
      <c r="C1067" s="853"/>
      <c r="D1067" s="853"/>
      <c r="E1067" s="853"/>
      <c r="F1067" s="854"/>
      <c r="G1067" s="280" t="s">
        <v>277</v>
      </c>
      <c r="H1067" s="366">
        <v>1</v>
      </c>
      <c r="I1067" s="293">
        <v>10574.878202720585</v>
      </c>
      <c r="J1067" s="332">
        <f>H1067*I1067</f>
        <v>10574.878202720585</v>
      </c>
    </row>
    <row r="1068" spans="2:10" s="156" customFormat="1" ht="12.75" customHeight="1" x14ac:dyDescent="0.3">
      <c r="B1068" s="855" t="s">
        <v>283</v>
      </c>
      <c r="C1068" s="856"/>
      <c r="D1068" s="856"/>
      <c r="E1068" s="856"/>
      <c r="F1068" s="857"/>
      <c r="G1068" s="245" t="s">
        <v>290</v>
      </c>
      <c r="H1068" s="377">
        <v>1</v>
      </c>
      <c r="I1068" s="237">
        <v>5143.6207578032927</v>
      </c>
      <c r="J1068" s="332">
        <f>H1068*I1068</f>
        <v>5143.6207578032927</v>
      </c>
    </row>
    <row r="1069" spans="2:10" s="156" customFormat="1" ht="12.75" customHeight="1" x14ac:dyDescent="0.3">
      <c r="B1069" s="812"/>
      <c r="C1069" s="813"/>
      <c r="D1069" s="813"/>
      <c r="E1069" s="813"/>
      <c r="F1069" s="814"/>
      <c r="G1069" s="245"/>
      <c r="H1069" s="245"/>
      <c r="I1069" s="237"/>
      <c r="J1069" s="333"/>
    </row>
    <row r="1070" spans="2:10" s="156" customFormat="1" ht="12.75" customHeight="1" x14ac:dyDescent="0.3">
      <c r="B1070" s="858"/>
      <c r="C1070" s="859"/>
      <c r="D1070" s="859"/>
      <c r="E1070" s="859"/>
      <c r="F1070" s="860"/>
      <c r="G1070" s="245"/>
      <c r="H1070" s="245"/>
      <c r="I1070" s="237"/>
      <c r="J1070" s="333"/>
    </row>
    <row r="1071" spans="2:10" s="156" customFormat="1" ht="12.75" customHeight="1" x14ac:dyDescent="0.3">
      <c r="B1071" s="858"/>
      <c r="C1071" s="859"/>
      <c r="D1071" s="859"/>
      <c r="E1071" s="859"/>
      <c r="F1071" s="860"/>
      <c r="G1071" s="245"/>
      <c r="H1071" s="245"/>
      <c r="I1071" s="237"/>
      <c r="J1071" s="333"/>
    </row>
    <row r="1072" spans="2:10" s="156" customFormat="1" x14ac:dyDescent="0.3">
      <c r="B1072" s="815"/>
      <c r="C1072" s="816"/>
      <c r="D1072" s="816"/>
      <c r="E1072" s="816"/>
      <c r="F1072" s="817"/>
      <c r="G1072" s="316"/>
      <c r="H1072" s="316"/>
      <c r="I1072" s="317" t="s">
        <v>153</v>
      </c>
      <c r="J1072" s="334">
        <f>SUM(J1067:J1071)</f>
        <v>15718.498960523877</v>
      </c>
    </row>
    <row r="1073" spans="2:12" s="156" customFormat="1" x14ac:dyDescent="0.3">
      <c r="B1073" s="818"/>
      <c r="C1073" s="819"/>
      <c r="D1073" s="819"/>
      <c r="E1073" s="319"/>
      <c r="F1073" s="319"/>
      <c r="G1073" s="319"/>
      <c r="H1073" s="810" t="s">
        <v>160</v>
      </c>
      <c r="I1073" s="811"/>
      <c r="J1073" s="335">
        <f>(J1064++J1072+J1059+J1054)</f>
        <v>26620.896248151585</v>
      </c>
    </row>
    <row r="1074" spans="2:12" s="156" customFormat="1" x14ac:dyDescent="0.3">
      <c r="B1074" s="803"/>
      <c r="C1074" s="804"/>
      <c r="D1074" s="804"/>
      <c r="E1074" s="804"/>
      <c r="F1074" s="804"/>
      <c r="G1074" s="805"/>
      <c r="H1074" s="806" t="s">
        <v>1004</v>
      </c>
      <c r="I1074" s="807"/>
      <c r="J1074" s="722">
        <f>+ROUND(J1073*'PRESUPUESTO OFICIAL (Entidad)'!$K$56,2)</f>
        <v>6921.43</v>
      </c>
    </row>
    <row r="1075" spans="2:12" s="156" customFormat="1" x14ac:dyDescent="0.3">
      <c r="B1075" s="798"/>
      <c r="C1075" s="799"/>
      <c r="D1075" s="799"/>
      <c r="E1075" s="799"/>
      <c r="F1075" s="799"/>
      <c r="G1075" s="800"/>
      <c r="H1075" s="801" t="s">
        <v>291</v>
      </c>
      <c r="I1075" s="802"/>
      <c r="J1075" s="723">
        <f>SUM(J1073:J1074)</f>
        <v>33542.326248151585</v>
      </c>
      <c r="L1075" s="301"/>
    </row>
    <row r="1076" spans="2:12" s="156" customFormat="1" x14ac:dyDescent="0.3">
      <c r="B1076" s="298"/>
      <c r="C1076" s="298"/>
      <c r="D1076" s="298"/>
      <c r="E1076" s="298"/>
      <c r="F1076" s="298"/>
      <c r="G1076" s="298"/>
      <c r="H1076" s="312"/>
      <c r="I1076" s="312"/>
      <c r="J1076" s="313"/>
    </row>
    <row r="1077" spans="2:12" s="156" customFormat="1" ht="12.75" customHeight="1" x14ac:dyDescent="0.3"/>
    <row r="1078" spans="2:12" s="156" customFormat="1" x14ac:dyDescent="0.3">
      <c r="B1078" s="321" t="s">
        <v>15</v>
      </c>
      <c r="C1078" s="842" t="s">
        <v>151</v>
      </c>
      <c r="D1078" s="842"/>
      <c r="E1078" s="842"/>
      <c r="F1078" s="842"/>
      <c r="G1078" s="842"/>
      <c r="H1078" s="843"/>
      <c r="I1078" s="260" t="s">
        <v>48</v>
      </c>
      <c r="J1078" s="322" t="s">
        <v>19</v>
      </c>
    </row>
    <row r="1079" spans="2:12" s="156" customFormat="1" x14ac:dyDescent="0.3">
      <c r="B1079" s="221" t="s">
        <v>346</v>
      </c>
      <c r="C1079" s="844" t="s">
        <v>144</v>
      </c>
      <c r="D1079" s="845"/>
      <c r="E1079" s="845"/>
      <c r="F1079" s="845"/>
      <c r="G1079" s="845"/>
      <c r="H1079" s="846"/>
      <c r="I1079" s="222" t="s">
        <v>24</v>
      </c>
      <c r="J1079" s="223">
        <v>10638.420400062601</v>
      </c>
    </row>
    <row r="1080" spans="2:12" s="156" customFormat="1" x14ac:dyDescent="0.3">
      <c r="B1080" s="847" t="s">
        <v>152</v>
      </c>
      <c r="C1080" s="848"/>
      <c r="D1080" s="848"/>
      <c r="E1080" s="253"/>
      <c r="F1080" s="284"/>
      <c r="G1080" s="284"/>
      <c r="H1080" s="285"/>
      <c r="I1080" s="257"/>
      <c r="J1080" s="323"/>
    </row>
    <row r="1081" spans="2:12" s="156" customFormat="1" ht="12.75" customHeight="1" x14ac:dyDescent="0.3">
      <c r="B1081" s="820" t="s">
        <v>151</v>
      </c>
      <c r="C1081" s="821"/>
      <c r="D1081" s="821"/>
      <c r="E1081" s="821"/>
      <c r="F1081" s="822"/>
      <c r="G1081" s="259" t="s">
        <v>48</v>
      </c>
      <c r="H1081" s="259" t="s">
        <v>19</v>
      </c>
      <c r="I1081" s="260" t="s">
        <v>20</v>
      </c>
      <c r="J1081" s="322" t="s">
        <v>37</v>
      </c>
    </row>
    <row r="1082" spans="2:12" s="156" customFormat="1" ht="33.75" customHeight="1" x14ac:dyDescent="0.3">
      <c r="B1082" s="834"/>
      <c r="C1082" s="835"/>
      <c r="D1082" s="835"/>
      <c r="E1082" s="835"/>
      <c r="F1082" s="836"/>
      <c r="G1082" s="262"/>
      <c r="H1082" s="263"/>
      <c r="I1082" s="264"/>
      <c r="J1082" s="324"/>
    </row>
    <row r="1083" spans="2:12" s="156" customFormat="1" x14ac:dyDescent="0.3">
      <c r="B1083" s="834"/>
      <c r="C1083" s="835"/>
      <c r="D1083" s="835"/>
      <c r="E1083" s="835"/>
      <c r="F1083" s="836"/>
      <c r="G1083" s="266"/>
      <c r="H1083" s="263"/>
      <c r="I1083" s="264"/>
      <c r="J1083" s="324"/>
    </row>
    <row r="1084" spans="2:12" s="156" customFormat="1" x14ac:dyDescent="0.3">
      <c r="B1084" s="826"/>
      <c r="C1084" s="827"/>
      <c r="D1084" s="827"/>
      <c r="E1084" s="268"/>
      <c r="F1084" s="268"/>
      <c r="G1084" s="268"/>
      <c r="H1084" s="269"/>
      <c r="I1084" s="270" t="s">
        <v>153</v>
      </c>
      <c r="J1084" s="325">
        <f>+SUM(J1082:J1083)</f>
        <v>0</v>
      </c>
    </row>
    <row r="1085" spans="2:12" s="156" customFormat="1" x14ac:dyDescent="0.3">
      <c r="B1085" s="837" t="s">
        <v>154</v>
      </c>
      <c r="C1085" s="838"/>
      <c r="D1085" s="838"/>
      <c r="E1085" s="255"/>
      <c r="F1085" s="255"/>
      <c r="G1085" s="255"/>
      <c r="H1085" s="255"/>
      <c r="I1085" s="272"/>
      <c r="J1085" s="322"/>
    </row>
    <row r="1086" spans="2:12" s="156" customFormat="1" x14ac:dyDescent="0.3">
      <c r="B1086" s="820" t="s">
        <v>155</v>
      </c>
      <c r="C1086" s="821"/>
      <c r="D1086" s="821"/>
      <c r="E1086" s="821"/>
      <c r="F1086" s="822"/>
      <c r="G1086" s="273" t="s">
        <v>48</v>
      </c>
      <c r="H1086" s="273" t="s">
        <v>19</v>
      </c>
      <c r="I1086" s="275" t="s">
        <v>187</v>
      </c>
      <c r="J1086" s="326" t="s">
        <v>37</v>
      </c>
    </row>
    <row r="1087" spans="2:12" s="156" customFormat="1" x14ac:dyDescent="0.3">
      <c r="B1087" s="834" t="s">
        <v>937</v>
      </c>
      <c r="C1087" s="835"/>
      <c r="D1087" s="835"/>
      <c r="E1087" s="835"/>
      <c r="F1087" s="836"/>
      <c r="G1087" s="367" t="s">
        <v>930</v>
      </c>
      <c r="H1087" s="741">
        <f>30/J1079</f>
        <v>2.8199675207254893E-3</v>
      </c>
      <c r="I1087" s="412">
        <f>CUADRILLA!F7</f>
        <v>1250000</v>
      </c>
      <c r="J1087" s="332">
        <f>H1087*I1087</f>
        <v>3524.9594009068614</v>
      </c>
    </row>
    <row r="1088" spans="2:12" s="156" customFormat="1" x14ac:dyDescent="0.3">
      <c r="B1088" s="834"/>
      <c r="C1088" s="835"/>
      <c r="D1088" s="835"/>
      <c r="E1088" s="835"/>
      <c r="F1088" s="836"/>
      <c r="G1088" s="367"/>
      <c r="H1088" s="368"/>
      <c r="I1088" s="369"/>
      <c r="J1088" s="332"/>
    </row>
    <row r="1089" spans="2:10" s="156" customFormat="1" x14ac:dyDescent="0.3">
      <c r="B1089" s="839"/>
      <c r="C1089" s="840"/>
      <c r="D1089" s="840"/>
      <c r="E1089" s="840"/>
      <c r="F1089" s="841"/>
      <c r="G1089" s="281"/>
      <c r="H1089" s="281"/>
      <c r="I1089" s="282" t="s">
        <v>153</v>
      </c>
      <c r="J1089" s="328">
        <f>SUM(J1087:J1088)</f>
        <v>3524.9594009068614</v>
      </c>
    </row>
    <row r="1090" spans="2:10" s="156" customFormat="1" x14ac:dyDescent="0.3">
      <c r="B1090" s="837" t="s">
        <v>158</v>
      </c>
      <c r="C1090" s="838"/>
      <c r="D1090" s="838"/>
      <c r="E1090" s="253"/>
      <c r="F1090" s="284"/>
      <c r="G1090" s="284"/>
      <c r="H1090" s="285"/>
      <c r="I1090" s="286"/>
      <c r="J1090" s="329"/>
    </row>
    <row r="1091" spans="2:10" s="156" customFormat="1" x14ac:dyDescent="0.3">
      <c r="B1091" s="820" t="s">
        <v>151</v>
      </c>
      <c r="C1091" s="821"/>
      <c r="D1091" s="821"/>
      <c r="E1091" s="821"/>
      <c r="F1091" s="822"/>
      <c r="G1091" s="259" t="s">
        <v>48</v>
      </c>
      <c r="H1091" s="259" t="s">
        <v>19</v>
      </c>
      <c r="I1091" s="260" t="s">
        <v>20</v>
      </c>
      <c r="J1091" s="322" t="s">
        <v>37</v>
      </c>
    </row>
    <row r="1092" spans="2:10" s="156" customFormat="1" x14ac:dyDescent="0.3">
      <c r="B1092" s="823"/>
      <c r="C1092" s="824"/>
      <c r="D1092" s="824"/>
      <c r="E1092" s="824"/>
      <c r="F1092" s="825"/>
      <c r="G1092" s="336"/>
      <c r="H1092" s="263"/>
      <c r="I1092" s="289"/>
      <c r="J1092" s="324"/>
    </row>
    <row r="1093" spans="2:10" s="156" customFormat="1" x14ac:dyDescent="0.3">
      <c r="B1093" s="823"/>
      <c r="C1093" s="824"/>
      <c r="D1093" s="824"/>
      <c r="E1093" s="824"/>
      <c r="F1093" s="825"/>
      <c r="G1093" s="336"/>
      <c r="H1093" s="263"/>
      <c r="I1093" s="289"/>
      <c r="J1093" s="324"/>
    </row>
    <row r="1094" spans="2:10" s="156" customFormat="1" x14ac:dyDescent="0.3">
      <c r="B1094" s="823"/>
      <c r="C1094" s="824"/>
      <c r="D1094" s="824"/>
      <c r="E1094" s="824"/>
      <c r="F1094" s="825"/>
      <c r="G1094" s="370"/>
      <c r="H1094" s="263"/>
      <c r="I1094" s="289"/>
      <c r="J1094" s="324"/>
    </row>
    <row r="1095" spans="2:10" s="156" customFormat="1" x14ac:dyDescent="0.3">
      <c r="B1095" s="823"/>
      <c r="C1095" s="824"/>
      <c r="D1095" s="824"/>
      <c r="E1095" s="824"/>
      <c r="F1095" s="825"/>
      <c r="G1095" s="288"/>
      <c r="H1095" s="263"/>
      <c r="I1095" s="289"/>
      <c r="J1095" s="324"/>
    </row>
    <row r="1096" spans="2:10" s="156" customFormat="1" x14ac:dyDescent="0.3">
      <c r="B1096" s="823"/>
      <c r="C1096" s="824"/>
      <c r="D1096" s="824"/>
      <c r="E1096" s="824"/>
      <c r="F1096" s="825"/>
      <c r="G1096" s="288"/>
      <c r="H1096" s="263"/>
      <c r="I1096" s="289"/>
      <c r="J1096" s="324"/>
    </row>
    <row r="1097" spans="2:10" s="156" customFormat="1" x14ac:dyDescent="0.3">
      <c r="B1097" s="826"/>
      <c r="C1097" s="827"/>
      <c r="D1097" s="827"/>
      <c r="E1097" s="267"/>
      <c r="F1097" s="267"/>
      <c r="G1097" s="267"/>
      <c r="H1097" s="290"/>
      <c r="I1097" s="291" t="s">
        <v>153</v>
      </c>
      <c r="J1097" s="330">
        <f>SUM(J1092:J1096)</f>
        <v>0</v>
      </c>
    </row>
    <row r="1098" spans="2:10" s="156" customFormat="1" x14ac:dyDescent="0.3">
      <c r="B1098" s="828" t="s">
        <v>159</v>
      </c>
      <c r="C1098" s="829"/>
      <c r="D1098" s="829"/>
      <c r="E1098" s="829"/>
      <c r="F1098" s="829"/>
      <c r="G1098" s="829"/>
      <c r="H1098" s="829"/>
      <c r="I1098" s="829"/>
      <c r="J1098" s="830"/>
    </row>
    <row r="1099" spans="2:10" s="156" customFormat="1" x14ac:dyDescent="0.3">
      <c r="B1099" s="831" t="s">
        <v>151</v>
      </c>
      <c r="C1099" s="832"/>
      <c r="D1099" s="832"/>
      <c r="E1099" s="832"/>
      <c r="F1099" s="833"/>
      <c r="G1099" s="232" t="s">
        <v>48</v>
      </c>
      <c r="H1099" s="232" t="s">
        <v>19</v>
      </c>
      <c r="I1099" s="233" t="s">
        <v>20</v>
      </c>
      <c r="J1099" s="331" t="s">
        <v>37</v>
      </c>
    </row>
    <row r="1100" spans="2:10" s="156" customFormat="1" x14ac:dyDescent="0.3">
      <c r="B1100" s="812" t="s">
        <v>284</v>
      </c>
      <c r="C1100" s="813"/>
      <c r="D1100" s="813"/>
      <c r="E1100" s="813"/>
      <c r="F1100" s="814"/>
      <c r="G1100" s="245" t="s">
        <v>221</v>
      </c>
      <c r="H1100" s="413">
        <v>1</v>
      </c>
      <c r="I1100" s="237">
        <f>410000/15</f>
        <v>27333.333333333332</v>
      </c>
      <c r="J1100" s="333">
        <f>H1100*I1100</f>
        <v>27333.333333333332</v>
      </c>
    </row>
    <row r="1101" spans="2:10" s="156" customFormat="1" x14ac:dyDescent="0.3">
      <c r="B1101" s="812" t="s">
        <v>862</v>
      </c>
      <c r="C1101" s="813"/>
      <c r="D1101" s="813"/>
      <c r="E1101" s="813"/>
      <c r="F1101" s="814"/>
      <c r="G1101" s="245" t="s">
        <v>221</v>
      </c>
      <c r="H1101" s="413">
        <v>1</v>
      </c>
      <c r="I1101" s="237">
        <v>7000</v>
      </c>
      <c r="J1101" s="333">
        <f>H1101*I1101</f>
        <v>7000</v>
      </c>
    </row>
    <row r="1102" spans="2:10" s="156" customFormat="1" x14ac:dyDescent="0.3">
      <c r="B1102" s="812" t="s">
        <v>285</v>
      </c>
      <c r="C1102" s="813"/>
      <c r="D1102" s="813"/>
      <c r="E1102" s="813"/>
      <c r="F1102" s="814"/>
      <c r="G1102" s="245" t="s">
        <v>290</v>
      </c>
      <c r="H1102" s="413">
        <f>1/J1079</f>
        <v>9.3998917357516302E-5</v>
      </c>
      <c r="I1102" s="237">
        <v>10430700</v>
      </c>
      <c r="J1102" s="333">
        <f>H1102*I1102</f>
        <v>980.47450728104525</v>
      </c>
    </row>
    <row r="1103" spans="2:10" s="156" customFormat="1" ht="12.75" customHeight="1" x14ac:dyDescent="0.3">
      <c r="B1103" s="812" t="s">
        <v>286</v>
      </c>
      <c r="C1103" s="813"/>
      <c r="D1103" s="813"/>
      <c r="E1103" s="813"/>
      <c r="F1103" s="814"/>
      <c r="G1103" s="245" t="s">
        <v>290</v>
      </c>
      <c r="H1103" s="413">
        <f>1/J1079</f>
        <v>9.3998917357516302E-5</v>
      </c>
      <c r="I1103" s="237">
        <v>10873000</v>
      </c>
      <c r="J1103" s="333">
        <f>H1103*I1103</f>
        <v>1022.0502284282747</v>
      </c>
    </row>
    <row r="1104" spans="2:10" s="156" customFormat="1" ht="12.75" customHeight="1" x14ac:dyDescent="0.3">
      <c r="B1104" s="812"/>
      <c r="C1104" s="813"/>
      <c r="D1104" s="813"/>
      <c r="E1104" s="813"/>
      <c r="F1104" s="814"/>
      <c r="G1104" s="245"/>
      <c r="H1104" s="245"/>
      <c r="I1104" s="237"/>
      <c r="J1104" s="333"/>
    </row>
    <row r="1105" spans="2:11" s="156" customFormat="1" x14ac:dyDescent="0.3">
      <c r="B1105" s="812"/>
      <c r="C1105" s="813"/>
      <c r="D1105" s="813"/>
      <c r="E1105" s="813"/>
      <c r="F1105" s="814"/>
      <c r="G1105" s="245"/>
      <c r="H1105" s="245"/>
      <c r="I1105" s="237"/>
      <c r="J1105" s="333"/>
    </row>
    <row r="1106" spans="2:11" s="156" customFormat="1" x14ac:dyDescent="0.3">
      <c r="B1106" s="812"/>
      <c r="C1106" s="813"/>
      <c r="D1106" s="813"/>
      <c r="E1106" s="813"/>
      <c r="F1106" s="814"/>
      <c r="G1106" s="245"/>
      <c r="H1106" s="245"/>
      <c r="I1106" s="237"/>
      <c r="J1106" s="333"/>
    </row>
    <row r="1107" spans="2:11" s="156" customFormat="1" x14ac:dyDescent="0.3">
      <c r="B1107" s="815"/>
      <c r="C1107" s="816"/>
      <c r="D1107" s="816"/>
      <c r="E1107" s="816"/>
      <c r="F1107" s="817"/>
      <c r="G1107" s="316"/>
      <c r="H1107" s="316"/>
      <c r="I1107" s="317" t="s">
        <v>153</v>
      </c>
      <c r="J1107" s="334">
        <f>SUM(J1100:J1106)</f>
        <v>36335.858069042653</v>
      </c>
    </row>
    <row r="1108" spans="2:11" s="156" customFormat="1" x14ac:dyDescent="0.3">
      <c r="B1108" s="818"/>
      <c r="C1108" s="819"/>
      <c r="D1108" s="819"/>
      <c r="E1108" s="319"/>
      <c r="F1108" s="319"/>
      <c r="G1108" s="319"/>
      <c r="H1108" s="810" t="s">
        <v>160</v>
      </c>
      <c r="I1108" s="811"/>
      <c r="J1108" s="335">
        <f>(J1097++J1107+J1089+J1084)</f>
        <v>39860.817469949514</v>
      </c>
      <c r="K1108" s="739"/>
    </row>
    <row r="1109" spans="2:11" s="156" customFormat="1" x14ac:dyDescent="0.3">
      <c r="B1109" s="803"/>
      <c r="C1109" s="804"/>
      <c r="D1109" s="804"/>
      <c r="E1109" s="804"/>
      <c r="F1109" s="804"/>
      <c r="G1109" s="805"/>
      <c r="H1109" s="806" t="s">
        <v>1004</v>
      </c>
      <c r="I1109" s="807"/>
      <c r="J1109" s="722">
        <f>+ROUND(J1108*'PRESUPUESTO OFICIAL (Entidad)'!$K$56,2)</f>
        <v>10363.81</v>
      </c>
      <c r="K1109" s="739"/>
    </row>
    <row r="1110" spans="2:11" s="156" customFormat="1" x14ac:dyDescent="0.3">
      <c r="B1110" s="798"/>
      <c r="C1110" s="799"/>
      <c r="D1110" s="799"/>
      <c r="E1110" s="799"/>
      <c r="F1110" s="799"/>
      <c r="G1110" s="800"/>
      <c r="H1110" s="801" t="s">
        <v>291</v>
      </c>
      <c r="I1110" s="802"/>
      <c r="J1110" s="723">
        <f>SUM(J1108:J1109)</f>
        <v>50224.627469949512</v>
      </c>
      <c r="K1110" s="739"/>
    </row>
    <row r="1111" spans="2:11" s="156" customFormat="1" ht="12.75" customHeight="1" x14ac:dyDescent="0.3"/>
    <row r="1112" spans="2:11" s="156" customFormat="1" x14ac:dyDescent="0.3">
      <c r="B1112" s="321" t="s">
        <v>15</v>
      </c>
      <c r="C1112" s="842" t="s">
        <v>151</v>
      </c>
      <c r="D1112" s="842"/>
      <c r="E1112" s="842"/>
      <c r="F1112" s="842"/>
      <c r="G1112" s="842"/>
      <c r="H1112" s="843"/>
      <c r="I1112" s="260" t="s">
        <v>48</v>
      </c>
      <c r="J1112" s="322" t="s">
        <v>19</v>
      </c>
    </row>
    <row r="1113" spans="2:11" s="156" customFormat="1" ht="37.35" customHeight="1" x14ac:dyDescent="0.3">
      <c r="B1113" s="221" t="s">
        <v>342</v>
      </c>
      <c r="C1113" s="844" t="s">
        <v>145</v>
      </c>
      <c r="D1113" s="845"/>
      <c r="E1113" s="845"/>
      <c r="F1113" s="845"/>
      <c r="G1113" s="845"/>
      <c r="H1113" s="846"/>
      <c r="I1113" s="222" t="s">
        <v>24</v>
      </c>
      <c r="J1113" s="223">
        <v>4952.5</v>
      </c>
    </row>
    <row r="1114" spans="2:11" s="156" customFormat="1" x14ac:dyDescent="0.3">
      <c r="B1114" s="847" t="s">
        <v>152</v>
      </c>
      <c r="C1114" s="848"/>
      <c r="D1114" s="848"/>
      <c r="E1114" s="253"/>
      <c r="F1114" s="284"/>
      <c r="G1114" s="284"/>
      <c r="H1114" s="285"/>
      <c r="I1114" s="257"/>
      <c r="J1114" s="323"/>
    </row>
    <row r="1115" spans="2:11" s="156" customFormat="1" x14ac:dyDescent="0.3">
      <c r="B1115" s="820" t="s">
        <v>151</v>
      </c>
      <c r="C1115" s="821"/>
      <c r="D1115" s="821"/>
      <c r="E1115" s="821"/>
      <c r="F1115" s="822"/>
      <c r="G1115" s="259" t="s">
        <v>48</v>
      </c>
      <c r="H1115" s="259" t="s">
        <v>19</v>
      </c>
      <c r="I1115" s="260" t="s">
        <v>20</v>
      </c>
      <c r="J1115" s="322" t="s">
        <v>37</v>
      </c>
    </row>
    <row r="1116" spans="2:11" s="156" customFormat="1" x14ac:dyDescent="0.3">
      <c r="B1116" s="834"/>
      <c r="C1116" s="835"/>
      <c r="D1116" s="835"/>
      <c r="E1116" s="835"/>
      <c r="F1116" s="836"/>
      <c r="G1116" s="262"/>
      <c r="H1116" s="263"/>
      <c r="I1116" s="264"/>
      <c r="J1116" s="324"/>
    </row>
    <row r="1117" spans="2:11" x14ac:dyDescent="0.3">
      <c r="B1117" s="834"/>
      <c r="C1117" s="835"/>
      <c r="D1117" s="835"/>
      <c r="E1117" s="835"/>
      <c r="F1117" s="836"/>
      <c r="G1117" s="266"/>
      <c r="H1117" s="263"/>
      <c r="I1117" s="264"/>
      <c r="J1117" s="324"/>
    </row>
    <row r="1118" spans="2:11" x14ac:dyDescent="0.3">
      <c r="B1118" s="826"/>
      <c r="C1118" s="827"/>
      <c r="D1118" s="827"/>
      <c r="E1118" s="268"/>
      <c r="F1118" s="268"/>
      <c r="G1118" s="268"/>
      <c r="H1118" s="269"/>
      <c r="I1118" s="270" t="s">
        <v>153</v>
      </c>
      <c r="J1118" s="325">
        <f>+SUM(J1116:J1117)</f>
        <v>0</v>
      </c>
    </row>
    <row r="1119" spans="2:11" x14ac:dyDescent="0.3">
      <c r="B1119" s="837" t="s">
        <v>154</v>
      </c>
      <c r="C1119" s="838"/>
      <c r="D1119" s="838"/>
      <c r="E1119" s="255"/>
      <c r="F1119" s="255"/>
      <c r="G1119" s="255"/>
      <c r="H1119" s="255"/>
      <c r="I1119" s="272"/>
      <c r="J1119" s="322"/>
    </row>
    <row r="1120" spans="2:11" x14ac:dyDescent="0.3">
      <c r="B1120" s="820" t="s">
        <v>155</v>
      </c>
      <c r="C1120" s="821"/>
      <c r="D1120" s="821"/>
      <c r="E1120" s="821"/>
      <c r="F1120" s="822"/>
      <c r="G1120" s="273" t="s">
        <v>48</v>
      </c>
      <c r="H1120" s="273" t="s">
        <v>19</v>
      </c>
      <c r="I1120" s="275" t="s">
        <v>187</v>
      </c>
      <c r="J1120" s="326" t="s">
        <v>37</v>
      </c>
    </row>
    <row r="1121" spans="2:10" x14ac:dyDescent="0.3">
      <c r="B1121" s="834"/>
      <c r="C1121" s="835"/>
      <c r="D1121" s="835"/>
      <c r="E1121" s="835"/>
      <c r="F1121" s="836"/>
      <c r="G1121" s="367"/>
      <c r="H1121" s="368"/>
      <c r="I1121" s="369"/>
      <c r="J1121" s="332"/>
    </row>
    <row r="1122" spans="2:10" x14ac:dyDescent="0.3">
      <c r="B1122" s="834"/>
      <c r="C1122" s="835"/>
      <c r="D1122" s="835"/>
      <c r="E1122" s="835"/>
      <c r="F1122" s="836"/>
      <c r="G1122" s="367"/>
      <c r="H1122" s="368"/>
      <c r="I1122" s="369"/>
      <c r="J1122" s="332"/>
    </row>
    <row r="1123" spans="2:10" x14ac:dyDescent="0.3">
      <c r="B1123" s="839"/>
      <c r="C1123" s="840"/>
      <c r="D1123" s="840"/>
      <c r="E1123" s="840"/>
      <c r="F1123" s="841"/>
      <c r="G1123" s="281"/>
      <c r="H1123" s="281"/>
      <c r="I1123" s="282" t="s">
        <v>153</v>
      </c>
      <c r="J1123" s="328">
        <f>SUM(J1121:J1122)</f>
        <v>0</v>
      </c>
    </row>
    <row r="1124" spans="2:10" x14ac:dyDescent="0.3">
      <c r="B1124" s="837" t="s">
        <v>158</v>
      </c>
      <c r="C1124" s="838"/>
      <c r="D1124" s="838"/>
      <c r="E1124" s="253"/>
      <c r="F1124" s="284"/>
      <c r="G1124" s="284"/>
      <c r="H1124" s="285"/>
      <c r="I1124" s="286"/>
      <c r="J1124" s="329"/>
    </row>
    <row r="1125" spans="2:10" x14ac:dyDescent="0.3">
      <c r="B1125" s="820" t="s">
        <v>151</v>
      </c>
      <c r="C1125" s="821"/>
      <c r="D1125" s="821"/>
      <c r="E1125" s="821"/>
      <c r="F1125" s="822"/>
      <c r="G1125" s="259" t="s">
        <v>48</v>
      </c>
      <c r="H1125" s="259" t="s">
        <v>19</v>
      </c>
      <c r="I1125" s="260" t="s">
        <v>20</v>
      </c>
      <c r="J1125" s="322" t="s">
        <v>37</v>
      </c>
    </row>
    <row r="1126" spans="2:10" x14ac:dyDescent="0.3">
      <c r="B1126" s="823"/>
      <c r="C1126" s="824"/>
      <c r="D1126" s="824"/>
      <c r="E1126" s="824"/>
      <c r="F1126" s="825"/>
      <c r="G1126" s="336"/>
      <c r="H1126" s="263"/>
      <c r="I1126" s="289"/>
      <c r="J1126" s="324"/>
    </row>
    <row r="1127" spans="2:10" x14ac:dyDescent="0.3">
      <c r="B1127" s="823"/>
      <c r="C1127" s="824"/>
      <c r="D1127" s="824"/>
      <c r="E1127" s="824"/>
      <c r="F1127" s="825"/>
      <c r="G1127" s="336"/>
      <c r="H1127" s="263"/>
      <c r="I1127" s="289"/>
      <c r="J1127" s="324"/>
    </row>
    <row r="1128" spans="2:10" x14ac:dyDescent="0.3">
      <c r="B1128" s="823"/>
      <c r="C1128" s="824"/>
      <c r="D1128" s="824"/>
      <c r="E1128" s="824"/>
      <c r="F1128" s="825"/>
      <c r="G1128" s="370"/>
      <c r="H1128" s="263"/>
      <c r="I1128" s="289"/>
      <c r="J1128" s="324"/>
    </row>
    <row r="1129" spans="2:10" x14ac:dyDescent="0.3">
      <c r="B1129" s="823"/>
      <c r="C1129" s="824"/>
      <c r="D1129" s="824"/>
      <c r="E1129" s="824"/>
      <c r="F1129" s="825"/>
      <c r="G1129" s="288"/>
      <c r="H1129" s="263"/>
      <c r="I1129" s="289"/>
      <c r="J1129" s="324"/>
    </row>
    <row r="1130" spans="2:10" x14ac:dyDescent="0.3">
      <c r="B1130" s="823"/>
      <c r="C1130" s="824"/>
      <c r="D1130" s="824"/>
      <c r="E1130" s="824"/>
      <c r="F1130" s="825"/>
      <c r="G1130" s="288"/>
      <c r="H1130" s="263"/>
      <c r="I1130" s="289"/>
      <c r="J1130" s="324"/>
    </row>
    <row r="1131" spans="2:10" x14ac:dyDescent="0.3">
      <c r="B1131" s="826"/>
      <c r="C1131" s="827"/>
      <c r="D1131" s="827"/>
      <c r="E1131" s="267"/>
      <c r="F1131" s="267"/>
      <c r="G1131" s="267"/>
      <c r="H1131" s="290"/>
      <c r="I1131" s="291" t="s">
        <v>153</v>
      </c>
      <c r="J1131" s="330">
        <f>SUM(J1126:J1130)</f>
        <v>0</v>
      </c>
    </row>
    <row r="1132" spans="2:10" x14ac:dyDescent="0.3">
      <c r="B1132" s="828" t="s">
        <v>159</v>
      </c>
      <c r="C1132" s="829"/>
      <c r="D1132" s="829"/>
      <c r="E1132" s="829"/>
      <c r="F1132" s="829"/>
      <c r="G1132" s="829"/>
      <c r="H1132" s="829"/>
      <c r="I1132" s="829"/>
      <c r="J1132" s="830"/>
    </row>
    <row r="1133" spans="2:10" x14ac:dyDescent="0.3">
      <c r="B1133" s="831" t="s">
        <v>151</v>
      </c>
      <c r="C1133" s="832"/>
      <c r="D1133" s="832"/>
      <c r="E1133" s="832"/>
      <c r="F1133" s="833"/>
      <c r="G1133" s="232" t="s">
        <v>48</v>
      </c>
      <c r="H1133" s="232" t="s">
        <v>19</v>
      </c>
      <c r="I1133" s="233" t="s">
        <v>20</v>
      </c>
      <c r="J1133" s="331" t="s">
        <v>37</v>
      </c>
    </row>
    <row r="1134" spans="2:10" x14ac:dyDescent="0.3">
      <c r="B1134" s="812" t="s">
        <v>287</v>
      </c>
      <c r="C1134" s="813"/>
      <c r="D1134" s="813"/>
      <c r="E1134" s="813"/>
      <c r="F1134" s="814"/>
      <c r="G1134" s="245" t="s">
        <v>221</v>
      </c>
      <c r="H1134" s="377">
        <v>1</v>
      </c>
      <c r="I1134" s="237">
        <f>42450/15</f>
        <v>2830</v>
      </c>
      <c r="J1134" s="333">
        <f>H1134*I1134</f>
        <v>2830</v>
      </c>
    </row>
    <row r="1135" spans="2:10" x14ac:dyDescent="0.3">
      <c r="B1135" s="812" t="s">
        <v>288</v>
      </c>
      <c r="C1135" s="813"/>
      <c r="D1135" s="813"/>
      <c r="E1135" s="813"/>
      <c r="F1135" s="814"/>
      <c r="G1135" s="245" t="s">
        <v>221</v>
      </c>
      <c r="H1135" s="377">
        <v>1</v>
      </c>
      <c r="I1135" s="237">
        <v>4670</v>
      </c>
      <c r="J1135" s="333">
        <f>H1135*I1135</f>
        <v>4670</v>
      </c>
    </row>
    <row r="1136" spans="2:10" x14ac:dyDescent="0.3">
      <c r="B1136" s="812"/>
      <c r="C1136" s="813"/>
      <c r="D1136" s="813"/>
      <c r="E1136" s="813"/>
      <c r="F1136" s="814"/>
      <c r="G1136" s="245"/>
      <c r="H1136" s="377"/>
      <c r="I1136" s="237"/>
      <c r="J1136" s="333"/>
    </row>
    <row r="1137" spans="2:10" x14ac:dyDescent="0.3">
      <c r="B1137" s="812"/>
      <c r="C1137" s="813"/>
      <c r="D1137" s="813"/>
      <c r="E1137" s="813"/>
      <c r="F1137" s="814"/>
      <c r="G1137" s="245"/>
      <c r="H1137" s="377"/>
      <c r="I1137" s="237"/>
      <c r="J1137" s="333"/>
    </row>
    <row r="1138" spans="2:10" x14ac:dyDescent="0.3">
      <c r="B1138" s="812"/>
      <c r="C1138" s="813"/>
      <c r="D1138" s="813"/>
      <c r="E1138" s="813"/>
      <c r="F1138" s="814"/>
      <c r="G1138" s="245"/>
      <c r="H1138" s="245"/>
      <c r="I1138" s="237"/>
      <c r="J1138" s="333"/>
    </row>
    <row r="1139" spans="2:10" x14ac:dyDescent="0.3">
      <c r="B1139" s="812"/>
      <c r="C1139" s="813"/>
      <c r="D1139" s="813"/>
      <c r="E1139" s="813"/>
      <c r="F1139" s="814"/>
      <c r="G1139" s="245"/>
      <c r="H1139" s="245"/>
      <c r="I1139" s="237"/>
      <c r="J1139" s="333"/>
    </row>
    <row r="1140" spans="2:10" x14ac:dyDescent="0.3">
      <c r="B1140" s="812"/>
      <c r="C1140" s="813"/>
      <c r="D1140" s="813"/>
      <c r="E1140" s="813"/>
      <c r="F1140" s="814"/>
      <c r="G1140" s="245"/>
      <c r="H1140" s="245"/>
      <c r="I1140" s="237"/>
      <c r="J1140" s="333"/>
    </row>
    <row r="1141" spans="2:10" x14ac:dyDescent="0.3">
      <c r="B1141" s="815"/>
      <c r="C1141" s="816"/>
      <c r="D1141" s="816"/>
      <c r="E1141" s="816"/>
      <c r="F1141" s="817"/>
      <c r="G1141" s="316"/>
      <c r="H1141" s="316"/>
      <c r="I1141" s="317" t="s">
        <v>153</v>
      </c>
      <c r="J1141" s="334">
        <f>SUM(J1134:J1140)</f>
        <v>7500</v>
      </c>
    </row>
    <row r="1142" spans="2:10" x14ac:dyDescent="0.3">
      <c r="B1142" s="818"/>
      <c r="C1142" s="819"/>
      <c r="D1142" s="819"/>
      <c r="E1142" s="319"/>
      <c r="F1142" s="319"/>
      <c r="G1142" s="319"/>
      <c r="H1142" s="810" t="s">
        <v>160</v>
      </c>
      <c r="I1142" s="811"/>
      <c r="J1142" s="335">
        <f>(J1131++J1141+J1123+J1118)</f>
        <v>7500</v>
      </c>
    </row>
    <row r="1143" spans="2:10" x14ac:dyDescent="0.3">
      <c r="B1143" s="803"/>
      <c r="C1143" s="804"/>
      <c r="D1143" s="804"/>
      <c r="E1143" s="804"/>
      <c r="F1143" s="804"/>
      <c r="G1143" s="805"/>
      <c r="H1143" s="808" t="s">
        <v>1004</v>
      </c>
      <c r="I1143" s="809"/>
      <c r="J1143" s="722">
        <f>+ROUND(J1142*'PRESUPUESTO OFICIAL (Entidad)'!$K$56,2)</f>
        <v>1950</v>
      </c>
    </row>
    <row r="1144" spans="2:10" x14ac:dyDescent="0.3">
      <c r="B1144" s="798"/>
      <c r="C1144" s="799"/>
      <c r="D1144" s="799"/>
      <c r="E1144" s="799"/>
      <c r="F1144" s="799"/>
      <c r="G1144" s="800"/>
      <c r="H1144" s="801" t="s">
        <v>291</v>
      </c>
      <c r="I1144" s="802"/>
      <c r="J1144" s="723">
        <f>SUM(J1142:J1143)</f>
        <v>9450</v>
      </c>
    </row>
    <row r="1145" spans="2:10" x14ac:dyDescent="0.3">
      <c r="B1145" s="156"/>
      <c r="C1145" s="156"/>
      <c r="D1145" s="156"/>
      <c r="E1145" s="156"/>
      <c r="F1145" s="156"/>
      <c r="G1145" s="156"/>
      <c r="H1145" s="156"/>
      <c r="I1145" s="156"/>
      <c r="J1145" s="156"/>
    </row>
    <row r="1146" spans="2:10" x14ac:dyDescent="0.3">
      <c r="B1146" s="156"/>
      <c r="C1146" s="156"/>
      <c r="D1146" s="156"/>
      <c r="E1146" s="156"/>
      <c r="F1146" s="156"/>
      <c r="G1146" s="156"/>
      <c r="H1146" s="156"/>
      <c r="I1146" s="156"/>
      <c r="J1146" s="156"/>
    </row>
    <row r="1147" spans="2:10" x14ac:dyDescent="0.3">
      <c r="B1147" s="156"/>
      <c r="C1147" s="156"/>
      <c r="D1147" s="156"/>
      <c r="E1147" s="156"/>
      <c r="F1147" s="156"/>
      <c r="G1147" s="156"/>
      <c r="H1147" s="156"/>
      <c r="I1147" s="156"/>
      <c r="J1147" s="156"/>
    </row>
    <row r="1148" spans="2:10" ht="20.399999999999999" customHeight="1" x14ac:dyDescent="0.5">
      <c r="B1148" s="696"/>
      <c r="C1148" s="696"/>
      <c r="D1148" s="696"/>
      <c r="E1148" s="696"/>
      <c r="F1148" s="696"/>
    </row>
    <row r="1149" spans="2:10" ht="20.399999999999999" customHeight="1" x14ac:dyDescent="0.5">
      <c r="B1149" s="696"/>
      <c r="C1149" s="696"/>
      <c r="D1149" s="696"/>
      <c r="E1149" s="696"/>
      <c r="F1149" s="696"/>
    </row>
    <row r="1150" spans="2:10" s="732" customFormat="1" ht="20.399999999999999" customHeight="1" x14ac:dyDescent="0.2">
      <c r="B1150" s="757"/>
      <c r="C1150" s="757"/>
      <c r="D1150" s="757"/>
      <c r="E1150" s="757"/>
      <c r="F1150" s="757"/>
    </row>
    <row r="1151" spans="2:10" s="733" customFormat="1" x14ac:dyDescent="0.3">
      <c r="B1151" s="796" t="s">
        <v>1005</v>
      </c>
      <c r="C1151" s="796"/>
      <c r="D1151" s="796"/>
      <c r="E1151" s="796"/>
      <c r="F1151" s="796"/>
    </row>
    <row r="1152" spans="2:10" s="733" customFormat="1" x14ac:dyDescent="0.3">
      <c r="B1152" s="797" t="s">
        <v>1010</v>
      </c>
      <c r="C1152" s="797"/>
      <c r="D1152" s="797"/>
      <c r="E1152" s="797"/>
      <c r="F1152" s="797"/>
    </row>
    <row r="1153" spans="2:6" s="733" customFormat="1" x14ac:dyDescent="0.3">
      <c r="B1153" s="797" t="s">
        <v>1006</v>
      </c>
      <c r="C1153" s="797"/>
      <c r="D1153" s="797"/>
      <c r="E1153" s="797"/>
      <c r="F1153" s="797"/>
    </row>
    <row r="1154" spans="2:6" ht="20.399999999999999" customHeight="1" x14ac:dyDescent="0.5">
      <c r="B1154" s="696"/>
      <c r="C1154" s="696"/>
      <c r="D1154" s="758"/>
      <c r="E1154" s="696"/>
      <c r="F1154" s="696"/>
    </row>
  </sheetData>
  <mergeCells count="1162">
    <mergeCell ref="B426:F426"/>
    <mergeCell ref="B427:F427"/>
    <mergeCell ref="B35:G35"/>
    <mergeCell ref="H35:I35"/>
    <mergeCell ref="B36:G36"/>
    <mergeCell ref="H36:I36"/>
    <mergeCell ref="K522:W522"/>
    <mergeCell ref="K553:R554"/>
    <mergeCell ref="K523:V524"/>
    <mergeCell ref="K1025:M1026"/>
    <mergeCell ref="C369:H369"/>
    <mergeCell ref="C370:H370"/>
    <mergeCell ref="B371:D371"/>
    <mergeCell ref="B372:F372"/>
    <mergeCell ref="B373:F373"/>
    <mergeCell ref="B374:F374"/>
    <mergeCell ref="B375:D375"/>
    <mergeCell ref="B376:D376"/>
    <mergeCell ref="B377:F377"/>
    <mergeCell ref="B378:F378"/>
    <mergeCell ref="B379:F379"/>
    <mergeCell ref="B380:F380"/>
    <mergeCell ref="B381:D381"/>
    <mergeCell ref="B382:F382"/>
    <mergeCell ref="B383:F383"/>
    <mergeCell ref="B384:F384"/>
    <mergeCell ref="B435:F435"/>
    <mergeCell ref="H429:I429"/>
    <mergeCell ref="B429:D429"/>
    <mergeCell ref="H399:I399"/>
    <mergeCell ref="H397:I397"/>
    <mergeCell ref="H398:I398"/>
    <mergeCell ref="B389:F389"/>
    <mergeCell ref="B390:F390"/>
    <mergeCell ref="B391:F391"/>
    <mergeCell ref="B392:F392"/>
    <mergeCell ref="B393:F393"/>
    <mergeCell ref="B394:F394"/>
    <mergeCell ref="B395:F395"/>
    <mergeCell ref="B396:F396"/>
    <mergeCell ref="B397:D397"/>
    <mergeCell ref="B399:G399"/>
    <mergeCell ref="B398:G398"/>
    <mergeCell ref="B408:D408"/>
    <mergeCell ref="B409:D409"/>
    <mergeCell ref="B410:F410"/>
    <mergeCell ref="B411:F411"/>
    <mergeCell ref="B412:F412"/>
    <mergeCell ref="B425:F425"/>
    <mergeCell ref="B424:F424"/>
    <mergeCell ref="B423:F423"/>
    <mergeCell ref="C464:H464"/>
    <mergeCell ref="C465:H465"/>
    <mergeCell ref="B497:G497"/>
    <mergeCell ref="H497:I497"/>
    <mergeCell ref="B498:G498"/>
    <mergeCell ref="H498:I498"/>
    <mergeCell ref="B466:D466"/>
    <mergeCell ref="B467:F467"/>
    <mergeCell ref="B468:F468"/>
    <mergeCell ref="B385:D385"/>
    <mergeCell ref="B386:J386"/>
    <mergeCell ref="B428:F428"/>
    <mergeCell ref="B419:J419"/>
    <mergeCell ref="B473:D473"/>
    <mergeCell ref="B474:D474"/>
    <mergeCell ref="B475:F475"/>
    <mergeCell ref="B476:F476"/>
    <mergeCell ref="B477:F477"/>
    <mergeCell ref="B469:F469"/>
    <mergeCell ref="B470:F470"/>
    <mergeCell ref="B489:F489"/>
    <mergeCell ref="B490:F490"/>
    <mergeCell ref="B491:F491"/>
    <mergeCell ref="B492:F492"/>
    <mergeCell ref="B493:F493"/>
    <mergeCell ref="B494:F494"/>
    <mergeCell ref="B495:F495"/>
    <mergeCell ref="B422:F422"/>
    <mergeCell ref="B421:F421"/>
    <mergeCell ref="B420:F420"/>
    <mergeCell ref="B418:D418"/>
    <mergeCell ref="B407:F407"/>
    <mergeCell ref="B366:G366"/>
    <mergeCell ref="B365:G365"/>
    <mergeCell ref="H366:I366"/>
    <mergeCell ref="H365:I365"/>
    <mergeCell ref="B450:F450"/>
    <mergeCell ref="B454:F454"/>
    <mergeCell ref="B453:F453"/>
    <mergeCell ref="B449:D449"/>
    <mergeCell ref="B448:D448"/>
    <mergeCell ref="B446:F446"/>
    <mergeCell ref="B445:F445"/>
    <mergeCell ref="B447:F447"/>
    <mergeCell ref="B444:D444"/>
    <mergeCell ref="B443:F443"/>
    <mergeCell ref="B442:F442"/>
    <mergeCell ref="B441:F441"/>
    <mergeCell ref="B438:D438"/>
    <mergeCell ref="B437:F437"/>
    <mergeCell ref="B436:F436"/>
    <mergeCell ref="C402:H402"/>
    <mergeCell ref="C403:H403"/>
    <mergeCell ref="B404:D404"/>
    <mergeCell ref="B405:F405"/>
    <mergeCell ref="B406:F406"/>
    <mergeCell ref="B439:D439"/>
    <mergeCell ref="B413:F413"/>
    <mergeCell ref="B414:D414"/>
    <mergeCell ref="B415:F415"/>
    <mergeCell ref="B416:F416"/>
    <mergeCell ref="B417:F417"/>
    <mergeCell ref="B387:F387"/>
    <mergeCell ref="B388:F388"/>
    <mergeCell ref="H532:I532"/>
    <mergeCell ref="B527:F527"/>
    <mergeCell ref="B528:F528"/>
    <mergeCell ref="B529:F529"/>
    <mergeCell ref="B530:D530"/>
    <mergeCell ref="H530:I530"/>
    <mergeCell ref="B507:F507"/>
    <mergeCell ref="B531:G531"/>
    <mergeCell ref="H531:I531"/>
    <mergeCell ref="B521:F521"/>
    <mergeCell ref="B522:F522"/>
    <mergeCell ref="B523:F523"/>
    <mergeCell ref="B524:F524"/>
    <mergeCell ref="B525:F525"/>
    <mergeCell ref="B526:F526"/>
    <mergeCell ref="B515:D515"/>
    <mergeCell ref="B516:F516"/>
    <mergeCell ref="B517:F517"/>
    <mergeCell ref="B518:F518"/>
    <mergeCell ref="B519:D519"/>
    <mergeCell ref="B520:J520"/>
    <mergeCell ref="B26:F26"/>
    <mergeCell ref="B20:F20"/>
    <mergeCell ref="B21:F21"/>
    <mergeCell ref="B22:F22"/>
    <mergeCell ref="B23:D23"/>
    <mergeCell ref="B460:B461"/>
    <mergeCell ref="C460:I461"/>
    <mergeCell ref="B440:F440"/>
    <mergeCell ref="C432:H432"/>
    <mergeCell ref="C433:H433"/>
    <mergeCell ref="B434:D434"/>
    <mergeCell ref="B456:G456"/>
    <mergeCell ref="H456:I456"/>
    <mergeCell ref="B457:G457"/>
    <mergeCell ref="H457:I457"/>
    <mergeCell ref="B455:G455"/>
    <mergeCell ref="B50:F50"/>
    <mergeCell ref="B51:D51"/>
    <mergeCell ref="B52:F52"/>
    <mergeCell ref="B53:F53"/>
    <mergeCell ref="B45:D45"/>
    <mergeCell ref="B46:D46"/>
    <mergeCell ref="B47:F47"/>
    <mergeCell ref="B48:F48"/>
    <mergeCell ref="B49:F49"/>
    <mergeCell ref="B361:F361"/>
    <mergeCell ref="C39:H39"/>
    <mergeCell ref="C40:H40"/>
    <mergeCell ref="B41:D41"/>
    <mergeCell ref="H455:I455"/>
    <mergeCell ref="B452:F452"/>
    <mergeCell ref="B451:F451"/>
    <mergeCell ref="B42:F42"/>
    <mergeCell ref="B43:F43"/>
    <mergeCell ref="B44:F44"/>
    <mergeCell ref="I4:J5"/>
    <mergeCell ref="B6:J6"/>
    <mergeCell ref="B1:D5"/>
    <mergeCell ref="C11:H11"/>
    <mergeCell ref="C12:H12"/>
    <mergeCell ref="H34:I34"/>
    <mergeCell ref="E1:G3"/>
    <mergeCell ref="H1:H2"/>
    <mergeCell ref="I1:J2"/>
    <mergeCell ref="I3:J3"/>
    <mergeCell ref="E4:G5"/>
    <mergeCell ref="H4:H5"/>
    <mergeCell ref="B30:F30"/>
    <mergeCell ref="B31:F31"/>
    <mergeCell ref="B32:F32"/>
    <mergeCell ref="B33:F33"/>
    <mergeCell ref="B27:D27"/>
    <mergeCell ref="C8:J9"/>
    <mergeCell ref="B15:F15"/>
    <mergeCell ref="B16:F16"/>
    <mergeCell ref="B17:D17"/>
    <mergeCell ref="B18:D18"/>
    <mergeCell ref="B19:F19"/>
    <mergeCell ref="B13:D13"/>
    <mergeCell ref="B14:F14"/>
    <mergeCell ref="B28:D28"/>
    <mergeCell ref="B29:F29"/>
    <mergeCell ref="B24:F24"/>
    <mergeCell ref="B25:F25"/>
    <mergeCell ref="B59:F59"/>
    <mergeCell ref="B60:F60"/>
    <mergeCell ref="B63:G63"/>
    <mergeCell ref="H61:I61"/>
    <mergeCell ref="B77:F77"/>
    <mergeCell ref="B54:D54"/>
    <mergeCell ref="B55:D55"/>
    <mergeCell ref="B56:F56"/>
    <mergeCell ref="B57:F57"/>
    <mergeCell ref="B58:F58"/>
    <mergeCell ref="C67:H67"/>
    <mergeCell ref="C68:H68"/>
    <mergeCell ref="B69:D69"/>
    <mergeCell ref="B70:F70"/>
    <mergeCell ref="B71:F71"/>
    <mergeCell ref="B72:F72"/>
    <mergeCell ref="B75:F75"/>
    <mergeCell ref="B76:F76"/>
    <mergeCell ref="B73:D73"/>
    <mergeCell ref="B74:D74"/>
    <mergeCell ref="H63:I63"/>
    <mergeCell ref="H89:I89"/>
    <mergeCell ref="C94:H94"/>
    <mergeCell ref="C95:H95"/>
    <mergeCell ref="B96:D96"/>
    <mergeCell ref="B97:F97"/>
    <mergeCell ref="B98:F98"/>
    <mergeCell ref="B84:F84"/>
    <mergeCell ref="B85:F85"/>
    <mergeCell ref="B86:F86"/>
    <mergeCell ref="B87:F87"/>
    <mergeCell ref="B88:F88"/>
    <mergeCell ref="B90:G90"/>
    <mergeCell ref="H90:I90"/>
    <mergeCell ref="B91:G91"/>
    <mergeCell ref="H91:I91"/>
    <mergeCell ref="B89:G89"/>
    <mergeCell ref="B78:F78"/>
    <mergeCell ref="B79:D79"/>
    <mergeCell ref="B80:F80"/>
    <mergeCell ref="B81:F81"/>
    <mergeCell ref="B82:D82"/>
    <mergeCell ref="B83:D83"/>
    <mergeCell ref="B111:F111"/>
    <mergeCell ref="B112:F112"/>
    <mergeCell ref="B113:F113"/>
    <mergeCell ref="B114:F114"/>
    <mergeCell ref="B117:F117"/>
    <mergeCell ref="B119:G119"/>
    <mergeCell ref="H119:I119"/>
    <mergeCell ref="B120:G120"/>
    <mergeCell ref="H120:I120"/>
    <mergeCell ref="B118:G118"/>
    <mergeCell ref="B105:F105"/>
    <mergeCell ref="B106:D106"/>
    <mergeCell ref="B107:F107"/>
    <mergeCell ref="B108:F108"/>
    <mergeCell ref="B109:D109"/>
    <mergeCell ref="B110:D110"/>
    <mergeCell ref="B99:F99"/>
    <mergeCell ref="B100:D100"/>
    <mergeCell ref="B101:D101"/>
    <mergeCell ref="B102:F102"/>
    <mergeCell ref="B103:F103"/>
    <mergeCell ref="B104:F104"/>
    <mergeCell ref="B132:F132"/>
    <mergeCell ref="B133:F133"/>
    <mergeCell ref="B134:F134"/>
    <mergeCell ref="B135:D135"/>
    <mergeCell ref="B136:F136"/>
    <mergeCell ref="B137:F137"/>
    <mergeCell ref="B126:F126"/>
    <mergeCell ref="B127:F127"/>
    <mergeCell ref="B128:F128"/>
    <mergeCell ref="B129:D129"/>
    <mergeCell ref="B130:D130"/>
    <mergeCell ref="B131:F131"/>
    <mergeCell ref="H118:I118"/>
    <mergeCell ref="B115:F115"/>
    <mergeCell ref="B116:F116"/>
    <mergeCell ref="C123:H123"/>
    <mergeCell ref="C124:H124"/>
    <mergeCell ref="B125:D125"/>
    <mergeCell ref="B153:F153"/>
    <mergeCell ref="B154:F154"/>
    <mergeCell ref="B155:F155"/>
    <mergeCell ref="B156:D156"/>
    <mergeCell ref="B143:F143"/>
    <mergeCell ref="B144:D144"/>
    <mergeCell ref="H144:I144"/>
    <mergeCell ref="C150:H150"/>
    <mergeCell ref="B138:D138"/>
    <mergeCell ref="B139:D139"/>
    <mergeCell ref="B140:F140"/>
    <mergeCell ref="B141:F141"/>
    <mergeCell ref="B142:F142"/>
    <mergeCell ref="B145:G145"/>
    <mergeCell ref="H145:I145"/>
    <mergeCell ref="B146:G146"/>
    <mergeCell ref="H146:I146"/>
    <mergeCell ref="B839:G839"/>
    <mergeCell ref="H839:I839"/>
    <mergeCell ref="B183:D183"/>
    <mergeCell ref="B184:F184"/>
    <mergeCell ref="B185:F185"/>
    <mergeCell ref="B186:F186"/>
    <mergeCell ref="B187:F187"/>
    <mergeCell ref="B193:J193"/>
    <mergeCell ref="C176:H176"/>
    <mergeCell ref="C177:H177"/>
    <mergeCell ref="B178:D178"/>
    <mergeCell ref="B179:F179"/>
    <mergeCell ref="B180:F180"/>
    <mergeCell ref="B181:F181"/>
    <mergeCell ref="H171:I171"/>
    <mergeCell ref="B8:B9"/>
    <mergeCell ref="B169:F169"/>
    <mergeCell ref="B170:F170"/>
    <mergeCell ref="B163:F163"/>
    <mergeCell ref="B164:F164"/>
    <mergeCell ref="B165:D165"/>
    <mergeCell ref="B166:D166"/>
    <mergeCell ref="B167:F167"/>
    <mergeCell ref="B168:F168"/>
    <mergeCell ref="B157:D157"/>
    <mergeCell ref="B158:F158"/>
    <mergeCell ref="B159:F159"/>
    <mergeCell ref="B160:F160"/>
    <mergeCell ref="B161:F161"/>
    <mergeCell ref="B162:D162"/>
    <mergeCell ref="C151:H151"/>
    <mergeCell ref="B152:D152"/>
    <mergeCell ref="B212:F212"/>
    <mergeCell ref="B213:D213"/>
    <mergeCell ref="B214:D214"/>
    <mergeCell ref="B215:F215"/>
    <mergeCell ref="B216:F216"/>
    <mergeCell ref="B217:F217"/>
    <mergeCell ref="B218:F218"/>
    <mergeCell ref="B219:D219"/>
    <mergeCell ref="B220:F220"/>
    <mergeCell ref="C207:H207"/>
    <mergeCell ref="C208:H208"/>
    <mergeCell ref="B209:D209"/>
    <mergeCell ref="B210:F210"/>
    <mergeCell ref="B211:F211"/>
    <mergeCell ref="C639:I640"/>
    <mergeCell ref="B634:G634"/>
    <mergeCell ref="H634:I634"/>
    <mergeCell ref="B635:G635"/>
    <mergeCell ref="H635:I635"/>
    <mergeCell ref="B509:D509"/>
    <mergeCell ref="B510:D510"/>
    <mergeCell ref="B511:F511"/>
    <mergeCell ref="B512:F512"/>
    <mergeCell ref="B513:F513"/>
    <mergeCell ref="B514:F514"/>
    <mergeCell ref="C502:H502"/>
    <mergeCell ref="C503:H503"/>
    <mergeCell ref="B504:D504"/>
    <mergeCell ref="B505:F505"/>
    <mergeCell ref="B506:F506"/>
    <mergeCell ref="B508:F508"/>
    <mergeCell ref="B532:G532"/>
    <mergeCell ref="B230:F230"/>
    <mergeCell ref="B231:F231"/>
    <mergeCell ref="B232:F232"/>
    <mergeCell ref="B233:F233"/>
    <mergeCell ref="B234:D234"/>
    <mergeCell ref="H234:I234"/>
    <mergeCell ref="C240:H240"/>
    <mergeCell ref="C241:H241"/>
    <mergeCell ref="B242:D242"/>
    <mergeCell ref="B235:G235"/>
    <mergeCell ref="H235:I235"/>
    <mergeCell ref="B236:G236"/>
    <mergeCell ref="H236:I236"/>
    <mergeCell ref="B221:F221"/>
    <mergeCell ref="B222:F222"/>
    <mergeCell ref="B223:D223"/>
    <mergeCell ref="B224:J224"/>
    <mergeCell ref="B225:F225"/>
    <mergeCell ref="B226:F226"/>
    <mergeCell ref="B227:F227"/>
    <mergeCell ref="B228:F228"/>
    <mergeCell ref="B229:F229"/>
    <mergeCell ref="B252:D252"/>
    <mergeCell ref="B253:F253"/>
    <mergeCell ref="B254:F254"/>
    <mergeCell ref="B255:F255"/>
    <mergeCell ref="B256:D256"/>
    <mergeCell ref="B257:J257"/>
    <mergeCell ref="B258:F258"/>
    <mergeCell ref="B259:F259"/>
    <mergeCell ref="B260:F260"/>
    <mergeCell ref="B243:F243"/>
    <mergeCell ref="B244:F244"/>
    <mergeCell ref="B245:F245"/>
    <mergeCell ref="B246:D246"/>
    <mergeCell ref="B247:D247"/>
    <mergeCell ref="B248:F248"/>
    <mergeCell ref="B249:F249"/>
    <mergeCell ref="B250:F250"/>
    <mergeCell ref="B251:F251"/>
    <mergeCell ref="C272:H272"/>
    <mergeCell ref="C273:H273"/>
    <mergeCell ref="B274:D274"/>
    <mergeCell ref="B275:F275"/>
    <mergeCell ref="B276:F276"/>
    <mergeCell ref="B277:F277"/>
    <mergeCell ref="B278:D278"/>
    <mergeCell ref="B279:D279"/>
    <mergeCell ref="B280:F280"/>
    <mergeCell ref="B261:F261"/>
    <mergeCell ref="B262:F262"/>
    <mergeCell ref="B263:F263"/>
    <mergeCell ref="B264:F264"/>
    <mergeCell ref="B265:F265"/>
    <mergeCell ref="B266:F266"/>
    <mergeCell ref="B267:D267"/>
    <mergeCell ref="H267:I267"/>
    <mergeCell ref="B268:G268"/>
    <mergeCell ref="H268:I268"/>
    <mergeCell ref="B269:G269"/>
    <mergeCell ref="H269:I269"/>
    <mergeCell ref="C305:H305"/>
    <mergeCell ref="B306:D306"/>
    <mergeCell ref="B307:F307"/>
    <mergeCell ref="B308:F308"/>
    <mergeCell ref="H299:I299"/>
    <mergeCell ref="B290:F290"/>
    <mergeCell ref="B291:F291"/>
    <mergeCell ref="B292:F292"/>
    <mergeCell ref="B293:F293"/>
    <mergeCell ref="B294:F294"/>
    <mergeCell ref="B295:F295"/>
    <mergeCell ref="B296:F296"/>
    <mergeCell ref="B297:F297"/>
    <mergeCell ref="B298:F298"/>
    <mergeCell ref="B281:F281"/>
    <mergeCell ref="B282:F282"/>
    <mergeCell ref="B283:F283"/>
    <mergeCell ref="B284:D284"/>
    <mergeCell ref="B285:F285"/>
    <mergeCell ref="B286:F286"/>
    <mergeCell ref="B287:F287"/>
    <mergeCell ref="B288:D288"/>
    <mergeCell ref="B289:J289"/>
    <mergeCell ref="B300:G300"/>
    <mergeCell ref="H300:I300"/>
    <mergeCell ref="B301:G301"/>
    <mergeCell ref="H301:I301"/>
    <mergeCell ref="B299:D299"/>
    <mergeCell ref="B358:F358"/>
    <mergeCell ref="B359:F359"/>
    <mergeCell ref="B360:F360"/>
    <mergeCell ref="B362:F362"/>
    <mergeCell ref="B363:F363"/>
    <mergeCell ref="B364:D364"/>
    <mergeCell ref="H364:I364"/>
    <mergeCell ref="B199:F199"/>
    <mergeCell ref="B200:F200"/>
    <mergeCell ref="B348:D348"/>
    <mergeCell ref="B349:F349"/>
    <mergeCell ref="B350:F350"/>
    <mergeCell ref="B351:F351"/>
    <mergeCell ref="B352:D352"/>
    <mergeCell ref="B353:J353"/>
    <mergeCell ref="B354:F354"/>
    <mergeCell ref="B355:F355"/>
    <mergeCell ref="B356:F356"/>
    <mergeCell ref="B339:F339"/>
    <mergeCell ref="B340:F340"/>
    <mergeCell ref="B341:F341"/>
    <mergeCell ref="B342:D342"/>
    <mergeCell ref="B343:D343"/>
    <mergeCell ref="B344:F344"/>
    <mergeCell ref="H333:I333"/>
    <mergeCell ref="B309:F309"/>
    <mergeCell ref="B310:D310"/>
    <mergeCell ref="B311:D311"/>
    <mergeCell ref="B312:F312"/>
    <mergeCell ref="B313:F313"/>
    <mergeCell ref="B314:F314"/>
    <mergeCell ref="B315:F315"/>
    <mergeCell ref="B34:G34"/>
    <mergeCell ref="B62:G62"/>
    <mergeCell ref="H62:I62"/>
    <mergeCell ref="B61:F61"/>
    <mergeCell ref="B357:F357"/>
    <mergeCell ref="B345:F345"/>
    <mergeCell ref="B346:F346"/>
    <mergeCell ref="B347:F347"/>
    <mergeCell ref="B326:F326"/>
    <mergeCell ref="B328:F328"/>
    <mergeCell ref="B329:F329"/>
    <mergeCell ref="B330:F330"/>
    <mergeCell ref="B331:D331"/>
    <mergeCell ref="B332:G332"/>
    <mergeCell ref="B333:G333"/>
    <mergeCell ref="H331:I331"/>
    <mergeCell ref="C336:H336"/>
    <mergeCell ref="C337:H337"/>
    <mergeCell ref="B338:D338"/>
    <mergeCell ref="B318:F318"/>
    <mergeCell ref="B316:D316"/>
    <mergeCell ref="B317:F317"/>
    <mergeCell ref="B319:F319"/>
    <mergeCell ref="B320:D320"/>
    <mergeCell ref="B321:J321"/>
    <mergeCell ref="B322:F322"/>
    <mergeCell ref="B323:F323"/>
    <mergeCell ref="B324:F324"/>
    <mergeCell ref="B325:F325"/>
    <mergeCell ref="H332:I332"/>
    <mergeCell ref="C304:H304"/>
    <mergeCell ref="B172:G172"/>
    <mergeCell ref="H172:I172"/>
    <mergeCell ref="B173:G173"/>
    <mergeCell ref="H173:I173"/>
    <mergeCell ref="B171:G171"/>
    <mergeCell ref="B204:G204"/>
    <mergeCell ref="H204:I204"/>
    <mergeCell ref="B205:G205"/>
    <mergeCell ref="H205:I205"/>
    <mergeCell ref="B203:G203"/>
    <mergeCell ref="H203:I203"/>
    <mergeCell ref="B196:F196"/>
    <mergeCell ref="B198:F198"/>
    <mergeCell ref="B194:F194"/>
    <mergeCell ref="B195:F195"/>
    <mergeCell ref="B197:F197"/>
    <mergeCell ref="B201:F201"/>
    <mergeCell ref="B202:F202"/>
    <mergeCell ref="B188:D188"/>
    <mergeCell ref="B189:F189"/>
    <mergeCell ref="B190:F190"/>
    <mergeCell ref="B191:F191"/>
    <mergeCell ref="B192:D192"/>
    <mergeCell ref="B182:D182"/>
    <mergeCell ref="C538:H538"/>
    <mergeCell ref="C539:H539"/>
    <mergeCell ref="B540:D540"/>
    <mergeCell ref="B541:F541"/>
    <mergeCell ref="B542:F542"/>
    <mergeCell ref="B543:F543"/>
    <mergeCell ref="B544:D544"/>
    <mergeCell ref="B545:D545"/>
    <mergeCell ref="B546:F546"/>
    <mergeCell ref="B556:F556"/>
    <mergeCell ref="B557:F557"/>
    <mergeCell ref="B558:F558"/>
    <mergeCell ref="B559:F559"/>
    <mergeCell ref="B560:F560"/>
    <mergeCell ref="B561:F561"/>
    <mergeCell ref="B562:F562"/>
    <mergeCell ref="B563:F563"/>
    <mergeCell ref="B564:F564"/>
    <mergeCell ref="B547:F547"/>
    <mergeCell ref="B548:F548"/>
    <mergeCell ref="B549:F549"/>
    <mergeCell ref="B550:D550"/>
    <mergeCell ref="B551:F551"/>
    <mergeCell ref="B552:F552"/>
    <mergeCell ref="B553:F553"/>
    <mergeCell ref="B554:D554"/>
    <mergeCell ref="B555:J555"/>
    <mergeCell ref="B593:F593"/>
    <mergeCell ref="B594:F594"/>
    <mergeCell ref="B595:F595"/>
    <mergeCell ref="B578:D578"/>
    <mergeCell ref="B579:D579"/>
    <mergeCell ref="B580:F580"/>
    <mergeCell ref="B581:F581"/>
    <mergeCell ref="B582:F582"/>
    <mergeCell ref="B583:F583"/>
    <mergeCell ref="B584:D584"/>
    <mergeCell ref="B585:F585"/>
    <mergeCell ref="B586:F586"/>
    <mergeCell ref="B565:D565"/>
    <mergeCell ref="H565:I565"/>
    <mergeCell ref="C571:H571"/>
    <mergeCell ref="C572:H572"/>
    <mergeCell ref="B573:D573"/>
    <mergeCell ref="B574:F574"/>
    <mergeCell ref="B575:F575"/>
    <mergeCell ref="B576:F576"/>
    <mergeCell ref="B577:F577"/>
    <mergeCell ref="B566:G566"/>
    <mergeCell ref="H601:I601"/>
    <mergeCell ref="B587:F587"/>
    <mergeCell ref="B588:D588"/>
    <mergeCell ref="B589:J589"/>
    <mergeCell ref="B590:F590"/>
    <mergeCell ref="B591:F591"/>
    <mergeCell ref="B592:F592"/>
    <mergeCell ref="H566:I566"/>
    <mergeCell ref="B567:G567"/>
    <mergeCell ref="H567:I567"/>
    <mergeCell ref="B600:G600"/>
    <mergeCell ref="H600:I600"/>
    <mergeCell ref="B601:G601"/>
    <mergeCell ref="B619:F619"/>
    <mergeCell ref="B620:F620"/>
    <mergeCell ref="B621:F621"/>
    <mergeCell ref="B622:D622"/>
    <mergeCell ref="B610:F610"/>
    <mergeCell ref="B611:F611"/>
    <mergeCell ref="B612:D612"/>
    <mergeCell ref="B613:D613"/>
    <mergeCell ref="B614:F614"/>
    <mergeCell ref="B615:F615"/>
    <mergeCell ref="B616:F616"/>
    <mergeCell ref="B617:F617"/>
    <mergeCell ref="B618:D618"/>
    <mergeCell ref="B596:F596"/>
    <mergeCell ref="B597:F597"/>
    <mergeCell ref="B598:F598"/>
    <mergeCell ref="B599:D599"/>
    <mergeCell ref="H599:I599"/>
    <mergeCell ref="C606:H606"/>
    <mergeCell ref="B496:D496"/>
    <mergeCell ref="H496:I496"/>
    <mergeCell ref="B478:F478"/>
    <mergeCell ref="B479:D479"/>
    <mergeCell ref="B480:F480"/>
    <mergeCell ref="B481:F481"/>
    <mergeCell ref="B483:F483"/>
    <mergeCell ref="B485:D485"/>
    <mergeCell ref="B486:J486"/>
    <mergeCell ref="B487:F487"/>
    <mergeCell ref="B488:F488"/>
    <mergeCell ref="B482:F482"/>
    <mergeCell ref="B484:F484"/>
    <mergeCell ref="B652:F652"/>
    <mergeCell ref="B653:F653"/>
    <mergeCell ref="B654:F654"/>
    <mergeCell ref="B655:D655"/>
    <mergeCell ref="B628:F628"/>
    <mergeCell ref="B629:F629"/>
    <mergeCell ref="B630:F630"/>
    <mergeCell ref="B631:F631"/>
    <mergeCell ref="B632:F632"/>
    <mergeCell ref="B633:D633"/>
    <mergeCell ref="H633:I633"/>
    <mergeCell ref="B623:J623"/>
    <mergeCell ref="B624:F624"/>
    <mergeCell ref="B625:F625"/>
    <mergeCell ref="B626:F626"/>
    <mergeCell ref="B627:F627"/>
    <mergeCell ref="C607:H607"/>
    <mergeCell ref="B608:D608"/>
    <mergeCell ref="B609:F609"/>
    <mergeCell ref="B656:F656"/>
    <mergeCell ref="B657:F657"/>
    <mergeCell ref="B658:F658"/>
    <mergeCell ref="B659:D659"/>
    <mergeCell ref="B660:D660"/>
    <mergeCell ref="C643:H643"/>
    <mergeCell ref="C644:H644"/>
    <mergeCell ref="B645:D645"/>
    <mergeCell ref="B646:F646"/>
    <mergeCell ref="B647:F647"/>
    <mergeCell ref="B648:F648"/>
    <mergeCell ref="B649:D649"/>
    <mergeCell ref="B650:D650"/>
    <mergeCell ref="B651:F651"/>
    <mergeCell ref="B673:D673"/>
    <mergeCell ref="B674:F674"/>
    <mergeCell ref="B675:F675"/>
    <mergeCell ref="B676:F676"/>
    <mergeCell ref="B677:D677"/>
    <mergeCell ref="B678:D678"/>
    <mergeCell ref="B679:F679"/>
    <mergeCell ref="B680:F680"/>
    <mergeCell ref="B681:F681"/>
    <mergeCell ref="B661:F661"/>
    <mergeCell ref="B662:F662"/>
    <mergeCell ref="B663:F663"/>
    <mergeCell ref="B664:F664"/>
    <mergeCell ref="B665:F665"/>
    <mergeCell ref="B666:D666"/>
    <mergeCell ref="H666:I666"/>
    <mergeCell ref="C671:H671"/>
    <mergeCell ref="C672:H672"/>
    <mergeCell ref="B667:G667"/>
    <mergeCell ref="H667:I667"/>
    <mergeCell ref="B668:G668"/>
    <mergeCell ref="H668:I668"/>
    <mergeCell ref="B691:F691"/>
    <mergeCell ref="B692:F692"/>
    <mergeCell ref="B693:F693"/>
    <mergeCell ref="B694:D694"/>
    <mergeCell ref="B695:J695"/>
    <mergeCell ref="B696:F696"/>
    <mergeCell ref="B697:F697"/>
    <mergeCell ref="B698:F698"/>
    <mergeCell ref="B699:F699"/>
    <mergeCell ref="B682:F682"/>
    <mergeCell ref="B683:D683"/>
    <mergeCell ref="B684:F684"/>
    <mergeCell ref="B685:F685"/>
    <mergeCell ref="B686:F686"/>
    <mergeCell ref="B687:F687"/>
    <mergeCell ref="B688:F688"/>
    <mergeCell ref="B689:F689"/>
    <mergeCell ref="B690:F690"/>
    <mergeCell ref="B727:F727"/>
    <mergeCell ref="B728:F728"/>
    <mergeCell ref="B729:F729"/>
    <mergeCell ref="B730:D730"/>
    <mergeCell ref="B731:J731"/>
    <mergeCell ref="B714:D714"/>
    <mergeCell ref="B715:F715"/>
    <mergeCell ref="B716:F716"/>
    <mergeCell ref="B717:F717"/>
    <mergeCell ref="B718:F718"/>
    <mergeCell ref="B719:F719"/>
    <mergeCell ref="B720:D720"/>
    <mergeCell ref="B721:D721"/>
    <mergeCell ref="B722:F722"/>
    <mergeCell ref="B700:F700"/>
    <mergeCell ref="B701:F701"/>
    <mergeCell ref="B702:F702"/>
    <mergeCell ref="B703:F703"/>
    <mergeCell ref="B704:F704"/>
    <mergeCell ref="B705:D705"/>
    <mergeCell ref="H705:I705"/>
    <mergeCell ref="C712:H712"/>
    <mergeCell ref="C713:H713"/>
    <mergeCell ref="B706:G706"/>
    <mergeCell ref="H706:I706"/>
    <mergeCell ref="B707:G707"/>
    <mergeCell ref="H707:I707"/>
    <mergeCell ref="B723:F723"/>
    <mergeCell ref="B724:F724"/>
    <mergeCell ref="B725:F725"/>
    <mergeCell ref="B726:D726"/>
    <mergeCell ref="B753:D753"/>
    <mergeCell ref="B754:F754"/>
    <mergeCell ref="B755:F755"/>
    <mergeCell ref="B756:F756"/>
    <mergeCell ref="B757:F757"/>
    <mergeCell ref="B758:D758"/>
    <mergeCell ref="B759:F759"/>
    <mergeCell ref="B760:F760"/>
    <mergeCell ref="B761:F761"/>
    <mergeCell ref="B741:D741"/>
    <mergeCell ref="H741:I741"/>
    <mergeCell ref="B732:F732"/>
    <mergeCell ref="B733:F733"/>
    <mergeCell ref="B734:F734"/>
    <mergeCell ref="B735:F735"/>
    <mergeCell ref="B736:F736"/>
    <mergeCell ref="B737:F737"/>
    <mergeCell ref="B738:F738"/>
    <mergeCell ref="B739:F739"/>
    <mergeCell ref="B740:F740"/>
    <mergeCell ref="B742:G742"/>
    <mergeCell ref="H742:I742"/>
    <mergeCell ref="B743:G743"/>
    <mergeCell ref="H743:I743"/>
    <mergeCell ref="B752:D752"/>
    <mergeCell ref="B751:F751"/>
    <mergeCell ref="B750:F750"/>
    <mergeCell ref="B749:F749"/>
    <mergeCell ref="B748:D748"/>
    <mergeCell ref="C747:H747"/>
    <mergeCell ref="C746:H746"/>
    <mergeCell ref="B771:F771"/>
    <mergeCell ref="B772:F772"/>
    <mergeCell ref="B773:D773"/>
    <mergeCell ref="H773:I773"/>
    <mergeCell ref="C778:H778"/>
    <mergeCell ref="C779:H779"/>
    <mergeCell ref="B780:D780"/>
    <mergeCell ref="B781:F781"/>
    <mergeCell ref="B782:F782"/>
    <mergeCell ref="B774:G774"/>
    <mergeCell ref="H774:I774"/>
    <mergeCell ref="B775:G775"/>
    <mergeCell ref="H775:I775"/>
    <mergeCell ref="B762:D762"/>
    <mergeCell ref="B763:J763"/>
    <mergeCell ref="B764:F764"/>
    <mergeCell ref="B765:F765"/>
    <mergeCell ref="B766:F766"/>
    <mergeCell ref="B767:F767"/>
    <mergeCell ref="B768:F768"/>
    <mergeCell ref="B769:F769"/>
    <mergeCell ref="B770:F770"/>
    <mergeCell ref="B792:F792"/>
    <mergeCell ref="B793:F793"/>
    <mergeCell ref="B794:F794"/>
    <mergeCell ref="B795:D795"/>
    <mergeCell ref="B796:J796"/>
    <mergeCell ref="B797:F797"/>
    <mergeCell ref="B798:F798"/>
    <mergeCell ref="B799:F799"/>
    <mergeCell ref="B800:F800"/>
    <mergeCell ref="B783:F783"/>
    <mergeCell ref="B784:F784"/>
    <mergeCell ref="B785:D785"/>
    <mergeCell ref="B786:D786"/>
    <mergeCell ref="B787:F787"/>
    <mergeCell ref="B788:F788"/>
    <mergeCell ref="B789:F789"/>
    <mergeCell ref="B790:F790"/>
    <mergeCell ref="B791:D791"/>
    <mergeCell ref="B818:D818"/>
    <mergeCell ref="B819:F819"/>
    <mergeCell ref="B820:F820"/>
    <mergeCell ref="B821:F821"/>
    <mergeCell ref="B801:F801"/>
    <mergeCell ref="B802:F802"/>
    <mergeCell ref="B803:F803"/>
    <mergeCell ref="B804:F804"/>
    <mergeCell ref="B805:F805"/>
    <mergeCell ref="B806:D806"/>
    <mergeCell ref="H806:I806"/>
    <mergeCell ref="C811:H811"/>
    <mergeCell ref="C812:H812"/>
    <mergeCell ref="B807:G807"/>
    <mergeCell ref="H807:I807"/>
    <mergeCell ref="B808:G808"/>
    <mergeCell ref="H808:I808"/>
    <mergeCell ref="C841:J841"/>
    <mergeCell ref="C843:H843"/>
    <mergeCell ref="C844:H844"/>
    <mergeCell ref="B845:D845"/>
    <mergeCell ref="B846:F846"/>
    <mergeCell ref="B847:F847"/>
    <mergeCell ref="B848:F848"/>
    <mergeCell ref="B849:D849"/>
    <mergeCell ref="B639:B640"/>
    <mergeCell ref="B831:F831"/>
    <mergeCell ref="B832:F832"/>
    <mergeCell ref="B833:F833"/>
    <mergeCell ref="B834:F834"/>
    <mergeCell ref="B835:F835"/>
    <mergeCell ref="B836:F836"/>
    <mergeCell ref="B837:F837"/>
    <mergeCell ref="B838:D838"/>
    <mergeCell ref="H838:I838"/>
    <mergeCell ref="B822:F822"/>
    <mergeCell ref="B823:D823"/>
    <mergeCell ref="B824:F824"/>
    <mergeCell ref="B825:F825"/>
    <mergeCell ref="B826:F826"/>
    <mergeCell ref="B827:D827"/>
    <mergeCell ref="B828:J828"/>
    <mergeCell ref="B829:F829"/>
    <mergeCell ref="B830:F830"/>
    <mergeCell ref="B813:D813"/>
    <mergeCell ref="B814:F814"/>
    <mergeCell ref="B815:F815"/>
    <mergeCell ref="B816:F816"/>
    <mergeCell ref="B817:D817"/>
    <mergeCell ref="B859:F859"/>
    <mergeCell ref="B860:F860"/>
    <mergeCell ref="B861:D861"/>
    <mergeCell ref="B862:D862"/>
    <mergeCell ref="B863:F863"/>
    <mergeCell ref="B864:F864"/>
    <mergeCell ref="B865:F865"/>
    <mergeCell ref="B866:F866"/>
    <mergeCell ref="B867:F867"/>
    <mergeCell ref="B850:D850"/>
    <mergeCell ref="B851:F851"/>
    <mergeCell ref="B852:F852"/>
    <mergeCell ref="B853:F853"/>
    <mergeCell ref="B854:F854"/>
    <mergeCell ref="B855:D855"/>
    <mergeCell ref="B856:F856"/>
    <mergeCell ref="B857:F857"/>
    <mergeCell ref="B858:F858"/>
    <mergeCell ref="B880:D880"/>
    <mergeCell ref="B881:F881"/>
    <mergeCell ref="B882:F882"/>
    <mergeCell ref="B883:F883"/>
    <mergeCell ref="B884:F884"/>
    <mergeCell ref="B885:D885"/>
    <mergeCell ref="B886:F886"/>
    <mergeCell ref="B887:F887"/>
    <mergeCell ref="B888:F888"/>
    <mergeCell ref="B868:D868"/>
    <mergeCell ref="H868:I868"/>
    <mergeCell ref="C873:H873"/>
    <mergeCell ref="C874:H874"/>
    <mergeCell ref="B875:D875"/>
    <mergeCell ref="B876:F876"/>
    <mergeCell ref="B877:F877"/>
    <mergeCell ref="B878:F878"/>
    <mergeCell ref="B879:D879"/>
    <mergeCell ref="B898:D898"/>
    <mergeCell ref="H898:I898"/>
    <mergeCell ref="C908:H908"/>
    <mergeCell ref="C909:H909"/>
    <mergeCell ref="B910:D910"/>
    <mergeCell ref="B911:F911"/>
    <mergeCell ref="B912:F912"/>
    <mergeCell ref="B913:F913"/>
    <mergeCell ref="B914:D914"/>
    <mergeCell ref="B904:B905"/>
    <mergeCell ref="C904:I905"/>
    <mergeCell ref="B889:F889"/>
    <mergeCell ref="B890:F890"/>
    <mergeCell ref="B891:D891"/>
    <mergeCell ref="B892:D892"/>
    <mergeCell ref="B893:F893"/>
    <mergeCell ref="B894:F894"/>
    <mergeCell ref="B895:F895"/>
    <mergeCell ref="B896:F896"/>
    <mergeCell ref="B897:F897"/>
    <mergeCell ref="B924:F924"/>
    <mergeCell ref="B925:F925"/>
    <mergeCell ref="B926:F926"/>
    <mergeCell ref="B927:D927"/>
    <mergeCell ref="B928:J928"/>
    <mergeCell ref="B929:F929"/>
    <mergeCell ref="B930:F930"/>
    <mergeCell ref="B931:F931"/>
    <mergeCell ref="B932:F932"/>
    <mergeCell ref="B915:D915"/>
    <mergeCell ref="B916:F916"/>
    <mergeCell ref="B917:F917"/>
    <mergeCell ref="B918:F918"/>
    <mergeCell ref="B919:F919"/>
    <mergeCell ref="B920:D920"/>
    <mergeCell ref="B921:F921"/>
    <mergeCell ref="B922:F922"/>
    <mergeCell ref="B923:F923"/>
    <mergeCell ref="B947:D947"/>
    <mergeCell ref="B948:F948"/>
    <mergeCell ref="B949:F949"/>
    <mergeCell ref="B950:F950"/>
    <mergeCell ref="B951:F951"/>
    <mergeCell ref="B952:F952"/>
    <mergeCell ref="B953:D953"/>
    <mergeCell ref="B954:D954"/>
    <mergeCell ref="B955:F955"/>
    <mergeCell ref="B933:F933"/>
    <mergeCell ref="B934:F934"/>
    <mergeCell ref="B935:F935"/>
    <mergeCell ref="B936:F936"/>
    <mergeCell ref="B937:F937"/>
    <mergeCell ref="B938:D938"/>
    <mergeCell ref="H938:I938"/>
    <mergeCell ref="C945:H945"/>
    <mergeCell ref="C946:H946"/>
    <mergeCell ref="B939:G939"/>
    <mergeCell ref="H939:I939"/>
    <mergeCell ref="B940:G940"/>
    <mergeCell ref="H940:I940"/>
    <mergeCell ref="B965:F965"/>
    <mergeCell ref="B966:F966"/>
    <mergeCell ref="B967:F967"/>
    <mergeCell ref="B968:F968"/>
    <mergeCell ref="B969:F969"/>
    <mergeCell ref="B970:F970"/>
    <mergeCell ref="B971:F971"/>
    <mergeCell ref="B972:F972"/>
    <mergeCell ref="B973:F973"/>
    <mergeCell ref="B956:F956"/>
    <mergeCell ref="B957:F957"/>
    <mergeCell ref="B958:F958"/>
    <mergeCell ref="B959:D959"/>
    <mergeCell ref="B960:F960"/>
    <mergeCell ref="B961:F961"/>
    <mergeCell ref="B962:F962"/>
    <mergeCell ref="B963:D963"/>
    <mergeCell ref="B964:J964"/>
    <mergeCell ref="B987:D987"/>
    <mergeCell ref="B988:F988"/>
    <mergeCell ref="B989:F989"/>
    <mergeCell ref="B990:F990"/>
    <mergeCell ref="B991:F991"/>
    <mergeCell ref="B992:D992"/>
    <mergeCell ref="B993:F993"/>
    <mergeCell ref="B994:F994"/>
    <mergeCell ref="B995:F995"/>
    <mergeCell ref="B974:D974"/>
    <mergeCell ref="H974:I974"/>
    <mergeCell ref="C980:H980"/>
    <mergeCell ref="C981:H981"/>
    <mergeCell ref="B982:D982"/>
    <mergeCell ref="B983:F983"/>
    <mergeCell ref="B984:F984"/>
    <mergeCell ref="B985:F985"/>
    <mergeCell ref="B986:D986"/>
    <mergeCell ref="B975:G975"/>
    <mergeCell ref="H975:I975"/>
    <mergeCell ref="B976:G976"/>
    <mergeCell ref="H976:I976"/>
    <mergeCell ref="B1005:F1005"/>
    <mergeCell ref="B1006:F1006"/>
    <mergeCell ref="B1007:D1007"/>
    <mergeCell ref="H1007:I1007"/>
    <mergeCell ref="C1016:H1016"/>
    <mergeCell ref="C1017:H1017"/>
    <mergeCell ref="B1018:D1018"/>
    <mergeCell ref="B1019:F1019"/>
    <mergeCell ref="B1020:F1020"/>
    <mergeCell ref="B1013:B1014"/>
    <mergeCell ref="C1013:I1014"/>
    <mergeCell ref="B1008:G1008"/>
    <mergeCell ref="H1008:I1008"/>
    <mergeCell ref="B1009:G1009"/>
    <mergeCell ref="H1009:I1009"/>
    <mergeCell ref="B996:D996"/>
    <mergeCell ref="B997:J997"/>
    <mergeCell ref="B998:F998"/>
    <mergeCell ref="B999:F999"/>
    <mergeCell ref="B1000:F1000"/>
    <mergeCell ref="B1001:F1001"/>
    <mergeCell ref="B1002:F1002"/>
    <mergeCell ref="B1003:F1003"/>
    <mergeCell ref="B1004:F1004"/>
    <mergeCell ref="B1030:F1030"/>
    <mergeCell ref="B1031:F1031"/>
    <mergeCell ref="B1032:D1032"/>
    <mergeCell ref="B1033:D1033"/>
    <mergeCell ref="B1034:F1034"/>
    <mergeCell ref="B1035:F1035"/>
    <mergeCell ref="B1036:F1036"/>
    <mergeCell ref="B1037:F1037"/>
    <mergeCell ref="B1038:F1038"/>
    <mergeCell ref="B1021:F1021"/>
    <mergeCell ref="B1022:D1022"/>
    <mergeCell ref="B1023:D1023"/>
    <mergeCell ref="B1024:F1024"/>
    <mergeCell ref="B1025:F1025"/>
    <mergeCell ref="B1026:F1026"/>
    <mergeCell ref="B1027:F1027"/>
    <mergeCell ref="B1028:D1028"/>
    <mergeCell ref="B1029:F1029"/>
    <mergeCell ref="B1039:F1039"/>
    <mergeCell ref="B1040:F1040"/>
    <mergeCell ref="B1041:F1041"/>
    <mergeCell ref="B1042:D1042"/>
    <mergeCell ref="H1042:I1042"/>
    <mergeCell ref="B1067:F1067"/>
    <mergeCell ref="B1068:F1068"/>
    <mergeCell ref="B1070:F1070"/>
    <mergeCell ref="B1071:F1071"/>
    <mergeCell ref="C1047:H1047"/>
    <mergeCell ref="C1048:H1048"/>
    <mergeCell ref="B1049:D1049"/>
    <mergeCell ref="B1050:F1050"/>
    <mergeCell ref="B1051:F1051"/>
    <mergeCell ref="B1043:G1043"/>
    <mergeCell ref="H1043:I1043"/>
    <mergeCell ref="B1044:G1044"/>
    <mergeCell ref="H1044:I1044"/>
    <mergeCell ref="B1072:F1072"/>
    <mergeCell ref="B1073:D1073"/>
    <mergeCell ref="H1073:I1073"/>
    <mergeCell ref="B1069:F1069"/>
    <mergeCell ref="B1063:F1063"/>
    <mergeCell ref="B1052:F1052"/>
    <mergeCell ref="B1053:F1053"/>
    <mergeCell ref="B1054:D1054"/>
    <mergeCell ref="B1055:D1055"/>
    <mergeCell ref="B1056:F1056"/>
    <mergeCell ref="B1057:F1057"/>
    <mergeCell ref="B1058:F1058"/>
    <mergeCell ref="B1059:F1059"/>
    <mergeCell ref="B1060:D1060"/>
    <mergeCell ref="B1061:F1061"/>
    <mergeCell ref="B1062:F1062"/>
    <mergeCell ref="B1064:D1064"/>
    <mergeCell ref="B1065:J1065"/>
    <mergeCell ref="B1066:F1066"/>
    <mergeCell ref="B1087:F1087"/>
    <mergeCell ref="B1088:F1088"/>
    <mergeCell ref="B1089:F1089"/>
    <mergeCell ref="B1090:D1090"/>
    <mergeCell ref="B1091:F1091"/>
    <mergeCell ref="B1092:F1092"/>
    <mergeCell ref="B1093:F1093"/>
    <mergeCell ref="B1094:F1094"/>
    <mergeCell ref="B1095:F1095"/>
    <mergeCell ref="C1078:H1078"/>
    <mergeCell ref="C1079:H1079"/>
    <mergeCell ref="B1080:D1080"/>
    <mergeCell ref="B1081:F1081"/>
    <mergeCell ref="B1082:F1082"/>
    <mergeCell ref="B1083:F1083"/>
    <mergeCell ref="B1084:D1084"/>
    <mergeCell ref="B1085:D1085"/>
    <mergeCell ref="B1086:F1086"/>
    <mergeCell ref="B1105:F1105"/>
    <mergeCell ref="B1106:F1106"/>
    <mergeCell ref="B1107:F1107"/>
    <mergeCell ref="B1108:D1108"/>
    <mergeCell ref="H1108:I1108"/>
    <mergeCell ref="C1112:H1112"/>
    <mergeCell ref="C1113:H1113"/>
    <mergeCell ref="B1114:D1114"/>
    <mergeCell ref="B1115:F1115"/>
    <mergeCell ref="B1096:F1096"/>
    <mergeCell ref="B1097:D1097"/>
    <mergeCell ref="B1098:J1098"/>
    <mergeCell ref="B1099:F1099"/>
    <mergeCell ref="B1100:F1100"/>
    <mergeCell ref="B1101:F1101"/>
    <mergeCell ref="B1102:F1102"/>
    <mergeCell ref="B1103:F1103"/>
    <mergeCell ref="B1104:F1104"/>
    <mergeCell ref="B1140:F1140"/>
    <mergeCell ref="B1141:F1141"/>
    <mergeCell ref="B1142:D1142"/>
    <mergeCell ref="B1125:F1125"/>
    <mergeCell ref="B1126:F1126"/>
    <mergeCell ref="B1127:F1127"/>
    <mergeCell ref="B1128:F1128"/>
    <mergeCell ref="B1129:F1129"/>
    <mergeCell ref="B1130:F1130"/>
    <mergeCell ref="B1131:D1131"/>
    <mergeCell ref="B1132:J1132"/>
    <mergeCell ref="B1133:F1133"/>
    <mergeCell ref="B1116:F1116"/>
    <mergeCell ref="B1117:F1117"/>
    <mergeCell ref="B1118:D1118"/>
    <mergeCell ref="B1119:D1119"/>
    <mergeCell ref="B1120:F1120"/>
    <mergeCell ref="B1121:F1121"/>
    <mergeCell ref="B1122:F1122"/>
    <mergeCell ref="B1123:F1123"/>
    <mergeCell ref="B1124:D1124"/>
    <mergeCell ref="B1151:F1151"/>
    <mergeCell ref="B1152:F1152"/>
    <mergeCell ref="B1153:F1153"/>
    <mergeCell ref="B1144:G1144"/>
    <mergeCell ref="H1144:I1144"/>
    <mergeCell ref="B1074:G1074"/>
    <mergeCell ref="H1074:I1074"/>
    <mergeCell ref="B1075:G1075"/>
    <mergeCell ref="H1075:I1075"/>
    <mergeCell ref="B1109:G1109"/>
    <mergeCell ref="H1109:I1109"/>
    <mergeCell ref="B1110:G1110"/>
    <mergeCell ref="H1110:I1110"/>
    <mergeCell ref="B1143:G1143"/>
    <mergeCell ref="H1143:I1143"/>
    <mergeCell ref="B840:G840"/>
    <mergeCell ref="H840:I840"/>
    <mergeCell ref="B869:G869"/>
    <mergeCell ref="H869:I869"/>
    <mergeCell ref="B870:G870"/>
    <mergeCell ref="H870:I870"/>
    <mergeCell ref="B899:G899"/>
    <mergeCell ref="H899:I899"/>
    <mergeCell ref="B900:G900"/>
    <mergeCell ref="H900:I900"/>
    <mergeCell ref="H1142:I1142"/>
    <mergeCell ref="B1134:F1134"/>
    <mergeCell ref="B1135:F1135"/>
    <mergeCell ref="B1136:F1136"/>
    <mergeCell ref="B1137:F1137"/>
    <mergeCell ref="B1138:F1138"/>
    <mergeCell ref="B1139:F1139"/>
  </mergeCells>
  <pageMargins left="0.7" right="0.7" top="0.75" bottom="0.75" header="0.3" footer="0.3"/>
  <pageSetup scale="61" fitToHeight="0" orientation="portrait" r:id="rId1"/>
  <rowBreaks count="16" manualBreakCount="16">
    <brk id="66" max="9" man="1"/>
    <brk id="146" max="9" man="1"/>
    <brk id="206" max="9" man="1"/>
    <brk id="271" max="9" man="1"/>
    <brk id="335" max="9" man="1"/>
    <brk id="401" max="9" man="1"/>
    <brk id="461" max="9" man="1"/>
    <brk id="535" max="9" man="1"/>
    <brk id="604" max="9" man="1"/>
    <brk id="669" max="9" man="1"/>
    <brk id="745" max="9" man="1"/>
    <brk id="809" max="9" man="1"/>
    <brk id="872" max="9" man="1"/>
    <brk id="943" max="9" man="1"/>
    <brk id="1012" max="9" man="1"/>
    <brk id="1076" max="9" man="1"/>
  </rowBreaks>
  <colBreaks count="1" manualBreakCount="1">
    <brk id="10"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ZS958"/>
  <sheetViews>
    <sheetView view="pageBreakPreview" topLeftCell="A32" zoomScale="90" zoomScaleNormal="100" zoomScaleSheetLayoutView="90" workbookViewId="0">
      <selection activeCell="V40" sqref="V40"/>
    </sheetView>
  </sheetViews>
  <sheetFormatPr baseColWidth="10" defaultColWidth="14.44140625" defaultRowHeight="15.75" customHeight="1" x14ac:dyDescent="0.3"/>
  <cols>
    <col min="1" max="1" width="4.44140625" style="445" customWidth="1"/>
    <col min="2" max="2" width="6.44140625" style="445" customWidth="1"/>
    <col min="3" max="3" width="63.5546875" style="549" customWidth="1"/>
    <col min="4" max="4" width="9.6640625" style="445" customWidth="1"/>
    <col min="5" max="5" width="11.44140625" style="445" bestFit="1" customWidth="1"/>
    <col min="6" max="6" width="20" style="445" customWidth="1"/>
    <col min="7" max="7" width="20.5546875" style="445" bestFit="1" customWidth="1"/>
    <col min="8" max="8" width="22.6640625" style="445" bestFit="1" customWidth="1"/>
    <col min="9" max="9" width="31.88671875" style="646" hidden="1" customWidth="1"/>
    <col min="10" max="10" width="29.109375" style="445" hidden="1" customWidth="1"/>
    <col min="11" max="11" width="17.88671875" style="658" hidden="1" customWidth="1"/>
    <col min="12" max="12" width="11" style="445" hidden="1" customWidth="1"/>
    <col min="13" max="13" width="12.6640625" style="445" hidden="1" customWidth="1"/>
    <col min="14" max="14" width="11" style="445" hidden="1" customWidth="1"/>
    <col min="15" max="24" width="11" style="445" customWidth="1"/>
    <col min="25" max="16384" width="14.44140625" style="445"/>
  </cols>
  <sheetData>
    <row r="1" spans="1:24" ht="15" customHeight="1" x14ac:dyDescent="0.3">
      <c r="A1" s="438"/>
      <c r="B1" s="439"/>
      <c r="C1" s="440"/>
      <c r="D1" s="441"/>
      <c r="E1" s="441"/>
      <c r="F1" s="442"/>
      <c r="G1" s="443"/>
      <c r="H1" s="442"/>
      <c r="I1" s="455"/>
      <c r="J1" s="444"/>
      <c r="K1" s="652"/>
      <c r="L1" s="444"/>
      <c r="M1" s="444"/>
      <c r="N1" s="444"/>
      <c r="O1" s="444"/>
      <c r="P1" s="444"/>
      <c r="Q1" s="444"/>
      <c r="R1" s="444"/>
      <c r="S1" s="444"/>
      <c r="T1" s="444"/>
      <c r="U1" s="444"/>
      <c r="V1" s="444"/>
      <c r="W1" s="444"/>
      <c r="X1" s="444"/>
    </row>
    <row r="2" spans="1:24" ht="12.75" customHeight="1" x14ac:dyDescent="0.3">
      <c r="A2" s="1022" t="str">
        <f>+RESUMEN!C5</f>
        <v>ESTUDIOS TÉCNICOS Y DISEÑOS DEL PROYECTO: "REALIZAR LA REVISIÓN Y/O AJUSTE A LOS ESTUDIOS Y DISEÑOS TÉCNICOS EXISTENTES, REALIZAR ESTUDIOS GEOTÉCNICOS, PATOLOGIA ESTRUCTURAL Y VULNERABILIDAD SISMICA Y LOS DISEÑOS A NIVEL DE DETALLE (FASE III) DE LA ALTERNATIVA PARA LA PUESTA EN FUNCIONAMIENTO DEL ESTADIO DE FUTBOL GUILLERMO PLAZAS ALCID, RECUPERACIÓN DE LA PISTA ATLETICA Y EL URBANISMO DE LA VILLA OLIMPICA "</v>
      </c>
      <c r="B2" s="1023"/>
      <c r="C2" s="1023"/>
      <c r="D2" s="1023"/>
      <c r="E2" s="1023"/>
      <c r="F2" s="1023"/>
      <c r="G2" s="1023"/>
      <c r="H2" s="1026" t="e" vm="1">
        <v>#VALUE!</v>
      </c>
      <c r="I2" s="455"/>
      <c r="J2" s="444"/>
      <c r="K2" s="652"/>
      <c r="L2" s="444"/>
      <c r="M2" s="444"/>
      <c r="N2" s="444"/>
      <c r="O2" s="444"/>
      <c r="P2" s="444"/>
      <c r="Q2" s="444"/>
      <c r="R2" s="444"/>
      <c r="S2" s="444"/>
      <c r="T2" s="444"/>
      <c r="U2" s="444"/>
      <c r="V2" s="444"/>
      <c r="W2" s="444"/>
      <c r="X2" s="444"/>
    </row>
    <row r="3" spans="1:24" ht="11.25" customHeight="1" x14ac:dyDescent="0.3">
      <c r="A3" s="1022"/>
      <c r="B3" s="1023"/>
      <c r="C3" s="1023"/>
      <c r="D3" s="1023"/>
      <c r="E3" s="1023"/>
      <c r="F3" s="1023"/>
      <c r="G3" s="1023"/>
      <c r="H3" s="1026"/>
      <c r="I3" s="455"/>
      <c r="J3" s="444"/>
      <c r="K3" s="652"/>
      <c r="L3" s="444"/>
      <c r="M3" s="444"/>
      <c r="N3" s="444"/>
      <c r="O3" s="444"/>
      <c r="P3" s="444"/>
      <c r="Q3" s="444"/>
      <c r="R3" s="444"/>
      <c r="S3" s="444"/>
      <c r="T3" s="444"/>
      <c r="U3" s="444"/>
      <c r="V3" s="444"/>
      <c r="W3" s="444"/>
      <c r="X3" s="444"/>
    </row>
    <row r="4" spans="1:24" ht="55.5" customHeight="1" thickBot="1" x14ac:dyDescent="0.35">
      <c r="A4" s="1024"/>
      <c r="B4" s="1025"/>
      <c r="C4" s="1025"/>
      <c r="D4" s="1025"/>
      <c r="E4" s="1025"/>
      <c r="F4" s="1025"/>
      <c r="G4" s="1025"/>
      <c r="H4" s="1027"/>
      <c r="I4" s="455"/>
      <c r="J4" s="444"/>
      <c r="K4" s="652"/>
      <c r="L4" s="444"/>
      <c r="M4" s="444"/>
      <c r="N4" s="444"/>
      <c r="O4" s="444"/>
      <c r="P4" s="444"/>
      <c r="Q4" s="444"/>
      <c r="R4" s="444"/>
      <c r="S4" s="444"/>
      <c r="T4" s="444"/>
      <c r="U4" s="444"/>
      <c r="V4" s="444"/>
      <c r="W4" s="444"/>
      <c r="X4" s="444"/>
    </row>
    <row r="5" spans="1:24" ht="32.25" customHeight="1" thickBot="1" x14ac:dyDescent="0.35">
      <c r="A5" s="446" t="s">
        <v>15</v>
      </c>
      <c r="B5" s="447" t="s">
        <v>16</v>
      </c>
      <c r="C5" s="448" t="s">
        <v>17</v>
      </c>
      <c r="D5" s="449" t="s">
        <v>18</v>
      </c>
      <c r="E5" s="450" t="s">
        <v>19</v>
      </c>
      <c r="F5" s="451" t="s">
        <v>20</v>
      </c>
      <c r="G5" s="452" t="s">
        <v>21</v>
      </c>
      <c r="H5" s="453" t="s">
        <v>22</v>
      </c>
      <c r="I5" s="455"/>
      <c r="J5" s="444"/>
      <c r="K5" s="652"/>
      <c r="L5" s="454"/>
      <c r="M5" s="455"/>
      <c r="N5" s="444"/>
      <c r="O5" s="444"/>
      <c r="P5" s="444"/>
      <c r="Q5" s="444"/>
      <c r="R5" s="444"/>
      <c r="S5" s="444"/>
      <c r="T5" s="444"/>
      <c r="U5" s="444"/>
      <c r="V5" s="444"/>
      <c r="W5" s="444"/>
      <c r="X5" s="444"/>
    </row>
    <row r="6" spans="1:24" ht="15" customHeight="1" x14ac:dyDescent="0.3">
      <c r="A6" s="456" t="s">
        <v>146</v>
      </c>
      <c r="B6" s="457" t="s">
        <v>0</v>
      </c>
      <c r="C6" s="458" t="s">
        <v>314</v>
      </c>
      <c r="D6" s="459"/>
      <c r="E6" s="459"/>
      <c r="F6" s="460"/>
      <c r="G6" s="461"/>
      <c r="H6" s="462"/>
      <c r="I6" s="455"/>
      <c r="J6" s="444"/>
      <c r="K6" s="652"/>
      <c r="L6" s="444"/>
      <c r="M6" s="444"/>
      <c r="N6" s="444"/>
      <c r="O6" s="444"/>
      <c r="P6" s="444"/>
      <c r="Q6" s="444"/>
      <c r="R6" s="444"/>
      <c r="S6" s="444"/>
      <c r="T6" s="444"/>
      <c r="U6" s="444"/>
      <c r="V6" s="444"/>
      <c r="W6" s="444"/>
      <c r="X6" s="444"/>
    </row>
    <row r="7" spans="1:24" s="471" customFormat="1" ht="15.6" x14ac:dyDescent="0.3">
      <c r="A7" s="463" t="s">
        <v>23</v>
      </c>
      <c r="B7" s="463" t="s">
        <v>23</v>
      </c>
      <c r="C7" s="464" t="s">
        <v>320</v>
      </c>
      <c r="D7" s="465" t="s">
        <v>25</v>
      </c>
      <c r="E7" s="466">
        <f>MEMORIA_IMPLOSION!K14</f>
        <v>15435.59</v>
      </c>
      <c r="F7" s="642">
        <f>APUS!$J$496</f>
        <v>1411.7147999999997</v>
      </c>
      <c r="G7" s="468">
        <f>ROUND(F7*E7,0)</f>
        <v>21790651</v>
      </c>
      <c r="H7" s="469"/>
      <c r="I7" s="455">
        <f>+ROUND(F7*1.26,2)</f>
        <v>1778.76</v>
      </c>
      <c r="J7" s="650">
        <f>+E7*I7</f>
        <v>27456210.068399999</v>
      </c>
      <c r="K7" s="651">
        <f>+'[13]PPTO OBRA PLIEGO TIPO'!K14-J7</f>
        <v>66373.041600000113</v>
      </c>
      <c r="L7" s="470"/>
      <c r="M7" s="470"/>
      <c r="N7" s="470"/>
      <c r="O7" s="470"/>
      <c r="P7" s="470"/>
      <c r="Q7" s="470"/>
      <c r="R7" s="470"/>
      <c r="S7" s="470"/>
      <c r="T7" s="470"/>
      <c r="U7" s="470"/>
      <c r="V7" s="470"/>
      <c r="W7" s="470"/>
      <c r="X7" s="470"/>
    </row>
    <row r="8" spans="1:24" s="471" customFormat="1" ht="31.2" x14ac:dyDescent="0.3">
      <c r="A8" s="463" t="s">
        <v>147</v>
      </c>
      <c r="B8" s="463" t="s">
        <v>147</v>
      </c>
      <c r="C8" s="464" t="s">
        <v>206</v>
      </c>
      <c r="D8" s="472" t="s">
        <v>849</v>
      </c>
      <c r="E8" s="466">
        <v>1</v>
      </c>
      <c r="F8" s="467">
        <f>APUS!$J$530</f>
        <v>6841492.8571428563</v>
      </c>
      <c r="G8" s="468">
        <f>ROUND(F8*E8,0)</f>
        <v>6841493</v>
      </c>
      <c r="H8" s="469"/>
      <c r="I8" s="455">
        <f>+ROUND(F8*1.26,2)</f>
        <v>8620281</v>
      </c>
      <c r="J8" s="650">
        <f t="shared" ref="J8:J40" si="0">+E8*I8</f>
        <v>8620281</v>
      </c>
      <c r="K8" s="651">
        <f>+'[13]PPTO OBRA PLIEGO TIPO'!K15-J8</f>
        <v>20859.429999999702</v>
      </c>
      <c r="L8" s="470"/>
      <c r="M8" s="470"/>
      <c r="N8" s="470"/>
      <c r="O8" s="470"/>
      <c r="P8" s="470"/>
      <c r="Q8" s="470"/>
      <c r="R8" s="470"/>
      <c r="S8" s="470"/>
      <c r="T8" s="470"/>
      <c r="U8" s="470"/>
      <c r="V8" s="470"/>
      <c r="W8" s="470"/>
      <c r="X8" s="470"/>
    </row>
    <row r="9" spans="1:24" s="471" customFormat="1" ht="15.6" x14ac:dyDescent="0.3">
      <c r="A9" s="463" t="s">
        <v>292</v>
      </c>
      <c r="B9" s="463" t="s">
        <v>292</v>
      </c>
      <c r="C9" s="464" t="s">
        <v>214</v>
      </c>
      <c r="D9" s="472" t="str">
        <f>+D8</f>
        <v>Und</v>
      </c>
      <c r="E9" s="466">
        <v>1</v>
      </c>
      <c r="F9" s="467">
        <f>APUS!$J$565</f>
        <v>5350000</v>
      </c>
      <c r="G9" s="468">
        <f>ROUND(F9*E9,0)</f>
        <v>5350000</v>
      </c>
      <c r="H9" s="469"/>
      <c r="I9" s="455">
        <f t="shared" ref="I9:I11" si="1">+ROUND(F9*1.26,2)</f>
        <v>6741000</v>
      </c>
      <c r="J9" s="650">
        <f t="shared" si="0"/>
        <v>6741000</v>
      </c>
      <c r="K9" s="651">
        <f>+'[13]PPTO OBRA PLIEGO TIPO'!K16-J9</f>
        <v>16311.929999999702</v>
      </c>
      <c r="L9" s="470"/>
      <c r="M9" s="470"/>
      <c r="N9" s="470"/>
      <c r="O9" s="470"/>
      <c r="P9" s="470"/>
      <c r="Q9" s="470"/>
      <c r="R9" s="470"/>
      <c r="S9" s="470"/>
      <c r="T9" s="470"/>
      <c r="U9" s="470"/>
      <c r="V9" s="470"/>
      <c r="W9" s="470"/>
      <c r="X9" s="470"/>
    </row>
    <row r="10" spans="1:24" s="471" customFormat="1" ht="15.6" x14ac:dyDescent="0.3">
      <c r="A10" s="463" t="s">
        <v>293</v>
      </c>
      <c r="B10" s="463" t="s">
        <v>293</v>
      </c>
      <c r="C10" s="464" t="s">
        <v>126</v>
      </c>
      <c r="D10" s="472" t="str">
        <f t="shared" ref="D10:D11" si="2">+D9</f>
        <v>Und</v>
      </c>
      <c r="E10" s="466">
        <v>90</v>
      </c>
      <c r="F10" s="467">
        <f>APUS!$J$599</f>
        <v>103173.52380952403</v>
      </c>
      <c r="G10" s="468">
        <f>ROUND(F10*E10,0)</f>
        <v>9285617</v>
      </c>
      <c r="H10" s="469"/>
      <c r="I10" s="455">
        <f t="shared" si="1"/>
        <v>129998.64</v>
      </c>
      <c r="J10" s="650">
        <f t="shared" si="0"/>
        <v>11699877.6</v>
      </c>
      <c r="K10" s="651">
        <f>+'[13]PPTO OBRA PLIEGO TIPO'!K17-J10</f>
        <v>28311.300000000745</v>
      </c>
      <c r="L10" s="470"/>
      <c r="M10" s="470"/>
      <c r="N10" s="470"/>
      <c r="O10" s="470"/>
      <c r="P10" s="470"/>
      <c r="Q10" s="470"/>
      <c r="R10" s="470"/>
      <c r="S10" s="470"/>
      <c r="T10" s="470"/>
      <c r="U10" s="470"/>
      <c r="V10" s="470"/>
      <c r="W10" s="470"/>
      <c r="X10" s="470"/>
    </row>
    <row r="11" spans="1:24" s="471" customFormat="1" ht="15.6" x14ac:dyDescent="0.3">
      <c r="A11" s="463" t="s">
        <v>294</v>
      </c>
      <c r="B11" s="463" t="s">
        <v>294</v>
      </c>
      <c r="C11" s="464" t="s">
        <v>128</v>
      </c>
      <c r="D11" s="472" t="str">
        <f t="shared" si="2"/>
        <v>Und</v>
      </c>
      <c r="E11" s="466">
        <v>1</v>
      </c>
      <c r="F11" s="467">
        <f>APUS!$J$633</f>
        <v>10206219.047619049</v>
      </c>
      <c r="G11" s="468">
        <f>ROUND(F11*E11,0)</f>
        <v>10206219</v>
      </c>
      <c r="H11" s="469"/>
      <c r="I11" s="455">
        <f t="shared" si="1"/>
        <v>12859836</v>
      </c>
      <c r="J11" s="650">
        <f t="shared" si="0"/>
        <v>12859836</v>
      </c>
      <c r="K11" s="651">
        <f>+'[13]PPTO OBRA PLIEGO TIPO'!K18-J11</f>
        <v>31118.339999999851</v>
      </c>
      <c r="L11" s="470"/>
      <c r="M11" s="470"/>
      <c r="N11" s="470"/>
      <c r="O11" s="470"/>
      <c r="P11" s="470"/>
      <c r="Q11" s="470"/>
      <c r="R11" s="470"/>
      <c r="S11" s="470"/>
      <c r="T11" s="470"/>
      <c r="U11" s="470"/>
      <c r="V11" s="470"/>
      <c r="W11" s="470"/>
      <c r="X11" s="470"/>
    </row>
    <row r="12" spans="1:24" s="476" customFormat="1" ht="15" customHeight="1" thickBot="1" x14ac:dyDescent="0.35">
      <c r="A12" s="473"/>
      <c r="B12" s="1035" t="s">
        <v>296</v>
      </c>
      <c r="C12" s="1036"/>
      <c r="D12" s="1036"/>
      <c r="E12" s="1036"/>
      <c r="F12" s="1036"/>
      <c r="G12" s="1036"/>
      <c r="H12" s="474">
        <f>SUM(G7:G11)</f>
        <v>53473980</v>
      </c>
      <c r="I12" s="647">
        <f>+ROUND(H12*1.26,2)</f>
        <v>67377214.799999997</v>
      </c>
      <c r="J12" s="650">
        <f t="shared" si="0"/>
        <v>0</v>
      </c>
      <c r="K12" s="651">
        <f>+'[13]PPTO OBRA PLIEGO TIPO'!K19-J12</f>
        <v>67540178.709999993</v>
      </c>
      <c r="L12" s="475"/>
      <c r="M12" s="475"/>
      <c r="N12" s="475"/>
      <c r="O12" s="475"/>
      <c r="P12" s="475"/>
      <c r="Q12" s="475"/>
      <c r="R12" s="475"/>
      <c r="S12" s="475"/>
      <c r="T12" s="475"/>
      <c r="U12" s="475"/>
      <c r="V12" s="475"/>
      <c r="W12" s="475"/>
      <c r="X12" s="475"/>
    </row>
    <row r="13" spans="1:24" ht="15" customHeight="1" x14ac:dyDescent="0.3">
      <c r="A13" s="456" t="s">
        <v>148</v>
      </c>
      <c r="B13" s="457" t="s">
        <v>1</v>
      </c>
      <c r="C13" s="458" t="s">
        <v>860</v>
      </c>
      <c r="D13" s="459"/>
      <c r="E13" s="459"/>
      <c r="F13" s="460"/>
      <c r="G13" s="461"/>
      <c r="H13" s="462"/>
      <c r="I13" s="455">
        <f t="shared" ref="I13:I40" si="3">+ROUND(F13*1.263,2)</f>
        <v>0</v>
      </c>
      <c r="J13" s="650">
        <f t="shared" si="0"/>
        <v>0</v>
      </c>
      <c r="K13" s="651">
        <f>+'[13]PPTO OBRA PLIEGO TIPO'!K20-J13</f>
        <v>0</v>
      </c>
      <c r="L13" s="444"/>
      <c r="M13" s="444"/>
      <c r="N13" s="444"/>
      <c r="O13" s="444"/>
      <c r="P13" s="444"/>
      <c r="Q13" s="444"/>
      <c r="R13" s="444"/>
      <c r="S13" s="444"/>
      <c r="T13" s="444"/>
      <c r="U13" s="444"/>
      <c r="V13" s="444"/>
      <c r="W13" s="444"/>
      <c r="X13" s="444"/>
    </row>
    <row r="14" spans="1:24" s="471" customFormat="1" ht="73.05" customHeight="1" x14ac:dyDescent="0.3">
      <c r="A14" s="477" t="s">
        <v>149</v>
      </c>
      <c r="B14" s="477" t="s">
        <v>149</v>
      </c>
      <c r="C14" s="478" t="s">
        <v>945</v>
      </c>
      <c r="D14" s="472" t="s">
        <v>25</v>
      </c>
      <c r="E14" s="466">
        <f>MEMORIA_IMPLOSION!K14</f>
        <v>15435.59</v>
      </c>
      <c r="F14" s="469">
        <f>APUS!$J$666</f>
        <v>27480</v>
      </c>
      <c r="G14" s="468">
        <f t="shared" ref="G14:G21" si="4">ROUND(F14*E14,0)</f>
        <v>424170013</v>
      </c>
      <c r="H14" s="469"/>
      <c r="I14" s="455">
        <f t="shared" ref="I14:I21" si="5">+ROUND(F14*1.26,2)</f>
        <v>34624.800000000003</v>
      </c>
      <c r="J14" s="650">
        <f t="shared" si="0"/>
        <v>534454216.63200003</v>
      </c>
      <c r="K14" s="651">
        <f>+'[13]PPTO OBRA PLIEGO TIPO'!K21-J14</f>
        <v>1293348.0879999995</v>
      </c>
      <c r="L14" s="470"/>
      <c r="M14" s="470"/>
      <c r="N14" s="470"/>
      <c r="O14" s="470"/>
      <c r="P14" s="470"/>
      <c r="Q14" s="470"/>
      <c r="R14" s="470"/>
      <c r="S14" s="470"/>
      <c r="T14" s="470"/>
      <c r="U14" s="470"/>
      <c r="V14" s="470"/>
      <c r="W14" s="470"/>
      <c r="X14" s="470"/>
    </row>
    <row r="15" spans="1:24" s="471" customFormat="1" ht="62.4" x14ac:dyDescent="0.3">
      <c r="A15" s="477" t="s">
        <v>150</v>
      </c>
      <c r="B15" s="477" t="s">
        <v>150</v>
      </c>
      <c r="C15" s="478" t="s">
        <v>863</v>
      </c>
      <c r="D15" s="472" t="s">
        <v>25</v>
      </c>
      <c r="E15" s="466">
        <f>E14</f>
        <v>15435.59</v>
      </c>
      <c r="F15" s="469">
        <f>APUS!$J$705</f>
        <v>29819.481838678388</v>
      </c>
      <c r="G15" s="468">
        <f t="shared" si="4"/>
        <v>460281296</v>
      </c>
      <c r="H15" s="469"/>
      <c r="I15" s="455">
        <f t="shared" si="5"/>
        <v>37572.550000000003</v>
      </c>
      <c r="J15" s="650">
        <f t="shared" si="0"/>
        <v>579954477.0545001</v>
      </c>
      <c r="K15" s="651">
        <f>+'[13]PPTO OBRA PLIEGO TIPO'!K22-J15</f>
        <v>1403403.8454998732</v>
      </c>
      <c r="L15" s="470"/>
      <c r="M15" s="470"/>
      <c r="N15" s="470"/>
      <c r="O15" s="470"/>
      <c r="P15" s="470"/>
      <c r="Q15" s="470"/>
      <c r="R15" s="470"/>
      <c r="S15" s="470"/>
      <c r="T15" s="470"/>
      <c r="U15" s="470"/>
      <c r="V15" s="470"/>
      <c r="W15" s="470"/>
      <c r="X15" s="470"/>
    </row>
    <row r="16" spans="1:24" s="471" customFormat="1" ht="46.8" x14ac:dyDescent="0.3">
      <c r="A16" s="477" t="s">
        <v>297</v>
      </c>
      <c r="B16" s="477" t="s">
        <v>297</v>
      </c>
      <c r="C16" s="478" t="s">
        <v>248</v>
      </c>
      <c r="D16" s="472" t="s">
        <v>25</v>
      </c>
      <c r="E16" s="466">
        <f>E15</f>
        <v>15435.59</v>
      </c>
      <c r="F16" s="469">
        <f>APUS!$J$741</f>
        <v>20962.785827151034</v>
      </c>
      <c r="G16" s="468">
        <f t="shared" si="4"/>
        <v>323572967</v>
      </c>
      <c r="H16" s="469"/>
      <c r="I16" s="455">
        <f t="shared" si="5"/>
        <v>26413.11</v>
      </c>
      <c r="J16" s="650">
        <f t="shared" si="0"/>
        <v>407701936.58490002</v>
      </c>
      <c r="K16" s="651">
        <f>+'[13]PPTO OBRA PLIEGO TIPO'!K23-J16</f>
        <v>986488.55509996414</v>
      </c>
      <c r="L16" s="470"/>
      <c r="M16" s="470"/>
      <c r="N16" s="470"/>
      <c r="O16" s="470"/>
      <c r="P16" s="470"/>
      <c r="Q16" s="470"/>
      <c r="R16" s="470"/>
      <c r="S16" s="470"/>
      <c r="T16" s="470"/>
      <c r="U16" s="470"/>
      <c r="V16" s="470"/>
      <c r="W16" s="470"/>
      <c r="X16" s="470"/>
    </row>
    <row r="17" spans="1:24 2047:2047" s="471" customFormat="1" ht="31.2" x14ac:dyDescent="0.3">
      <c r="A17" s="477" t="s">
        <v>298</v>
      </c>
      <c r="B17" s="477" t="s">
        <v>298</v>
      </c>
      <c r="C17" s="478" t="s">
        <v>247</v>
      </c>
      <c r="D17" s="472" t="str">
        <f>+D8</f>
        <v>Und</v>
      </c>
      <c r="E17" s="466">
        <v>1</v>
      </c>
      <c r="F17" s="469">
        <f>APUS!$J$773</f>
        <v>33391000</v>
      </c>
      <c r="G17" s="468">
        <f t="shared" si="4"/>
        <v>33391000</v>
      </c>
      <c r="H17" s="469"/>
      <c r="I17" s="455">
        <f t="shared" si="5"/>
        <v>42072660</v>
      </c>
      <c r="J17" s="650">
        <f t="shared" si="0"/>
        <v>42072660</v>
      </c>
      <c r="K17" s="651">
        <f>+'[13]PPTO OBRA PLIEGO TIPO'!K24-J17</f>
        <v>101807.78999999911</v>
      </c>
      <c r="L17" s="470"/>
      <c r="M17" s="470"/>
      <c r="N17" s="470"/>
      <c r="O17" s="470"/>
      <c r="P17" s="470"/>
      <c r="Q17" s="470"/>
      <c r="R17" s="470"/>
      <c r="S17" s="470"/>
      <c r="T17" s="470"/>
      <c r="U17" s="470"/>
      <c r="V17" s="470"/>
      <c r="W17" s="470"/>
      <c r="X17" s="470"/>
    </row>
    <row r="18" spans="1:24 2047:2047" s="471" customFormat="1" ht="55.05" customHeight="1" x14ac:dyDescent="0.3">
      <c r="A18" s="477" t="s">
        <v>299</v>
      </c>
      <c r="B18" s="477" t="s">
        <v>299</v>
      </c>
      <c r="C18" s="478" t="s">
        <v>135</v>
      </c>
      <c r="D18" s="472" t="str">
        <f>+D17</f>
        <v>Und</v>
      </c>
      <c r="E18" s="466">
        <v>1</v>
      </c>
      <c r="F18" s="469">
        <f>APUS!$J$806</f>
        <v>291615764</v>
      </c>
      <c r="G18" s="468">
        <f t="shared" si="4"/>
        <v>291615764</v>
      </c>
      <c r="H18" s="469"/>
      <c r="I18" s="455">
        <f t="shared" si="5"/>
        <v>367435862.63999999</v>
      </c>
      <c r="J18" s="650">
        <f t="shared" si="0"/>
        <v>367435862.63999999</v>
      </c>
      <c r="K18" s="651">
        <f>+'[13]PPTO OBRA PLIEGO TIPO'!K25-J18</f>
        <v>889124.54000002146</v>
      </c>
      <c r="L18" s="470"/>
      <c r="M18" s="470"/>
      <c r="N18" s="470"/>
      <c r="O18" s="470"/>
      <c r="P18" s="470"/>
      <c r="Q18" s="470"/>
      <c r="R18" s="470"/>
      <c r="S18" s="470"/>
      <c r="T18" s="470"/>
      <c r="U18" s="470"/>
      <c r="V18" s="470"/>
      <c r="W18" s="470"/>
      <c r="X18" s="470"/>
    </row>
    <row r="19" spans="1:24 2047:2047" s="471" customFormat="1" ht="62.4" x14ac:dyDescent="0.3">
      <c r="A19" s="477" t="s">
        <v>300</v>
      </c>
      <c r="B19" s="477" t="s">
        <v>300</v>
      </c>
      <c r="C19" s="478" t="s">
        <v>136</v>
      </c>
      <c r="D19" s="472" t="str">
        <f>+D18</f>
        <v>Und</v>
      </c>
      <c r="E19" s="466">
        <v>1</v>
      </c>
      <c r="F19" s="469">
        <f>APUS!$J$838</f>
        <v>24498009</v>
      </c>
      <c r="G19" s="468">
        <f t="shared" si="4"/>
        <v>24498009</v>
      </c>
      <c r="H19" s="469"/>
      <c r="I19" s="455">
        <f t="shared" si="5"/>
        <v>30867491.34</v>
      </c>
      <c r="J19" s="650">
        <f t="shared" si="0"/>
        <v>30867491.34</v>
      </c>
      <c r="K19" s="651">
        <f>+'[13]PPTO OBRA PLIEGO TIPO'!K26-J19</f>
        <v>74693.429999999702</v>
      </c>
      <c r="L19" s="470"/>
      <c r="M19" s="470"/>
      <c r="N19" s="470"/>
      <c r="O19" s="470"/>
      <c r="P19" s="470"/>
      <c r="Q19" s="470"/>
      <c r="R19" s="470"/>
      <c r="S19" s="470"/>
      <c r="T19" s="470"/>
      <c r="U19" s="470"/>
      <c r="V19" s="470"/>
      <c r="W19" s="470"/>
      <c r="X19" s="470"/>
    </row>
    <row r="20" spans="1:24 2047:2047" s="471" customFormat="1" ht="46.8" x14ac:dyDescent="0.3">
      <c r="A20" s="477" t="s">
        <v>301</v>
      </c>
      <c r="B20" s="477" t="s">
        <v>301</v>
      </c>
      <c r="C20" s="478" t="s">
        <v>127</v>
      </c>
      <c r="D20" s="472" t="s">
        <v>25</v>
      </c>
      <c r="E20" s="466">
        <f>E16</f>
        <v>15435.59</v>
      </c>
      <c r="F20" s="469">
        <f>APUS!$J$868</f>
        <v>3181.8832130213291</v>
      </c>
      <c r="G20" s="468">
        <f t="shared" si="4"/>
        <v>49114245</v>
      </c>
      <c r="H20" s="469"/>
      <c r="I20" s="455">
        <f t="shared" si="5"/>
        <v>4009.17</v>
      </c>
      <c r="J20" s="650">
        <f t="shared" si="0"/>
        <v>61883904.360300004</v>
      </c>
      <c r="K20" s="651">
        <f>+'[13]PPTO OBRA PLIEGO TIPO'!K27-J20</f>
        <v>149725.21969999373</v>
      </c>
      <c r="L20" s="470"/>
      <c r="M20" s="470"/>
      <c r="N20" s="470"/>
      <c r="O20" s="470"/>
      <c r="P20" s="470"/>
      <c r="Q20" s="470"/>
      <c r="R20" s="470"/>
      <c r="S20" s="470"/>
      <c r="T20" s="470"/>
      <c r="U20" s="470"/>
      <c r="V20" s="470"/>
      <c r="W20" s="470"/>
      <c r="X20" s="470"/>
    </row>
    <row r="21" spans="1:24 2047:2047" s="471" customFormat="1" ht="31.2" x14ac:dyDescent="0.3">
      <c r="A21" s="477" t="s">
        <v>302</v>
      </c>
      <c r="B21" s="477" t="s">
        <v>302</v>
      </c>
      <c r="C21" s="479" t="s">
        <v>137</v>
      </c>
      <c r="D21" s="480" t="str">
        <f>+D19</f>
        <v>Und</v>
      </c>
      <c r="E21" s="481">
        <v>1</v>
      </c>
      <c r="F21" s="482">
        <f>APUS!$J$898</f>
        <v>6755006.9761904757</v>
      </c>
      <c r="G21" s="468">
        <f t="shared" si="4"/>
        <v>6755007</v>
      </c>
      <c r="H21" s="483"/>
      <c r="I21" s="455">
        <f t="shared" si="5"/>
        <v>8511308.7899999991</v>
      </c>
      <c r="J21" s="650">
        <f t="shared" si="0"/>
        <v>8511308.7899999991</v>
      </c>
      <c r="K21" s="651">
        <f>+'[13]PPTO OBRA PLIEGO TIPO'!K28-J21</f>
        <v>20595.740000000224</v>
      </c>
      <c r="L21" s="470"/>
      <c r="M21" s="470"/>
      <c r="N21" s="470"/>
      <c r="O21" s="470"/>
      <c r="P21" s="470"/>
      <c r="Q21" s="470"/>
      <c r="R21" s="470"/>
      <c r="S21" s="470"/>
      <c r="T21" s="470"/>
      <c r="U21" s="470"/>
      <c r="V21" s="470"/>
      <c r="W21" s="470"/>
      <c r="X21" s="470"/>
    </row>
    <row r="22" spans="1:24 2047:2047" s="476" customFormat="1" ht="15" customHeight="1" thickBot="1" x14ac:dyDescent="0.35">
      <c r="A22" s="473"/>
      <c r="B22" s="1035" t="s">
        <v>296</v>
      </c>
      <c r="C22" s="1036"/>
      <c r="D22" s="1036"/>
      <c r="E22" s="1036"/>
      <c r="F22" s="1036"/>
      <c r="G22" s="1036"/>
      <c r="H22" s="474">
        <f>SUM(G14:G21)</f>
        <v>1613398301</v>
      </c>
      <c r="I22" s="647">
        <f>+ROUND(H22*1.26,2)</f>
        <v>2032881859.26</v>
      </c>
      <c r="J22" s="650">
        <f t="shared" si="0"/>
        <v>0</v>
      </c>
      <c r="K22" s="651">
        <f>+'[13]PPTO OBRA PLIEGO TIPO'!K29-J22</f>
        <v>2037801044.6099997</v>
      </c>
      <c r="L22" s="475"/>
      <c r="M22" s="475"/>
      <c r="N22" s="475"/>
      <c r="O22" s="475"/>
      <c r="P22" s="475"/>
      <c r="Q22" s="475"/>
      <c r="R22" s="475"/>
      <c r="S22" s="475"/>
      <c r="T22" s="475"/>
      <c r="U22" s="475"/>
      <c r="V22" s="475"/>
      <c r="W22" s="475"/>
      <c r="X22" s="475"/>
    </row>
    <row r="23" spans="1:24 2047:2047" ht="15" customHeight="1" x14ac:dyDescent="0.3">
      <c r="A23" s="456" t="s">
        <v>303</v>
      </c>
      <c r="B23" s="457" t="s">
        <v>2</v>
      </c>
      <c r="C23" s="458" t="s">
        <v>304</v>
      </c>
      <c r="D23" s="459"/>
      <c r="E23" s="459"/>
      <c r="F23" s="460"/>
      <c r="G23" s="461"/>
      <c r="H23" s="462"/>
      <c r="I23" s="455">
        <f t="shared" si="3"/>
        <v>0</v>
      </c>
      <c r="J23" s="650">
        <f t="shared" si="0"/>
        <v>0</v>
      </c>
      <c r="K23" s="651">
        <f>+'[13]PPTO OBRA PLIEGO TIPO'!K30-J23</f>
        <v>0</v>
      </c>
      <c r="L23" s="444"/>
      <c r="M23" s="444"/>
      <c r="N23" s="444"/>
      <c r="O23" s="444"/>
      <c r="P23" s="444"/>
      <c r="Q23" s="444"/>
      <c r="R23" s="444"/>
      <c r="S23" s="444"/>
      <c r="T23" s="444"/>
      <c r="U23" s="444"/>
      <c r="V23" s="444"/>
      <c r="W23" s="444"/>
      <c r="X23" s="444"/>
    </row>
    <row r="24" spans="1:24 2047:2047" s="471" customFormat="1" ht="31.2" x14ac:dyDescent="0.3">
      <c r="A24" s="477" t="s">
        <v>305</v>
      </c>
      <c r="B24" s="477" t="s">
        <v>305</v>
      </c>
      <c r="C24" s="464" t="s">
        <v>887</v>
      </c>
      <c r="D24" s="472" t="s">
        <v>25</v>
      </c>
      <c r="E24" s="466">
        <f>MEMORIA_IMPLOSION!K14</f>
        <v>15435.59</v>
      </c>
      <c r="F24" s="469">
        <f>APUS!$J$938</f>
        <v>26065.423103267931</v>
      </c>
      <c r="G24" s="468">
        <f>ROUND(F24*E24,0)</f>
        <v>402335184</v>
      </c>
      <c r="H24" s="469"/>
      <c r="I24" s="455">
        <f t="shared" ref="I24:I26" si="6">+ROUND(F24*1.26,2)</f>
        <v>32842.43</v>
      </c>
      <c r="J24" s="650">
        <f t="shared" si="0"/>
        <v>506942284.0837</v>
      </c>
      <c r="K24" s="651">
        <f>+'[13]PPTO OBRA PLIEGO TIPO'!K31-J24</f>
        <v>1226820.6962999701</v>
      </c>
      <c r="L24" s="470"/>
      <c r="M24" s="470"/>
      <c r="N24" s="470"/>
      <c r="O24" s="470"/>
      <c r="P24" s="470"/>
      <c r="Q24" s="470"/>
      <c r="R24" s="470"/>
      <c r="S24" s="470"/>
      <c r="T24" s="470"/>
      <c r="U24" s="470"/>
      <c r="V24" s="470"/>
      <c r="W24" s="470"/>
      <c r="X24" s="470"/>
    </row>
    <row r="25" spans="1:24 2047:2047" s="471" customFormat="1" ht="60.75" customHeight="1" x14ac:dyDescent="0.3">
      <c r="A25" s="477" t="s">
        <v>306</v>
      </c>
      <c r="B25" s="477" t="s">
        <v>306</v>
      </c>
      <c r="C25" s="464" t="s">
        <v>138</v>
      </c>
      <c r="D25" s="472" t="s">
        <v>25</v>
      </c>
      <c r="E25" s="466">
        <f>E24</f>
        <v>15435.59</v>
      </c>
      <c r="F25" s="469">
        <f>APUS!$J$974</f>
        <v>4266.7654408693525</v>
      </c>
      <c r="G25" s="468">
        <f>ROUND(F25*E25,0)</f>
        <v>65860042</v>
      </c>
      <c r="H25" s="469"/>
      <c r="I25" s="455">
        <f t="shared" si="6"/>
        <v>5376.12</v>
      </c>
      <c r="J25" s="650">
        <f t="shared" si="0"/>
        <v>82983584.110799998</v>
      </c>
      <c r="K25" s="651">
        <f>+'[13]PPTO OBRA PLIEGO TIPO'!K32-J25</f>
        <v>200817.02920000255</v>
      </c>
      <c r="L25" s="470"/>
      <c r="M25" s="470"/>
      <c r="N25" s="470"/>
      <c r="O25" s="470"/>
      <c r="P25" s="470"/>
      <c r="Q25" s="470"/>
      <c r="R25" s="470"/>
      <c r="S25" s="470"/>
      <c r="T25" s="470"/>
      <c r="U25" s="470"/>
      <c r="V25" s="470"/>
      <c r="W25" s="470"/>
      <c r="X25" s="470"/>
      <c r="BZS25" s="484"/>
    </row>
    <row r="26" spans="1:24 2047:2047" s="476" customFormat="1" ht="31.2" x14ac:dyDescent="0.3">
      <c r="A26" s="485" t="s">
        <v>307</v>
      </c>
      <c r="B26" s="485" t="s">
        <v>307</v>
      </c>
      <c r="C26" s="486" t="s">
        <v>139</v>
      </c>
      <c r="D26" s="465" t="s">
        <v>25</v>
      </c>
      <c r="E26" s="487">
        <f>E25</f>
        <v>15435.59</v>
      </c>
      <c r="F26" s="467">
        <f>APUS!$J$1007</f>
        <v>1092.9481801473089</v>
      </c>
      <c r="G26" s="468">
        <f>ROUND(F26*E26,0)</f>
        <v>16870300</v>
      </c>
      <c r="H26" s="467"/>
      <c r="I26" s="455">
        <f t="shared" si="6"/>
        <v>1377.11</v>
      </c>
      <c r="J26" s="650">
        <f t="shared" si="0"/>
        <v>21256505.344899997</v>
      </c>
      <c r="K26" s="651">
        <f>+'[13]PPTO OBRA PLIEGO TIPO'!K33-J26</f>
        <v>51554.875100001693</v>
      </c>
      <c r="L26" s="475"/>
      <c r="M26" s="475"/>
      <c r="N26" s="475"/>
      <c r="O26" s="475"/>
      <c r="P26" s="475"/>
      <c r="Q26" s="475"/>
      <c r="R26" s="475"/>
      <c r="S26" s="475"/>
      <c r="T26" s="475"/>
      <c r="U26" s="475"/>
      <c r="V26" s="475"/>
      <c r="W26" s="475"/>
      <c r="X26" s="475"/>
    </row>
    <row r="27" spans="1:24 2047:2047" s="476" customFormat="1" ht="15" customHeight="1" thickBot="1" x14ac:dyDescent="0.35">
      <c r="A27" s="488"/>
      <c r="B27" s="1037" t="s">
        <v>296</v>
      </c>
      <c r="C27" s="1038"/>
      <c r="D27" s="1038"/>
      <c r="E27" s="1038"/>
      <c r="F27" s="1038"/>
      <c r="G27" s="1038"/>
      <c r="H27" s="489">
        <f>SUM(G24:G26)</f>
        <v>485065526</v>
      </c>
      <c r="I27" s="647">
        <f>+ROUND(H27*1.26,2)</f>
        <v>611182562.75999999</v>
      </c>
      <c r="J27" s="650">
        <f t="shared" si="0"/>
        <v>0</v>
      </c>
      <c r="K27" s="651">
        <f>+'[13]PPTO OBRA PLIEGO TIPO'!K34-J27</f>
        <v>612661566.13999999</v>
      </c>
      <c r="L27" s="475"/>
      <c r="M27" s="475"/>
      <c r="N27" s="475"/>
      <c r="O27" s="475"/>
      <c r="P27" s="475"/>
      <c r="Q27" s="475"/>
      <c r="R27" s="475"/>
      <c r="S27" s="475"/>
      <c r="T27" s="475"/>
      <c r="U27" s="475"/>
      <c r="V27" s="475"/>
      <c r="W27" s="475"/>
      <c r="X27" s="475"/>
    </row>
    <row r="28" spans="1:24 2047:2047" ht="15" customHeight="1" x14ac:dyDescent="0.3">
      <c r="A28" s="456" t="s">
        <v>308</v>
      </c>
      <c r="B28" s="457" t="s">
        <v>3</v>
      </c>
      <c r="C28" s="458" t="s">
        <v>309</v>
      </c>
      <c r="D28" s="459"/>
      <c r="E28" s="459"/>
      <c r="F28" s="460"/>
      <c r="G28" s="461"/>
      <c r="H28" s="462"/>
      <c r="I28" s="455">
        <f t="shared" si="3"/>
        <v>0</v>
      </c>
      <c r="J28" s="650">
        <f t="shared" si="0"/>
        <v>0</v>
      </c>
      <c r="K28" s="651">
        <f>+'[13]PPTO OBRA PLIEGO TIPO'!K35-J28</f>
        <v>0</v>
      </c>
      <c r="L28" s="444"/>
      <c r="M28" s="444"/>
      <c r="N28" s="444"/>
      <c r="O28" s="444"/>
      <c r="P28" s="444"/>
      <c r="Q28" s="444"/>
      <c r="R28" s="444"/>
      <c r="S28" s="444"/>
      <c r="T28" s="444"/>
      <c r="U28" s="444"/>
      <c r="V28" s="444"/>
      <c r="W28" s="444"/>
      <c r="X28" s="444"/>
    </row>
    <row r="29" spans="1:24 2047:2047" s="471" customFormat="1" ht="62.4" x14ac:dyDescent="0.3">
      <c r="A29" s="477" t="s">
        <v>338</v>
      </c>
      <c r="B29" s="477">
        <v>4.0999999999999996</v>
      </c>
      <c r="C29" s="464" t="s">
        <v>922</v>
      </c>
      <c r="D29" s="472" t="s">
        <v>24</v>
      </c>
      <c r="E29" s="487">
        <f>MEMORIA_IMPLOSION!L25</f>
        <v>8566.2802667083997</v>
      </c>
      <c r="F29" s="469">
        <f>APUS!$J$1042</f>
        <v>194580.84765294901</v>
      </c>
      <c r="G29" s="468">
        <f t="shared" ref="G29:G34" si="7">ROUND(F29*E29,0)</f>
        <v>1666834076</v>
      </c>
      <c r="H29" s="469"/>
      <c r="I29" s="455">
        <f t="shared" ref="I29:I34" si="8">+ROUND(F29*1.26,2)</f>
        <v>245171.87</v>
      </c>
      <c r="J29" s="650">
        <f t="shared" si="0"/>
        <v>2100210951.932997</v>
      </c>
      <c r="K29" s="651">
        <f>+'[13]PPTO OBRA PLIEGO TIPO'!K36-J29</f>
        <v>5082117.0970029831</v>
      </c>
      <c r="L29" s="470"/>
      <c r="M29" s="470"/>
      <c r="N29" s="470"/>
      <c r="O29" s="470"/>
      <c r="P29" s="470"/>
      <c r="Q29" s="470"/>
      <c r="R29" s="470"/>
      <c r="S29" s="470"/>
      <c r="T29" s="470"/>
      <c r="U29" s="470"/>
      <c r="V29" s="470"/>
      <c r="W29" s="470"/>
      <c r="X29" s="470"/>
    </row>
    <row r="30" spans="1:24 2047:2047" s="471" customFormat="1" ht="46.8" x14ac:dyDescent="0.3">
      <c r="A30" s="490" t="s">
        <v>339</v>
      </c>
      <c r="B30" s="491">
        <v>4.2</v>
      </c>
      <c r="C30" s="479" t="s">
        <v>938</v>
      </c>
      <c r="D30" s="480" t="s">
        <v>24</v>
      </c>
      <c r="E30" s="487">
        <f>E29</f>
        <v>8566.2802667083997</v>
      </c>
      <c r="F30" s="492">
        <f>APUS!$J$1073</f>
        <v>26620.896248151585</v>
      </c>
      <c r="G30" s="468">
        <f t="shared" si="7"/>
        <v>228042058</v>
      </c>
      <c r="H30" s="493"/>
      <c r="I30" s="455">
        <f t="shared" si="8"/>
        <v>33542.33</v>
      </c>
      <c r="J30" s="650">
        <f t="shared" si="0"/>
        <v>287332999.57842118</v>
      </c>
      <c r="K30" s="651">
        <f>+'[13]PPTO OBRA PLIEGO TIPO'!K37-J30</f>
        <v>695324.97157883644</v>
      </c>
      <c r="L30" s="470"/>
      <c r="M30" s="470"/>
      <c r="N30" s="470"/>
      <c r="O30" s="470"/>
      <c r="P30" s="470"/>
      <c r="Q30" s="470"/>
      <c r="R30" s="470"/>
      <c r="S30" s="470"/>
      <c r="T30" s="470"/>
      <c r="U30" s="470"/>
      <c r="V30" s="470"/>
      <c r="W30" s="470"/>
      <c r="X30" s="470"/>
    </row>
    <row r="31" spans="1:24 2047:2047" s="471" customFormat="1" ht="46.8" x14ac:dyDescent="0.3">
      <c r="A31" s="477" t="s">
        <v>340</v>
      </c>
      <c r="B31" s="477">
        <v>4.4000000000000004</v>
      </c>
      <c r="C31" s="464" t="s">
        <v>939</v>
      </c>
      <c r="D31" s="472" t="s">
        <v>24</v>
      </c>
      <c r="E31" s="487">
        <f>MEMORIA_IMPLOSION!L26</f>
        <v>2692.4317505999998</v>
      </c>
      <c r="F31" s="469">
        <f>APUS!$J$1042</f>
        <v>194580.84765294901</v>
      </c>
      <c r="G31" s="468">
        <f t="shared" si="7"/>
        <v>523895652</v>
      </c>
      <c r="H31" s="494"/>
      <c r="I31" s="455">
        <f t="shared" si="8"/>
        <v>245171.87</v>
      </c>
      <c r="J31" s="650">
        <f t="shared" si="0"/>
        <v>660108527.14197552</v>
      </c>
      <c r="K31" s="651">
        <f>+'[13]PPTO OBRA PLIEGO TIPO'!K38-J31</f>
        <v>1597338.9880244732</v>
      </c>
      <c r="L31" s="470"/>
      <c r="M31" s="470"/>
      <c r="N31" s="470"/>
      <c r="O31" s="470"/>
      <c r="P31" s="470"/>
      <c r="Q31" s="470"/>
      <c r="R31" s="470"/>
      <c r="S31" s="470"/>
      <c r="T31" s="470"/>
      <c r="U31" s="470"/>
      <c r="V31" s="470"/>
      <c r="W31" s="470"/>
      <c r="X31" s="470"/>
    </row>
    <row r="32" spans="1:24 2047:2047" s="471" customFormat="1" ht="46.8" x14ac:dyDescent="0.3">
      <c r="A32" s="490" t="s">
        <v>341</v>
      </c>
      <c r="B32" s="491">
        <v>4.5</v>
      </c>
      <c r="C32" s="479" t="s">
        <v>940</v>
      </c>
      <c r="D32" s="480" t="s">
        <v>24</v>
      </c>
      <c r="E32" s="487">
        <f>E31</f>
        <v>2692.4317505999998</v>
      </c>
      <c r="F32" s="492">
        <f>APUS!$J$1073</f>
        <v>26620.896248151585</v>
      </c>
      <c r="G32" s="468">
        <f t="shared" si="7"/>
        <v>71674946</v>
      </c>
      <c r="H32" s="495"/>
      <c r="I32" s="455">
        <f t="shared" si="8"/>
        <v>33542.33</v>
      </c>
      <c r="J32" s="650">
        <f t="shared" si="0"/>
        <v>90310434.281102896</v>
      </c>
      <c r="K32" s="651">
        <f>+'[13]PPTO OBRA PLIEGO TIPO'!K39-J32</f>
        <v>218544.68889710307</v>
      </c>
      <c r="L32" s="470"/>
      <c r="M32" s="470"/>
      <c r="N32" s="470"/>
      <c r="O32" s="470"/>
      <c r="P32" s="470"/>
      <c r="Q32" s="470"/>
      <c r="R32" s="470"/>
      <c r="S32" s="470"/>
      <c r="T32" s="470"/>
      <c r="U32" s="470"/>
      <c r="V32" s="470"/>
      <c r="W32" s="470"/>
      <c r="X32" s="470"/>
    </row>
    <row r="33" spans="1:24" s="471" customFormat="1" ht="31.2" x14ac:dyDescent="0.3">
      <c r="A33" s="496" t="s">
        <v>342</v>
      </c>
      <c r="B33" s="491">
        <v>4.5999999999999996</v>
      </c>
      <c r="C33" s="497" t="s">
        <v>145</v>
      </c>
      <c r="D33" s="498" t="s">
        <v>24</v>
      </c>
      <c r="E33" s="626">
        <f>MEMORIA_IMPLOSION!L23</f>
        <v>5200.125</v>
      </c>
      <c r="F33" s="499">
        <f>APUS!$J$1142</f>
        <v>7500</v>
      </c>
      <c r="G33" s="468">
        <f t="shared" si="7"/>
        <v>39000938</v>
      </c>
      <c r="H33" s="500"/>
      <c r="I33" s="455">
        <f t="shared" si="8"/>
        <v>9450</v>
      </c>
      <c r="J33" s="650">
        <f t="shared" si="0"/>
        <v>49141181.25</v>
      </c>
      <c r="K33" s="651">
        <f>+'[13]PPTO OBRA PLIEGO TIPO'!K40-J33</f>
        <v>118926.8599999994</v>
      </c>
      <c r="L33" s="470"/>
      <c r="M33" s="470"/>
      <c r="N33" s="470"/>
      <c r="O33" s="470"/>
      <c r="P33" s="470"/>
      <c r="Q33" s="470"/>
      <c r="R33" s="470"/>
      <c r="S33" s="470"/>
      <c r="T33" s="470"/>
      <c r="U33" s="470"/>
      <c r="V33" s="470"/>
      <c r="W33" s="470"/>
      <c r="X33" s="470"/>
    </row>
    <row r="34" spans="1:24" s="471" customFormat="1" ht="26.25" customHeight="1" x14ac:dyDescent="0.3">
      <c r="A34" s="463" t="s">
        <v>343</v>
      </c>
      <c r="B34" s="491">
        <v>4.7</v>
      </c>
      <c r="C34" s="478" t="s">
        <v>941</v>
      </c>
      <c r="D34" s="472" t="s">
        <v>24</v>
      </c>
      <c r="E34" s="487">
        <f>MEMORIA_IMPLOSION!L24</f>
        <v>11687.943025962606</v>
      </c>
      <c r="F34" s="501">
        <f>APUS!$J$1108</f>
        <v>39860.817469949514</v>
      </c>
      <c r="G34" s="468">
        <f t="shared" si="7"/>
        <v>465890964</v>
      </c>
      <c r="H34" s="469"/>
      <c r="I34" s="455">
        <f t="shared" si="8"/>
        <v>50224.63</v>
      </c>
      <c r="J34" s="650">
        <f t="shared" si="0"/>
        <v>587022613.94005227</v>
      </c>
      <c r="K34" s="651">
        <f>+'[13]PPTO OBRA PLIEGO TIPO'!K41-J34</f>
        <v>1420435.7199476957</v>
      </c>
      <c r="L34" s="470"/>
      <c r="M34" s="470"/>
      <c r="N34" s="470"/>
      <c r="O34" s="470"/>
      <c r="P34" s="470"/>
      <c r="Q34" s="470"/>
      <c r="R34" s="470"/>
      <c r="S34" s="470"/>
      <c r="T34" s="470"/>
      <c r="U34" s="470"/>
      <c r="V34" s="470"/>
      <c r="W34" s="470"/>
      <c r="X34" s="470"/>
    </row>
    <row r="35" spans="1:24" s="506" customFormat="1" ht="23.4" x14ac:dyDescent="0.3">
      <c r="A35" s="502"/>
      <c r="B35" s="1039" t="s">
        <v>296</v>
      </c>
      <c r="C35" s="1039"/>
      <c r="D35" s="1039"/>
      <c r="E35" s="1039"/>
      <c r="F35" s="1039"/>
      <c r="G35" s="1039"/>
      <c r="H35" s="503">
        <f>SUM(G29:G34)</f>
        <v>2995338634</v>
      </c>
      <c r="I35" s="647">
        <f>+ROUND(H35*1.26,2)</f>
        <v>3774126678.8400002</v>
      </c>
      <c r="J35" s="650">
        <f t="shared" si="0"/>
        <v>0</v>
      </c>
      <c r="K35" s="651">
        <f>+'[13]PPTO OBRA PLIEGO TIPO'!K42-J35</f>
        <v>3783259396.4499998</v>
      </c>
      <c r="L35" s="505"/>
      <c r="M35" s="505"/>
      <c r="N35" s="505"/>
      <c r="O35" s="505"/>
      <c r="P35" s="505"/>
      <c r="Q35" s="505"/>
      <c r="R35" s="505"/>
      <c r="S35" s="505"/>
      <c r="T35" s="505"/>
      <c r="U35" s="505"/>
      <c r="V35" s="505"/>
      <c r="W35" s="505"/>
      <c r="X35" s="505"/>
    </row>
    <row r="36" spans="1:24" s="506" customFormat="1" ht="15.6" x14ac:dyDescent="0.3">
      <c r="A36" s="507"/>
      <c r="B36" s="508"/>
      <c r="C36" s="1040" t="s">
        <v>27</v>
      </c>
      <c r="D36" s="1029"/>
      <c r="E36" s="1029"/>
      <c r="F36" s="1029"/>
      <c r="G36" s="1029"/>
      <c r="H36" s="638">
        <f>SUM(H6:H35)</f>
        <v>5147276441</v>
      </c>
      <c r="I36" s="455">
        <f t="shared" si="3"/>
        <v>0</v>
      </c>
      <c r="J36" s="650">
        <f t="shared" si="0"/>
        <v>0</v>
      </c>
      <c r="K36" s="651">
        <f>+'[13]PPTO OBRA PLIEGO TIPO'!K43-J36</f>
        <v>0</v>
      </c>
      <c r="L36" s="505"/>
      <c r="M36" s="505"/>
      <c r="N36" s="505"/>
      <c r="O36" s="505"/>
      <c r="P36" s="505"/>
      <c r="Q36" s="505"/>
      <c r="R36" s="505"/>
      <c r="S36" s="505"/>
      <c r="T36" s="505"/>
      <c r="U36" s="505"/>
      <c r="V36" s="505"/>
      <c r="W36" s="505"/>
      <c r="X36" s="505"/>
    </row>
    <row r="37" spans="1:24" s="506" customFormat="1" ht="15.6" x14ac:dyDescent="0.3">
      <c r="A37" s="509"/>
      <c r="B37" s="510"/>
      <c r="C37" s="511"/>
      <c r="D37" s="507"/>
      <c r="E37" s="731">
        <v>0.21</v>
      </c>
      <c r="F37" s="1028" t="s">
        <v>28</v>
      </c>
      <c r="G37" s="1029"/>
      <c r="H37" s="638">
        <f>ROUND(E37*$H$36,0)</f>
        <v>1080928053</v>
      </c>
      <c r="I37" s="455" t="e">
        <f t="shared" si="3"/>
        <v>#VALUE!</v>
      </c>
      <c r="J37" s="650" t="e">
        <f t="shared" si="0"/>
        <v>#VALUE!</v>
      </c>
      <c r="K37" s="651" t="e">
        <f>+'[13]PPTO OBRA PLIEGO TIPO'!K44-J37</f>
        <v>#VALUE!</v>
      </c>
      <c r="L37" s="505"/>
      <c r="M37" s="505"/>
      <c r="N37" s="505"/>
      <c r="O37" s="505"/>
      <c r="P37" s="505"/>
      <c r="Q37" s="505"/>
      <c r="R37" s="505"/>
      <c r="S37" s="505"/>
      <c r="T37" s="505"/>
      <c r="U37" s="505"/>
      <c r="V37" s="505"/>
      <c r="W37" s="505"/>
      <c r="X37" s="505"/>
    </row>
    <row r="38" spans="1:24" s="506" customFormat="1" ht="15.6" x14ac:dyDescent="0.3">
      <c r="A38" s="509"/>
      <c r="B38" s="510"/>
      <c r="C38" s="511"/>
      <c r="D38" s="507"/>
      <c r="E38" s="731">
        <v>0.01</v>
      </c>
      <c r="F38" s="1028" t="s">
        <v>29</v>
      </c>
      <c r="G38" s="1029"/>
      <c r="H38" s="638">
        <f>ROUND(E38*$H$36,0)</f>
        <v>51472764</v>
      </c>
      <c r="I38" s="455" t="e">
        <f t="shared" si="3"/>
        <v>#VALUE!</v>
      </c>
      <c r="J38" s="650" t="e">
        <f t="shared" si="0"/>
        <v>#VALUE!</v>
      </c>
      <c r="K38" s="651" t="e">
        <f>+'[13]PPTO OBRA PLIEGO TIPO'!K45-J38</f>
        <v>#VALUE!</v>
      </c>
      <c r="L38" s="505"/>
      <c r="M38" s="505"/>
      <c r="N38" s="505"/>
      <c r="O38" s="505"/>
      <c r="P38" s="505"/>
      <c r="Q38" s="505"/>
      <c r="R38" s="505"/>
      <c r="S38" s="505"/>
      <c r="T38" s="505"/>
      <c r="U38" s="505"/>
      <c r="V38" s="505"/>
      <c r="W38" s="505"/>
      <c r="X38" s="505"/>
    </row>
    <row r="39" spans="1:24" s="506" customFormat="1" ht="15.6" x14ac:dyDescent="0.3">
      <c r="A39" s="509"/>
      <c r="B39" s="510"/>
      <c r="C39" s="511"/>
      <c r="D39" s="507"/>
      <c r="E39" s="731">
        <v>0.04</v>
      </c>
      <c r="F39" s="1028" t="s">
        <v>30</v>
      </c>
      <c r="G39" s="1029"/>
      <c r="H39" s="638">
        <f>ROUND(E39*$H$36,0)</f>
        <v>205891058</v>
      </c>
      <c r="I39" s="455" t="e">
        <f t="shared" si="3"/>
        <v>#VALUE!</v>
      </c>
      <c r="J39" s="650" t="e">
        <f t="shared" si="0"/>
        <v>#VALUE!</v>
      </c>
      <c r="K39" s="651" t="e">
        <f>+'[13]PPTO OBRA PLIEGO TIPO'!K46-J39</f>
        <v>#VALUE!</v>
      </c>
      <c r="L39" s="505"/>
      <c r="M39" s="505"/>
      <c r="N39" s="505"/>
      <c r="O39" s="505"/>
      <c r="P39" s="505"/>
      <c r="Q39" s="505"/>
      <c r="R39" s="505"/>
      <c r="S39" s="505"/>
      <c r="T39" s="505"/>
      <c r="U39" s="505"/>
      <c r="V39" s="505"/>
      <c r="W39" s="505"/>
      <c r="X39" s="505"/>
    </row>
    <row r="40" spans="1:24" s="506" customFormat="1" ht="18" x14ac:dyDescent="0.3">
      <c r="A40" s="1030" t="s">
        <v>295</v>
      </c>
      <c r="B40" s="1029"/>
      <c r="C40" s="1029"/>
      <c r="D40" s="1029"/>
      <c r="E40" s="1029"/>
      <c r="F40" s="1029"/>
      <c r="G40" s="1029"/>
      <c r="H40" s="639">
        <f>H36+H37+H38+H39</f>
        <v>6485568316</v>
      </c>
      <c r="I40" s="455">
        <f t="shared" si="3"/>
        <v>0</v>
      </c>
      <c r="J40" s="650">
        <f t="shared" si="0"/>
        <v>0</v>
      </c>
      <c r="K40" s="651">
        <f>+'[13]PPTO OBRA PLIEGO TIPO'!K47-J40</f>
        <v>134660999.90000001</v>
      </c>
      <c r="L40" s="505"/>
      <c r="M40" s="505"/>
      <c r="N40" s="505"/>
      <c r="O40" s="505"/>
      <c r="P40" s="505"/>
      <c r="Q40" s="505"/>
      <c r="R40" s="505"/>
      <c r="S40" s="505"/>
      <c r="T40" s="505"/>
      <c r="U40" s="505"/>
      <c r="V40" s="505"/>
      <c r="W40" s="505"/>
      <c r="X40" s="505"/>
    </row>
    <row r="41" spans="1:24" s="506" customFormat="1" ht="15.6" x14ac:dyDescent="0.3">
      <c r="A41" s="512"/>
      <c r="B41" s="512"/>
      <c r="C41" s="513"/>
      <c r="D41" s="514"/>
      <c r="E41" s="515"/>
      <c r="F41" s="516"/>
      <c r="G41" s="517"/>
      <c r="H41" s="516"/>
      <c r="I41" s="643"/>
      <c r="J41" s="640"/>
      <c r="K41" s="653"/>
      <c r="L41" s="505"/>
      <c r="M41" s="505"/>
      <c r="N41" s="505"/>
      <c r="O41" s="505"/>
      <c r="P41" s="505"/>
      <c r="Q41" s="505"/>
      <c r="R41" s="505"/>
      <c r="S41" s="505"/>
      <c r="T41" s="505"/>
      <c r="U41" s="505"/>
      <c r="V41" s="505"/>
      <c r="W41" s="505"/>
      <c r="X41" s="505"/>
    </row>
    <row r="42" spans="1:24" s="506" customFormat="1" ht="15.6" x14ac:dyDescent="0.3">
      <c r="A42" s="502" t="s">
        <v>869</v>
      </c>
      <c r="B42" s="1041" t="s">
        <v>853</v>
      </c>
      <c r="C42" s="1041"/>
      <c r="D42" s="1041"/>
      <c r="E42" s="1041"/>
      <c r="F42" s="1041"/>
      <c r="G42" s="1041"/>
      <c r="H42" s="503"/>
      <c r="I42" s="644"/>
      <c r="J42" s="504"/>
      <c r="K42" s="653"/>
      <c r="L42" s="505"/>
      <c r="M42" s="505"/>
      <c r="N42" s="505"/>
      <c r="O42" s="505"/>
      <c r="P42" s="505"/>
      <c r="Q42" s="505"/>
      <c r="R42" s="505"/>
      <c r="S42" s="505"/>
      <c r="T42" s="505"/>
      <c r="U42" s="505"/>
      <c r="V42" s="505"/>
      <c r="W42" s="505"/>
      <c r="X42" s="505"/>
    </row>
    <row r="43" spans="1:24" s="528" customFormat="1" ht="15.6" x14ac:dyDescent="0.3">
      <c r="A43" s="518" t="s">
        <v>864</v>
      </c>
      <c r="B43" s="519"/>
      <c r="C43" s="520" t="s">
        <v>310</v>
      </c>
      <c r="D43" s="521" t="s">
        <v>849</v>
      </c>
      <c r="E43" s="522">
        <v>1</v>
      </c>
      <c r="F43" s="523">
        <f>PPTO_PLANES!$H$10</f>
        <v>39665000</v>
      </c>
      <c r="G43" s="468">
        <f>ROUND(F43*E43,0)</f>
        <v>39665000</v>
      </c>
      <c r="H43" s="524"/>
      <c r="I43" s="525"/>
      <c r="J43" s="526"/>
      <c r="K43" s="654"/>
      <c r="L43" s="527"/>
      <c r="M43" s="527"/>
      <c r="N43" s="527"/>
      <c r="O43" s="527"/>
      <c r="P43" s="527"/>
      <c r="Q43" s="527"/>
      <c r="R43" s="527"/>
      <c r="S43" s="527"/>
      <c r="T43" s="527"/>
      <c r="U43" s="527"/>
      <c r="V43" s="527"/>
      <c r="W43" s="527"/>
      <c r="X43" s="527"/>
    </row>
    <row r="44" spans="1:24" s="528" customFormat="1" ht="15.6" x14ac:dyDescent="0.3">
      <c r="A44" s="518" t="s">
        <v>865</v>
      </c>
      <c r="B44" s="519"/>
      <c r="C44" s="520" t="s">
        <v>311</v>
      </c>
      <c r="D44" s="521" t="str">
        <f>+D43</f>
        <v>Und</v>
      </c>
      <c r="E44" s="522">
        <v>1</v>
      </c>
      <c r="F44" s="523">
        <f>PPTO_PLANES!$H$17</f>
        <v>67530080</v>
      </c>
      <c r="G44" s="468">
        <f>ROUND(F44*E44,0)</f>
        <v>67530080</v>
      </c>
      <c r="H44" s="524"/>
      <c r="I44" s="525"/>
      <c r="J44" s="526"/>
      <c r="K44" s="654"/>
      <c r="L44" s="527"/>
      <c r="M44" s="527"/>
      <c r="N44" s="527"/>
      <c r="O44" s="527"/>
      <c r="P44" s="527"/>
      <c r="Q44" s="527"/>
      <c r="R44" s="527"/>
      <c r="S44" s="527"/>
      <c r="T44" s="527"/>
      <c r="U44" s="527"/>
      <c r="V44" s="527"/>
      <c r="W44" s="527"/>
      <c r="X44" s="527"/>
    </row>
    <row r="45" spans="1:24" s="528" customFormat="1" ht="15.6" x14ac:dyDescent="0.3">
      <c r="A45" s="518" t="s">
        <v>866</v>
      </c>
      <c r="B45" s="519"/>
      <c r="C45" s="520" t="s">
        <v>312</v>
      </c>
      <c r="D45" s="521" t="str">
        <f t="shared" ref="D45:D47" si="9">+D44</f>
        <v>Und</v>
      </c>
      <c r="E45" s="522">
        <v>1</v>
      </c>
      <c r="F45" s="523">
        <f>PPTO_PLANES!$H$22</f>
        <v>34325000</v>
      </c>
      <c r="G45" s="468">
        <f>ROUND(F45*E45,0)</f>
        <v>34325000</v>
      </c>
      <c r="H45" s="524"/>
      <c r="I45" s="525"/>
      <c r="J45" s="526"/>
      <c r="K45" s="654"/>
      <c r="L45" s="527"/>
      <c r="M45" s="527"/>
      <c r="N45" s="527"/>
      <c r="O45" s="527"/>
      <c r="P45" s="527"/>
      <c r="Q45" s="527"/>
      <c r="R45" s="527"/>
      <c r="S45" s="527"/>
      <c r="T45" s="527"/>
      <c r="U45" s="527"/>
      <c r="V45" s="527"/>
      <c r="W45" s="527"/>
      <c r="X45" s="527"/>
    </row>
    <row r="46" spans="1:24" s="528" customFormat="1" ht="15.6" x14ac:dyDescent="0.3">
      <c r="A46" s="518" t="s">
        <v>867</v>
      </c>
      <c r="B46" s="519"/>
      <c r="C46" s="520" t="s">
        <v>315</v>
      </c>
      <c r="D46" s="521" t="str">
        <f t="shared" si="9"/>
        <v>Und</v>
      </c>
      <c r="E46" s="522">
        <v>1</v>
      </c>
      <c r="F46" s="523">
        <f>PPTO_PLANES!$H$27</f>
        <v>134660999.90000001</v>
      </c>
      <c r="G46" s="468">
        <f>ROUND(F46*E46,0)</f>
        <v>134661000</v>
      </c>
      <c r="H46" s="524"/>
      <c r="I46" s="525"/>
      <c r="J46" s="526"/>
      <c r="K46" s="654"/>
      <c r="L46" s="527"/>
      <c r="M46" s="527"/>
      <c r="N46" s="527"/>
      <c r="O46" s="527"/>
      <c r="P46" s="527"/>
      <c r="Q46" s="527"/>
      <c r="R46" s="527"/>
      <c r="S46" s="527"/>
      <c r="T46" s="527"/>
      <c r="U46" s="527"/>
      <c r="V46" s="527"/>
      <c r="W46" s="527"/>
      <c r="X46" s="527"/>
    </row>
    <row r="47" spans="1:24" s="528" customFormat="1" ht="15.6" x14ac:dyDescent="0.3">
      <c r="A47" s="518" t="s">
        <v>868</v>
      </c>
      <c r="B47" s="519"/>
      <c r="C47" s="520" t="s">
        <v>316</v>
      </c>
      <c r="D47" s="521" t="str">
        <f t="shared" si="9"/>
        <v>Und</v>
      </c>
      <c r="E47" s="522">
        <v>1</v>
      </c>
      <c r="F47" s="523">
        <f>PPTO_PLANES!$H$30</f>
        <v>41074600</v>
      </c>
      <c r="G47" s="468">
        <f>ROUND(F47*E47,0)</f>
        <v>41074600</v>
      </c>
      <c r="H47" s="524"/>
      <c r="I47" s="525"/>
      <c r="J47" s="526"/>
      <c r="K47" s="654"/>
      <c r="L47" s="527"/>
      <c r="M47" s="527"/>
      <c r="N47" s="527"/>
      <c r="O47" s="527"/>
      <c r="P47" s="527"/>
      <c r="Q47" s="527"/>
      <c r="R47" s="527"/>
      <c r="S47" s="527"/>
      <c r="T47" s="527"/>
      <c r="U47" s="527"/>
      <c r="V47" s="527"/>
      <c r="W47" s="527"/>
      <c r="X47" s="527"/>
    </row>
    <row r="48" spans="1:24" s="506" customFormat="1" ht="24" thickBot="1" x14ac:dyDescent="0.35">
      <c r="A48" s="529"/>
      <c r="B48" s="1031" t="s">
        <v>296</v>
      </c>
      <c r="C48" s="1032"/>
      <c r="D48" s="1032"/>
      <c r="E48" s="1032"/>
      <c r="F48" s="1032"/>
      <c r="G48" s="1032"/>
      <c r="H48" s="659">
        <f>SUM(G43:G47)</f>
        <v>317255680</v>
      </c>
      <c r="I48" s="647">
        <f>+H48</f>
        <v>317255680</v>
      </c>
      <c r="J48" s="504"/>
      <c r="K48" s="653"/>
      <c r="L48" s="505"/>
      <c r="M48" s="505"/>
      <c r="N48" s="505"/>
      <c r="O48" s="505"/>
      <c r="P48" s="505"/>
      <c r="Q48" s="505"/>
      <c r="R48" s="505"/>
      <c r="S48" s="505"/>
      <c r="T48" s="505"/>
      <c r="U48" s="505"/>
      <c r="V48" s="505"/>
      <c r="W48" s="505"/>
      <c r="X48" s="505"/>
    </row>
    <row r="49" spans="1:24" s="536" customFormat="1" ht="15.6" x14ac:dyDescent="0.3">
      <c r="A49" s="531"/>
      <c r="B49" s="532"/>
      <c r="C49" s="532"/>
      <c r="D49" s="532"/>
      <c r="E49" s="532"/>
      <c r="F49" s="532"/>
      <c r="G49" s="532"/>
      <c r="H49" s="533"/>
      <c r="I49" s="530"/>
      <c r="J49" s="534"/>
      <c r="K49" s="655"/>
      <c r="L49" s="535"/>
      <c r="M49" s="535"/>
      <c r="N49" s="535"/>
      <c r="O49" s="535"/>
      <c r="P49" s="535"/>
      <c r="Q49" s="535"/>
      <c r="R49" s="535"/>
      <c r="S49" s="535"/>
      <c r="T49" s="535"/>
      <c r="U49" s="535"/>
      <c r="V49" s="535"/>
      <c r="W49" s="535"/>
      <c r="X49" s="535"/>
    </row>
    <row r="50" spans="1:24" s="540" customFormat="1" ht="32.25" customHeight="1" x14ac:dyDescent="0.4">
      <c r="A50" s="1033" t="s">
        <v>317</v>
      </c>
      <c r="B50" s="1034"/>
      <c r="C50" s="1034"/>
      <c r="D50" s="1034"/>
      <c r="E50" s="1034"/>
      <c r="F50" s="1034"/>
      <c r="G50" s="1034"/>
      <c r="H50" s="641">
        <f>+H40+H48</f>
        <v>6802823996</v>
      </c>
      <c r="I50" s="537">
        <f>+I48+I35+I27++I22+I12</f>
        <v>6802823995.6600008</v>
      </c>
      <c r="J50" s="538">
        <f>+H50-I50</f>
        <v>0.33999919891357422</v>
      </c>
      <c r="K50" s="656"/>
      <c r="L50" s="539"/>
      <c r="M50" s="539"/>
      <c r="N50" s="539"/>
      <c r="O50" s="539"/>
      <c r="P50" s="539"/>
      <c r="Q50" s="539"/>
      <c r="R50" s="539"/>
      <c r="S50" s="539"/>
      <c r="T50" s="539"/>
      <c r="U50" s="539"/>
      <c r="V50" s="539"/>
      <c r="W50" s="539"/>
      <c r="X50" s="539"/>
    </row>
    <row r="51" spans="1:24" ht="15.6" x14ac:dyDescent="0.3">
      <c r="A51" s="541"/>
      <c r="B51" s="541"/>
      <c r="C51" s="541"/>
      <c r="D51" s="541"/>
      <c r="E51" s="541"/>
      <c r="F51" s="541"/>
      <c r="G51" s="542"/>
      <c r="H51" s="541"/>
      <c r="I51" s="530"/>
      <c r="J51" s="541"/>
      <c r="K51" s="657"/>
      <c r="L51" s="444"/>
      <c r="M51" s="444"/>
      <c r="N51" s="444"/>
      <c r="O51" s="444"/>
      <c r="P51" s="444"/>
      <c r="Q51" s="444"/>
      <c r="R51" s="444"/>
      <c r="S51" s="444"/>
      <c r="T51" s="444"/>
      <c r="U51" s="444"/>
      <c r="V51" s="444"/>
      <c r="W51" s="444"/>
      <c r="X51" s="444"/>
    </row>
    <row r="52" spans="1:24" ht="15.6" x14ac:dyDescent="0.3">
      <c r="A52" s="541"/>
      <c r="B52" s="541"/>
      <c r="C52" s="541"/>
      <c r="D52" s="541"/>
      <c r="E52" s="541"/>
      <c r="F52" s="541"/>
      <c r="G52" s="542"/>
      <c r="H52" s="541"/>
      <c r="I52" s="530"/>
      <c r="J52" s="541"/>
      <c r="K52" s="657"/>
      <c r="L52" s="444"/>
      <c r="M52" s="444"/>
      <c r="N52" s="444"/>
      <c r="O52" s="444"/>
      <c r="P52" s="444"/>
      <c r="Q52" s="444"/>
      <c r="R52" s="444"/>
      <c r="S52" s="444"/>
      <c r="T52" s="444"/>
      <c r="U52" s="444"/>
      <c r="V52" s="444"/>
      <c r="W52" s="444"/>
      <c r="X52" s="444"/>
    </row>
    <row r="53" spans="1:24" ht="15.6" x14ac:dyDescent="0.3">
      <c r="A53" s="541"/>
      <c r="B53" s="541"/>
      <c r="C53" s="541"/>
      <c r="D53" s="541"/>
      <c r="E53" s="541"/>
      <c r="F53" s="541"/>
      <c r="G53" s="542"/>
      <c r="H53" s="541"/>
      <c r="I53" s="530"/>
      <c r="J53" s="541"/>
      <c r="K53" s="657"/>
      <c r="L53" s="444"/>
      <c r="M53" s="444"/>
      <c r="N53" s="444"/>
      <c r="O53" s="444"/>
      <c r="P53" s="444"/>
      <c r="Q53" s="444"/>
      <c r="R53" s="444"/>
      <c r="S53" s="444"/>
      <c r="T53" s="444"/>
      <c r="U53" s="444"/>
      <c r="V53" s="444"/>
      <c r="W53" s="444"/>
      <c r="X53" s="444"/>
    </row>
    <row r="54" spans="1:24" ht="15.6" x14ac:dyDescent="0.3">
      <c r="A54" s="541"/>
      <c r="B54" s="541"/>
      <c r="C54" s="541"/>
      <c r="D54" s="541"/>
      <c r="E54" s="541"/>
      <c r="F54" s="541"/>
      <c r="G54" s="542"/>
      <c r="H54" s="541"/>
      <c r="I54" s="530"/>
      <c r="J54" s="541"/>
      <c r="K54" s="657"/>
      <c r="L54" s="444"/>
      <c r="M54" s="444"/>
      <c r="N54" s="444"/>
      <c r="O54" s="444"/>
      <c r="P54" s="444"/>
      <c r="Q54" s="444"/>
      <c r="R54" s="444"/>
      <c r="S54" s="444"/>
      <c r="T54" s="444"/>
      <c r="U54" s="444"/>
      <c r="V54" s="444"/>
      <c r="W54" s="444"/>
      <c r="X54" s="444"/>
    </row>
    <row r="55" spans="1:24" ht="15.6" x14ac:dyDescent="0.3">
      <c r="A55" s="541"/>
      <c r="B55" s="541"/>
      <c r="C55" s="541"/>
      <c r="D55" s="541"/>
      <c r="E55" s="541"/>
      <c r="F55" s="541"/>
      <c r="G55" s="542"/>
      <c r="H55" s="541"/>
      <c r="I55" s="530"/>
      <c r="J55" s="541"/>
      <c r="K55" s="657"/>
      <c r="L55" s="444"/>
      <c r="M55" s="444"/>
      <c r="N55" s="444"/>
      <c r="O55" s="444"/>
      <c r="P55" s="444"/>
      <c r="Q55" s="444"/>
      <c r="R55" s="444"/>
      <c r="S55" s="444"/>
      <c r="T55" s="444"/>
      <c r="U55" s="444"/>
      <c r="V55" s="444"/>
      <c r="W55" s="444"/>
      <c r="X55" s="444"/>
    </row>
    <row r="56" spans="1:24" ht="15.6" x14ac:dyDescent="0.3">
      <c r="A56" s="541"/>
      <c r="B56" s="541"/>
      <c r="C56" s="541"/>
      <c r="D56" s="541"/>
      <c r="E56" s="541"/>
      <c r="F56" s="541"/>
      <c r="G56" s="542"/>
      <c r="H56" s="541"/>
      <c r="I56" s="530"/>
      <c r="J56" s="541"/>
      <c r="K56" s="657"/>
      <c r="L56" s="444"/>
      <c r="M56" s="444"/>
      <c r="N56" s="444"/>
      <c r="O56" s="444"/>
      <c r="P56" s="444"/>
      <c r="Q56" s="444"/>
      <c r="R56" s="444"/>
      <c r="S56" s="444"/>
      <c r="T56" s="444"/>
      <c r="U56" s="444"/>
      <c r="V56" s="444"/>
      <c r="W56" s="444"/>
      <c r="X56" s="444"/>
    </row>
    <row r="57" spans="1:24" ht="15.6" x14ac:dyDescent="0.3">
      <c r="A57" s="541"/>
      <c r="B57" s="541"/>
      <c r="C57" s="541"/>
      <c r="D57" s="541"/>
      <c r="E57" s="541"/>
      <c r="F57" s="541"/>
      <c r="G57" s="542"/>
      <c r="H57" s="541"/>
      <c r="I57" s="645"/>
      <c r="J57" s="541"/>
      <c r="K57" s="657"/>
      <c r="L57" s="444"/>
      <c r="M57" s="444"/>
      <c r="N57" s="444"/>
      <c r="O57" s="444"/>
      <c r="P57" s="444"/>
      <c r="Q57" s="444"/>
      <c r="R57" s="444"/>
      <c r="S57" s="444"/>
      <c r="T57" s="444"/>
      <c r="U57" s="444"/>
      <c r="V57" s="444"/>
      <c r="W57" s="444"/>
      <c r="X57" s="444"/>
    </row>
    <row r="58" spans="1:24" ht="15.6" x14ac:dyDescent="0.3">
      <c r="A58" s="541"/>
      <c r="B58" s="541"/>
      <c r="C58" s="541"/>
      <c r="D58" s="541"/>
      <c r="E58" s="541"/>
      <c r="F58" s="541"/>
      <c r="G58" s="542"/>
      <c r="H58" s="541"/>
      <c r="I58" s="645"/>
      <c r="J58" s="541"/>
      <c r="K58" s="657"/>
      <c r="L58" s="444"/>
      <c r="M58" s="444"/>
      <c r="N58" s="444"/>
      <c r="O58" s="444"/>
      <c r="P58" s="444"/>
      <c r="Q58" s="444"/>
      <c r="R58" s="444"/>
      <c r="S58" s="444"/>
      <c r="T58" s="444"/>
      <c r="U58" s="444"/>
      <c r="V58" s="444"/>
      <c r="W58" s="444"/>
      <c r="X58" s="444"/>
    </row>
    <row r="59" spans="1:24" ht="15.6" x14ac:dyDescent="0.3">
      <c r="A59" s="541"/>
      <c r="B59" s="541"/>
      <c r="C59" s="541"/>
      <c r="D59" s="541"/>
      <c r="E59" s="541"/>
      <c r="F59" s="541"/>
      <c r="G59" s="542"/>
      <c r="H59" s="541"/>
      <c r="I59" s="645"/>
      <c r="J59" s="541"/>
      <c r="K59" s="657"/>
      <c r="L59" s="444"/>
      <c r="M59" s="444"/>
      <c r="N59" s="444"/>
      <c r="O59" s="444"/>
      <c r="P59" s="444"/>
      <c r="Q59" s="444"/>
      <c r="R59" s="444"/>
      <c r="S59" s="444"/>
      <c r="T59" s="444"/>
      <c r="U59" s="444"/>
      <c r="V59" s="444"/>
      <c r="W59" s="444"/>
      <c r="X59" s="444"/>
    </row>
    <row r="60" spans="1:24" ht="15.6" x14ac:dyDescent="0.3">
      <c r="A60" s="541"/>
      <c r="B60" s="541"/>
      <c r="C60" s="541"/>
      <c r="D60" s="541"/>
      <c r="E60" s="541"/>
      <c r="F60" s="541"/>
      <c r="G60" s="542"/>
      <c r="H60" s="541"/>
      <c r="I60" s="645"/>
      <c r="J60" s="541"/>
      <c r="K60" s="657"/>
      <c r="L60" s="444"/>
      <c r="M60" s="444"/>
      <c r="N60" s="444"/>
      <c r="O60" s="444"/>
      <c r="P60" s="444"/>
      <c r="Q60" s="444"/>
      <c r="R60" s="444"/>
      <c r="S60" s="444"/>
      <c r="T60" s="444"/>
      <c r="U60" s="444"/>
      <c r="V60" s="444"/>
      <c r="W60" s="444"/>
      <c r="X60" s="444"/>
    </row>
    <row r="61" spans="1:24" ht="15.6" x14ac:dyDescent="0.3">
      <c r="A61" s="541"/>
      <c r="B61" s="541"/>
      <c r="C61" s="541"/>
      <c r="D61" s="541"/>
      <c r="E61" s="541"/>
      <c r="F61" s="541"/>
      <c r="G61" s="542"/>
      <c r="H61" s="541"/>
      <c r="I61" s="645"/>
      <c r="J61" s="541"/>
      <c r="K61" s="657"/>
      <c r="L61" s="444"/>
      <c r="M61" s="444"/>
      <c r="N61" s="444"/>
      <c r="O61" s="444"/>
      <c r="P61" s="444"/>
      <c r="Q61" s="444"/>
      <c r="R61" s="444"/>
      <c r="S61" s="444"/>
      <c r="T61" s="444"/>
      <c r="U61" s="444"/>
      <c r="V61" s="444"/>
      <c r="W61" s="444"/>
      <c r="X61" s="444"/>
    </row>
    <row r="62" spans="1:24" ht="15.6" x14ac:dyDescent="0.3">
      <c r="A62" s="541"/>
      <c r="B62" s="541"/>
      <c r="C62" s="541"/>
      <c r="D62" s="541"/>
      <c r="E62" s="541"/>
      <c r="F62" s="541"/>
      <c r="G62" s="542"/>
      <c r="H62" s="541"/>
      <c r="I62" s="648">
        <v>0.21304895910989996</v>
      </c>
      <c r="J62" s="541"/>
      <c r="K62" s="657"/>
      <c r="L62" s="444"/>
      <c r="M62" s="444"/>
      <c r="N62" s="444"/>
      <c r="O62" s="444"/>
      <c r="P62" s="444"/>
      <c r="Q62" s="444"/>
      <c r="R62" s="444"/>
      <c r="S62" s="444"/>
      <c r="T62" s="444"/>
      <c r="U62" s="444"/>
      <c r="V62" s="444"/>
      <c r="W62" s="444"/>
      <c r="X62" s="444"/>
    </row>
    <row r="63" spans="1:24" ht="15.6" x14ac:dyDescent="0.3">
      <c r="A63" s="541"/>
      <c r="B63" s="541"/>
      <c r="C63" s="541"/>
      <c r="D63" s="541"/>
      <c r="E63" s="541"/>
      <c r="F63" s="541"/>
      <c r="G63" s="542"/>
      <c r="H63" s="541"/>
      <c r="I63" s="648">
        <v>0.01</v>
      </c>
      <c r="J63" s="541"/>
      <c r="K63" s="657"/>
      <c r="L63" s="444"/>
      <c r="M63" s="444"/>
      <c r="N63" s="444"/>
      <c r="O63" s="444"/>
      <c r="P63" s="444"/>
      <c r="Q63" s="444"/>
      <c r="R63" s="444"/>
      <c r="S63" s="444"/>
      <c r="T63" s="444"/>
      <c r="U63" s="444"/>
      <c r="V63" s="444"/>
      <c r="W63" s="444"/>
      <c r="X63" s="444"/>
    </row>
    <row r="64" spans="1:24" ht="15.6" x14ac:dyDescent="0.3">
      <c r="A64" s="541"/>
      <c r="B64" s="541"/>
      <c r="C64" s="541"/>
      <c r="D64" s="541"/>
      <c r="E64" s="541"/>
      <c r="F64" s="541"/>
      <c r="G64" s="542"/>
      <c r="H64" s="541"/>
      <c r="I64" s="648">
        <v>0.04</v>
      </c>
      <c r="J64" s="541"/>
      <c r="K64" s="657"/>
      <c r="L64" s="444"/>
      <c r="M64" s="444"/>
      <c r="N64" s="444"/>
      <c r="O64" s="444"/>
      <c r="P64" s="444"/>
      <c r="Q64" s="444"/>
      <c r="R64" s="444"/>
      <c r="S64" s="444"/>
      <c r="T64" s="444"/>
      <c r="U64" s="444"/>
      <c r="V64" s="444"/>
      <c r="W64" s="444"/>
      <c r="X64" s="444"/>
    </row>
    <row r="65" spans="1:24" ht="15.6" x14ac:dyDescent="0.3">
      <c r="A65" s="541"/>
      <c r="B65" s="541"/>
      <c r="C65" s="541"/>
      <c r="D65" s="541"/>
      <c r="E65" s="541"/>
      <c r="F65" s="541"/>
      <c r="G65" s="542"/>
      <c r="H65" s="541"/>
      <c r="I65" s="649">
        <v>0.2630489591099</v>
      </c>
      <c r="J65" s="541"/>
      <c r="K65" s="657"/>
      <c r="L65" s="444"/>
      <c r="M65" s="444"/>
      <c r="N65" s="444"/>
      <c r="O65" s="444"/>
      <c r="P65" s="444"/>
      <c r="Q65" s="444"/>
      <c r="R65" s="444"/>
      <c r="S65" s="444"/>
      <c r="T65" s="444"/>
      <c r="U65" s="444"/>
      <c r="V65" s="444"/>
      <c r="W65" s="444"/>
      <c r="X65" s="444"/>
    </row>
    <row r="66" spans="1:24" ht="15.6" x14ac:dyDescent="0.3">
      <c r="A66" s="541"/>
      <c r="B66" s="541"/>
      <c r="C66" s="541"/>
      <c r="D66" s="541"/>
      <c r="E66" s="541"/>
      <c r="F66" s="541"/>
      <c r="G66" s="542"/>
      <c r="H66" s="541"/>
      <c r="I66" s="645"/>
      <c r="J66" s="541"/>
      <c r="K66" s="657"/>
      <c r="L66" s="444"/>
      <c r="M66" s="444"/>
      <c r="N66" s="444"/>
      <c r="O66" s="444"/>
      <c r="P66" s="444"/>
      <c r="Q66" s="444"/>
      <c r="R66" s="444"/>
      <c r="S66" s="444"/>
      <c r="T66" s="444"/>
      <c r="U66" s="444"/>
      <c r="V66" s="444"/>
      <c r="W66" s="444"/>
      <c r="X66" s="444"/>
    </row>
    <row r="67" spans="1:24" ht="15.6" x14ac:dyDescent="0.3">
      <c r="A67" s="438"/>
      <c r="B67" s="439"/>
      <c r="C67" s="440"/>
      <c r="D67" s="441"/>
      <c r="E67" s="441"/>
      <c r="F67" s="442"/>
      <c r="G67" s="443"/>
      <c r="H67" s="442"/>
      <c r="I67" s="645"/>
      <c r="J67" s="541"/>
      <c r="K67" s="652"/>
      <c r="L67" s="444"/>
      <c r="M67" s="444"/>
      <c r="N67" s="444"/>
      <c r="O67" s="444"/>
      <c r="P67" s="444"/>
      <c r="Q67" s="444"/>
      <c r="R67" s="444"/>
      <c r="S67" s="444"/>
      <c r="T67" s="444"/>
      <c r="U67" s="444"/>
      <c r="V67" s="444"/>
      <c r="W67" s="444"/>
      <c r="X67" s="444"/>
    </row>
    <row r="68" spans="1:24" ht="15.6" x14ac:dyDescent="0.3">
      <c r="A68" s="438"/>
      <c r="B68" s="439"/>
      <c r="C68" s="440"/>
      <c r="D68" s="441"/>
      <c r="E68" s="441"/>
      <c r="F68" s="442"/>
      <c r="G68" s="443"/>
      <c r="H68" s="442"/>
      <c r="I68" s="645"/>
      <c r="J68" s="541"/>
      <c r="K68" s="652"/>
      <c r="L68" s="444"/>
      <c r="M68" s="444"/>
      <c r="N68" s="444"/>
      <c r="O68" s="444"/>
      <c r="P68" s="444"/>
      <c r="Q68" s="444"/>
      <c r="R68" s="444"/>
      <c r="S68" s="444"/>
      <c r="T68" s="444"/>
      <c r="U68" s="444"/>
      <c r="V68" s="444"/>
      <c r="W68" s="444"/>
      <c r="X68" s="444"/>
    </row>
    <row r="69" spans="1:24" ht="15.6" x14ac:dyDescent="0.3">
      <c r="A69" s="438"/>
      <c r="B69" s="439"/>
      <c r="C69" s="440"/>
      <c r="D69" s="441"/>
      <c r="E69" s="441"/>
      <c r="F69" s="442"/>
      <c r="G69" s="443"/>
      <c r="H69" s="442"/>
      <c r="I69" s="645"/>
      <c r="J69" s="541"/>
      <c r="K69" s="652"/>
      <c r="L69" s="444"/>
      <c r="M69" s="444"/>
      <c r="N69" s="444"/>
      <c r="O69" s="444"/>
      <c r="P69" s="444"/>
      <c r="Q69" s="444"/>
      <c r="R69" s="444"/>
      <c r="S69" s="444"/>
      <c r="T69" s="444"/>
      <c r="U69" s="444"/>
      <c r="V69" s="444"/>
      <c r="W69" s="444"/>
      <c r="X69" s="444"/>
    </row>
    <row r="70" spans="1:24" ht="15.6" x14ac:dyDescent="0.3">
      <c r="A70" s="438"/>
      <c r="B70" s="439"/>
      <c r="C70" s="440"/>
      <c r="D70" s="441"/>
      <c r="E70" s="441"/>
      <c r="F70" s="442"/>
      <c r="G70" s="443"/>
      <c r="H70" s="442"/>
      <c r="I70" s="645"/>
      <c r="J70" s="541"/>
      <c r="K70" s="652"/>
      <c r="L70" s="444"/>
      <c r="M70" s="444"/>
      <c r="N70" s="444"/>
      <c r="O70" s="444"/>
      <c r="P70" s="444"/>
      <c r="Q70" s="444"/>
      <c r="R70" s="444"/>
      <c r="S70" s="444"/>
      <c r="T70" s="444"/>
      <c r="U70" s="444"/>
      <c r="V70" s="444"/>
      <c r="W70" s="444"/>
      <c r="X70" s="444"/>
    </row>
    <row r="71" spans="1:24" ht="15.6" x14ac:dyDescent="0.3">
      <c r="A71" s="438"/>
      <c r="B71" s="439"/>
      <c r="C71" s="440"/>
      <c r="D71" s="441"/>
      <c r="E71" s="441"/>
      <c r="F71" s="442"/>
      <c r="G71" s="443"/>
      <c r="H71" s="442"/>
      <c r="I71" s="645"/>
      <c r="J71" s="541"/>
      <c r="K71" s="652"/>
      <c r="L71" s="444"/>
      <c r="M71" s="444"/>
      <c r="N71" s="444"/>
      <c r="O71" s="444"/>
      <c r="P71" s="444"/>
      <c r="Q71" s="444"/>
      <c r="R71" s="444"/>
      <c r="S71" s="444"/>
      <c r="T71" s="444"/>
      <c r="U71" s="444"/>
      <c r="V71" s="444"/>
      <c r="W71" s="444"/>
      <c r="X71" s="444"/>
    </row>
    <row r="72" spans="1:24" ht="15.6" x14ac:dyDescent="0.3">
      <c r="A72" s="438"/>
      <c r="B72" s="439"/>
      <c r="C72" s="440"/>
      <c r="D72" s="441"/>
      <c r="E72" s="441"/>
      <c r="F72" s="442"/>
      <c r="G72" s="443"/>
      <c r="H72" s="442"/>
      <c r="I72" s="645"/>
      <c r="J72" s="541"/>
      <c r="K72" s="652"/>
      <c r="L72" s="444"/>
      <c r="M72" s="444"/>
      <c r="N72" s="444"/>
      <c r="O72" s="444"/>
      <c r="P72" s="444"/>
      <c r="Q72" s="444"/>
      <c r="R72" s="444"/>
      <c r="S72" s="444"/>
      <c r="T72" s="444"/>
      <c r="U72" s="444"/>
      <c r="V72" s="444"/>
      <c r="W72" s="444"/>
      <c r="X72" s="444"/>
    </row>
    <row r="73" spans="1:24" ht="15.6" x14ac:dyDescent="0.3">
      <c r="A73" s="438"/>
      <c r="B73" s="439"/>
      <c r="C73" s="440"/>
      <c r="D73" s="441"/>
      <c r="E73" s="441"/>
      <c r="F73" s="442"/>
      <c r="G73" s="443"/>
      <c r="H73" s="442"/>
      <c r="I73" s="455"/>
      <c r="J73" s="444"/>
      <c r="K73" s="652"/>
      <c r="L73" s="444"/>
      <c r="M73" s="444"/>
      <c r="N73" s="444"/>
      <c r="O73" s="444"/>
      <c r="P73" s="444"/>
      <c r="Q73" s="444"/>
      <c r="R73" s="444"/>
      <c r="S73" s="444"/>
      <c r="T73" s="444"/>
      <c r="U73" s="444"/>
      <c r="V73" s="444"/>
      <c r="W73" s="444"/>
      <c r="X73" s="444"/>
    </row>
    <row r="74" spans="1:24" ht="15.6" x14ac:dyDescent="0.3">
      <c r="A74" s="438"/>
      <c r="B74" s="439"/>
      <c r="C74" s="440"/>
      <c r="D74" s="441"/>
      <c r="E74" s="441"/>
      <c r="F74" s="442"/>
      <c r="G74" s="443"/>
      <c r="H74" s="442"/>
      <c r="I74" s="455"/>
      <c r="J74" s="444"/>
      <c r="K74" s="652"/>
      <c r="L74" s="444"/>
      <c r="M74" s="444"/>
      <c r="N74" s="444"/>
      <c r="O74" s="444"/>
      <c r="P74" s="444"/>
      <c r="Q74" s="444"/>
      <c r="R74" s="444"/>
      <c r="S74" s="444"/>
      <c r="T74" s="444"/>
      <c r="U74" s="444"/>
      <c r="V74" s="444"/>
      <c r="W74" s="444"/>
      <c r="X74" s="444"/>
    </row>
    <row r="75" spans="1:24" ht="15.6" x14ac:dyDescent="0.3">
      <c r="A75" s="438"/>
      <c r="B75" s="439"/>
      <c r="C75" s="440"/>
      <c r="D75" s="441"/>
      <c r="E75" s="441"/>
      <c r="F75" s="442"/>
      <c r="G75" s="443"/>
      <c r="H75" s="442"/>
      <c r="I75" s="455"/>
      <c r="J75" s="444"/>
      <c r="K75" s="652"/>
      <c r="L75" s="444"/>
      <c r="M75" s="444"/>
      <c r="N75" s="444"/>
      <c r="O75" s="444"/>
      <c r="P75" s="444"/>
      <c r="Q75" s="444"/>
      <c r="R75" s="444"/>
      <c r="S75" s="444"/>
      <c r="T75" s="444"/>
      <c r="U75" s="444"/>
      <c r="V75" s="444"/>
      <c r="W75" s="444"/>
      <c r="X75" s="444"/>
    </row>
    <row r="76" spans="1:24" ht="15.6" x14ac:dyDescent="0.3">
      <c r="A76" s="438"/>
      <c r="B76" s="439"/>
      <c r="C76" s="440"/>
      <c r="D76" s="441"/>
      <c r="E76" s="441"/>
      <c r="F76" s="442"/>
      <c r="G76" s="443"/>
      <c r="H76" s="442"/>
      <c r="I76" s="455"/>
      <c r="J76" s="444"/>
      <c r="K76" s="652"/>
      <c r="L76" s="444"/>
      <c r="M76" s="444"/>
      <c r="N76" s="444"/>
      <c r="O76" s="444"/>
      <c r="P76" s="444"/>
      <c r="Q76" s="444"/>
      <c r="R76" s="444"/>
      <c r="S76" s="444"/>
      <c r="T76" s="444"/>
      <c r="U76" s="444"/>
      <c r="V76" s="444"/>
      <c r="W76" s="444"/>
      <c r="X76" s="444"/>
    </row>
    <row r="77" spans="1:24" ht="15.6" x14ac:dyDescent="0.3">
      <c r="A77" s="438"/>
      <c r="B77" s="439"/>
      <c r="C77" s="440"/>
      <c r="D77" s="441"/>
      <c r="E77" s="441"/>
      <c r="F77" s="442"/>
      <c r="G77" s="443"/>
      <c r="H77" s="442"/>
      <c r="I77" s="455"/>
      <c r="J77" s="444"/>
      <c r="K77" s="652"/>
      <c r="L77" s="444"/>
      <c r="M77" s="444"/>
      <c r="N77" s="444"/>
      <c r="O77" s="444"/>
      <c r="P77" s="444"/>
      <c r="Q77" s="444"/>
      <c r="R77" s="444"/>
      <c r="S77" s="444"/>
      <c r="T77" s="444"/>
      <c r="U77" s="444"/>
      <c r="V77" s="444"/>
      <c r="W77" s="444"/>
      <c r="X77" s="444"/>
    </row>
    <row r="78" spans="1:24" ht="15.6" x14ac:dyDescent="0.3">
      <c r="A78" s="438"/>
      <c r="B78" s="439"/>
      <c r="C78" s="440"/>
      <c r="D78" s="441"/>
      <c r="E78" s="441"/>
      <c r="F78" s="442"/>
      <c r="G78" s="443"/>
      <c r="H78" s="442"/>
      <c r="I78" s="455"/>
      <c r="J78" s="444"/>
      <c r="K78" s="652"/>
      <c r="L78" s="444"/>
      <c r="M78" s="444"/>
      <c r="N78" s="444"/>
      <c r="O78" s="444"/>
      <c r="P78" s="444"/>
      <c r="Q78" s="444"/>
      <c r="R78" s="444"/>
      <c r="S78" s="444"/>
      <c r="T78" s="444"/>
      <c r="U78" s="444"/>
      <c r="V78" s="444"/>
      <c r="W78" s="444"/>
      <c r="X78" s="444"/>
    </row>
    <row r="79" spans="1:24" ht="15.6" x14ac:dyDescent="0.3">
      <c r="A79" s="438"/>
      <c r="B79" s="439"/>
      <c r="C79" s="440"/>
      <c r="D79" s="441"/>
      <c r="E79" s="441"/>
      <c r="F79" s="442"/>
      <c r="G79" s="443"/>
      <c r="H79" s="442"/>
      <c r="I79" s="455"/>
      <c r="J79" s="444"/>
      <c r="K79" s="652"/>
      <c r="L79" s="444"/>
      <c r="M79" s="444"/>
      <c r="N79" s="444"/>
      <c r="O79" s="444"/>
      <c r="P79" s="444"/>
      <c r="Q79" s="444"/>
      <c r="R79" s="444"/>
      <c r="S79" s="444"/>
      <c r="T79" s="444"/>
      <c r="U79" s="444"/>
      <c r="V79" s="444"/>
      <c r="W79" s="444"/>
      <c r="X79" s="444"/>
    </row>
    <row r="80" spans="1:24" ht="15.6" x14ac:dyDescent="0.3">
      <c r="A80" s="438"/>
      <c r="B80" s="439"/>
      <c r="C80" s="440"/>
      <c r="D80" s="441"/>
      <c r="E80" s="441"/>
      <c r="F80" s="442"/>
      <c r="G80" s="443"/>
      <c r="H80" s="442"/>
      <c r="I80" s="455"/>
      <c r="J80" s="444"/>
      <c r="K80" s="652"/>
      <c r="L80" s="444"/>
      <c r="M80" s="444"/>
      <c r="N80" s="444"/>
      <c r="O80" s="444"/>
      <c r="P80" s="444"/>
      <c r="Q80" s="444"/>
      <c r="R80" s="444"/>
      <c r="S80" s="444"/>
      <c r="T80" s="444"/>
      <c r="U80" s="444"/>
      <c r="V80" s="444"/>
      <c r="W80" s="444"/>
      <c r="X80" s="444"/>
    </row>
    <row r="81" spans="1:24" ht="15.6" x14ac:dyDescent="0.3">
      <c r="A81" s="438"/>
      <c r="B81" s="439"/>
      <c r="C81" s="440"/>
      <c r="D81" s="441"/>
      <c r="E81" s="441"/>
      <c r="F81" s="442"/>
      <c r="G81" s="443"/>
      <c r="H81" s="442"/>
      <c r="I81" s="455"/>
      <c r="J81" s="444"/>
      <c r="K81" s="652"/>
      <c r="L81" s="444"/>
      <c r="M81" s="444"/>
      <c r="N81" s="444"/>
      <c r="O81" s="444"/>
      <c r="P81" s="444"/>
      <c r="Q81" s="444"/>
      <c r="R81" s="444"/>
      <c r="S81" s="444"/>
      <c r="T81" s="444"/>
      <c r="U81" s="444"/>
      <c r="V81" s="444"/>
      <c r="W81" s="444"/>
      <c r="X81" s="444"/>
    </row>
    <row r="82" spans="1:24" ht="15.6" x14ac:dyDescent="0.3">
      <c r="A82" s="438"/>
      <c r="B82" s="439"/>
      <c r="C82" s="440"/>
      <c r="D82" s="441"/>
      <c r="E82" s="441"/>
      <c r="F82" s="442"/>
      <c r="G82" s="443"/>
      <c r="H82" s="442"/>
      <c r="I82" s="455"/>
      <c r="J82" s="444"/>
      <c r="K82" s="652"/>
      <c r="L82" s="444"/>
      <c r="M82" s="444"/>
      <c r="N82" s="444"/>
      <c r="O82" s="444"/>
      <c r="P82" s="444"/>
      <c r="Q82" s="444"/>
      <c r="R82" s="444"/>
      <c r="S82" s="444"/>
      <c r="T82" s="444"/>
      <c r="U82" s="444"/>
      <c r="V82" s="444"/>
      <c r="W82" s="444"/>
      <c r="X82" s="444"/>
    </row>
    <row r="83" spans="1:24" ht="15.6" x14ac:dyDescent="0.3">
      <c r="A83" s="438"/>
      <c r="B83" s="439"/>
      <c r="C83" s="440"/>
      <c r="D83" s="441"/>
      <c r="E83" s="441"/>
      <c r="F83" s="442"/>
      <c r="G83" s="443"/>
      <c r="H83" s="442"/>
      <c r="I83" s="455"/>
      <c r="J83" s="444"/>
      <c r="K83" s="652"/>
      <c r="L83" s="444"/>
      <c r="M83" s="444"/>
      <c r="N83" s="444"/>
      <c r="O83" s="444"/>
      <c r="P83" s="444"/>
      <c r="Q83" s="444"/>
      <c r="R83" s="444"/>
      <c r="S83" s="444"/>
      <c r="T83" s="444"/>
      <c r="U83" s="444"/>
      <c r="V83" s="444"/>
      <c r="W83" s="444"/>
      <c r="X83" s="444"/>
    </row>
    <row r="84" spans="1:24" ht="15.6" x14ac:dyDescent="0.3">
      <c r="A84" s="438"/>
      <c r="B84" s="439"/>
      <c r="C84" s="440"/>
      <c r="D84" s="441"/>
      <c r="E84" s="441"/>
      <c r="F84" s="442"/>
      <c r="G84" s="443"/>
      <c r="H84" s="442"/>
      <c r="I84" s="455"/>
      <c r="J84" s="444"/>
      <c r="K84" s="652"/>
      <c r="L84" s="444"/>
      <c r="M84" s="444"/>
      <c r="N84" s="444"/>
      <c r="O84" s="444"/>
      <c r="P84" s="444"/>
      <c r="Q84" s="444"/>
      <c r="R84" s="444"/>
      <c r="S84" s="444"/>
      <c r="T84" s="444"/>
      <c r="U84" s="444"/>
      <c r="V84" s="444"/>
      <c r="W84" s="444"/>
      <c r="X84" s="444"/>
    </row>
    <row r="85" spans="1:24" ht="15.6" x14ac:dyDescent="0.3">
      <c r="A85" s="438"/>
      <c r="B85" s="439"/>
      <c r="C85" s="440"/>
      <c r="D85" s="441"/>
      <c r="E85" s="441"/>
      <c r="F85" s="442"/>
      <c r="G85" s="443"/>
      <c r="H85" s="442"/>
      <c r="I85" s="455"/>
      <c r="J85" s="444"/>
      <c r="K85" s="652"/>
      <c r="L85" s="444"/>
      <c r="M85" s="444"/>
      <c r="N85" s="444"/>
      <c r="O85" s="444"/>
      <c r="P85" s="444"/>
      <c r="Q85" s="444"/>
      <c r="R85" s="444"/>
      <c r="S85" s="444"/>
      <c r="T85" s="444"/>
      <c r="U85" s="444"/>
      <c r="V85" s="444"/>
      <c r="W85" s="444"/>
      <c r="X85" s="444"/>
    </row>
    <row r="86" spans="1:24" ht="15.6" x14ac:dyDescent="0.3">
      <c r="A86" s="438"/>
      <c r="B86" s="439"/>
      <c r="C86" s="440"/>
      <c r="D86" s="441"/>
      <c r="E86" s="441"/>
      <c r="F86" s="442"/>
      <c r="G86" s="443"/>
      <c r="H86" s="442"/>
      <c r="I86" s="455"/>
      <c r="J86" s="444"/>
      <c r="K86" s="652"/>
      <c r="L86" s="444"/>
      <c r="M86" s="444"/>
      <c r="N86" s="444"/>
      <c r="O86" s="444"/>
      <c r="P86" s="444"/>
      <c r="Q86" s="444"/>
      <c r="R86" s="444"/>
      <c r="S86" s="444"/>
      <c r="T86" s="444"/>
      <c r="U86" s="444"/>
      <c r="V86" s="444"/>
      <c r="W86" s="444"/>
      <c r="X86" s="444"/>
    </row>
    <row r="87" spans="1:24" ht="15.6" x14ac:dyDescent="0.3">
      <c r="A87" s="438"/>
      <c r="B87" s="439"/>
      <c r="C87" s="440"/>
      <c r="D87" s="441"/>
      <c r="E87" s="441"/>
      <c r="F87" s="442"/>
      <c r="G87" s="443"/>
      <c r="H87" s="442"/>
      <c r="I87" s="455"/>
      <c r="J87" s="444"/>
      <c r="K87" s="652"/>
      <c r="L87" s="444"/>
      <c r="M87" s="444"/>
      <c r="N87" s="444"/>
      <c r="O87" s="444"/>
      <c r="P87" s="444"/>
      <c r="Q87" s="444"/>
      <c r="R87" s="444"/>
      <c r="S87" s="444"/>
      <c r="T87" s="444"/>
      <c r="U87" s="444"/>
      <c r="V87" s="444"/>
      <c r="W87" s="444"/>
      <c r="X87" s="444"/>
    </row>
    <row r="88" spans="1:24" ht="15.6" x14ac:dyDescent="0.3">
      <c r="A88" s="438"/>
      <c r="B88" s="439"/>
      <c r="C88" s="440"/>
      <c r="D88" s="441"/>
      <c r="E88" s="441"/>
      <c r="F88" s="442"/>
      <c r="G88" s="443"/>
      <c r="H88" s="442"/>
      <c r="I88" s="455"/>
      <c r="J88" s="444"/>
      <c r="K88" s="652"/>
      <c r="L88" s="444"/>
      <c r="M88" s="444"/>
      <c r="N88" s="444"/>
      <c r="O88" s="444"/>
      <c r="P88" s="444"/>
      <c r="Q88" s="444"/>
      <c r="R88" s="444"/>
      <c r="S88" s="444"/>
      <c r="T88" s="444"/>
      <c r="U88" s="444"/>
      <c r="V88" s="444"/>
      <c r="W88" s="444"/>
      <c r="X88" s="444"/>
    </row>
    <row r="89" spans="1:24" ht="15.6" x14ac:dyDescent="0.3">
      <c r="A89" s="438"/>
      <c r="B89" s="439"/>
      <c r="C89" s="440"/>
      <c r="D89" s="441"/>
      <c r="E89" s="441"/>
      <c r="F89" s="442"/>
      <c r="G89" s="443"/>
      <c r="H89" s="442"/>
      <c r="I89" s="455"/>
      <c r="J89" s="444"/>
      <c r="K89" s="652"/>
      <c r="L89" s="444"/>
      <c r="M89" s="444"/>
      <c r="N89" s="444"/>
      <c r="O89" s="444"/>
      <c r="P89" s="444"/>
      <c r="Q89" s="444"/>
      <c r="R89" s="444"/>
      <c r="S89" s="444"/>
      <c r="T89" s="444"/>
      <c r="U89" s="444"/>
      <c r="V89" s="444"/>
      <c r="W89" s="444"/>
      <c r="X89" s="444"/>
    </row>
    <row r="90" spans="1:24" ht="15.6" x14ac:dyDescent="0.3">
      <c r="A90" s="438"/>
      <c r="B90" s="439"/>
      <c r="C90" s="440"/>
      <c r="D90" s="441"/>
      <c r="E90" s="441"/>
      <c r="F90" s="442"/>
      <c r="G90" s="443"/>
      <c r="H90" s="442"/>
      <c r="I90" s="455"/>
      <c r="J90" s="444"/>
      <c r="K90" s="652"/>
      <c r="L90" s="444"/>
      <c r="M90" s="444"/>
      <c r="N90" s="444"/>
      <c r="O90" s="444"/>
      <c r="P90" s="444"/>
      <c r="Q90" s="444"/>
      <c r="R90" s="444"/>
      <c r="S90" s="444"/>
      <c r="T90" s="444"/>
      <c r="U90" s="444"/>
      <c r="V90" s="444"/>
      <c r="W90" s="444"/>
      <c r="X90" s="444"/>
    </row>
    <row r="91" spans="1:24" ht="15.6" x14ac:dyDescent="0.3">
      <c r="A91" s="438"/>
      <c r="B91" s="439"/>
      <c r="C91" s="440"/>
      <c r="D91" s="441"/>
      <c r="E91" s="441"/>
      <c r="F91" s="442"/>
      <c r="G91" s="443"/>
      <c r="H91" s="442"/>
      <c r="I91" s="455"/>
      <c r="J91" s="444"/>
      <c r="K91" s="652"/>
      <c r="L91" s="444"/>
      <c r="M91" s="444"/>
      <c r="N91" s="444"/>
      <c r="O91" s="444"/>
      <c r="P91" s="444"/>
      <c r="Q91" s="444"/>
      <c r="R91" s="444"/>
      <c r="S91" s="444"/>
      <c r="T91" s="444"/>
      <c r="U91" s="444"/>
      <c r="V91" s="444"/>
      <c r="W91" s="444"/>
      <c r="X91" s="444"/>
    </row>
    <row r="92" spans="1:24" ht="15.6" x14ac:dyDescent="0.3">
      <c r="A92" s="438"/>
      <c r="B92" s="439"/>
      <c r="C92" s="440"/>
      <c r="D92" s="441"/>
      <c r="E92" s="441"/>
      <c r="F92" s="442"/>
      <c r="G92" s="443"/>
      <c r="H92" s="442"/>
      <c r="I92" s="455"/>
      <c r="J92" s="444"/>
      <c r="K92" s="652"/>
      <c r="L92" s="444"/>
      <c r="M92" s="444"/>
      <c r="N92" s="444"/>
      <c r="O92" s="444"/>
      <c r="P92" s="444"/>
      <c r="Q92" s="444"/>
      <c r="R92" s="444"/>
      <c r="S92" s="444"/>
      <c r="T92" s="444"/>
      <c r="U92" s="444"/>
      <c r="V92" s="444"/>
      <c r="W92" s="444"/>
      <c r="X92" s="444"/>
    </row>
    <row r="93" spans="1:24" ht="15.6" x14ac:dyDescent="0.3">
      <c r="A93" s="438"/>
      <c r="B93" s="439"/>
      <c r="C93" s="440"/>
      <c r="D93" s="441"/>
      <c r="E93" s="441"/>
      <c r="F93" s="442"/>
      <c r="G93" s="443"/>
      <c r="H93" s="442"/>
      <c r="I93" s="455"/>
      <c r="J93" s="444"/>
      <c r="K93" s="652"/>
      <c r="L93" s="444"/>
      <c r="M93" s="444"/>
      <c r="N93" s="444"/>
      <c r="O93" s="444"/>
      <c r="P93" s="444"/>
      <c r="Q93" s="444"/>
      <c r="R93" s="444"/>
      <c r="S93" s="444"/>
      <c r="T93" s="444"/>
      <c r="U93" s="444"/>
      <c r="V93" s="444"/>
      <c r="W93" s="444"/>
      <c r="X93" s="444"/>
    </row>
    <row r="94" spans="1:24" ht="15.6" x14ac:dyDescent="0.3">
      <c r="A94" s="438"/>
      <c r="B94" s="439"/>
      <c r="C94" s="440"/>
      <c r="D94" s="441"/>
      <c r="E94" s="441"/>
      <c r="F94" s="442"/>
      <c r="G94" s="443"/>
      <c r="H94" s="442"/>
      <c r="I94" s="455"/>
      <c r="J94" s="444"/>
      <c r="K94" s="652"/>
      <c r="L94" s="444"/>
      <c r="M94" s="444"/>
      <c r="N94" s="444"/>
      <c r="O94" s="444"/>
      <c r="P94" s="444"/>
      <c r="Q94" s="444"/>
      <c r="R94" s="444"/>
      <c r="S94" s="444"/>
      <c r="T94" s="444"/>
      <c r="U94" s="444"/>
      <c r="V94" s="444"/>
      <c r="W94" s="444"/>
      <c r="X94" s="444"/>
    </row>
    <row r="95" spans="1:24" ht="15.6" x14ac:dyDescent="0.3">
      <c r="A95" s="438"/>
      <c r="B95" s="439"/>
      <c r="C95" s="440"/>
      <c r="D95" s="441"/>
      <c r="E95" s="441"/>
      <c r="F95" s="442"/>
      <c r="G95" s="443"/>
      <c r="H95" s="442"/>
      <c r="I95" s="455"/>
      <c r="J95" s="444"/>
      <c r="K95" s="652"/>
      <c r="L95" s="444"/>
      <c r="M95" s="444"/>
      <c r="N95" s="444"/>
      <c r="O95" s="444"/>
      <c r="P95" s="444"/>
      <c r="Q95" s="444"/>
      <c r="R95" s="444"/>
      <c r="S95" s="444"/>
      <c r="T95" s="444"/>
      <c r="U95" s="444"/>
      <c r="V95" s="444"/>
      <c r="W95" s="444"/>
      <c r="X95" s="444"/>
    </row>
    <row r="96" spans="1:24" ht="15.6" x14ac:dyDescent="0.3">
      <c r="A96" s="438"/>
      <c r="B96" s="439"/>
      <c r="C96" s="440"/>
      <c r="D96" s="441"/>
      <c r="E96" s="441"/>
      <c r="F96" s="442"/>
      <c r="G96" s="443"/>
      <c r="H96" s="442"/>
      <c r="I96" s="455"/>
      <c r="J96" s="444"/>
      <c r="K96" s="652"/>
      <c r="L96" s="444"/>
      <c r="M96" s="444"/>
      <c r="N96" s="444"/>
      <c r="O96" s="444"/>
      <c r="P96" s="444"/>
      <c r="Q96" s="444"/>
      <c r="R96" s="444"/>
      <c r="S96" s="444"/>
      <c r="T96" s="444"/>
      <c r="U96" s="444"/>
      <c r="V96" s="444"/>
      <c r="W96" s="444"/>
      <c r="X96" s="444"/>
    </row>
    <row r="97" spans="1:24" ht="15.6" x14ac:dyDescent="0.3">
      <c r="A97" s="438"/>
      <c r="B97" s="439"/>
      <c r="C97" s="440"/>
      <c r="D97" s="441"/>
      <c r="E97" s="441"/>
      <c r="F97" s="442"/>
      <c r="G97" s="443"/>
      <c r="H97" s="442"/>
      <c r="I97" s="455"/>
      <c r="J97" s="444"/>
      <c r="K97" s="652"/>
      <c r="L97" s="444"/>
      <c r="M97" s="444"/>
      <c r="N97" s="444"/>
      <c r="O97" s="444"/>
      <c r="P97" s="444"/>
      <c r="Q97" s="444"/>
      <c r="R97" s="444"/>
      <c r="S97" s="444"/>
      <c r="T97" s="444"/>
      <c r="U97" s="444"/>
      <c r="V97" s="444"/>
      <c r="W97" s="444"/>
      <c r="X97" s="444"/>
    </row>
    <row r="98" spans="1:24" ht="15.6" x14ac:dyDescent="0.3">
      <c r="A98" s="438"/>
      <c r="B98" s="439"/>
      <c r="C98" s="440"/>
      <c r="D98" s="441"/>
      <c r="E98" s="441"/>
      <c r="F98" s="442"/>
      <c r="G98" s="443"/>
      <c r="H98" s="442"/>
      <c r="I98" s="455"/>
      <c r="J98" s="444"/>
      <c r="K98" s="652"/>
      <c r="L98" s="444"/>
      <c r="M98" s="444"/>
      <c r="N98" s="444"/>
      <c r="O98" s="444"/>
      <c r="P98" s="444"/>
      <c r="Q98" s="444"/>
      <c r="R98" s="444"/>
      <c r="S98" s="444"/>
      <c r="T98" s="444"/>
      <c r="U98" s="444"/>
      <c r="V98" s="444"/>
      <c r="W98" s="444"/>
      <c r="X98" s="444"/>
    </row>
    <row r="99" spans="1:24" ht="15.6" x14ac:dyDescent="0.3">
      <c r="A99" s="438"/>
      <c r="B99" s="439"/>
      <c r="C99" s="440"/>
      <c r="D99" s="441"/>
      <c r="E99" s="441"/>
      <c r="F99" s="442"/>
      <c r="G99" s="443"/>
      <c r="H99" s="442"/>
      <c r="I99" s="455"/>
      <c r="J99" s="444"/>
      <c r="K99" s="652"/>
      <c r="L99" s="444"/>
      <c r="M99" s="444"/>
      <c r="N99" s="444"/>
      <c r="O99" s="444"/>
      <c r="P99" s="444"/>
      <c r="Q99" s="444"/>
      <c r="R99" s="444"/>
      <c r="S99" s="444"/>
      <c r="T99" s="444"/>
      <c r="U99" s="444"/>
      <c r="V99" s="444"/>
      <c r="W99" s="444"/>
      <c r="X99" s="444"/>
    </row>
    <row r="100" spans="1:24" ht="15.6" x14ac:dyDescent="0.3">
      <c r="A100" s="438"/>
      <c r="B100" s="439"/>
      <c r="C100" s="440"/>
      <c r="D100" s="441"/>
      <c r="E100" s="441"/>
      <c r="F100" s="442"/>
      <c r="G100" s="443"/>
      <c r="H100" s="442"/>
      <c r="I100" s="455"/>
      <c r="J100" s="444"/>
      <c r="K100" s="652"/>
      <c r="L100" s="444"/>
      <c r="M100" s="444"/>
      <c r="N100" s="444"/>
      <c r="O100" s="444"/>
      <c r="P100" s="444"/>
      <c r="Q100" s="444"/>
      <c r="R100" s="444"/>
      <c r="S100" s="444"/>
      <c r="T100" s="444"/>
      <c r="U100" s="444"/>
      <c r="V100" s="444"/>
      <c r="W100" s="444"/>
      <c r="X100" s="444"/>
    </row>
    <row r="101" spans="1:24" ht="15.6" x14ac:dyDescent="0.3">
      <c r="A101" s="438"/>
      <c r="B101" s="439"/>
      <c r="C101" s="440"/>
      <c r="D101" s="441"/>
      <c r="E101" s="441"/>
      <c r="F101" s="442"/>
      <c r="G101" s="443"/>
      <c r="H101" s="442"/>
      <c r="I101" s="455"/>
      <c r="J101" s="444"/>
      <c r="K101" s="652"/>
      <c r="L101" s="444"/>
      <c r="M101" s="444"/>
      <c r="N101" s="444"/>
      <c r="O101" s="444"/>
      <c r="P101" s="444"/>
      <c r="Q101" s="444"/>
      <c r="R101" s="444"/>
      <c r="S101" s="444"/>
      <c r="T101" s="444"/>
      <c r="U101" s="444"/>
      <c r="V101" s="444"/>
      <c r="W101" s="444"/>
      <c r="X101" s="444"/>
    </row>
    <row r="102" spans="1:24" ht="15.6" x14ac:dyDescent="0.3">
      <c r="A102" s="438"/>
      <c r="B102" s="439"/>
      <c r="C102" s="440"/>
      <c r="D102" s="441"/>
      <c r="E102" s="441"/>
      <c r="F102" s="442"/>
      <c r="G102" s="443"/>
      <c r="H102" s="442"/>
      <c r="I102" s="455"/>
      <c r="J102" s="444"/>
      <c r="K102" s="652"/>
      <c r="L102" s="444"/>
      <c r="M102" s="444"/>
      <c r="N102" s="444"/>
      <c r="O102" s="444"/>
      <c r="P102" s="444"/>
      <c r="Q102" s="444"/>
      <c r="R102" s="444"/>
      <c r="S102" s="444"/>
      <c r="T102" s="444"/>
      <c r="U102" s="444"/>
      <c r="V102" s="444"/>
      <c r="W102" s="444"/>
      <c r="X102" s="444"/>
    </row>
    <row r="103" spans="1:24" ht="15.6" x14ac:dyDescent="0.3">
      <c r="A103" s="438"/>
      <c r="B103" s="439"/>
      <c r="C103" s="440"/>
      <c r="D103" s="441"/>
      <c r="E103" s="441"/>
      <c r="F103" s="442"/>
      <c r="G103" s="443"/>
      <c r="H103" s="442"/>
      <c r="I103" s="455"/>
      <c r="J103" s="444"/>
      <c r="K103" s="652"/>
      <c r="L103" s="444"/>
      <c r="M103" s="444"/>
      <c r="N103" s="444"/>
      <c r="O103" s="444"/>
      <c r="P103" s="444"/>
      <c r="Q103" s="444"/>
      <c r="R103" s="444"/>
      <c r="S103" s="444"/>
      <c r="T103" s="444"/>
      <c r="U103" s="444"/>
      <c r="V103" s="444"/>
      <c r="W103" s="444"/>
      <c r="X103" s="444"/>
    </row>
    <row r="104" spans="1:24" ht="15.6" x14ac:dyDescent="0.3">
      <c r="A104" s="438"/>
      <c r="B104" s="439"/>
      <c r="C104" s="440"/>
      <c r="D104" s="441"/>
      <c r="E104" s="441"/>
      <c r="F104" s="442"/>
      <c r="G104" s="443"/>
      <c r="H104" s="442"/>
      <c r="I104" s="455"/>
      <c r="J104" s="444"/>
      <c r="K104" s="652"/>
      <c r="L104" s="444"/>
      <c r="M104" s="444"/>
      <c r="N104" s="444"/>
      <c r="O104" s="444"/>
      <c r="P104" s="444"/>
      <c r="Q104" s="444"/>
      <c r="R104" s="444"/>
      <c r="S104" s="444"/>
      <c r="T104" s="444"/>
      <c r="U104" s="444"/>
      <c r="V104" s="444"/>
      <c r="W104" s="444"/>
      <c r="X104" s="444"/>
    </row>
    <row r="105" spans="1:24" ht="15.6" x14ac:dyDescent="0.3">
      <c r="A105" s="438"/>
      <c r="B105" s="439"/>
      <c r="C105" s="440"/>
      <c r="D105" s="441"/>
      <c r="E105" s="441"/>
      <c r="F105" s="442"/>
      <c r="G105" s="443"/>
      <c r="H105" s="442"/>
      <c r="I105" s="455"/>
      <c r="J105" s="444"/>
      <c r="K105" s="652"/>
      <c r="L105" s="444"/>
      <c r="M105" s="444"/>
      <c r="N105" s="444"/>
      <c r="O105" s="444"/>
      <c r="P105" s="444"/>
      <c r="Q105" s="444"/>
      <c r="R105" s="444"/>
      <c r="S105" s="444"/>
      <c r="T105" s="444"/>
      <c r="U105" s="444"/>
      <c r="V105" s="444"/>
      <c r="W105" s="444"/>
      <c r="X105" s="444"/>
    </row>
    <row r="106" spans="1:24" ht="15.6" x14ac:dyDescent="0.3">
      <c r="A106" s="438"/>
      <c r="B106" s="439"/>
      <c r="C106" s="440"/>
      <c r="D106" s="441"/>
      <c r="E106" s="441"/>
      <c r="F106" s="442"/>
      <c r="G106" s="443"/>
      <c r="H106" s="442"/>
      <c r="I106" s="455"/>
      <c r="J106" s="444"/>
      <c r="K106" s="652"/>
      <c r="L106" s="444"/>
      <c r="M106" s="444"/>
      <c r="N106" s="444"/>
      <c r="O106" s="444"/>
      <c r="P106" s="444"/>
      <c r="Q106" s="444"/>
      <c r="R106" s="444"/>
      <c r="S106" s="444"/>
      <c r="T106" s="444"/>
      <c r="U106" s="444"/>
      <c r="V106" s="444"/>
      <c r="W106" s="444"/>
      <c r="X106" s="444"/>
    </row>
    <row r="107" spans="1:24" ht="15.6" x14ac:dyDescent="0.3">
      <c r="A107" s="438"/>
      <c r="B107" s="439"/>
      <c r="C107" s="440"/>
      <c r="D107" s="441"/>
      <c r="E107" s="441"/>
      <c r="F107" s="442"/>
      <c r="G107" s="443"/>
      <c r="H107" s="442"/>
      <c r="I107" s="455"/>
      <c r="J107" s="444"/>
      <c r="K107" s="652"/>
      <c r="L107" s="444"/>
      <c r="M107" s="444"/>
      <c r="N107" s="444"/>
      <c r="O107" s="444"/>
      <c r="P107" s="444"/>
      <c r="Q107" s="444"/>
      <c r="R107" s="444"/>
      <c r="S107" s="444"/>
      <c r="T107" s="444"/>
      <c r="U107" s="444"/>
      <c r="V107" s="444"/>
      <c r="W107" s="444"/>
      <c r="X107" s="444"/>
    </row>
    <row r="108" spans="1:24" ht="15.6" x14ac:dyDescent="0.3">
      <c r="A108" s="438"/>
      <c r="B108" s="439"/>
      <c r="C108" s="440"/>
      <c r="D108" s="441"/>
      <c r="E108" s="441"/>
      <c r="F108" s="442"/>
      <c r="G108" s="443"/>
      <c r="H108" s="442"/>
      <c r="I108" s="455"/>
      <c r="J108" s="444"/>
      <c r="K108" s="652"/>
      <c r="L108" s="444"/>
      <c r="M108" s="444"/>
      <c r="N108" s="444"/>
      <c r="O108" s="444"/>
      <c r="P108" s="444"/>
      <c r="Q108" s="444"/>
      <c r="R108" s="444"/>
      <c r="S108" s="444"/>
      <c r="T108" s="444"/>
      <c r="U108" s="444"/>
      <c r="V108" s="444"/>
      <c r="W108" s="444"/>
      <c r="X108" s="444"/>
    </row>
    <row r="109" spans="1:24" ht="15.6" x14ac:dyDescent="0.3">
      <c r="A109" s="438"/>
      <c r="B109" s="439"/>
      <c r="C109" s="440"/>
      <c r="D109" s="441"/>
      <c r="E109" s="441"/>
      <c r="F109" s="442"/>
      <c r="G109" s="443"/>
      <c r="H109" s="442"/>
      <c r="I109" s="455"/>
      <c r="J109" s="444"/>
      <c r="K109" s="652"/>
      <c r="L109" s="444"/>
      <c r="M109" s="444"/>
      <c r="N109" s="444"/>
      <c r="O109" s="444"/>
      <c r="P109" s="444"/>
      <c r="Q109" s="444"/>
      <c r="R109" s="444"/>
      <c r="S109" s="444"/>
      <c r="T109" s="444"/>
      <c r="U109" s="444"/>
      <c r="V109" s="444"/>
      <c r="W109" s="444"/>
      <c r="X109" s="444"/>
    </row>
    <row r="110" spans="1:24" ht="15.6" x14ac:dyDescent="0.3">
      <c r="A110" s="438"/>
      <c r="B110" s="439"/>
      <c r="C110" s="440"/>
      <c r="D110" s="441"/>
      <c r="E110" s="441"/>
      <c r="F110" s="442"/>
      <c r="G110" s="443"/>
      <c r="H110" s="442"/>
      <c r="I110" s="455"/>
      <c r="J110" s="444"/>
      <c r="K110" s="652"/>
      <c r="L110" s="444"/>
      <c r="M110" s="444"/>
      <c r="N110" s="444"/>
      <c r="O110" s="444"/>
      <c r="P110" s="444"/>
      <c r="Q110" s="444"/>
      <c r="R110" s="444"/>
      <c r="S110" s="444"/>
      <c r="T110" s="444"/>
      <c r="U110" s="444"/>
      <c r="V110" s="444"/>
      <c r="W110" s="444"/>
      <c r="X110" s="444"/>
    </row>
    <row r="111" spans="1:24" ht="15.6" x14ac:dyDescent="0.3">
      <c r="A111" s="438"/>
      <c r="B111" s="439"/>
      <c r="C111" s="440"/>
      <c r="D111" s="441"/>
      <c r="E111" s="441"/>
      <c r="F111" s="442"/>
      <c r="G111" s="443"/>
      <c r="H111" s="442"/>
      <c r="I111" s="455"/>
      <c r="J111" s="444"/>
      <c r="K111" s="652"/>
      <c r="L111" s="444"/>
      <c r="M111" s="444"/>
      <c r="N111" s="444"/>
      <c r="O111" s="444"/>
      <c r="P111" s="444"/>
      <c r="Q111" s="444"/>
      <c r="R111" s="444"/>
      <c r="S111" s="444"/>
      <c r="T111" s="444"/>
      <c r="U111" s="444"/>
      <c r="V111" s="444"/>
      <c r="W111" s="444"/>
      <c r="X111" s="444"/>
    </row>
    <row r="112" spans="1:24" ht="15.6" x14ac:dyDescent="0.3">
      <c r="A112" s="438"/>
      <c r="B112" s="439"/>
      <c r="C112" s="440"/>
      <c r="D112" s="441"/>
      <c r="E112" s="441"/>
      <c r="F112" s="442"/>
      <c r="G112" s="443"/>
      <c r="H112" s="442"/>
      <c r="I112" s="455"/>
      <c r="J112" s="444"/>
      <c r="K112" s="652"/>
      <c r="L112" s="444"/>
      <c r="M112" s="444"/>
      <c r="N112" s="444"/>
      <c r="O112" s="444"/>
      <c r="P112" s="444"/>
      <c r="Q112" s="444"/>
      <c r="R112" s="444"/>
      <c r="S112" s="444"/>
      <c r="T112" s="444"/>
      <c r="U112" s="444"/>
      <c r="V112" s="444"/>
      <c r="W112" s="444"/>
      <c r="X112" s="444"/>
    </row>
    <row r="113" spans="1:24" ht="15.6" x14ac:dyDescent="0.3">
      <c r="A113" s="438"/>
      <c r="B113" s="439"/>
      <c r="C113" s="440"/>
      <c r="D113" s="441"/>
      <c r="E113" s="441"/>
      <c r="F113" s="442"/>
      <c r="G113" s="443"/>
      <c r="H113" s="442"/>
      <c r="I113" s="455"/>
      <c r="J113" s="444"/>
      <c r="K113" s="652"/>
      <c r="L113" s="444"/>
      <c r="M113" s="444"/>
      <c r="N113" s="444"/>
      <c r="O113" s="444"/>
      <c r="P113" s="444"/>
      <c r="Q113" s="444"/>
      <c r="R113" s="444"/>
      <c r="S113" s="444"/>
      <c r="T113" s="444"/>
      <c r="U113" s="444"/>
      <c r="V113" s="444"/>
      <c r="W113" s="444"/>
      <c r="X113" s="444"/>
    </row>
    <row r="114" spans="1:24" ht="15.6" x14ac:dyDescent="0.3">
      <c r="A114" s="438"/>
      <c r="B114" s="439"/>
      <c r="C114" s="440"/>
      <c r="D114" s="441"/>
      <c r="E114" s="441"/>
      <c r="F114" s="442"/>
      <c r="G114" s="443"/>
      <c r="H114" s="442"/>
      <c r="I114" s="455"/>
      <c r="J114" s="444"/>
      <c r="K114" s="652"/>
      <c r="L114" s="444"/>
      <c r="M114" s="444"/>
      <c r="N114" s="444"/>
      <c r="O114" s="444"/>
      <c r="P114" s="444"/>
      <c r="Q114" s="444"/>
      <c r="R114" s="444"/>
      <c r="S114" s="444"/>
      <c r="T114" s="444"/>
      <c r="U114" s="444"/>
      <c r="V114" s="444"/>
      <c r="W114" s="444"/>
      <c r="X114" s="444"/>
    </row>
    <row r="115" spans="1:24" ht="15.6" x14ac:dyDescent="0.3">
      <c r="A115" s="438"/>
      <c r="B115" s="439"/>
      <c r="C115" s="440"/>
      <c r="D115" s="441"/>
      <c r="E115" s="441"/>
      <c r="F115" s="442"/>
      <c r="G115" s="443"/>
      <c r="H115" s="442"/>
      <c r="I115" s="455"/>
      <c r="J115" s="444"/>
      <c r="K115" s="652"/>
      <c r="L115" s="444"/>
      <c r="M115" s="444"/>
      <c r="N115" s="444"/>
      <c r="O115" s="444"/>
      <c r="P115" s="444"/>
      <c r="Q115" s="444"/>
      <c r="R115" s="444"/>
      <c r="S115" s="444"/>
      <c r="T115" s="444"/>
      <c r="U115" s="444"/>
      <c r="V115" s="444"/>
      <c r="W115" s="444"/>
      <c r="X115" s="444"/>
    </row>
    <row r="116" spans="1:24" ht="15.6" x14ac:dyDescent="0.3">
      <c r="A116" s="438"/>
      <c r="B116" s="439"/>
      <c r="C116" s="440"/>
      <c r="D116" s="441"/>
      <c r="E116" s="441"/>
      <c r="F116" s="442"/>
      <c r="G116" s="443"/>
      <c r="H116" s="442"/>
      <c r="I116" s="455"/>
      <c r="J116" s="444"/>
      <c r="K116" s="652"/>
      <c r="L116" s="444"/>
      <c r="M116" s="444"/>
      <c r="N116" s="444"/>
      <c r="O116" s="444"/>
      <c r="P116" s="444"/>
      <c r="Q116" s="444"/>
      <c r="R116" s="444"/>
      <c r="S116" s="444"/>
      <c r="T116" s="444"/>
      <c r="U116" s="444"/>
      <c r="V116" s="444"/>
      <c r="W116" s="444"/>
      <c r="X116" s="444"/>
    </row>
    <row r="117" spans="1:24" ht="15.6" x14ac:dyDescent="0.3">
      <c r="A117" s="438"/>
      <c r="B117" s="439"/>
      <c r="C117" s="440"/>
      <c r="D117" s="441"/>
      <c r="E117" s="441"/>
      <c r="F117" s="442"/>
      <c r="G117" s="443"/>
      <c r="H117" s="442"/>
      <c r="I117" s="455"/>
      <c r="J117" s="444"/>
      <c r="K117" s="652"/>
      <c r="L117" s="444"/>
      <c r="M117" s="444"/>
      <c r="N117" s="444"/>
      <c r="O117" s="444"/>
      <c r="P117" s="444"/>
      <c r="Q117" s="444"/>
      <c r="R117" s="444"/>
      <c r="S117" s="444"/>
      <c r="T117" s="444"/>
      <c r="U117" s="444"/>
      <c r="V117" s="444"/>
      <c r="W117" s="444"/>
      <c r="X117" s="444"/>
    </row>
    <row r="118" spans="1:24" ht="15.6" x14ac:dyDescent="0.3">
      <c r="A118" s="438"/>
      <c r="B118" s="439"/>
      <c r="C118" s="440"/>
      <c r="D118" s="441"/>
      <c r="E118" s="441"/>
      <c r="F118" s="442"/>
      <c r="G118" s="443"/>
      <c r="H118" s="442"/>
      <c r="I118" s="455"/>
      <c r="J118" s="444"/>
      <c r="K118" s="652"/>
      <c r="L118" s="444"/>
      <c r="M118" s="444"/>
      <c r="N118" s="444"/>
      <c r="O118" s="444"/>
      <c r="P118" s="444"/>
      <c r="Q118" s="444"/>
      <c r="R118" s="444"/>
      <c r="S118" s="444"/>
      <c r="T118" s="444"/>
      <c r="U118" s="444"/>
      <c r="V118" s="444"/>
      <c r="W118" s="444"/>
      <c r="X118" s="444"/>
    </row>
    <row r="119" spans="1:24" ht="15.6" x14ac:dyDescent="0.3">
      <c r="A119" s="438"/>
      <c r="B119" s="439"/>
      <c r="C119" s="440"/>
      <c r="D119" s="441"/>
      <c r="E119" s="441"/>
      <c r="F119" s="442"/>
      <c r="G119" s="443"/>
      <c r="H119" s="442"/>
      <c r="I119" s="455"/>
      <c r="J119" s="444"/>
      <c r="K119" s="652"/>
      <c r="L119" s="444"/>
      <c r="M119" s="444"/>
      <c r="N119" s="444"/>
      <c r="O119" s="444"/>
      <c r="P119" s="444"/>
      <c r="Q119" s="444"/>
      <c r="R119" s="444"/>
      <c r="S119" s="444"/>
      <c r="T119" s="444"/>
      <c r="U119" s="444"/>
      <c r="V119" s="444"/>
      <c r="W119" s="444"/>
      <c r="X119" s="444"/>
    </row>
    <row r="120" spans="1:24" ht="15.6" x14ac:dyDescent="0.3">
      <c r="A120" s="438"/>
      <c r="B120" s="439"/>
      <c r="C120" s="440"/>
      <c r="D120" s="441"/>
      <c r="E120" s="441"/>
      <c r="F120" s="442"/>
      <c r="G120" s="443"/>
      <c r="H120" s="442"/>
      <c r="I120" s="455"/>
      <c r="J120" s="444"/>
      <c r="K120" s="652"/>
      <c r="L120" s="444"/>
      <c r="M120" s="444"/>
      <c r="N120" s="444"/>
      <c r="O120" s="444"/>
      <c r="P120" s="444"/>
      <c r="Q120" s="444"/>
      <c r="R120" s="444"/>
      <c r="S120" s="444"/>
      <c r="T120" s="444"/>
      <c r="U120" s="444"/>
      <c r="V120" s="444"/>
      <c r="W120" s="444"/>
      <c r="X120" s="444"/>
    </row>
    <row r="121" spans="1:24" ht="15.6" x14ac:dyDescent="0.3">
      <c r="A121" s="438"/>
      <c r="B121" s="439"/>
      <c r="C121" s="440"/>
      <c r="D121" s="441"/>
      <c r="E121" s="441"/>
      <c r="F121" s="442"/>
      <c r="G121" s="443"/>
      <c r="H121" s="442"/>
      <c r="I121" s="455"/>
      <c r="J121" s="444"/>
      <c r="K121" s="652"/>
      <c r="L121" s="444"/>
      <c r="M121" s="444"/>
      <c r="N121" s="444"/>
      <c r="O121" s="444"/>
      <c r="P121" s="444"/>
      <c r="Q121" s="444"/>
      <c r="R121" s="444"/>
      <c r="S121" s="444"/>
      <c r="T121" s="444"/>
      <c r="U121" s="444"/>
      <c r="V121" s="444"/>
      <c r="W121" s="444"/>
      <c r="X121" s="444"/>
    </row>
    <row r="122" spans="1:24" ht="15.6" x14ac:dyDescent="0.3">
      <c r="A122" s="438"/>
      <c r="B122" s="439"/>
      <c r="C122" s="440"/>
      <c r="D122" s="441"/>
      <c r="E122" s="441"/>
      <c r="F122" s="442"/>
      <c r="G122" s="443"/>
      <c r="H122" s="442"/>
      <c r="I122" s="455"/>
      <c r="J122" s="444"/>
      <c r="K122" s="652"/>
      <c r="L122" s="444"/>
      <c r="M122" s="444"/>
      <c r="N122" s="444"/>
      <c r="O122" s="444"/>
      <c r="P122" s="444"/>
      <c r="Q122" s="444"/>
      <c r="R122" s="444"/>
      <c r="S122" s="444"/>
      <c r="T122" s="444"/>
      <c r="U122" s="444"/>
      <c r="V122" s="444"/>
      <c r="W122" s="444"/>
      <c r="X122" s="444"/>
    </row>
    <row r="123" spans="1:24" ht="15.6" x14ac:dyDescent="0.3">
      <c r="A123" s="438"/>
      <c r="B123" s="439"/>
      <c r="C123" s="440"/>
      <c r="D123" s="441"/>
      <c r="E123" s="441"/>
      <c r="F123" s="442"/>
      <c r="G123" s="443"/>
      <c r="H123" s="442"/>
      <c r="I123" s="455"/>
      <c r="J123" s="444"/>
      <c r="K123" s="652"/>
      <c r="L123" s="444"/>
      <c r="M123" s="444"/>
      <c r="N123" s="444"/>
      <c r="O123" s="444"/>
      <c r="P123" s="444"/>
      <c r="Q123" s="444"/>
      <c r="R123" s="444"/>
      <c r="S123" s="444"/>
      <c r="T123" s="444"/>
      <c r="U123" s="444"/>
      <c r="V123" s="444"/>
      <c r="W123" s="444"/>
      <c r="X123" s="444"/>
    </row>
    <row r="124" spans="1:24" ht="15.6" x14ac:dyDescent="0.3">
      <c r="A124" s="438"/>
      <c r="B124" s="439"/>
      <c r="C124" s="440"/>
      <c r="D124" s="441"/>
      <c r="E124" s="441"/>
      <c r="F124" s="442"/>
      <c r="G124" s="443"/>
      <c r="H124" s="442"/>
      <c r="I124" s="455"/>
      <c r="J124" s="444"/>
      <c r="K124" s="652"/>
      <c r="L124" s="444"/>
      <c r="M124" s="444"/>
      <c r="N124" s="444"/>
      <c r="O124" s="444"/>
      <c r="P124" s="444"/>
      <c r="Q124" s="444"/>
      <c r="R124" s="444"/>
      <c r="S124" s="444"/>
      <c r="T124" s="444"/>
      <c r="U124" s="444"/>
      <c r="V124" s="444"/>
      <c r="W124" s="444"/>
      <c r="X124" s="444"/>
    </row>
    <row r="125" spans="1:24" ht="15.6" x14ac:dyDescent="0.3">
      <c r="A125" s="438"/>
      <c r="B125" s="439"/>
      <c r="C125" s="440"/>
      <c r="D125" s="441"/>
      <c r="E125" s="441"/>
      <c r="F125" s="442"/>
      <c r="G125" s="443"/>
      <c r="H125" s="442"/>
      <c r="I125" s="455"/>
      <c r="J125" s="444"/>
      <c r="K125" s="652"/>
      <c r="L125" s="444"/>
      <c r="M125" s="444"/>
      <c r="N125" s="444"/>
      <c r="O125" s="444"/>
      <c r="P125" s="444"/>
      <c r="Q125" s="444"/>
      <c r="R125" s="444"/>
      <c r="S125" s="444"/>
      <c r="T125" s="444"/>
      <c r="U125" s="444"/>
      <c r="V125" s="444"/>
      <c r="W125" s="444"/>
      <c r="X125" s="444"/>
    </row>
    <row r="126" spans="1:24" ht="15.6" x14ac:dyDescent="0.3">
      <c r="A126" s="438"/>
      <c r="B126" s="439"/>
      <c r="C126" s="440"/>
      <c r="D126" s="441"/>
      <c r="E126" s="441"/>
      <c r="F126" s="442"/>
      <c r="G126" s="443"/>
      <c r="H126" s="442"/>
      <c r="I126" s="455"/>
      <c r="J126" s="444"/>
      <c r="K126" s="652"/>
      <c r="L126" s="444"/>
      <c r="M126" s="444"/>
      <c r="N126" s="444"/>
      <c r="O126" s="444"/>
      <c r="P126" s="444"/>
      <c r="Q126" s="444"/>
      <c r="R126" s="444"/>
      <c r="S126" s="444"/>
      <c r="T126" s="444"/>
      <c r="U126" s="444"/>
      <c r="V126" s="444"/>
      <c r="W126" s="444"/>
      <c r="X126" s="444"/>
    </row>
    <row r="127" spans="1:24" ht="15.6" x14ac:dyDescent="0.3">
      <c r="A127" s="438"/>
      <c r="B127" s="439"/>
      <c r="C127" s="440"/>
      <c r="D127" s="441"/>
      <c r="E127" s="441"/>
      <c r="F127" s="442"/>
      <c r="G127" s="443"/>
      <c r="H127" s="442"/>
      <c r="I127" s="455"/>
      <c r="J127" s="444"/>
      <c r="K127" s="652"/>
      <c r="L127" s="444"/>
      <c r="M127" s="444"/>
      <c r="N127" s="444"/>
      <c r="O127" s="444"/>
      <c r="P127" s="444"/>
      <c r="Q127" s="444"/>
      <c r="R127" s="444"/>
      <c r="S127" s="444"/>
      <c r="T127" s="444"/>
      <c r="U127" s="444"/>
      <c r="V127" s="444"/>
      <c r="W127" s="444"/>
      <c r="X127" s="444"/>
    </row>
    <row r="128" spans="1:24" ht="15.6" x14ac:dyDescent="0.3">
      <c r="A128" s="438"/>
      <c r="B128" s="439"/>
      <c r="C128" s="440"/>
      <c r="D128" s="441"/>
      <c r="E128" s="441"/>
      <c r="F128" s="442"/>
      <c r="G128" s="443"/>
      <c r="H128" s="442"/>
      <c r="I128" s="455"/>
      <c r="J128" s="444"/>
      <c r="K128" s="652"/>
      <c r="L128" s="444"/>
      <c r="M128" s="444"/>
      <c r="N128" s="444"/>
      <c r="O128" s="444"/>
      <c r="P128" s="444"/>
      <c r="Q128" s="444"/>
      <c r="R128" s="444"/>
      <c r="S128" s="444"/>
      <c r="T128" s="444"/>
      <c r="U128" s="444"/>
      <c r="V128" s="444"/>
      <c r="W128" s="444"/>
      <c r="X128" s="444"/>
    </row>
    <row r="129" spans="1:24" ht="15.6" x14ac:dyDescent="0.3">
      <c r="A129" s="438"/>
      <c r="B129" s="439"/>
      <c r="C129" s="440"/>
      <c r="D129" s="441"/>
      <c r="E129" s="441"/>
      <c r="F129" s="442"/>
      <c r="G129" s="443"/>
      <c r="H129" s="442"/>
      <c r="I129" s="455"/>
      <c r="J129" s="444"/>
      <c r="K129" s="652"/>
      <c r="L129" s="444"/>
      <c r="M129" s="444"/>
      <c r="N129" s="444"/>
      <c r="O129" s="444"/>
      <c r="P129" s="444"/>
      <c r="Q129" s="444"/>
      <c r="R129" s="444"/>
      <c r="S129" s="444"/>
      <c r="T129" s="444"/>
      <c r="U129" s="444"/>
      <c r="V129" s="444"/>
      <c r="W129" s="444"/>
      <c r="X129" s="444"/>
    </row>
    <row r="130" spans="1:24" ht="15.6" x14ac:dyDescent="0.3">
      <c r="A130" s="438"/>
      <c r="B130" s="439"/>
      <c r="C130" s="440"/>
      <c r="D130" s="441"/>
      <c r="E130" s="441"/>
      <c r="F130" s="442"/>
      <c r="G130" s="443"/>
      <c r="H130" s="442"/>
      <c r="I130" s="455"/>
      <c r="J130" s="444"/>
      <c r="K130" s="652"/>
      <c r="L130" s="444"/>
      <c r="M130" s="444"/>
      <c r="N130" s="444"/>
      <c r="O130" s="444"/>
      <c r="P130" s="444"/>
      <c r="Q130" s="444"/>
      <c r="R130" s="444"/>
      <c r="S130" s="444"/>
      <c r="T130" s="444"/>
      <c r="U130" s="444"/>
      <c r="V130" s="444"/>
      <c r="W130" s="444"/>
      <c r="X130" s="444"/>
    </row>
    <row r="131" spans="1:24" ht="15.6" x14ac:dyDescent="0.3">
      <c r="A131" s="438"/>
      <c r="B131" s="439"/>
      <c r="C131" s="440"/>
      <c r="D131" s="441"/>
      <c r="E131" s="441"/>
      <c r="F131" s="442"/>
      <c r="G131" s="443"/>
      <c r="H131" s="442"/>
      <c r="I131" s="455"/>
      <c r="J131" s="444"/>
      <c r="K131" s="652"/>
      <c r="L131" s="444"/>
      <c r="M131" s="444"/>
      <c r="N131" s="444"/>
      <c r="O131" s="444"/>
      <c r="P131" s="444"/>
      <c r="Q131" s="444"/>
      <c r="R131" s="444"/>
      <c r="S131" s="444"/>
      <c r="T131" s="444"/>
      <c r="U131" s="444"/>
      <c r="V131" s="444"/>
      <c r="W131" s="444"/>
      <c r="X131" s="444"/>
    </row>
    <row r="132" spans="1:24" ht="15.6" x14ac:dyDescent="0.3">
      <c r="A132" s="438"/>
      <c r="B132" s="439"/>
      <c r="C132" s="440"/>
      <c r="D132" s="441"/>
      <c r="E132" s="441"/>
      <c r="F132" s="442"/>
      <c r="G132" s="443"/>
      <c r="H132" s="442"/>
      <c r="I132" s="455"/>
      <c r="J132" s="444"/>
      <c r="K132" s="652"/>
      <c r="L132" s="444"/>
      <c r="M132" s="444"/>
      <c r="N132" s="444"/>
      <c r="O132" s="444"/>
      <c r="P132" s="444"/>
      <c r="Q132" s="444"/>
      <c r="R132" s="444"/>
      <c r="S132" s="444"/>
      <c r="T132" s="444"/>
      <c r="U132" s="444"/>
      <c r="V132" s="444"/>
      <c r="W132" s="444"/>
      <c r="X132" s="444"/>
    </row>
    <row r="133" spans="1:24" ht="15.6" x14ac:dyDescent="0.3">
      <c r="A133" s="438"/>
      <c r="B133" s="439"/>
      <c r="C133" s="440"/>
      <c r="D133" s="441"/>
      <c r="E133" s="441"/>
      <c r="F133" s="442"/>
      <c r="G133" s="443"/>
      <c r="H133" s="442"/>
      <c r="I133" s="455"/>
      <c r="J133" s="444"/>
      <c r="K133" s="652"/>
      <c r="L133" s="444"/>
      <c r="M133" s="444"/>
      <c r="N133" s="444"/>
      <c r="O133" s="444"/>
      <c r="P133" s="444"/>
      <c r="Q133" s="444"/>
      <c r="R133" s="444"/>
      <c r="S133" s="444"/>
      <c r="T133" s="444"/>
      <c r="U133" s="444"/>
      <c r="V133" s="444"/>
      <c r="W133" s="444"/>
      <c r="X133" s="444"/>
    </row>
    <row r="134" spans="1:24" ht="15.6" x14ac:dyDescent="0.3">
      <c r="A134" s="438"/>
      <c r="B134" s="439"/>
      <c r="C134" s="440"/>
      <c r="D134" s="441"/>
      <c r="E134" s="441"/>
      <c r="F134" s="442"/>
      <c r="G134" s="443"/>
      <c r="H134" s="442"/>
      <c r="I134" s="455"/>
      <c r="J134" s="444"/>
      <c r="K134" s="652"/>
      <c r="L134" s="444"/>
      <c r="M134" s="444"/>
      <c r="N134" s="444"/>
      <c r="O134" s="444"/>
      <c r="P134" s="444"/>
      <c r="Q134" s="444"/>
      <c r="R134" s="444"/>
      <c r="S134" s="444"/>
      <c r="T134" s="444"/>
      <c r="U134" s="444"/>
      <c r="V134" s="444"/>
      <c r="W134" s="444"/>
      <c r="X134" s="444"/>
    </row>
    <row r="135" spans="1:24" ht="15.6" x14ac:dyDescent="0.3">
      <c r="A135" s="438"/>
      <c r="B135" s="439"/>
      <c r="C135" s="440"/>
      <c r="D135" s="441"/>
      <c r="E135" s="441"/>
      <c r="F135" s="442"/>
      <c r="G135" s="443"/>
      <c r="H135" s="442"/>
      <c r="I135" s="455"/>
      <c r="J135" s="444"/>
      <c r="K135" s="652"/>
      <c r="L135" s="444"/>
      <c r="M135" s="444"/>
      <c r="N135" s="444"/>
      <c r="O135" s="444"/>
      <c r="P135" s="444"/>
      <c r="Q135" s="444"/>
      <c r="R135" s="444"/>
      <c r="S135" s="444"/>
      <c r="T135" s="444"/>
      <c r="U135" s="444"/>
      <c r="V135" s="444"/>
      <c r="W135" s="444"/>
      <c r="X135" s="444"/>
    </row>
    <row r="136" spans="1:24" ht="15.6" x14ac:dyDescent="0.3">
      <c r="A136" s="438"/>
      <c r="B136" s="439"/>
      <c r="C136" s="440"/>
      <c r="D136" s="441"/>
      <c r="E136" s="441"/>
      <c r="F136" s="442"/>
      <c r="G136" s="443"/>
      <c r="H136" s="442"/>
      <c r="I136" s="455"/>
      <c r="J136" s="444"/>
      <c r="K136" s="652"/>
      <c r="L136" s="444"/>
      <c r="M136" s="444"/>
      <c r="N136" s="444"/>
      <c r="O136" s="444"/>
      <c r="P136" s="444"/>
      <c r="Q136" s="444"/>
      <c r="R136" s="444"/>
      <c r="S136" s="444"/>
      <c r="T136" s="444"/>
      <c r="U136" s="444"/>
      <c r="V136" s="444"/>
      <c r="W136" s="444"/>
      <c r="X136" s="444"/>
    </row>
    <row r="137" spans="1:24" ht="15.6" x14ac:dyDescent="0.3">
      <c r="A137" s="438"/>
      <c r="B137" s="439"/>
      <c r="C137" s="440"/>
      <c r="D137" s="441"/>
      <c r="E137" s="441"/>
      <c r="F137" s="442"/>
      <c r="G137" s="443"/>
      <c r="H137" s="442"/>
      <c r="I137" s="455"/>
      <c r="J137" s="444"/>
      <c r="K137" s="652"/>
      <c r="L137" s="444"/>
      <c r="M137" s="444"/>
      <c r="N137" s="444"/>
      <c r="O137" s="444"/>
      <c r="P137" s="444"/>
      <c r="Q137" s="444"/>
      <c r="R137" s="444"/>
      <c r="S137" s="444"/>
      <c r="T137" s="444"/>
      <c r="U137" s="444"/>
      <c r="V137" s="444"/>
      <c r="W137" s="444"/>
      <c r="X137" s="444"/>
    </row>
    <row r="138" spans="1:24" ht="15.6" x14ac:dyDescent="0.3">
      <c r="A138" s="438"/>
      <c r="B138" s="439"/>
      <c r="C138" s="440"/>
      <c r="D138" s="441"/>
      <c r="E138" s="441"/>
      <c r="F138" s="442"/>
      <c r="G138" s="443"/>
      <c r="H138" s="442"/>
      <c r="I138" s="455"/>
      <c r="J138" s="444"/>
      <c r="K138" s="652"/>
      <c r="L138" s="444"/>
      <c r="M138" s="444"/>
      <c r="N138" s="444"/>
      <c r="O138" s="444"/>
      <c r="P138" s="444"/>
      <c r="Q138" s="444"/>
      <c r="R138" s="444"/>
      <c r="S138" s="444"/>
      <c r="T138" s="444"/>
      <c r="U138" s="444"/>
      <c r="V138" s="444"/>
      <c r="W138" s="444"/>
      <c r="X138" s="444"/>
    </row>
    <row r="139" spans="1:24" ht="15.6" x14ac:dyDescent="0.3">
      <c r="A139" s="438"/>
      <c r="B139" s="439"/>
      <c r="C139" s="440"/>
      <c r="D139" s="441"/>
      <c r="E139" s="441"/>
      <c r="F139" s="442"/>
      <c r="G139" s="443"/>
      <c r="H139" s="442"/>
      <c r="I139" s="455"/>
      <c r="J139" s="444"/>
      <c r="K139" s="652"/>
      <c r="L139" s="444"/>
      <c r="M139" s="444"/>
      <c r="N139" s="444"/>
      <c r="O139" s="444"/>
      <c r="P139" s="444"/>
      <c r="Q139" s="444"/>
      <c r="R139" s="444"/>
      <c r="S139" s="444"/>
      <c r="T139" s="444"/>
      <c r="U139" s="444"/>
      <c r="V139" s="444"/>
      <c r="W139" s="444"/>
      <c r="X139" s="444"/>
    </row>
    <row r="140" spans="1:24" ht="15.6" x14ac:dyDescent="0.3">
      <c r="A140" s="438"/>
      <c r="B140" s="439"/>
      <c r="C140" s="440"/>
      <c r="D140" s="441"/>
      <c r="E140" s="441"/>
      <c r="F140" s="442"/>
      <c r="G140" s="443"/>
      <c r="H140" s="442"/>
      <c r="I140" s="455"/>
      <c r="J140" s="444"/>
      <c r="K140" s="652"/>
      <c r="L140" s="444"/>
      <c r="M140" s="444"/>
      <c r="N140" s="444"/>
      <c r="O140" s="444"/>
      <c r="P140" s="444"/>
      <c r="Q140" s="444"/>
      <c r="R140" s="444"/>
      <c r="S140" s="444"/>
      <c r="T140" s="444"/>
      <c r="U140" s="444"/>
      <c r="V140" s="444"/>
      <c r="W140" s="444"/>
      <c r="X140" s="444"/>
    </row>
    <row r="141" spans="1:24" ht="15.6" x14ac:dyDescent="0.3">
      <c r="A141" s="438"/>
      <c r="B141" s="439"/>
      <c r="C141" s="440"/>
      <c r="D141" s="441"/>
      <c r="E141" s="441"/>
      <c r="F141" s="442"/>
      <c r="G141" s="443"/>
      <c r="H141" s="442"/>
      <c r="I141" s="455"/>
      <c r="J141" s="444"/>
      <c r="K141" s="652"/>
      <c r="L141" s="444"/>
      <c r="M141" s="444"/>
      <c r="N141" s="444"/>
      <c r="O141" s="444"/>
      <c r="P141" s="444"/>
      <c r="Q141" s="444"/>
      <c r="R141" s="444"/>
      <c r="S141" s="444"/>
      <c r="T141" s="444"/>
      <c r="U141" s="444"/>
      <c r="V141" s="444"/>
      <c r="W141" s="444"/>
      <c r="X141" s="444"/>
    </row>
    <row r="142" spans="1:24" ht="15.6" x14ac:dyDescent="0.3">
      <c r="A142" s="438"/>
      <c r="B142" s="439"/>
      <c r="C142" s="440"/>
      <c r="D142" s="441"/>
      <c r="E142" s="441"/>
      <c r="F142" s="442"/>
      <c r="G142" s="443"/>
      <c r="H142" s="442"/>
      <c r="I142" s="455"/>
      <c r="J142" s="444"/>
      <c r="K142" s="652"/>
      <c r="L142" s="444"/>
      <c r="M142" s="444"/>
      <c r="N142" s="444"/>
      <c r="O142" s="444"/>
      <c r="P142" s="444"/>
      <c r="Q142" s="444"/>
      <c r="R142" s="444"/>
      <c r="S142" s="444"/>
      <c r="T142" s="444"/>
      <c r="U142" s="444"/>
      <c r="V142" s="444"/>
      <c r="W142" s="444"/>
      <c r="X142" s="444"/>
    </row>
    <row r="143" spans="1:24" ht="15.6" x14ac:dyDescent="0.3">
      <c r="A143" s="438"/>
      <c r="B143" s="439"/>
      <c r="C143" s="440"/>
      <c r="D143" s="441"/>
      <c r="E143" s="441"/>
      <c r="F143" s="442"/>
      <c r="G143" s="443"/>
      <c r="H143" s="442"/>
      <c r="I143" s="455"/>
      <c r="J143" s="444"/>
      <c r="K143" s="652"/>
      <c r="L143" s="444"/>
      <c r="M143" s="444"/>
      <c r="N143" s="444"/>
      <c r="O143" s="444"/>
      <c r="P143" s="444"/>
      <c r="Q143" s="444"/>
      <c r="R143" s="444"/>
      <c r="S143" s="444"/>
      <c r="T143" s="444"/>
      <c r="U143" s="444"/>
      <c r="V143" s="444"/>
      <c r="W143" s="444"/>
      <c r="X143" s="444"/>
    </row>
    <row r="144" spans="1:24" ht="15.6" x14ac:dyDescent="0.3">
      <c r="A144" s="438"/>
      <c r="B144" s="439"/>
      <c r="C144" s="440"/>
      <c r="D144" s="441"/>
      <c r="E144" s="441"/>
      <c r="F144" s="442"/>
      <c r="G144" s="443"/>
      <c r="H144" s="442"/>
      <c r="I144" s="455"/>
      <c r="J144" s="444"/>
      <c r="K144" s="652"/>
      <c r="L144" s="444"/>
      <c r="M144" s="444"/>
      <c r="N144" s="444"/>
      <c r="O144" s="444"/>
      <c r="P144" s="444"/>
      <c r="Q144" s="444"/>
      <c r="R144" s="444"/>
      <c r="S144" s="444"/>
      <c r="T144" s="444"/>
      <c r="U144" s="444"/>
      <c r="V144" s="444"/>
      <c r="W144" s="444"/>
      <c r="X144" s="444"/>
    </row>
    <row r="145" spans="1:24" ht="15.6" x14ac:dyDescent="0.3">
      <c r="A145" s="438"/>
      <c r="B145" s="439"/>
      <c r="C145" s="440"/>
      <c r="D145" s="441"/>
      <c r="E145" s="441"/>
      <c r="F145" s="442"/>
      <c r="G145" s="443"/>
      <c r="H145" s="442"/>
      <c r="I145" s="455"/>
      <c r="J145" s="444"/>
      <c r="K145" s="652"/>
      <c r="L145" s="444"/>
      <c r="M145" s="444"/>
      <c r="N145" s="444"/>
      <c r="O145" s="444"/>
      <c r="P145" s="444"/>
      <c r="Q145" s="444"/>
      <c r="R145" s="444"/>
      <c r="S145" s="444"/>
      <c r="T145" s="444"/>
      <c r="U145" s="444"/>
      <c r="V145" s="444"/>
      <c r="W145" s="444"/>
      <c r="X145" s="444"/>
    </row>
    <row r="146" spans="1:24" ht="15.6" x14ac:dyDescent="0.3">
      <c r="A146" s="438"/>
      <c r="B146" s="439"/>
      <c r="C146" s="440"/>
      <c r="D146" s="441"/>
      <c r="E146" s="441"/>
      <c r="F146" s="442"/>
      <c r="G146" s="443"/>
      <c r="H146" s="442"/>
      <c r="I146" s="455"/>
      <c r="J146" s="444"/>
      <c r="K146" s="652"/>
      <c r="L146" s="444"/>
      <c r="M146" s="444"/>
      <c r="N146" s="444"/>
      <c r="O146" s="444"/>
      <c r="P146" s="444"/>
      <c r="Q146" s="444"/>
      <c r="R146" s="444"/>
      <c r="S146" s="444"/>
      <c r="T146" s="444"/>
      <c r="U146" s="444"/>
      <c r="V146" s="444"/>
      <c r="W146" s="444"/>
      <c r="X146" s="444"/>
    </row>
    <row r="147" spans="1:24" ht="15.6" x14ac:dyDescent="0.3">
      <c r="A147" s="438"/>
      <c r="B147" s="439"/>
      <c r="C147" s="440"/>
      <c r="D147" s="441"/>
      <c r="E147" s="441"/>
      <c r="F147" s="442"/>
      <c r="G147" s="443"/>
      <c r="H147" s="442"/>
      <c r="I147" s="455"/>
      <c r="J147" s="444"/>
      <c r="K147" s="652"/>
      <c r="L147" s="444"/>
      <c r="M147" s="444"/>
      <c r="N147" s="444"/>
      <c r="O147" s="444"/>
      <c r="P147" s="444"/>
      <c r="Q147" s="444"/>
      <c r="R147" s="444"/>
      <c r="S147" s="444"/>
      <c r="T147" s="444"/>
      <c r="U147" s="444"/>
      <c r="V147" s="444"/>
      <c r="W147" s="444"/>
      <c r="X147" s="444"/>
    </row>
    <row r="148" spans="1:24" ht="15.6" x14ac:dyDescent="0.3">
      <c r="A148" s="438"/>
      <c r="B148" s="439"/>
      <c r="C148" s="440"/>
      <c r="D148" s="441"/>
      <c r="E148" s="441"/>
      <c r="F148" s="442"/>
      <c r="G148" s="443"/>
      <c r="H148" s="442"/>
      <c r="I148" s="455"/>
      <c r="J148" s="444"/>
      <c r="K148" s="652"/>
      <c r="L148" s="444"/>
      <c r="M148" s="444"/>
      <c r="N148" s="444"/>
      <c r="O148" s="444"/>
      <c r="P148" s="444"/>
      <c r="Q148" s="444"/>
      <c r="R148" s="444"/>
      <c r="S148" s="444"/>
      <c r="T148" s="444"/>
      <c r="U148" s="444"/>
      <c r="V148" s="444"/>
      <c r="W148" s="444"/>
      <c r="X148" s="444"/>
    </row>
    <row r="149" spans="1:24" ht="15.6" x14ac:dyDescent="0.3">
      <c r="A149" s="438"/>
      <c r="B149" s="439"/>
      <c r="C149" s="440"/>
      <c r="D149" s="441"/>
      <c r="E149" s="441"/>
      <c r="F149" s="442"/>
      <c r="G149" s="443"/>
      <c r="H149" s="442"/>
      <c r="I149" s="455"/>
      <c r="J149" s="444"/>
      <c r="K149" s="652"/>
      <c r="L149" s="444"/>
      <c r="M149" s="444"/>
      <c r="N149" s="444"/>
      <c r="O149" s="444"/>
      <c r="P149" s="444"/>
      <c r="Q149" s="444"/>
      <c r="R149" s="444"/>
      <c r="S149" s="444"/>
      <c r="T149" s="444"/>
      <c r="U149" s="444"/>
      <c r="V149" s="444"/>
      <c r="W149" s="444"/>
      <c r="X149" s="444"/>
    </row>
    <row r="150" spans="1:24" ht="15.6" x14ac:dyDescent="0.3">
      <c r="A150" s="438"/>
      <c r="B150" s="439"/>
      <c r="C150" s="440"/>
      <c r="D150" s="441"/>
      <c r="E150" s="441"/>
      <c r="F150" s="442"/>
      <c r="G150" s="443"/>
      <c r="H150" s="442"/>
      <c r="I150" s="455"/>
      <c r="J150" s="444"/>
      <c r="K150" s="652"/>
      <c r="L150" s="444"/>
      <c r="M150" s="444"/>
      <c r="N150" s="444"/>
      <c r="O150" s="444"/>
      <c r="P150" s="444"/>
      <c r="Q150" s="444"/>
      <c r="R150" s="444"/>
      <c r="S150" s="444"/>
      <c r="T150" s="444"/>
      <c r="U150" s="444"/>
      <c r="V150" s="444"/>
      <c r="W150" s="444"/>
      <c r="X150" s="444"/>
    </row>
    <row r="151" spans="1:24" ht="15.6" x14ac:dyDescent="0.3">
      <c r="A151" s="438"/>
      <c r="B151" s="439"/>
      <c r="C151" s="440"/>
      <c r="D151" s="441"/>
      <c r="E151" s="441"/>
      <c r="F151" s="442"/>
      <c r="G151" s="443"/>
      <c r="H151" s="442"/>
      <c r="I151" s="455"/>
      <c r="J151" s="444"/>
      <c r="K151" s="652"/>
      <c r="L151" s="444"/>
      <c r="M151" s="444"/>
      <c r="N151" s="444"/>
      <c r="O151" s="444"/>
      <c r="P151" s="444"/>
      <c r="Q151" s="444"/>
      <c r="R151" s="444"/>
      <c r="S151" s="444"/>
      <c r="T151" s="444"/>
      <c r="U151" s="444"/>
      <c r="V151" s="444"/>
      <c r="W151" s="444"/>
      <c r="X151" s="444"/>
    </row>
    <row r="152" spans="1:24" ht="15.6" x14ac:dyDescent="0.3">
      <c r="A152" s="438"/>
      <c r="B152" s="439"/>
      <c r="C152" s="440"/>
      <c r="D152" s="441"/>
      <c r="E152" s="441"/>
      <c r="F152" s="442"/>
      <c r="G152" s="443"/>
      <c r="H152" s="442"/>
      <c r="I152" s="455"/>
      <c r="J152" s="444"/>
      <c r="K152" s="652"/>
      <c r="L152" s="444"/>
      <c r="M152" s="444"/>
      <c r="N152" s="444"/>
      <c r="O152" s="444"/>
      <c r="P152" s="444"/>
      <c r="Q152" s="444"/>
      <c r="R152" s="444"/>
      <c r="S152" s="444"/>
      <c r="T152" s="444"/>
      <c r="U152" s="444"/>
      <c r="V152" s="444"/>
      <c r="W152" s="444"/>
      <c r="X152" s="444"/>
    </row>
    <row r="153" spans="1:24" ht="15.6" x14ac:dyDescent="0.3">
      <c r="A153" s="438"/>
      <c r="B153" s="439"/>
      <c r="C153" s="440"/>
      <c r="D153" s="441"/>
      <c r="E153" s="441"/>
      <c r="F153" s="442"/>
      <c r="G153" s="443"/>
      <c r="H153" s="442"/>
      <c r="I153" s="455"/>
      <c r="J153" s="444"/>
      <c r="K153" s="652"/>
      <c r="L153" s="444"/>
      <c r="M153" s="444"/>
      <c r="N153" s="444"/>
      <c r="O153" s="444"/>
      <c r="P153" s="444"/>
      <c r="Q153" s="444"/>
      <c r="R153" s="444"/>
      <c r="S153" s="444"/>
      <c r="T153" s="444"/>
      <c r="U153" s="444"/>
      <c r="V153" s="444"/>
      <c r="W153" s="444"/>
      <c r="X153" s="444"/>
    </row>
    <row r="154" spans="1:24" ht="15.6" x14ac:dyDescent="0.3">
      <c r="A154" s="438"/>
      <c r="B154" s="439"/>
      <c r="C154" s="440"/>
      <c r="D154" s="441"/>
      <c r="E154" s="441"/>
      <c r="F154" s="442"/>
      <c r="G154" s="443"/>
      <c r="H154" s="442"/>
      <c r="I154" s="455"/>
      <c r="J154" s="444"/>
      <c r="K154" s="652"/>
      <c r="L154" s="444"/>
      <c r="M154" s="444"/>
      <c r="N154" s="444"/>
      <c r="O154" s="444"/>
      <c r="P154" s="444"/>
      <c r="Q154" s="444"/>
      <c r="R154" s="444"/>
      <c r="S154" s="444"/>
      <c r="T154" s="444"/>
      <c r="U154" s="444"/>
      <c r="V154" s="444"/>
      <c r="W154" s="444"/>
      <c r="X154" s="444"/>
    </row>
    <row r="155" spans="1:24" ht="15.6" x14ac:dyDescent="0.3">
      <c r="A155" s="438"/>
      <c r="B155" s="439"/>
      <c r="C155" s="440"/>
      <c r="D155" s="441"/>
      <c r="E155" s="441"/>
      <c r="F155" s="442"/>
      <c r="G155" s="443"/>
      <c r="H155" s="442"/>
      <c r="I155" s="455"/>
      <c r="J155" s="444"/>
      <c r="K155" s="652"/>
      <c r="L155" s="444"/>
      <c r="M155" s="444"/>
      <c r="N155" s="444"/>
      <c r="O155" s="444"/>
      <c r="P155" s="444"/>
      <c r="Q155" s="444"/>
      <c r="R155" s="444"/>
      <c r="S155" s="444"/>
      <c r="T155" s="444"/>
      <c r="U155" s="444"/>
      <c r="V155" s="444"/>
      <c r="W155" s="444"/>
      <c r="X155" s="444"/>
    </row>
    <row r="156" spans="1:24" ht="15.6" x14ac:dyDescent="0.3">
      <c r="A156" s="438"/>
      <c r="B156" s="439"/>
      <c r="C156" s="440"/>
      <c r="D156" s="441"/>
      <c r="E156" s="441"/>
      <c r="F156" s="442"/>
      <c r="G156" s="443"/>
      <c r="H156" s="442"/>
      <c r="I156" s="455"/>
      <c r="J156" s="444"/>
      <c r="K156" s="652"/>
      <c r="L156" s="444"/>
      <c r="M156" s="444"/>
      <c r="N156" s="444"/>
      <c r="O156" s="444"/>
      <c r="P156" s="444"/>
      <c r="Q156" s="444"/>
      <c r="R156" s="444"/>
      <c r="S156" s="444"/>
      <c r="T156" s="444"/>
      <c r="U156" s="444"/>
      <c r="V156" s="444"/>
      <c r="W156" s="444"/>
      <c r="X156" s="444"/>
    </row>
    <row r="157" spans="1:24" ht="15.6" x14ac:dyDescent="0.3">
      <c r="A157" s="438"/>
      <c r="B157" s="439"/>
      <c r="C157" s="440"/>
      <c r="D157" s="441"/>
      <c r="E157" s="441"/>
      <c r="F157" s="442"/>
      <c r="G157" s="443"/>
      <c r="H157" s="442"/>
      <c r="I157" s="455"/>
      <c r="J157" s="444"/>
      <c r="K157" s="652"/>
      <c r="L157" s="444"/>
      <c r="M157" s="444"/>
      <c r="N157" s="444"/>
      <c r="O157" s="444"/>
      <c r="P157" s="444"/>
      <c r="Q157" s="444"/>
      <c r="R157" s="444"/>
      <c r="S157" s="444"/>
      <c r="T157" s="444"/>
      <c r="U157" s="444"/>
      <c r="V157" s="444"/>
      <c r="W157" s="444"/>
      <c r="X157" s="444"/>
    </row>
    <row r="158" spans="1:24" ht="15.6" x14ac:dyDescent="0.3">
      <c r="A158" s="438"/>
      <c r="B158" s="439"/>
      <c r="C158" s="440"/>
      <c r="D158" s="441"/>
      <c r="E158" s="441"/>
      <c r="F158" s="442"/>
      <c r="G158" s="443"/>
      <c r="H158" s="442"/>
      <c r="I158" s="455"/>
      <c r="J158" s="444"/>
      <c r="K158" s="652"/>
      <c r="L158" s="444"/>
      <c r="M158" s="444"/>
      <c r="N158" s="444"/>
      <c r="O158" s="444"/>
      <c r="P158" s="444"/>
      <c r="Q158" s="444"/>
      <c r="R158" s="444"/>
      <c r="S158" s="444"/>
      <c r="T158" s="444"/>
      <c r="U158" s="444"/>
      <c r="V158" s="444"/>
      <c r="W158" s="444"/>
      <c r="X158" s="444"/>
    </row>
    <row r="159" spans="1:24" ht="15.6" x14ac:dyDescent="0.3">
      <c r="A159" s="438"/>
      <c r="B159" s="439"/>
      <c r="C159" s="440"/>
      <c r="D159" s="441"/>
      <c r="E159" s="441"/>
      <c r="F159" s="442"/>
      <c r="G159" s="443"/>
      <c r="H159" s="442"/>
      <c r="I159" s="455"/>
      <c r="J159" s="444"/>
      <c r="K159" s="652"/>
      <c r="L159" s="444"/>
      <c r="M159" s="444"/>
      <c r="N159" s="444"/>
      <c r="O159" s="444"/>
      <c r="P159" s="444"/>
      <c r="Q159" s="444"/>
      <c r="R159" s="444"/>
      <c r="S159" s="444"/>
      <c r="T159" s="444"/>
      <c r="U159" s="444"/>
      <c r="V159" s="444"/>
      <c r="W159" s="444"/>
      <c r="X159" s="444"/>
    </row>
    <row r="160" spans="1:24" ht="15.6" x14ac:dyDescent="0.3">
      <c r="A160" s="438"/>
      <c r="B160" s="439"/>
      <c r="C160" s="440"/>
      <c r="D160" s="441"/>
      <c r="E160" s="441"/>
      <c r="F160" s="442"/>
      <c r="G160" s="443"/>
      <c r="H160" s="442"/>
      <c r="I160" s="455"/>
      <c r="J160" s="444"/>
      <c r="K160" s="652"/>
      <c r="L160" s="444"/>
      <c r="M160" s="444"/>
      <c r="N160" s="444"/>
      <c r="O160" s="444"/>
      <c r="P160" s="444"/>
      <c r="Q160" s="444"/>
      <c r="R160" s="444"/>
      <c r="S160" s="444"/>
      <c r="T160" s="444"/>
      <c r="U160" s="444"/>
      <c r="V160" s="444"/>
      <c r="W160" s="444"/>
      <c r="X160" s="444"/>
    </row>
    <row r="161" spans="1:24" ht="15.6" x14ac:dyDescent="0.3">
      <c r="A161" s="438"/>
      <c r="B161" s="439"/>
      <c r="C161" s="440"/>
      <c r="D161" s="441"/>
      <c r="E161" s="441"/>
      <c r="F161" s="442"/>
      <c r="G161" s="443"/>
      <c r="H161" s="442"/>
      <c r="I161" s="455"/>
      <c r="J161" s="444"/>
      <c r="K161" s="652"/>
      <c r="L161" s="444"/>
      <c r="M161" s="444"/>
      <c r="N161" s="444"/>
      <c r="O161" s="444"/>
      <c r="P161" s="444"/>
      <c r="Q161" s="444"/>
      <c r="R161" s="444"/>
      <c r="S161" s="444"/>
      <c r="T161" s="444"/>
      <c r="U161" s="444"/>
      <c r="V161" s="444"/>
      <c r="W161" s="444"/>
      <c r="X161" s="444"/>
    </row>
    <row r="162" spans="1:24" ht="15.6" x14ac:dyDescent="0.3">
      <c r="A162" s="438"/>
      <c r="B162" s="439"/>
      <c r="C162" s="440"/>
      <c r="D162" s="441"/>
      <c r="E162" s="441"/>
      <c r="F162" s="442"/>
      <c r="G162" s="443"/>
      <c r="H162" s="442"/>
      <c r="I162" s="455"/>
      <c r="J162" s="444"/>
      <c r="K162" s="652"/>
      <c r="L162" s="444"/>
      <c r="M162" s="444"/>
      <c r="N162" s="444"/>
      <c r="O162" s="444"/>
      <c r="P162" s="444"/>
      <c r="Q162" s="444"/>
      <c r="R162" s="444"/>
      <c r="S162" s="444"/>
      <c r="T162" s="444"/>
      <c r="U162" s="444"/>
      <c r="V162" s="444"/>
      <c r="W162" s="444"/>
      <c r="X162" s="444"/>
    </row>
    <row r="163" spans="1:24" ht="15.6" x14ac:dyDescent="0.3">
      <c r="A163" s="438"/>
      <c r="B163" s="439"/>
      <c r="C163" s="440"/>
      <c r="D163" s="441"/>
      <c r="E163" s="441"/>
      <c r="F163" s="442"/>
      <c r="G163" s="443"/>
      <c r="H163" s="442"/>
      <c r="I163" s="455"/>
      <c r="J163" s="444"/>
      <c r="K163" s="652"/>
      <c r="L163" s="444"/>
      <c r="M163" s="444"/>
      <c r="N163" s="444"/>
      <c r="O163" s="444"/>
      <c r="P163" s="444"/>
      <c r="Q163" s="444"/>
      <c r="R163" s="444"/>
      <c r="S163" s="444"/>
      <c r="T163" s="444"/>
      <c r="U163" s="444"/>
      <c r="V163" s="444"/>
      <c r="W163" s="444"/>
      <c r="X163" s="444"/>
    </row>
    <row r="164" spans="1:24" ht="15.6" x14ac:dyDescent="0.3">
      <c r="A164" s="438"/>
      <c r="B164" s="439"/>
      <c r="C164" s="440"/>
      <c r="D164" s="441"/>
      <c r="E164" s="441"/>
      <c r="F164" s="442"/>
      <c r="G164" s="443"/>
      <c r="H164" s="442"/>
      <c r="I164" s="455"/>
      <c r="J164" s="444"/>
      <c r="K164" s="652"/>
      <c r="L164" s="444"/>
      <c r="M164" s="444"/>
      <c r="N164" s="444"/>
      <c r="O164" s="444"/>
      <c r="P164" s="444"/>
      <c r="Q164" s="444"/>
      <c r="R164" s="444"/>
      <c r="S164" s="444"/>
      <c r="T164" s="444"/>
      <c r="U164" s="444"/>
      <c r="V164" s="444"/>
      <c r="W164" s="444"/>
      <c r="X164" s="444"/>
    </row>
    <row r="165" spans="1:24" ht="15.6" x14ac:dyDescent="0.3">
      <c r="A165" s="438"/>
      <c r="B165" s="439"/>
      <c r="C165" s="440"/>
      <c r="D165" s="441"/>
      <c r="E165" s="441"/>
      <c r="F165" s="442"/>
      <c r="G165" s="443"/>
      <c r="H165" s="442"/>
      <c r="I165" s="455"/>
      <c r="J165" s="444"/>
      <c r="K165" s="652"/>
      <c r="L165" s="444"/>
      <c r="M165" s="444"/>
      <c r="N165" s="444"/>
      <c r="O165" s="444"/>
      <c r="P165" s="444"/>
      <c r="Q165" s="444"/>
      <c r="R165" s="444"/>
      <c r="S165" s="444"/>
      <c r="T165" s="444"/>
      <c r="U165" s="444"/>
      <c r="V165" s="444"/>
      <c r="W165" s="444"/>
      <c r="X165" s="444"/>
    </row>
    <row r="166" spans="1:24" ht="15.6" x14ac:dyDescent="0.3">
      <c r="A166" s="438"/>
      <c r="B166" s="439"/>
      <c r="C166" s="440"/>
      <c r="D166" s="441"/>
      <c r="E166" s="441"/>
      <c r="F166" s="442"/>
      <c r="G166" s="443"/>
      <c r="H166" s="442"/>
      <c r="I166" s="455"/>
      <c r="J166" s="444"/>
      <c r="K166" s="652"/>
      <c r="L166" s="444"/>
      <c r="M166" s="444"/>
      <c r="N166" s="444"/>
      <c r="O166" s="444"/>
      <c r="P166" s="444"/>
      <c r="Q166" s="444"/>
      <c r="R166" s="444"/>
      <c r="S166" s="444"/>
      <c r="T166" s="444"/>
      <c r="U166" s="444"/>
      <c r="V166" s="444"/>
      <c r="W166" s="444"/>
      <c r="X166" s="444"/>
    </row>
    <row r="167" spans="1:24" ht="15.6" x14ac:dyDescent="0.3">
      <c r="A167" s="438"/>
      <c r="B167" s="439"/>
      <c r="C167" s="440"/>
      <c r="D167" s="441"/>
      <c r="E167" s="441"/>
      <c r="F167" s="442"/>
      <c r="G167" s="443"/>
      <c r="H167" s="442"/>
      <c r="I167" s="455"/>
      <c r="J167" s="444"/>
      <c r="K167" s="652"/>
      <c r="L167" s="444"/>
      <c r="M167" s="444"/>
      <c r="N167" s="444"/>
      <c r="O167" s="444"/>
      <c r="P167" s="444"/>
      <c r="Q167" s="444"/>
      <c r="R167" s="444"/>
      <c r="S167" s="444"/>
      <c r="T167" s="444"/>
      <c r="U167" s="444"/>
      <c r="V167" s="444"/>
      <c r="W167" s="444"/>
      <c r="X167" s="444"/>
    </row>
    <row r="168" spans="1:24" ht="15.6" x14ac:dyDescent="0.3">
      <c r="A168" s="438"/>
      <c r="B168" s="439"/>
      <c r="C168" s="440"/>
      <c r="D168" s="441"/>
      <c r="E168" s="441"/>
      <c r="F168" s="442"/>
      <c r="G168" s="443"/>
      <c r="H168" s="442"/>
      <c r="I168" s="455"/>
      <c r="J168" s="444"/>
      <c r="K168" s="652"/>
      <c r="L168" s="444"/>
      <c r="M168" s="444"/>
      <c r="N168" s="444"/>
      <c r="O168" s="444"/>
      <c r="P168" s="444"/>
      <c r="Q168" s="444"/>
      <c r="R168" s="444"/>
      <c r="S168" s="444"/>
      <c r="T168" s="444"/>
      <c r="U168" s="444"/>
      <c r="V168" s="444"/>
      <c r="W168" s="444"/>
      <c r="X168" s="444"/>
    </row>
    <row r="169" spans="1:24" ht="15.6" x14ac:dyDescent="0.3">
      <c r="A169" s="438"/>
      <c r="B169" s="439"/>
      <c r="C169" s="440"/>
      <c r="D169" s="441"/>
      <c r="E169" s="441"/>
      <c r="F169" s="442"/>
      <c r="G169" s="443"/>
      <c r="H169" s="442"/>
      <c r="I169" s="455"/>
      <c r="J169" s="444"/>
      <c r="K169" s="652"/>
      <c r="L169" s="444"/>
      <c r="M169" s="444"/>
      <c r="N169" s="444"/>
      <c r="O169" s="444"/>
      <c r="P169" s="444"/>
      <c r="Q169" s="444"/>
      <c r="R169" s="444"/>
      <c r="S169" s="444"/>
      <c r="T169" s="444"/>
      <c r="U169" s="444"/>
      <c r="V169" s="444"/>
      <c r="W169" s="444"/>
      <c r="X169" s="444"/>
    </row>
    <row r="170" spans="1:24" ht="15.6" x14ac:dyDescent="0.3">
      <c r="A170" s="438"/>
      <c r="B170" s="439"/>
      <c r="C170" s="440"/>
      <c r="D170" s="441"/>
      <c r="E170" s="441"/>
      <c r="F170" s="442"/>
      <c r="G170" s="443"/>
      <c r="H170" s="442"/>
      <c r="I170" s="455"/>
      <c r="J170" s="444"/>
      <c r="K170" s="652"/>
      <c r="L170" s="444"/>
      <c r="M170" s="444"/>
      <c r="N170" s="444"/>
      <c r="O170" s="444"/>
      <c r="P170" s="444"/>
      <c r="Q170" s="444"/>
      <c r="R170" s="444"/>
      <c r="S170" s="444"/>
      <c r="T170" s="444"/>
      <c r="U170" s="444"/>
      <c r="V170" s="444"/>
      <c r="W170" s="444"/>
      <c r="X170" s="444"/>
    </row>
    <row r="171" spans="1:24" ht="15.6" x14ac:dyDescent="0.3">
      <c r="A171" s="438"/>
      <c r="B171" s="439"/>
      <c r="C171" s="440"/>
      <c r="D171" s="441"/>
      <c r="E171" s="441"/>
      <c r="F171" s="442"/>
      <c r="G171" s="443"/>
      <c r="H171" s="442"/>
      <c r="I171" s="455"/>
      <c r="J171" s="444"/>
      <c r="K171" s="652"/>
      <c r="L171" s="444"/>
      <c r="M171" s="444"/>
      <c r="N171" s="444"/>
      <c r="O171" s="444"/>
      <c r="P171" s="444"/>
      <c r="Q171" s="444"/>
      <c r="R171" s="444"/>
      <c r="S171" s="444"/>
      <c r="T171" s="444"/>
      <c r="U171" s="444"/>
      <c r="V171" s="444"/>
      <c r="W171" s="444"/>
      <c r="X171" s="444"/>
    </row>
    <row r="172" spans="1:24" ht="15.6" x14ac:dyDescent="0.3">
      <c r="A172" s="438"/>
      <c r="B172" s="439"/>
      <c r="C172" s="440"/>
      <c r="D172" s="441"/>
      <c r="E172" s="441"/>
      <c r="F172" s="442"/>
      <c r="G172" s="443"/>
      <c r="H172" s="442"/>
      <c r="I172" s="455"/>
      <c r="J172" s="444"/>
      <c r="K172" s="652"/>
      <c r="L172" s="444"/>
      <c r="M172" s="444"/>
      <c r="N172" s="444"/>
      <c r="O172" s="444"/>
      <c r="P172" s="444"/>
      <c r="Q172" s="444"/>
      <c r="R172" s="444"/>
      <c r="S172" s="444"/>
      <c r="T172" s="444"/>
      <c r="U172" s="444"/>
      <c r="V172" s="444"/>
      <c r="W172" s="444"/>
      <c r="X172" s="444"/>
    </row>
    <row r="173" spans="1:24" ht="15.6" x14ac:dyDescent="0.3">
      <c r="A173" s="438"/>
      <c r="B173" s="439"/>
      <c r="C173" s="440"/>
      <c r="D173" s="441"/>
      <c r="E173" s="441"/>
      <c r="F173" s="442"/>
      <c r="G173" s="443"/>
      <c r="H173" s="442"/>
      <c r="I173" s="455"/>
      <c r="J173" s="444"/>
      <c r="K173" s="652"/>
      <c r="L173" s="444"/>
      <c r="M173" s="444"/>
      <c r="N173" s="444"/>
      <c r="O173" s="444"/>
      <c r="P173" s="444"/>
      <c r="Q173" s="444"/>
      <c r="R173" s="444"/>
      <c r="S173" s="444"/>
      <c r="T173" s="444"/>
      <c r="U173" s="444"/>
      <c r="V173" s="444"/>
      <c r="W173" s="444"/>
      <c r="X173" s="444"/>
    </row>
    <row r="174" spans="1:24" ht="15.6" x14ac:dyDescent="0.3">
      <c r="A174" s="438"/>
      <c r="B174" s="439"/>
      <c r="C174" s="440"/>
      <c r="D174" s="441"/>
      <c r="E174" s="441"/>
      <c r="F174" s="442"/>
      <c r="G174" s="443"/>
      <c r="H174" s="442"/>
      <c r="I174" s="455"/>
      <c r="J174" s="444"/>
      <c r="K174" s="652"/>
      <c r="L174" s="444"/>
      <c r="M174" s="444"/>
      <c r="N174" s="444"/>
      <c r="O174" s="444"/>
      <c r="P174" s="444"/>
      <c r="Q174" s="444"/>
      <c r="R174" s="444"/>
      <c r="S174" s="444"/>
      <c r="T174" s="444"/>
      <c r="U174" s="444"/>
      <c r="V174" s="444"/>
      <c r="W174" s="444"/>
      <c r="X174" s="444"/>
    </row>
    <row r="175" spans="1:24" ht="15.6" x14ac:dyDescent="0.3">
      <c r="A175" s="438"/>
      <c r="B175" s="439"/>
      <c r="C175" s="440"/>
      <c r="D175" s="441"/>
      <c r="E175" s="441"/>
      <c r="F175" s="442"/>
      <c r="G175" s="443"/>
      <c r="H175" s="442"/>
      <c r="I175" s="455"/>
      <c r="J175" s="444"/>
      <c r="K175" s="652"/>
      <c r="L175" s="444"/>
      <c r="M175" s="444"/>
      <c r="N175" s="444"/>
      <c r="O175" s="444"/>
      <c r="P175" s="444"/>
      <c r="Q175" s="444"/>
      <c r="R175" s="444"/>
      <c r="S175" s="444"/>
      <c r="T175" s="444"/>
      <c r="U175" s="444"/>
      <c r="V175" s="444"/>
      <c r="W175" s="444"/>
      <c r="X175" s="444"/>
    </row>
    <row r="176" spans="1:24" ht="15.6" x14ac:dyDescent="0.3">
      <c r="A176" s="438"/>
      <c r="B176" s="439"/>
      <c r="C176" s="440"/>
      <c r="D176" s="441"/>
      <c r="E176" s="441"/>
      <c r="F176" s="442"/>
      <c r="G176" s="443"/>
      <c r="H176" s="442"/>
      <c r="I176" s="455"/>
      <c r="J176" s="444"/>
      <c r="K176" s="652"/>
      <c r="L176" s="444"/>
      <c r="M176" s="444"/>
      <c r="N176" s="444"/>
      <c r="O176" s="444"/>
      <c r="P176" s="444"/>
      <c r="Q176" s="444"/>
      <c r="R176" s="444"/>
      <c r="S176" s="444"/>
      <c r="T176" s="444"/>
      <c r="U176" s="444"/>
      <c r="V176" s="444"/>
      <c r="W176" s="444"/>
      <c r="X176" s="444"/>
    </row>
    <row r="177" spans="1:24" ht="15.6" x14ac:dyDescent="0.3">
      <c r="A177" s="438"/>
      <c r="B177" s="439"/>
      <c r="C177" s="440"/>
      <c r="D177" s="441"/>
      <c r="E177" s="441"/>
      <c r="F177" s="442"/>
      <c r="G177" s="443"/>
      <c r="H177" s="442"/>
      <c r="I177" s="455"/>
      <c r="J177" s="444"/>
      <c r="K177" s="652"/>
      <c r="L177" s="444"/>
      <c r="M177" s="444"/>
      <c r="N177" s="444"/>
      <c r="O177" s="444"/>
      <c r="P177" s="444"/>
      <c r="Q177" s="444"/>
      <c r="R177" s="444"/>
      <c r="S177" s="444"/>
      <c r="T177" s="444"/>
      <c r="U177" s="444"/>
      <c r="V177" s="444"/>
      <c r="W177" s="444"/>
      <c r="X177" s="444"/>
    </row>
    <row r="178" spans="1:24" ht="15.6" x14ac:dyDescent="0.3">
      <c r="A178" s="438"/>
      <c r="B178" s="439"/>
      <c r="C178" s="440"/>
      <c r="D178" s="441"/>
      <c r="E178" s="441"/>
      <c r="F178" s="442"/>
      <c r="G178" s="443"/>
      <c r="H178" s="442"/>
      <c r="I178" s="455"/>
      <c r="J178" s="444"/>
      <c r="K178" s="652"/>
      <c r="L178" s="444"/>
      <c r="M178" s="444"/>
      <c r="N178" s="444"/>
      <c r="O178" s="444"/>
      <c r="P178" s="444"/>
      <c r="Q178" s="444"/>
      <c r="R178" s="444"/>
      <c r="S178" s="444"/>
      <c r="T178" s="444"/>
      <c r="U178" s="444"/>
      <c r="V178" s="444"/>
      <c r="W178" s="444"/>
      <c r="X178" s="444"/>
    </row>
    <row r="179" spans="1:24" ht="15.6" x14ac:dyDescent="0.3">
      <c r="A179" s="438"/>
      <c r="B179" s="439"/>
      <c r="C179" s="440"/>
      <c r="D179" s="441"/>
      <c r="E179" s="441"/>
      <c r="F179" s="442"/>
      <c r="G179" s="443"/>
      <c r="H179" s="442"/>
      <c r="I179" s="455"/>
      <c r="J179" s="444"/>
      <c r="K179" s="652"/>
      <c r="L179" s="444"/>
      <c r="M179" s="444"/>
      <c r="N179" s="444"/>
      <c r="O179" s="444"/>
      <c r="P179" s="444"/>
      <c r="Q179" s="444"/>
      <c r="R179" s="444"/>
      <c r="S179" s="444"/>
      <c r="T179" s="444"/>
      <c r="U179" s="444"/>
      <c r="V179" s="444"/>
      <c r="W179" s="444"/>
      <c r="X179" s="444"/>
    </row>
    <row r="180" spans="1:24" ht="15.6" x14ac:dyDescent="0.3">
      <c r="A180" s="438"/>
      <c r="B180" s="439"/>
      <c r="C180" s="440"/>
      <c r="D180" s="441"/>
      <c r="E180" s="441"/>
      <c r="F180" s="442"/>
      <c r="G180" s="443"/>
      <c r="H180" s="442"/>
      <c r="I180" s="455"/>
      <c r="J180" s="444"/>
      <c r="K180" s="652"/>
      <c r="L180" s="444"/>
      <c r="M180" s="444"/>
      <c r="N180" s="444"/>
      <c r="O180" s="444"/>
      <c r="P180" s="444"/>
      <c r="Q180" s="444"/>
      <c r="R180" s="444"/>
      <c r="S180" s="444"/>
      <c r="T180" s="444"/>
      <c r="U180" s="444"/>
      <c r="V180" s="444"/>
      <c r="W180" s="444"/>
      <c r="X180" s="444"/>
    </row>
    <row r="181" spans="1:24" ht="15.6" x14ac:dyDescent="0.3">
      <c r="A181" s="438"/>
      <c r="B181" s="439"/>
      <c r="C181" s="440"/>
      <c r="D181" s="441"/>
      <c r="E181" s="441"/>
      <c r="F181" s="442"/>
      <c r="G181" s="443"/>
      <c r="H181" s="442"/>
      <c r="I181" s="455"/>
      <c r="J181" s="444"/>
      <c r="K181" s="652"/>
      <c r="L181" s="444"/>
      <c r="M181" s="444"/>
      <c r="N181" s="444"/>
      <c r="O181" s="444"/>
      <c r="P181" s="444"/>
      <c r="Q181" s="444"/>
      <c r="R181" s="444"/>
      <c r="S181" s="444"/>
      <c r="T181" s="444"/>
      <c r="U181" s="444"/>
      <c r="V181" s="444"/>
      <c r="W181" s="444"/>
      <c r="X181" s="444"/>
    </row>
    <row r="182" spans="1:24" ht="15.6" x14ac:dyDescent="0.3">
      <c r="A182" s="438"/>
      <c r="B182" s="439"/>
      <c r="C182" s="440"/>
      <c r="D182" s="441"/>
      <c r="E182" s="441"/>
      <c r="F182" s="442"/>
      <c r="G182" s="443"/>
      <c r="H182" s="442"/>
      <c r="I182" s="455"/>
      <c r="J182" s="444"/>
      <c r="K182" s="652"/>
      <c r="L182" s="444"/>
      <c r="M182" s="444"/>
      <c r="N182" s="444"/>
      <c r="O182" s="444"/>
      <c r="P182" s="444"/>
      <c r="Q182" s="444"/>
      <c r="R182" s="444"/>
      <c r="S182" s="444"/>
      <c r="T182" s="444"/>
      <c r="U182" s="444"/>
      <c r="V182" s="444"/>
      <c r="W182" s="444"/>
      <c r="X182" s="444"/>
    </row>
    <row r="183" spans="1:24" ht="15.6" x14ac:dyDescent="0.3">
      <c r="A183" s="438"/>
      <c r="B183" s="439"/>
      <c r="C183" s="440"/>
      <c r="D183" s="441"/>
      <c r="E183" s="441"/>
      <c r="F183" s="442"/>
      <c r="G183" s="443"/>
      <c r="H183" s="442"/>
      <c r="I183" s="455"/>
      <c r="J183" s="444"/>
      <c r="K183" s="652"/>
      <c r="L183" s="444"/>
      <c r="M183" s="444"/>
      <c r="N183" s="444"/>
      <c r="O183" s="444"/>
      <c r="P183" s="444"/>
      <c r="Q183" s="444"/>
      <c r="R183" s="444"/>
      <c r="S183" s="444"/>
      <c r="T183" s="444"/>
      <c r="U183" s="444"/>
      <c r="V183" s="444"/>
      <c r="W183" s="444"/>
      <c r="X183" s="444"/>
    </row>
    <row r="184" spans="1:24" ht="15.6" x14ac:dyDescent="0.3">
      <c r="A184" s="438"/>
      <c r="B184" s="439"/>
      <c r="C184" s="440"/>
      <c r="D184" s="441"/>
      <c r="E184" s="441"/>
      <c r="F184" s="442"/>
      <c r="G184" s="443"/>
      <c r="H184" s="442"/>
      <c r="I184" s="455"/>
      <c r="J184" s="444"/>
      <c r="K184" s="652"/>
      <c r="L184" s="444"/>
      <c r="M184" s="444"/>
      <c r="N184" s="444"/>
      <c r="O184" s="444"/>
      <c r="P184" s="444"/>
      <c r="Q184" s="444"/>
      <c r="R184" s="444"/>
      <c r="S184" s="444"/>
      <c r="T184" s="444"/>
      <c r="U184" s="444"/>
      <c r="V184" s="444"/>
      <c r="W184" s="444"/>
      <c r="X184" s="444"/>
    </row>
    <row r="185" spans="1:24" ht="15.6" x14ac:dyDescent="0.3">
      <c r="A185" s="438"/>
      <c r="B185" s="439"/>
      <c r="C185" s="440"/>
      <c r="D185" s="441"/>
      <c r="E185" s="441"/>
      <c r="F185" s="442"/>
      <c r="G185" s="443"/>
      <c r="H185" s="442"/>
      <c r="I185" s="455"/>
      <c r="J185" s="444"/>
      <c r="K185" s="652"/>
      <c r="L185" s="444"/>
      <c r="M185" s="444"/>
      <c r="N185" s="444"/>
      <c r="O185" s="444"/>
      <c r="P185" s="444"/>
      <c r="Q185" s="444"/>
      <c r="R185" s="444"/>
      <c r="S185" s="444"/>
      <c r="T185" s="444"/>
      <c r="U185" s="444"/>
      <c r="V185" s="444"/>
      <c r="W185" s="444"/>
      <c r="X185" s="444"/>
    </row>
    <row r="186" spans="1:24" ht="15.6" x14ac:dyDescent="0.3">
      <c r="A186" s="438"/>
      <c r="B186" s="439"/>
      <c r="C186" s="440"/>
      <c r="D186" s="441"/>
      <c r="E186" s="441"/>
      <c r="F186" s="442"/>
      <c r="G186" s="443"/>
      <c r="H186" s="442"/>
      <c r="I186" s="455"/>
      <c r="J186" s="444"/>
      <c r="K186" s="652"/>
      <c r="L186" s="444"/>
      <c r="M186" s="444"/>
      <c r="N186" s="444"/>
      <c r="O186" s="444"/>
      <c r="P186" s="444"/>
      <c r="Q186" s="444"/>
      <c r="R186" s="444"/>
      <c r="S186" s="444"/>
      <c r="T186" s="444"/>
      <c r="U186" s="444"/>
      <c r="V186" s="444"/>
      <c r="W186" s="444"/>
      <c r="X186" s="444"/>
    </row>
    <row r="187" spans="1:24" ht="15.6" x14ac:dyDescent="0.3">
      <c r="A187" s="438"/>
      <c r="B187" s="439"/>
      <c r="C187" s="440"/>
      <c r="D187" s="441"/>
      <c r="E187" s="441"/>
      <c r="F187" s="442"/>
      <c r="G187" s="443"/>
      <c r="H187" s="442"/>
      <c r="I187" s="455"/>
      <c r="J187" s="444"/>
      <c r="K187" s="652"/>
      <c r="L187" s="444"/>
      <c r="M187" s="444"/>
      <c r="N187" s="444"/>
      <c r="O187" s="444"/>
      <c r="P187" s="444"/>
      <c r="Q187" s="444"/>
      <c r="R187" s="444"/>
      <c r="S187" s="444"/>
      <c r="T187" s="444"/>
      <c r="U187" s="444"/>
      <c r="V187" s="444"/>
      <c r="W187" s="444"/>
      <c r="X187" s="444"/>
    </row>
    <row r="188" spans="1:24" ht="15.6" x14ac:dyDescent="0.3">
      <c r="A188" s="438"/>
      <c r="B188" s="439"/>
      <c r="C188" s="440"/>
      <c r="D188" s="441"/>
      <c r="E188" s="441"/>
      <c r="F188" s="442"/>
      <c r="G188" s="443"/>
      <c r="H188" s="442"/>
      <c r="I188" s="455"/>
      <c r="J188" s="444"/>
      <c r="K188" s="652"/>
      <c r="L188" s="444"/>
      <c r="M188" s="444"/>
      <c r="N188" s="444"/>
      <c r="O188" s="444"/>
      <c r="P188" s="444"/>
      <c r="Q188" s="444"/>
      <c r="R188" s="444"/>
      <c r="S188" s="444"/>
      <c r="T188" s="444"/>
      <c r="U188" s="444"/>
      <c r="V188" s="444"/>
      <c r="W188" s="444"/>
      <c r="X188" s="444"/>
    </row>
    <row r="189" spans="1:24" ht="15.6" x14ac:dyDescent="0.3">
      <c r="A189" s="438"/>
      <c r="B189" s="439"/>
      <c r="C189" s="440"/>
      <c r="D189" s="441"/>
      <c r="E189" s="441"/>
      <c r="F189" s="442"/>
      <c r="G189" s="443"/>
      <c r="H189" s="442"/>
      <c r="I189" s="455"/>
      <c r="J189" s="444"/>
      <c r="K189" s="652"/>
      <c r="L189" s="444"/>
      <c r="M189" s="444"/>
      <c r="N189" s="444"/>
      <c r="O189" s="444"/>
      <c r="P189" s="444"/>
      <c r="Q189" s="444"/>
      <c r="R189" s="444"/>
      <c r="S189" s="444"/>
      <c r="T189" s="444"/>
      <c r="U189" s="444"/>
      <c r="V189" s="444"/>
      <c r="W189" s="444"/>
      <c r="X189" s="444"/>
    </row>
    <row r="190" spans="1:24" ht="15.6" x14ac:dyDescent="0.3">
      <c r="A190" s="438"/>
      <c r="B190" s="439"/>
      <c r="C190" s="440"/>
      <c r="D190" s="441"/>
      <c r="E190" s="441"/>
      <c r="F190" s="442"/>
      <c r="G190" s="443"/>
      <c r="H190" s="442"/>
      <c r="I190" s="455"/>
      <c r="J190" s="444"/>
      <c r="K190" s="652"/>
      <c r="L190" s="444"/>
      <c r="M190" s="444"/>
      <c r="N190" s="444"/>
      <c r="O190" s="444"/>
      <c r="P190" s="444"/>
      <c r="Q190" s="444"/>
      <c r="R190" s="444"/>
      <c r="S190" s="444"/>
      <c r="T190" s="444"/>
      <c r="U190" s="444"/>
      <c r="V190" s="444"/>
      <c r="W190" s="444"/>
      <c r="X190" s="444"/>
    </row>
    <row r="191" spans="1:24" ht="15.6" x14ac:dyDescent="0.3">
      <c r="A191" s="438"/>
      <c r="B191" s="439"/>
      <c r="C191" s="440"/>
      <c r="D191" s="441"/>
      <c r="E191" s="441"/>
      <c r="F191" s="442"/>
      <c r="G191" s="443"/>
      <c r="H191" s="442"/>
      <c r="I191" s="455"/>
      <c r="J191" s="444"/>
      <c r="K191" s="652"/>
      <c r="L191" s="444"/>
      <c r="M191" s="444"/>
      <c r="N191" s="444"/>
      <c r="O191" s="444"/>
      <c r="P191" s="444"/>
      <c r="Q191" s="444"/>
      <c r="R191" s="444"/>
      <c r="S191" s="444"/>
      <c r="T191" s="444"/>
      <c r="U191" s="444"/>
      <c r="V191" s="444"/>
      <c r="W191" s="444"/>
      <c r="X191" s="444"/>
    </row>
    <row r="192" spans="1:24" ht="15.6" x14ac:dyDescent="0.3">
      <c r="A192" s="438"/>
      <c r="B192" s="439"/>
      <c r="C192" s="440"/>
      <c r="D192" s="441"/>
      <c r="E192" s="441"/>
      <c r="F192" s="442"/>
      <c r="G192" s="443"/>
      <c r="H192" s="442"/>
      <c r="I192" s="455"/>
      <c r="J192" s="444"/>
      <c r="K192" s="652"/>
      <c r="L192" s="444"/>
      <c r="M192" s="444"/>
      <c r="N192" s="444"/>
      <c r="O192" s="444"/>
      <c r="P192" s="444"/>
      <c r="Q192" s="444"/>
      <c r="R192" s="444"/>
      <c r="S192" s="444"/>
      <c r="T192" s="444"/>
      <c r="U192" s="444"/>
      <c r="V192" s="444"/>
      <c r="W192" s="444"/>
      <c r="X192" s="444"/>
    </row>
    <row r="193" spans="1:24" ht="15.6" x14ac:dyDescent="0.3">
      <c r="A193" s="438"/>
      <c r="B193" s="439"/>
      <c r="C193" s="440"/>
      <c r="D193" s="441"/>
      <c r="E193" s="441"/>
      <c r="F193" s="442"/>
      <c r="G193" s="443"/>
      <c r="H193" s="442"/>
      <c r="I193" s="455"/>
      <c r="J193" s="444"/>
      <c r="K193" s="652"/>
      <c r="L193" s="444"/>
      <c r="M193" s="444"/>
      <c r="N193" s="444"/>
      <c r="O193" s="444"/>
      <c r="P193" s="444"/>
      <c r="Q193" s="444"/>
      <c r="R193" s="444"/>
      <c r="S193" s="444"/>
      <c r="T193" s="444"/>
      <c r="U193" s="444"/>
      <c r="V193" s="444"/>
      <c r="W193" s="444"/>
      <c r="X193" s="444"/>
    </row>
    <row r="194" spans="1:24" ht="15.6" x14ac:dyDescent="0.3">
      <c r="A194" s="438"/>
      <c r="B194" s="439"/>
      <c r="C194" s="440"/>
      <c r="D194" s="441"/>
      <c r="E194" s="441"/>
      <c r="F194" s="442"/>
      <c r="G194" s="443"/>
      <c r="H194" s="442"/>
      <c r="I194" s="455"/>
      <c r="J194" s="444"/>
      <c r="K194" s="652"/>
      <c r="L194" s="444"/>
      <c r="M194" s="444"/>
      <c r="N194" s="444"/>
      <c r="O194" s="444"/>
      <c r="P194" s="444"/>
      <c r="Q194" s="444"/>
      <c r="R194" s="444"/>
      <c r="S194" s="444"/>
      <c r="T194" s="444"/>
      <c r="U194" s="444"/>
      <c r="V194" s="444"/>
      <c r="W194" s="444"/>
      <c r="X194" s="444"/>
    </row>
    <row r="195" spans="1:24" ht="15.6" x14ac:dyDescent="0.3">
      <c r="A195" s="438"/>
      <c r="B195" s="439"/>
      <c r="C195" s="440"/>
      <c r="D195" s="441"/>
      <c r="E195" s="441"/>
      <c r="F195" s="442"/>
      <c r="G195" s="443"/>
      <c r="H195" s="442"/>
      <c r="I195" s="455"/>
      <c r="J195" s="444"/>
      <c r="K195" s="652"/>
      <c r="L195" s="444"/>
      <c r="M195" s="444"/>
      <c r="N195" s="444"/>
      <c r="O195" s="444"/>
      <c r="P195" s="444"/>
      <c r="Q195" s="444"/>
      <c r="R195" s="444"/>
      <c r="S195" s="444"/>
      <c r="T195" s="444"/>
      <c r="U195" s="444"/>
      <c r="V195" s="444"/>
      <c r="W195" s="444"/>
      <c r="X195" s="444"/>
    </row>
    <row r="196" spans="1:24" ht="15.6" x14ac:dyDescent="0.3">
      <c r="A196" s="438"/>
      <c r="B196" s="439"/>
      <c r="C196" s="440"/>
      <c r="D196" s="441"/>
      <c r="E196" s="441"/>
      <c r="F196" s="442"/>
      <c r="G196" s="443"/>
      <c r="H196" s="442"/>
      <c r="I196" s="455"/>
      <c r="J196" s="444"/>
      <c r="K196" s="652"/>
      <c r="L196" s="444"/>
      <c r="M196" s="444"/>
      <c r="N196" s="444"/>
      <c r="O196" s="444"/>
      <c r="P196" s="444"/>
      <c r="Q196" s="444"/>
      <c r="R196" s="444"/>
      <c r="S196" s="444"/>
      <c r="T196" s="444"/>
      <c r="U196" s="444"/>
      <c r="V196" s="444"/>
      <c r="W196" s="444"/>
      <c r="X196" s="444"/>
    </row>
    <row r="197" spans="1:24" ht="15.6" x14ac:dyDescent="0.3">
      <c r="A197" s="438"/>
      <c r="B197" s="439"/>
      <c r="C197" s="440"/>
      <c r="D197" s="441"/>
      <c r="E197" s="441"/>
      <c r="F197" s="442"/>
      <c r="G197" s="443"/>
      <c r="H197" s="442"/>
      <c r="I197" s="455"/>
      <c r="J197" s="444"/>
      <c r="K197" s="652"/>
      <c r="L197" s="444"/>
      <c r="M197" s="444"/>
      <c r="N197" s="444"/>
      <c r="O197" s="444"/>
      <c r="P197" s="444"/>
      <c r="Q197" s="444"/>
      <c r="R197" s="444"/>
      <c r="S197" s="444"/>
      <c r="T197" s="444"/>
      <c r="U197" s="444"/>
      <c r="V197" s="444"/>
      <c r="W197" s="444"/>
      <c r="X197" s="444"/>
    </row>
    <row r="198" spans="1:24" ht="15.6" x14ac:dyDescent="0.3">
      <c r="A198" s="438"/>
      <c r="B198" s="439"/>
      <c r="C198" s="440"/>
      <c r="D198" s="441"/>
      <c r="E198" s="441"/>
      <c r="F198" s="442"/>
      <c r="G198" s="443"/>
      <c r="H198" s="442"/>
      <c r="I198" s="455"/>
      <c r="J198" s="444"/>
      <c r="K198" s="652"/>
      <c r="L198" s="444"/>
      <c r="M198" s="444"/>
      <c r="N198" s="444"/>
      <c r="O198" s="444"/>
      <c r="P198" s="444"/>
      <c r="Q198" s="444"/>
      <c r="R198" s="444"/>
      <c r="S198" s="444"/>
      <c r="T198" s="444"/>
      <c r="U198" s="444"/>
      <c r="V198" s="444"/>
      <c r="W198" s="444"/>
      <c r="X198" s="444"/>
    </row>
    <row r="199" spans="1:24" ht="15.6" x14ac:dyDescent="0.3">
      <c r="A199" s="438"/>
      <c r="B199" s="439"/>
      <c r="C199" s="440"/>
      <c r="D199" s="441"/>
      <c r="E199" s="441"/>
      <c r="F199" s="442"/>
      <c r="G199" s="443"/>
      <c r="H199" s="442"/>
      <c r="I199" s="455"/>
      <c r="J199" s="444"/>
      <c r="K199" s="652"/>
      <c r="L199" s="444"/>
      <c r="M199" s="444"/>
      <c r="N199" s="444"/>
      <c r="O199" s="444"/>
      <c r="P199" s="444"/>
      <c r="Q199" s="444"/>
      <c r="R199" s="444"/>
      <c r="S199" s="444"/>
      <c r="T199" s="444"/>
      <c r="U199" s="444"/>
      <c r="V199" s="444"/>
      <c r="W199" s="444"/>
      <c r="X199" s="444"/>
    </row>
    <row r="200" spans="1:24" ht="15.6" x14ac:dyDescent="0.3">
      <c r="A200" s="438"/>
      <c r="B200" s="439"/>
      <c r="C200" s="440"/>
      <c r="D200" s="441"/>
      <c r="E200" s="441"/>
      <c r="F200" s="442"/>
      <c r="G200" s="443"/>
      <c r="H200" s="442"/>
      <c r="I200" s="455"/>
      <c r="J200" s="444"/>
      <c r="K200" s="652"/>
      <c r="L200" s="444"/>
      <c r="M200" s="444"/>
      <c r="N200" s="444"/>
      <c r="O200" s="444"/>
      <c r="P200" s="444"/>
      <c r="Q200" s="444"/>
      <c r="R200" s="444"/>
      <c r="S200" s="444"/>
      <c r="T200" s="444"/>
      <c r="U200" s="444"/>
      <c r="V200" s="444"/>
      <c r="W200" s="444"/>
      <c r="X200" s="444"/>
    </row>
    <row r="201" spans="1:24" ht="15.6" x14ac:dyDescent="0.3">
      <c r="A201" s="438"/>
      <c r="B201" s="439"/>
      <c r="C201" s="440"/>
      <c r="D201" s="441"/>
      <c r="E201" s="441"/>
      <c r="F201" s="442"/>
      <c r="G201" s="443"/>
      <c r="H201" s="442"/>
      <c r="I201" s="455"/>
      <c r="J201" s="444"/>
      <c r="K201" s="652"/>
      <c r="L201" s="444"/>
      <c r="M201" s="444"/>
      <c r="N201" s="444"/>
      <c r="O201" s="444"/>
      <c r="P201" s="444"/>
      <c r="Q201" s="444"/>
      <c r="R201" s="444"/>
      <c r="S201" s="444"/>
      <c r="T201" s="444"/>
      <c r="U201" s="444"/>
      <c r="V201" s="444"/>
      <c r="W201" s="444"/>
      <c r="X201" s="444"/>
    </row>
    <row r="202" spans="1:24" ht="15.6" x14ac:dyDescent="0.3">
      <c r="A202" s="438"/>
      <c r="B202" s="439"/>
      <c r="C202" s="440"/>
      <c r="D202" s="441"/>
      <c r="E202" s="441"/>
      <c r="F202" s="442"/>
      <c r="G202" s="443"/>
      <c r="H202" s="442"/>
      <c r="I202" s="455"/>
      <c r="J202" s="444"/>
      <c r="K202" s="652"/>
      <c r="L202" s="444"/>
      <c r="M202" s="444"/>
      <c r="N202" s="444"/>
      <c r="O202" s="444"/>
      <c r="P202" s="444"/>
      <c r="Q202" s="444"/>
      <c r="R202" s="444"/>
      <c r="S202" s="444"/>
      <c r="T202" s="444"/>
      <c r="U202" s="444"/>
      <c r="V202" s="444"/>
      <c r="W202" s="444"/>
      <c r="X202" s="444"/>
    </row>
    <row r="203" spans="1:24" ht="15.6" x14ac:dyDescent="0.3">
      <c r="A203" s="438"/>
      <c r="B203" s="439"/>
      <c r="C203" s="440"/>
      <c r="D203" s="441"/>
      <c r="E203" s="441"/>
      <c r="F203" s="442"/>
      <c r="G203" s="443"/>
      <c r="H203" s="442"/>
      <c r="I203" s="455"/>
      <c r="J203" s="444"/>
      <c r="K203" s="652"/>
      <c r="L203" s="444"/>
      <c r="M203" s="444"/>
      <c r="N203" s="444"/>
      <c r="O203" s="444"/>
      <c r="P203" s="444"/>
      <c r="Q203" s="444"/>
      <c r="R203" s="444"/>
      <c r="S203" s="444"/>
      <c r="T203" s="444"/>
      <c r="U203" s="444"/>
      <c r="V203" s="444"/>
      <c r="W203" s="444"/>
      <c r="X203" s="444"/>
    </row>
    <row r="204" spans="1:24" ht="15.6" x14ac:dyDescent="0.3">
      <c r="A204" s="438"/>
      <c r="B204" s="439"/>
      <c r="C204" s="440"/>
      <c r="D204" s="441"/>
      <c r="E204" s="441"/>
      <c r="F204" s="442"/>
      <c r="G204" s="443"/>
      <c r="H204" s="442"/>
      <c r="I204" s="455"/>
      <c r="J204" s="444"/>
      <c r="K204" s="652"/>
      <c r="L204" s="444"/>
      <c r="M204" s="444"/>
      <c r="N204" s="444"/>
      <c r="O204" s="444"/>
      <c r="P204" s="444"/>
      <c r="Q204" s="444"/>
      <c r="R204" s="444"/>
      <c r="S204" s="444"/>
      <c r="T204" s="444"/>
      <c r="U204" s="444"/>
      <c r="V204" s="444"/>
      <c r="W204" s="444"/>
      <c r="X204" s="444"/>
    </row>
    <row r="205" spans="1:24" ht="15.6" x14ac:dyDescent="0.3">
      <c r="A205" s="438"/>
      <c r="B205" s="439"/>
      <c r="C205" s="440"/>
      <c r="D205" s="441"/>
      <c r="E205" s="441"/>
      <c r="F205" s="442"/>
      <c r="G205" s="443"/>
      <c r="H205" s="442"/>
      <c r="I205" s="455"/>
      <c r="J205" s="444"/>
      <c r="K205" s="652"/>
      <c r="L205" s="444"/>
      <c r="M205" s="444"/>
      <c r="N205" s="444"/>
      <c r="O205" s="444"/>
      <c r="P205" s="444"/>
      <c r="Q205" s="444"/>
      <c r="R205" s="444"/>
      <c r="S205" s="444"/>
      <c r="T205" s="444"/>
      <c r="U205" s="444"/>
      <c r="V205" s="444"/>
      <c r="W205" s="444"/>
      <c r="X205" s="444"/>
    </row>
    <row r="206" spans="1:24" ht="15.6" x14ac:dyDescent="0.3">
      <c r="A206" s="438"/>
      <c r="B206" s="439"/>
      <c r="C206" s="440"/>
      <c r="D206" s="441"/>
      <c r="E206" s="441"/>
      <c r="F206" s="442"/>
      <c r="G206" s="443"/>
      <c r="H206" s="442"/>
      <c r="I206" s="455"/>
      <c r="J206" s="444"/>
      <c r="K206" s="652"/>
      <c r="L206" s="444"/>
      <c r="M206" s="444"/>
      <c r="N206" s="444"/>
      <c r="O206" s="444"/>
      <c r="P206" s="444"/>
      <c r="Q206" s="444"/>
      <c r="R206" s="444"/>
      <c r="S206" s="444"/>
      <c r="T206" s="444"/>
      <c r="U206" s="444"/>
      <c r="V206" s="444"/>
      <c r="W206" s="444"/>
      <c r="X206" s="444"/>
    </row>
    <row r="207" spans="1:24" ht="15.6" x14ac:dyDescent="0.3">
      <c r="A207" s="438"/>
      <c r="B207" s="439"/>
      <c r="C207" s="440"/>
      <c r="D207" s="441"/>
      <c r="E207" s="441"/>
      <c r="F207" s="442"/>
      <c r="G207" s="443"/>
      <c r="H207" s="442"/>
      <c r="I207" s="455"/>
      <c r="J207" s="444"/>
      <c r="K207" s="652"/>
      <c r="L207" s="444"/>
      <c r="M207" s="444"/>
      <c r="N207" s="444"/>
      <c r="O207" s="444"/>
      <c r="P207" s="444"/>
      <c r="Q207" s="444"/>
      <c r="R207" s="444"/>
      <c r="S207" s="444"/>
      <c r="T207" s="444"/>
      <c r="U207" s="444"/>
      <c r="V207" s="444"/>
      <c r="W207" s="444"/>
      <c r="X207" s="444"/>
    </row>
    <row r="208" spans="1:24" ht="15.6" x14ac:dyDescent="0.3">
      <c r="A208" s="438"/>
      <c r="B208" s="439"/>
      <c r="C208" s="440"/>
      <c r="D208" s="441"/>
      <c r="E208" s="441"/>
      <c r="F208" s="442"/>
      <c r="G208" s="443"/>
      <c r="H208" s="442"/>
      <c r="I208" s="455"/>
      <c r="J208" s="444"/>
      <c r="K208" s="652"/>
      <c r="L208" s="444"/>
      <c r="M208" s="444"/>
      <c r="N208" s="444"/>
      <c r="O208" s="444"/>
      <c r="P208" s="444"/>
      <c r="Q208" s="444"/>
      <c r="R208" s="444"/>
      <c r="S208" s="444"/>
      <c r="T208" s="444"/>
      <c r="U208" s="444"/>
      <c r="V208" s="444"/>
      <c r="W208" s="444"/>
      <c r="X208" s="444"/>
    </row>
    <row r="209" spans="1:24" ht="15.6" x14ac:dyDescent="0.3">
      <c r="A209" s="438"/>
      <c r="B209" s="439"/>
      <c r="C209" s="440"/>
      <c r="D209" s="441"/>
      <c r="E209" s="441"/>
      <c r="F209" s="442"/>
      <c r="G209" s="443"/>
      <c r="H209" s="442"/>
      <c r="I209" s="455"/>
      <c r="J209" s="444"/>
      <c r="K209" s="652"/>
      <c r="L209" s="444"/>
      <c r="M209" s="444"/>
      <c r="N209" s="444"/>
      <c r="O209" s="444"/>
      <c r="P209" s="444"/>
      <c r="Q209" s="444"/>
      <c r="R209" s="444"/>
      <c r="S209" s="444"/>
      <c r="T209" s="444"/>
      <c r="U209" s="444"/>
      <c r="V209" s="444"/>
      <c r="W209" s="444"/>
      <c r="X209" s="444"/>
    </row>
    <row r="210" spans="1:24" ht="15.6" x14ac:dyDescent="0.3">
      <c r="A210" s="438"/>
      <c r="B210" s="439"/>
      <c r="C210" s="440"/>
      <c r="D210" s="441"/>
      <c r="E210" s="441"/>
      <c r="F210" s="442"/>
      <c r="G210" s="443"/>
      <c r="H210" s="442"/>
      <c r="I210" s="455"/>
      <c r="J210" s="444"/>
      <c r="K210" s="652"/>
      <c r="L210" s="444"/>
      <c r="M210" s="444"/>
      <c r="N210" s="444"/>
      <c r="O210" s="444"/>
      <c r="P210" s="444"/>
      <c r="Q210" s="444"/>
      <c r="R210" s="444"/>
      <c r="S210" s="444"/>
      <c r="T210" s="444"/>
      <c r="U210" s="444"/>
      <c r="V210" s="444"/>
      <c r="W210" s="444"/>
      <c r="X210" s="444"/>
    </row>
    <row r="211" spans="1:24" ht="15.6" x14ac:dyDescent="0.3">
      <c r="A211" s="438"/>
      <c r="B211" s="439"/>
      <c r="C211" s="440"/>
      <c r="D211" s="441"/>
      <c r="E211" s="441"/>
      <c r="F211" s="442"/>
      <c r="G211" s="443"/>
      <c r="H211" s="442"/>
      <c r="I211" s="455"/>
      <c r="J211" s="444"/>
      <c r="K211" s="652"/>
      <c r="L211" s="444"/>
      <c r="M211" s="444"/>
      <c r="N211" s="444"/>
      <c r="O211" s="444"/>
      <c r="P211" s="444"/>
      <c r="Q211" s="444"/>
      <c r="R211" s="444"/>
      <c r="S211" s="444"/>
      <c r="T211" s="444"/>
      <c r="U211" s="444"/>
      <c r="V211" s="444"/>
      <c r="W211" s="444"/>
      <c r="X211" s="444"/>
    </row>
    <row r="212" spans="1:24" ht="15.6" x14ac:dyDescent="0.3">
      <c r="A212" s="438"/>
      <c r="B212" s="439"/>
      <c r="C212" s="440"/>
      <c r="D212" s="441"/>
      <c r="E212" s="441"/>
      <c r="F212" s="442"/>
      <c r="G212" s="443"/>
      <c r="H212" s="442"/>
      <c r="I212" s="455"/>
      <c r="J212" s="444"/>
      <c r="K212" s="652"/>
      <c r="L212" s="444"/>
      <c r="M212" s="444"/>
      <c r="N212" s="444"/>
      <c r="O212" s="444"/>
      <c r="P212" s="444"/>
      <c r="Q212" s="444"/>
      <c r="R212" s="444"/>
      <c r="S212" s="444"/>
      <c r="T212" s="444"/>
      <c r="U212" s="444"/>
      <c r="V212" s="444"/>
      <c r="W212" s="444"/>
      <c r="X212" s="444"/>
    </row>
    <row r="213" spans="1:24" ht="15.6" x14ac:dyDescent="0.3">
      <c r="A213" s="438"/>
      <c r="B213" s="439"/>
      <c r="C213" s="440"/>
      <c r="D213" s="441"/>
      <c r="E213" s="441"/>
      <c r="F213" s="442"/>
      <c r="G213" s="443"/>
      <c r="H213" s="442"/>
      <c r="I213" s="455"/>
      <c r="J213" s="444"/>
      <c r="K213" s="652"/>
      <c r="L213" s="444"/>
      <c r="M213" s="444"/>
      <c r="N213" s="444"/>
      <c r="O213" s="444"/>
      <c r="P213" s="444"/>
      <c r="Q213" s="444"/>
      <c r="R213" s="444"/>
      <c r="S213" s="444"/>
      <c r="T213" s="444"/>
      <c r="U213" s="444"/>
      <c r="V213" s="444"/>
      <c r="W213" s="444"/>
      <c r="X213" s="444"/>
    </row>
    <row r="214" spans="1:24" ht="15.6" x14ac:dyDescent="0.3">
      <c r="A214" s="438"/>
      <c r="B214" s="439"/>
      <c r="C214" s="440"/>
      <c r="D214" s="441"/>
      <c r="E214" s="441"/>
      <c r="F214" s="442"/>
      <c r="G214" s="443"/>
      <c r="H214" s="442"/>
      <c r="I214" s="455"/>
      <c r="J214" s="444"/>
      <c r="K214" s="652"/>
      <c r="L214" s="444"/>
      <c r="M214" s="444"/>
      <c r="N214" s="444"/>
      <c r="O214" s="444"/>
      <c r="P214" s="444"/>
      <c r="Q214" s="444"/>
      <c r="R214" s="444"/>
      <c r="S214" s="444"/>
      <c r="T214" s="444"/>
      <c r="U214" s="444"/>
      <c r="V214" s="444"/>
      <c r="W214" s="444"/>
      <c r="X214" s="444"/>
    </row>
    <row r="215" spans="1:24" ht="15.6" x14ac:dyDescent="0.3">
      <c r="A215" s="438"/>
      <c r="B215" s="439"/>
      <c r="C215" s="440"/>
      <c r="D215" s="441"/>
      <c r="E215" s="441"/>
      <c r="F215" s="442"/>
      <c r="G215" s="443"/>
      <c r="H215" s="442"/>
      <c r="I215" s="455"/>
      <c r="J215" s="444"/>
      <c r="K215" s="652"/>
      <c r="L215" s="444"/>
      <c r="M215" s="444"/>
      <c r="N215" s="444"/>
      <c r="O215" s="444"/>
      <c r="P215" s="444"/>
      <c r="Q215" s="444"/>
      <c r="R215" s="444"/>
      <c r="S215" s="444"/>
      <c r="T215" s="444"/>
      <c r="U215" s="444"/>
      <c r="V215" s="444"/>
      <c r="W215" s="444"/>
      <c r="X215" s="444"/>
    </row>
    <row r="216" spans="1:24" ht="15.6" x14ac:dyDescent="0.3">
      <c r="A216" s="438"/>
      <c r="B216" s="439"/>
      <c r="C216" s="440"/>
      <c r="D216" s="441"/>
      <c r="E216" s="441"/>
      <c r="F216" s="442"/>
      <c r="G216" s="443"/>
      <c r="H216" s="442"/>
      <c r="I216" s="455"/>
      <c r="J216" s="444"/>
      <c r="K216" s="652"/>
      <c r="L216" s="444"/>
      <c r="M216" s="444"/>
      <c r="N216" s="444"/>
      <c r="O216" s="444"/>
      <c r="P216" s="444"/>
      <c r="Q216" s="444"/>
      <c r="R216" s="444"/>
      <c r="S216" s="444"/>
      <c r="T216" s="444"/>
      <c r="U216" s="444"/>
      <c r="V216" s="444"/>
      <c r="W216" s="444"/>
      <c r="X216" s="444"/>
    </row>
    <row r="217" spans="1:24" ht="15.6" x14ac:dyDescent="0.3">
      <c r="A217" s="438"/>
      <c r="B217" s="439"/>
      <c r="C217" s="440"/>
      <c r="D217" s="441"/>
      <c r="E217" s="441"/>
      <c r="F217" s="442"/>
      <c r="G217" s="443"/>
      <c r="H217" s="442"/>
      <c r="I217" s="455"/>
      <c r="J217" s="444"/>
      <c r="K217" s="652"/>
      <c r="L217" s="444"/>
      <c r="M217" s="444"/>
      <c r="N217" s="444"/>
      <c r="O217" s="444"/>
      <c r="P217" s="444"/>
      <c r="Q217" s="444"/>
      <c r="R217" s="444"/>
      <c r="S217" s="444"/>
      <c r="T217" s="444"/>
      <c r="U217" s="444"/>
      <c r="V217" s="444"/>
      <c r="W217" s="444"/>
      <c r="X217" s="444"/>
    </row>
    <row r="218" spans="1:24" ht="15.6" x14ac:dyDescent="0.3">
      <c r="A218" s="438"/>
      <c r="B218" s="439"/>
      <c r="C218" s="440"/>
      <c r="D218" s="441"/>
      <c r="E218" s="441"/>
      <c r="F218" s="442"/>
      <c r="G218" s="443"/>
      <c r="H218" s="442"/>
      <c r="I218" s="455"/>
      <c r="J218" s="444"/>
      <c r="K218" s="652"/>
      <c r="L218" s="444"/>
      <c r="M218" s="444"/>
      <c r="N218" s="444"/>
      <c r="O218" s="444"/>
      <c r="P218" s="444"/>
      <c r="Q218" s="444"/>
      <c r="R218" s="444"/>
      <c r="S218" s="444"/>
      <c r="T218" s="444"/>
      <c r="U218" s="444"/>
      <c r="V218" s="444"/>
      <c r="W218" s="444"/>
      <c r="X218" s="444"/>
    </row>
    <row r="219" spans="1:24" ht="15.6" x14ac:dyDescent="0.3">
      <c r="A219" s="438"/>
      <c r="B219" s="439"/>
      <c r="C219" s="440"/>
      <c r="D219" s="441"/>
      <c r="E219" s="441"/>
      <c r="F219" s="442"/>
      <c r="G219" s="443"/>
      <c r="H219" s="442"/>
      <c r="I219" s="455"/>
      <c r="J219" s="444"/>
      <c r="K219" s="652"/>
      <c r="L219" s="444"/>
      <c r="M219" s="444"/>
      <c r="N219" s="444"/>
      <c r="O219" s="444"/>
      <c r="P219" s="444"/>
      <c r="Q219" s="444"/>
      <c r="R219" s="444"/>
      <c r="S219" s="444"/>
      <c r="T219" s="444"/>
      <c r="U219" s="444"/>
      <c r="V219" s="444"/>
      <c r="W219" s="444"/>
      <c r="X219" s="444"/>
    </row>
    <row r="220" spans="1:24" ht="15.6" x14ac:dyDescent="0.3">
      <c r="A220" s="438"/>
      <c r="B220" s="439"/>
      <c r="C220" s="440"/>
      <c r="D220" s="441"/>
      <c r="E220" s="441"/>
      <c r="F220" s="442"/>
      <c r="G220" s="443"/>
      <c r="H220" s="442"/>
      <c r="I220" s="455"/>
      <c r="J220" s="444"/>
      <c r="K220" s="652"/>
      <c r="L220" s="444"/>
      <c r="M220" s="444"/>
      <c r="N220" s="444"/>
      <c r="O220" s="444"/>
      <c r="P220" s="444"/>
      <c r="Q220" s="444"/>
      <c r="R220" s="444"/>
      <c r="S220" s="444"/>
      <c r="T220" s="444"/>
      <c r="U220" s="444"/>
      <c r="V220" s="444"/>
      <c r="W220" s="444"/>
      <c r="X220" s="444"/>
    </row>
    <row r="221" spans="1:24" ht="15.6" x14ac:dyDescent="0.3">
      <c r="A221" s="438"/>
      <c r="B221" s="439"/>
      <c r="C221" s="440"/>
      <c r="D221" s="441"/>
      <c r="E221" s="441"/>
      <c r="F221" s="442"/>
      <c r="G221" s="443"/>
      <c r="H221" s="442"/>
      <c r="I221" s="455"/>
      <c r="J221" s="444"/>
      <c r="K221" s="652"/>
      <c r="L221" s="444"/>
      <c r="M221" s="444"/>
      <c r="N221" s="444"/>
      <c r="O221" s="444"/>
      <c r="P221" s="444"/>
      <c r="Q221" s="444"/>
      <c r="R221" s="444"/>
      <c r="S221" s="444"/>
      <c r="T221" s="444"/>
      <c r="U221" s="444"/>
      <c r="V221" s="444"/>
      <c r="W221" s="444"/>
      <c r="X221" s="444"/>
    </row>
    <row r="222" spans="1:24" ht="15.6" x14ac:dyDescent="0.3">
      <c r="A222" s="438"/>
      <c r="B222" s="439"/>
      <c r="C222" s="440"/>
      <c r="D222" s="441"/>
      <c r="E222" s="441"/>
      <c r="F222" s="442"/>
      <c r="G222" s="443"/>
      <c r="H222" s="442"/>
      <c r="I222" s="455"/>
      <c r="J222" s="444"/>
      <c r="K222" s="652"/>
      <c r="L222" s="444"/>
      <c r="M222" s="444"/>
      <c r="N222" s="444"/>
      <c r="O222" s="444"/>
      <c r="P222" s="444"/>
      <c r="Q222" s="444"/>
      <c r="R222" s="444"/>
      <c r="S222" s="444"/>
      <c r="T222" s="444"/>
      <c r="U222" s="444"/>
      <c r="V222" s="444"/>
      <c r="W222" s="444"/>
      <c r="X222" s="444"/>
    </row>
    <row r="223" spans="1:24" ht="15.6" x14ac:dyDescent="0.3">
      <c r="A223" s="438"/>
      <c r="B223" s="439"/>
      <c r="C223" s="440"/>
      <c r="D223" s="441"/>
      <c r="E223" s="441"/>
      <c r="F223" s="442"/>
      <c r="G223" s="443"/>
      <c r="H223" s="442"/>
      <c r="I223" s="455"/>
      <c r="J223" s="444"/>
      <c r="K223" s="652"/>
      <c r="L223" s="444"/>
      <c r="M223" s="444"/>
      <c r="N223" s="444"/>
      <c r="O223" s="444"/>
      <c r="P223" s="444"/>
      <c r="Q223" s="444"/>
      <c r="R223" s="444"/>
      <c r="S223" s="444"/>
      <c r="T223" s="444"/>
      <c r="U223" s="444"/>
      <c r="V223" s="444"/>
      <c r="W223" s="444"/>
      <c r="X223" s="444"/>
    </row>
    <row r="224" spans="1:24" ht="15.6" x14ac:dyDescent="0.3">
      <c r="A224" s="438"/>
      <c r="B224" s="439"/>
      <c r="C224" s="440"/>
      <c r="D224" s="441"/>
      <c r="E224" s="441"/>
      <c r="F224" s="442"/>
      <c r="G224" s="443"/>
      <c r="H224" s="442"/>
      <c r="I224" s="455"/>
      <c r="J224" s="444"/>
      <c r="K224" s="652"/>
      <c r="L224" s="444"/>
      <c r="M224" s="444"/>
      <c r="N224" s="444"/>
      <c r="O224" s="444"/>
      <c r="P224" s="444"/>
      <c r="Q224" s="444"/>
      <c r="R224" s="444"/>
      <c r="S224" s="444"/>
      <c r="T224" s="444"/>
      <c r="U224" s="444"/>
      <c r="V224" s="444"/>
      <c r="W224" s="444"/>
      <c r="X224" s="444"/>
    </row>
    <row r="225" spans="1:24" ht="15.6" x14ac:dyDescent="0.3">
      <c r="A225" s="438"/>
      <c r="B225" s="439"/>
      <c r="C225" s="440"/>
      <c r="D225" s="441"/>
      <c r="E225" s="441"/>
      <c r="F225" s="442"/>
      <c r="G225" s="443"/>
      <c r="H225" s="442"/>
      <c r="I225" s="455"/>
      <c r="J225" s="444"/>
      <c r="K225" s="652"/>
      <c r="L225" s="444"/>
      <c r="M225" s="444"/>
      <c r="N225" s="444"/>
      <c r="O225" s="444"/>
      <c r="P225" s="444"/>
      <c r="Q225" s="444"/>
      <c r="R225" s="444"/>
      <c r="S225" s="444"/>
      <c r="T225" s="444"/>
      <c r="U225" s="444"/>
      <c r="V225" s="444"/>
      <c r="W225" s="444"/>
      <c r="X225" s="444"/>
    </row>
    <row r="226" spans="1:24" ht="15.6" x14ac:dyDescent="0.3">
      <c r="A226" s="438"/>
      <c r="B226" s="439"/>
      <c r="C226" s="440"/>
      <c r="D226" s="441"/>
      <c r="E226" s="441"/>
      <c r="F226" s="442"/>
      <c r="G226" s="443"/>
      <c r="H226" s="442"/>
      <c r="I226" s="455"/>
      <c r="J226" s="444"/>
      <c r="K226" s="652"/>
      <c r="L226" s="444"/>
      <c r="M226" s="444"/>
      <c r="N226" s="444"/>
      <c r="O226" s="444"/>
      <c r="P226" s="444"/>
      <c r="Q226" s="444"/>
      <c r="R226" s="444"/>
      <c r="S226" s="444"/>
      <c r="T226" s="444"/>
      <c r="U226" s="444"/>
      <c r="V226" s="444"/>
      <c r="W226" s="444"/>
      <c r="X226" s="444"/>
    </row>
    <row r="227" spans="1:24" ht="15.6" x14ac:dyDescent="0.3">
      <c r="A227" s="438"/>
      <c r="B227" s="439"/>
      <c r="C227" s="440"/>
      <c r="D227" s="441"/>
      <c r="E227" s="441"/>
      <c r="F227" s="442"/>
      <c r="G227" s="443"/>
      <c r="H227" s="442"/>
      <c r="I227" s="455"/>
      <c r="J227" s="444"/>
      <c r="K227" s="652"/>
      <c r="L227" s="444"/>
      <c r="M227" s="444"/>
      <c r="N227" s="444"/>
      <c r="O227" s="444"/>
      <c r="P227" s="444"/>
      <c r="Q227" s="444"/>
      <c r="R227" s="444"/>
      <c r="S227" s="444"/>
      <c r="T227" s="444"/>
      <c r="U227" s="444"/>
      <c r="V227" s="444"/>
      <c r="W227" s="444"/>
      <c r="X227" s="444"/>
    </row>
    <row r="228" spans="1:24" ht="15.6" x14ac:dyDescent="0.3">
      <c r="A228" s="438"/>
      <c r="B228" s="439"/>
      <c r="C228" s="440"/>
      <c r="D228" s="441"/>
      <c r="E228" s="441"/>
      <c r="F228" s="442"/>
      <c r="G228" s="443"/>
      <c r="H228" s="442"/>
      <c r="I228" s="455"/>
      <c r="J228" s="444"/>
      <c r="K228" s="652"/>
      <c r="L228" s="444"/>
      <c r="M228" s="444"/>
      <c r="N228" s="444"/>
      <c r="O228" s="444"/>
      <c r="P228" s="444"/>
      <c r="Q228" s="444"/>
      <c r="R228" s="444"/>
      <c r="S228" s="444"/>
      <c r="T228" s="444"/>
      <c r="U228" s="444"/>
      <c r="V228" s="444"/>
      <c r="W228" s="444"/>
      <c r="X228" s="444"/>
    </row>
    <row r="229" spans="1:24" ht="15.6" x14ac:dyDescent="0.3">
      <c r="A229" s="438"/>
      <c r="B229" s="439"/>
      <c r="C229" s="440"/>
      <c r="D229" s="441"/>
      <c r="E229" s="441"/>
      <c r="F229" s="442"/>
      <c r="G229" s="443"/>
      <c r="H229" s="442"/>
      <c r="I229" s="455"/>
      <c r="J229" s="444"/>
      <c r="K229" s="652"/>
      <c r="L229" s="444"/>
      <c r="M229" s="444"/>
      <c r="N229" s="444"/>
      <c r="O229" s="444"/>
      <c r="P229" s="444"/>
      <c r="Q229" s="444"/>
      <c r="R229" s="444"/>
      <c r="S229" s="444"/>
      <c r="T229" s="444"/>
      <c r="U229" s="444"/>
      <c r="V229" s="444"/>
      <c r="W229" s="444"/>
      <c r="X229" s="444"/>
    </row>
    <row r="230" spans="1:24" ht="15.6" x14ac:dyDescent="0.3">
      <c r="A230" s="438"/>
      <c r="B230" s="439"/>
      <c r="C230" s="440"/>
      <c r="D230" s="441"/>
      <c r="E230" s="441"/>
      <c r="F230" s="442"/>
      <c r="G230" s="443"/>
      <c r="H230" s="442"/>
      <c r="I230" s="455"/>
      <c r="J230" s="444"/>
      <c r="K230" s="652"/>
      <c r="L230" s="444"/>
      <c r="M230" s="444"/>
      <c r="N230" s="444"/>
      <c r="O230" s="444"/>
      <c r="P230" s="444"/>
      <c r="Q230" s="444"/>
      <c r="R230" s="444"/>
      <c r="S230" s="444"/>
      <c r="T230" s="444"/>
      <c r="U230" s="444"/>
      <c r="V230" s="444"/>
      <c r="W230" s="444"/>
      <c r="X230" s="444"/>
    </row>
    <row r="231" spans="1:24" ht="15.6" x14ac:dyDescent="0.3">
      <c r="A231" s="438"/>
      <c r="B231" s="439"/>
      <c r="C231" s="440"/>
      <c r="D231" s="441"/>
      <c r="E231" s="441"/>
      <c r="F231" s="442"/>
      <c r="G231" s="443"/>
      <c r="H231" s="442"/>
      <c r="I231" s="455"/>
      <c r="J231" s="444"/>
      <c r="K231" s="652"/>
      <c r="L231" s="444"/>
      <c r="M231" s="444"/>
      <c r="N231" s="444"/>
      <c r="O231" s="444"/>
      <c r="P231" s="444"/>
      <c r="Q231" s="444"/>
      <c r="R231" s="444"/>
      <c r="S231" s="444"/>
      <c r="T231" s="444"/>
      <c r="U231" s="444"/>
      <c r="V231" s="444"/>
      <c r="W231" s="444"/>
      <c r="X231" s="444"/>
    </row>
    <row r="232" spans="1:24" ht="15.6" x14ac:dyDescent="0.3">
      <c r="A232" s="438"/>
      <c r="B232" s="439"/>
      <c r="C232" s="440"/>
      <c r="D232" s="441"/>
      <c r="E232" s="441"/>
      <c r="F232" s="442"/>
      <c r="G232" s="443"/>
      <c r="H232" s="442"/>
      <c r="I232" s="455"/>
      <c r="J232" s="444"/>
      <c r="K232" s="652"/>
      <c r="L232" s="444"/>
      <c r="M232" s="444"/>
      <c r="N232" s="444"/>
      <c r="O232" s="444"/>
      <c r="P232" s="444"/>
      <c r="Q232" s="444"/>
      <c r="R232" s="444"/>
      <c r="S232" s="444"/>
      <c r="T232" s="444"/>
      <c r="U232" s="444"/>
      <c r="V232" s="444"/>
      <c r="W232" s="444"/>
      <c r="X232" s="444"/>
    </row>
    <row r="233" spans="1:24" ht="15.6" x14ac:dyDescent="0.3">
      <c r="A233" s="438"/>
      <c r="B233" s="439"/>
      <c r="C233" s="440"/>
      <c r="D233" s="441"/>
      <c r="E233" s="441"/>
      <c r="F233" s="442"/>
      <c r="G233" s="443"/>
      <c r="H233" s="442"/>
      <c r="I233" s="455"/>
      <c r="J233" s="444"/>
      <c r="K233" s="652"/>
      <c r="L233" s="444"/>
      <c r="M233" s="444"/>
      <c r="N233" s="444"/>
      <c r="O233" s="444"/>
      <c r="P233" s="444"/>
      <c r="Q233" s="444"/>
      <c r="R233" s="444"/>
      <c r="S233" s="444"/>
      <c r="T233" s="444"/>
      <c r="U233" s="444"/>
      <c r="V233" s="444"/>
      <c r="W233" s="444"/>
      <c r="X233" s="444"/>
    </row>
    <row r="234" spans="1:24" ht="15.6" x14ac:dyDescent="0.3">
      <c r="A234" s="438"/>
      <c r="B234" s="439"/>
      <c r="C234" s="440"/>
      <c r="D234" s="441"/>
      <c r="E234" s="441"/>
      <c r="F234" s="442"/>
      <c r="G234" s="443"/>
      <c r="H234" s="442"/>
      <c r="I234" s="455"/>
      <c r="J234" s="444"/>
      <c r="K234" s="652"/>
      <c r="L234" s="444"/>
      <c r="M234" s="444"/>
      <c r="N234" s="444"/>
      <c r="O234" s="444"/>
      <c r="P234" s="444"/>
      <c r="Q234" s="444"/>
      <c r="R234" s="444"/>
      <c r="S234" s="444"/>
      <c r="T234" s="444"/>
      <c r="U234" s="444"/>
      <c r="V234" s="444"/>
      <c r="W234" s="444"/>
      <c r="X234" s="444"/>
    </row>
    <row r="235" spans="1:24" ht="15.6" x14ac:dyDescent="0.3">
      <c r="A235" s="438"/>
      <c r="B235" s="439"/>
      <c r="C235" s="440"/>
      <c r="D235" s="441"/>
      <c r="E235" s="441"/>
      <c r="F235" s="442"/>
      <c r="G235" s="443"/>
      <c r="H235" s="442"/>
      <c r="I235" s="455"/>
      <c r="J235" s="444"/>
      <c r="K235" s="652"/>
      <c r="L235" s="444"/>
      <c r="M235" s="444"/>
      <c r="N235" s="444"/>
      <c r="O235" s="444"/>
      <c r="P235" s="444"/>
      <c r="Q235" s="444"/>
      <c r="R235" s="444"/>
      <c r="S235" s="444"/>
      <c r="T235" s="444"/>
      <c r="U235" s="444"/>
      <c r="V235" s="444"/>
      <c r="W235" s="444"/>
      <c r="X235" s="444"/>
    </row>
    <row r="236" spans="1:24" ht="15.6" x14ac:dyDescent="0.3">
      <c r="A236" s="438"/>
      <c r="B236" s="439"/>
      <c r="C236" s="440"/>
      <c r="D236" s="441"/>
      <c r="E236" s="441"/>
      <c r="F236" s="442"/>
      <c r="G236" s="443"/>
      <c r="H236" s="442"/>
      <c r="I236" s="455"/>
      <c r="J236" s="444"/>
      <c r="K236" s="652"/>
      <c r="L236" s="444"/>
      <c r="M236" s="444"/>
      <c r="N236" s="444"/>
      <c r="O236" s="444"/>
      <c r="P236" s="444"/>
      <c r="Q236" s="444"/>
      <c r="R236" s="444"/>
      <c r="S236" s="444"/>
      <c r="T236" s="444"/>
      <c r="U236" s="444"/>
      <c r="V236" s="444"/>
      <c r="W236" s="444"/>
      <c r="X236" s="444"/>
    </row>
    <row r="237" spans="1:24" ht="15.6" x14ac:dyDescent="0.3">
      <c r="A237" s="438"/>
      <c r="B237" s="439"/>
      <c r="C237" s="440"/>
      <c r="D237" s="441"/>
      <c r="E237" s="441"/>
      <c r="F237" s="442"/>
      <c r="G237" s="443"/>
      <c r="H237" s="442"/>
      <c r="I237" s="455"/>
      <c r="J237" s="444"/>
      <c r="K237" s="652"/>
      <c r="L237" s="444"/>
      <c r="M237" s="444"/>
      <c r="N237" s="444"/>
      <c r="O237" s="444"/>
      <c r="P237" s="444"/>
      <c r="Q237" s="444"/>
      <c r="R237" s="444"/>
      <c r="S237" s="444"/>
      <c r="T237" s="444"/>
      <c r="U237" s="444"/>
      <c r="V237" s="444"/>
      <c r="W237" s="444"/>
      <c r="X237" s="444"/>
    </row>
    <row r="238" spans="1:24" ht="15.6" x14ac:dyDescent="0.3">
      <c r="A238" s="438"/>
      <c r="B238" s="439"/>
      <c r="C238" s="440"/>
      <c r="D238" s="441"/>
      <c r="E238" s="441"/>
      <c r="F238" s="442"/>
      <c r="G238" s="443"/>
      <c r="H238" s="442"/>
      <c r="I238" s="455"/>
      <c r="J238" s="444"/>
      <c r="K238" s="652"/>
      <c r="L238" s="444"/>
      <c r="M238" s="444"/>
      <c r="N238" s="444"/>
      <c r="O238" s="444"/>
      <c r="P238" s="444"/>
      <c r="Q238" s="444"/>
      <c r="R238" s="444"/>
      <c r="S238" s="444"/>
      <c r="T238" s="444"/>
      <c r="U238" s="444"/>
      <c r="V238" s="444"/>
      <c r="W238" s="444"/>
      <c r="X238" s="444"/>
    </row>
    <row r="239" spans="1:24" ht="15.6" x14ac:dyDescent="0.3">
      <c r="A239" s="438"/>
      <c r="B239" s="439"/>
      <c r="C239" s="440"/>
      <c r="D239" s="441"/>
      <c r="E239" s="441"/>
      <c r="F239" s="442"/>
      <c r="G239" s="443"/>
      <c r="H239" s="442"/>
      <c r="I239" s="455"/>
      <c r="J239" s="444"/>
      <c r="K239" s="652"/>
      <c r="L239" s="444"/>
      <c r="M239" s="444"/>
      <c r="N239" s="444"/>
      <c r="O239" s="444"/>
      <c r="P239" s="444"/>
      <c r="Q239" s="444"/>
      <c r="R239" s="444"/>
      <c r="S239" s="444"/>
      <c r="T239" s="444"/>
      <c r="U239" s="444"/>
      <c r="V239" s="444"/>
      <c r="W239" s="444"/>
      <c r="X239" s="444"/>
    </row>
    <row r="240" spans="1:24" ht="15.6" x14ac:dyDescent="0.3">
      <c r="A240" s="438"/>
      <c r="B240" s="439"/>
      <c r="C240" s="440"/>
      <c r="D240" s="441"/>
      <c r="E240" s="441"/>
      <c r="F240" s="442"/>
      <c r="G240" s="443"/>
      <c r="H240" s="442"/>
      <c r="I240" s="455"/>
      <c r="J240" s="444"/>
      <c r="K240" s="652"/>
      <c r="L240" s="444"/>
      <c r="M240" s="444"/>
      <c r="N240" s="444"/>
      <c r="O240" s="444"/>
      <c r="P240" s="444"/>
      <c r="Q240" s="444"/>
      <c r="R240" s="444"/>
      <c r="S240" s="444"/>
      <c r="T240" s="444"/>
      <c r="U240" s="444"/>
      <c r="V240" s="444"/>
      <c r="W240" s="444"/>
      <c r="X240" s="444"/>
    </row>
    <row r="241" spans="1:24" ht="15.6" x14ac:dyDescent="0.3">
      <c r="A241" s="438"/>
      <c r="B241" s="439"/>
      <c r="C241" s="440"/>
      <c r="D241" s="441"/>
      <c r="E241" s="441"/>
      <c r="F241" s="442"/>
      <c r="G241" s="443"/>
      <c r="H241" s="442"/>
      <c r="I241" s="455"/>
      <c r="J241" s="444"/>
      <c r="K241" s="652"/>
      <c r="L241" s="444"/>
      <c r="M241" s="444"/>
      <c r="N241" s="444"/>
      <c r="O241" s="444"/>
      <c r="P241" s="444"/>
      <c r="Q241" s="444"/>
      <c r="R241" s="444"/>
      <c r="S241" s="444"/>
      <c r="T241" s="444"/>
      <c r="U241" s="444"/>
      <c r="V241" s="444"/>
      <c r="W241" s="444"/>
      <c r="X241" s="444"/>
    </row>
    <row r="242" spans="1:24" ht="15.6" x14ac:dyDescent="0.3">
      <c r="A242" s="438"/>
      <c r="B242" s="439"/>
      <c r="C242" s="440"/>
      <c r="D242" s="441"/>
      <c r="E242" s="441"/>
      <c r="F242" s="442"/>
      <c r="G242" s="443"/>
      <c r="H242" s="442"/>
      <c r="I242" s="455"/>
      <c r="J242" s="444"/>
      <c r="K242" s="652"/>
      <c r="L242" s="444"/>
      <c r="M242" s="444"/>
      <c r="N242" s="444"/>
      <c r="O242" s="444"/>
      <c r="P242" s="444"/>
      <c r="Q242" s="444"/>
      <c r="R242" s="444"/>
      <c r="S242" s="444"/>
      <c r="T242" s="444"/>
      <c r="U242" s="444"/>
      <c r="V242" s="444"/>
      <c r="W242" s="444"/>
      <c r="X242" s="444"/>
    </row>
    <row r="243" spans="1:24" ht="15.6" x14ac:dyDescent="0.3">
      <c r="A243" s="438"/>
      <c r="B243" s="439"/>
      <c r="C243" s="440"/>
      <c r="D243" s="441"/>
      <c r="E243" s="441"/>
      <c r="F243" s="442"/>
      <c r="G243" s="443"/>
      <c r="H243" s="442"/>
      <c r="I243" s="455"/>
      <c r="J243" s="444"/>
      <c r="K243" s="652"/>
      <c r="L243" s="444"/>
      <c r="M243" s="444"/>
      <c r="N243" s="444"/>
      <c r="O243" s="444"/>
      <c r="P243" s="444"/>
      <c r="Q243" s="444"/>
      <c r="R243" s="444"/>
      <c r="S243" s="444"/>
      <c r="T243" s="444"/>
      <c r="U243" s="444"/>
      <c r="V243" s="444"/>
      <c r="W243" s="444"/>
      <c r="X243" s="444"/>
    </row>
    <row r="244" spans="1:24" ht="15.6" x14ac:dyDescent="0.3">
      <c r="A244" s="438"/>
      <c r="B244" s="439"/>
      <c r="C244" s="440"/>
      <c r="D244" s="441"/>
      <c r="E244" s="441"/>
      <c r="F244" s="442"/>
      <c r="G244" s="443"/>
      <c r="H244" s="442"/>
      <c r="I244" s="455"/>
      <c r="J244" s="444"/>
      <c r="K244" s="652"/>
      <c r="L244" s="444"/>
      <c r="M244" s="444"/>
      <c r="N244" s="444"/>
      <c r="O244" s="444"/>
      <c r="P244" s="444"/>
      <c r="Q244" s="444"/>
      <c r="R244" s="444"/>
      <c r="S244" s="444"/>
      <c r="T244" s="444"/>
      <c r="U244" s="444"/>
      <c r="V244" s="444"/>
      <c r="W244" s="444"/>
      <c r="X244" s="444"/>
    </row>
    <row r="245" spans="1:24" ht="15.6" x14ac:dyDescent="0.3">
      <c r="A245" s="438"/>
      <c r="B245" s="439"/>
      <c r="C245" s="440"/>
      <c r="D245" s="441"/>
      <c r="E245" s="441"/>
      <c r="F245" s="442"/>
      <c r="G245" s="443"/>
      <c r="H245" s="442"/>
      <c r="I245" s="455"/>
      <c r="J245" s="444"/>
      <c r="K245" s="652"/>
      <c r="L245" s="444"/>
      <c r="M245" s="444"/>
      <c r="N245" s="444"/>
      <c r="O245" s="444"/>
      <c r="P245" s="444"/>
      <c r="Q245" s="444"/>
      <c r="R245" s="444"/>
      <c r="S245" s="444"/>
      <c r="T245" s="444"/>
      <c r="U245" s="444"/>
      <c r="V245" s="444"/>
      <c r="W245" s="444"/>
      <c r="X245" s="444"/>
    </row>
    <row r="246" spans="1:24" ht="15.6" x14ac:dyDescent="0.3">
      <c r="A246" s="438"/>
      <c r="B246" s="439"/>
      <c r="C246" s="440"/>
      <c r="D246" s="441"/>
      <c r="E246" s="441"/>
      <c r="F246" s="442"/>
      <c r="G246" s="443"/>
      <c r="H246" s="442"/>
      <c r="I246" s="455"/>
      <c r="J246" s="444"/>
      <c r="K246" s="652"/>
      <c r="L246" s="444"/>
      <c r="M246" s="444"/>
      <c r="N246" s="444"/>
      <c r="O246" s="444"/>
      <c r="P246" s="444"/>
      <c r="Q246" s="444"/>
      <c r="R246" s="444"/>
      <c r="S246" s="444"/>
      <c r="T246" s="444"/>
      <c r="U246" s="444"/>
      <c r="V246" s="444"/>
      <c r="W246" s="444"/>
      <c r="X246" s="444"/>
    </row>
    <row r="247" spans="1:24" ht="15.6" x14ac:dyDescent="0.3">
      <c r="A247" s="438"/>
      <c r="B247" s="439"/>
      <c r="C247" s="440"/>
      <c r="D247" s="441"/>
      <c r="E247" s="441"/>
      <c r="F247" s="442"/>
      <c r="G247" s="443"/>
      <c r="H247" s="442"/>
      <c r="I247" s="455"/>
      <c r="J247" s="444"/>
      <c r="K247" s="652"/>
      <c r="L247" s="444"/>
      <c r="M247" s="444"/>
      <c r="N247" s="444"/>
      <c r="O247" s="444"/>
      <c r="P247" s="444"/>
      <c r="Q247" s="444"/>
      <c r="R247" s="444"/>
      <c r="S247" s="444"/>
      <c r="T247" s="444"/>
      <c r="U247" s="444"/>
      <c r="V247" s="444"/>
      <c r="W247" s="444"/>
      <c r="X247" s="444"/>
    </row>
    <row r="248" spans="1:24" ht="15.6" x14ac:dyDescent="0.3">
      <c r="A248" s="438"/>
      <c r="B248" s="439"/>
      <c r="C248" s="440"/>
      <c r="D248" s="441"/>
      <c r="E248" s="441"/>
      <c r="F248" s="442"/>
      <c r="G248" s="443"/>
      <c r="H248" s="442"/>
      <c r="I248" s="455"/>
      <c r="J248" s="444"/>
      <c r="K248" s="652"/>
      <c r="L248" s="444"/>
      <c r="M248" s="444"/>
      <c r="N248" s="444"/>
      <c r="O248" s="444"/>
      <c r="P248" s="444"/>
      <c r="Q248" s="444"/>
      <c r="R248" s="444"/>
      <c r="S248" s="444"/>
      <c r="T248" s="444"/>
      <c r="U248" s="444"/>
      <c r="V248" s="444"/>
      <c r="W248" s="444"/>
      <c r="X248" s="444"/>
    </row>
    <row r="249" spans="1:24" ht="15.6" x14ac:dyDescent="0.3">
      <c r="A249" s="438"/>
      <c r="B249" s="439"/>
      <c r="C249" s="440"/>
      <c r="D249" s="441"/>
      <c r="E249" s="441"/>
      <c r="F249" s="442"/>
      <c r="G249" s="443"/>
      <c r="H249" s="442"/>
      <c r="I249" s="455"/>
      <c r="J249" s="444"/>
      <c r="K249" s="652"/>
      <c r="L249" s="444"/>
      <c r="M249" s="444"/>
      <c r="N249" s="444"/>
      <c r="O249" s="444"/>
      <c r="P249" s="444"/>
      <c r="Q249" s="444"/>
      <c r="R249" s="444"/>
      <c r="S249" s="444"/>
      <c r="T249" s="444"/>
      <c r="U249" s="444"/>
      <c r="V249" s="444"/>
      <c r="W249" s="444"/>
      <c r="X249" s="444"/>
    </row>
    <row r="250" spans="1:24" ht="15.6" x14ac:dyDescent="0.3">
      <c r="A250" s="438"/>
      <c r="B250" s="439"/>
      <c r="C250" s="440"/>
      <c r="D250" s="441"/>
      <c r="E250" s="441"/>
      <c r="F250" s="442"/>
      <c r="G250" s="443"/>
      <c r="H250" s="442"/>
      <c r="I250" s="455"/>
      <c r="J250" s="444"/>
      <c r="K250" s="652"/>
      <c r="L250" s="444"/>
      <c r="M250" s="444"/>
      <c r="N250" s="444"/>
      <c r="O250" s="444"/>
      <c r="P250" s="444"/>
      <c r="Q250" s="444"/>
      <c r="R250" s="444"/>
      <c r="S250" s="444"/>
      <c r="T250" s="444"/>
      <c r="U250" s="444"/>
      <c r="V250" s="444"/>
      <c r="W250" s="444"/>
      <c r="X250" s="444"/>
    </row>
    <row r="251" spans="1:24" ht="15.6" x14ac:dyDescent="0.3">
      <c r="A251" s="438"/>
      <c r="B251" s="439"/>
      <c r="C251" s="440"/>
      <c r="D251" s="441"/>
      <c r="E251" s="441"/>
      <c r="F251" s="442"/>
      <c r="G251" s="443"/>
      <c r="H251" s="442"/>
      <c r="I251" s="455"/>
      <c r="J251" s="444"/>
      <c r="K251" s="652"/>
      <c r="L251" s="444"/>
      <c r="M251" s="444"/>
      <c r="N251" s="444"/>
      <c r="O251" s="444"/>
      <c r="P251" s="444"/>
      <c r="Q251" s="444"/>
      <c r="R251" s="444"/>
      <c r="S251" s="444"/>
      <c r="T251" s="444"/>
      <c r="U251" s="444"/>
      <c r="V251" s="444"/>
      <c r="W251" s="444"/>
      <c r="X251" s="444"/>
    </row>
    <row r="252" spans="1:24" ht="15.6" x14ac:dyDescent="0.3">
      <c r="A252" s="438"/>
      <c r="B252" s="439"/>
      <c r="C252" s="440"/>
      <c r="D252" s="441"/>
      <c r="E252" s="441"/>
      <c r="F252" s="442"/>
      <c r="G252" s="443"/>
      <c r="H252" s="442"/>
      <c r="I252" s="455"/>
      <c r="J252" s="444"/>
      <c r="K252" s="652"/>
      <c r="L252" s="444"/>
      <c r="M252" s="444"/>
      <c r="N252" s="444"/>
      <c r="O252" s="444"/>
      <c r="P252" s="444"/>
      <c r="Q252" s="444"/>
      <c r="R252" s="444"/>
      <c r="S252" s="444"/>
      <c r="T252" s="444"/>
      <c r="U252" s="444"/>
      <c r="V252" s="444"/>
      <c r="W252" s="444"/>
      <c r="X252" s="444"/>
    </row>
    <row r="253" spans="1:24" ht="15.6" x14ac:dyDescent="0.3">
      <c r="A253" s="438"/>
      <c r="B253" s="439"/>
      <c r="C253" s="440"/>
      <c r="D253" s="441"/>
      <c r="E253" s="441"/>
      <c r="F253" s="442"/>
      <c r="G253" s="443"/>
      <c r="H253" s="442"/>
      <c r="I253" s="455"/>
      <c r="J253" s="444"/>
      <c r="K253" s="652"/>
      <c r="L253" s="444"/>
      <c r="M253" s="444"/>
      <c r="N253" s="444"/>
      <c r="O253" s="444"/>
      <c r="P253" s="444"/>
      <c r="Q253" s="444"/>
      <c r="R253" s="444"/>
      <c r="S253" s="444"/>
      <c r="T253" s="444"/>
      <c r="U253" s="444"/>
      <c r="V253" s="444"/>
      <c r="W253" s="444"/>
      <c r="X253" s="444"/>
    </row>
    <row r="254" spans="1:24" ht="15.6" x14ac:dyDescent="0.3">
      <c r="A254" s="438"/>
      <c r="B254" s="439"/>
      <c r="C254" s="440"/>
      <c r="D254" s="441"/>
      <c r="E254" s="441"/>
      <c r="F254" s="442"/>
      <c r="G254" s="443"/>
      <c r="H254" s="442"/>
      <c r="I254" s="455"/>
      <c r="J254" s="444"/>
      <c r="K254" s="652"/>
      <c r="L254" s="444"/>
      <c r="M254" s="444"/>
      <c r="N254" s="444"/>
      <c r="O254" s="444"/>
      <c r="P254" s="444"/>
      <c r="Q254" s="444"/>
      <c r="R254" s="444"/>
      <c r="S254" s="444"/>
      <c r="T254" s="444"/>
      <c r="U254" s="444"/>
      <c r="V254" s="444"/>
      <c r="W254" s="444"/>
      <c r="X254" s="444"/>
    </row>
    <row r="255" spans="1:24" ht="15.6" x14ac:dyDescent="0.3">
      <c r="A255" s="438"/>
      <c r="B255" s="439"/>
      <c r="C255" s="440"/>
      <c r="D255" s="441"/>
      <c r="E255" s="441"/>
      <c r="F255" s="442"/>
      <c r="G255" s="443"/>
      <c r="H255" s="442"/>
      <c r="I255" s="455"/>
      <c r="J255" s="444"/>
      <c r="K255" s="652"/>
      <c r="L255" s="444"/>
      <c r="M255" s="444"/>
      <c r="N255" s="444"/>
      <c r="O255" s="444"/>
      <c r="P255" s="444"/>
      <c r="Q255" s="444"/>
      <c r="R255" s="444"/>
      <c r="S255" s="444"/>
      <c r="T255" s="444"/>
      <c r="U255" s="444"/>
      <c r="V255" s="444"/>
      <c r="W255" s="444"/>
      <c r="X255" s="444"/>
    </row>
    <row r="256" spans="1:24" ht="15.6" x14ac:dyDescent="0.3">
      <c r="A256" s="438"/>
      <c r="B256" s="439"/>
      <c r="C256" s="440"/>
      <c r="D256" s="441"/>
      <c r="E256" s="441"/>
      <c r="F256" s="442"/>
      <c r="G256" s="443"/>
      <c r="H256" s="442"/>
      <c r="I256" s="455"/>
      <c r="J256" s="444"/>
      <c r="K256" s="652"/>
      <c r="L256" s="444"/>
      <c r="M256" s="444"/>
      <c r="N256" s="444"/>
      <c r="O256" s="444"/>
      <c r="P256" s="444"/>
      <c r="Q256" s="444"/>
      <c r="R256" s="444"/>
      <c r="S256" s="444"/>
      <c r="T256" s="444"/>
      <c r="U256" s="444"/>
      <c r="V256" s="444"/>
      <c r="W256" s="444"/>
      <c r="X256" s="444"/>
    </row>
    <row r="257" spans="1:24" ht="15.6" x14ac:dyDescent="0.3">
      <c r="A257" s="438"/>
      <c r="B257" s="439"/>
      <c r="C257" s="440"/>
      <c r="D257" s="441"/>
      <c r="E257" s="441"/>
      <c r="F257" s="442"/>
      <c r="G257" s="443"/>
      <c r="H257" s="442"/>
      <c r="I257" s="455"/>
      <c r="J257" s="444"/>
      <c r="K257" s="652"/>
      <c r="L257" s="444"/>
      <c r="M257" s="444"/>
      <c r="N257" s="444"/>
      <c r="O257" s="444"/>
      <c r="P257" s="444"/>
      <c r="Q257" s="444"/>
      <c r="R257" s="444"/>
      <c r="S257" s="444"/>
      <c r="T257" s="444"/>
      <c r="U257" s="444"/>
      <c r="V257" s="444"/>
      <c r="W257" s="444"/>
      <c r="X257" s="444"/>
    </row>
    <row r="258" spans="1:24" ht="15.6" x14ac:dyDescent="0.3">
      <c r="A258" s="438"/>
      <c r="B258" s="439"/>
      <c r="C258" s="440"/>
      <c r="D258" s="441"/>
      <c r="E258" s="441"/>
      <c r="F258" s="442"/>
      <c r="G258" s="443"/>
      <c r="H258" s="442"/>
      <c r="I258" s="455"/>
      <c r="J258" s="444"/>
      <c r="K258" s="652"/>
      <c r="L258" s="444"/>
      <c r="M258" s="444"/>
      <c r="N258" s="444"/>
      <c r="O258" s="444"/>
      <c r="P258" s="444"/>
      <c r="Q258" s="444"/>
      <c r="R258" s="444"/>
      <c r="S258" s="444"/>
      <c r="T258" s="444"/>
      <c r="U258" s="444"/>
      <c r="V258" s="444"/>
      <c r="W258" s="444"/>
      <c r="X258" s="444"/>
    </row>
    <row r="259" spans="1:24" ht="15.6" x14ac:dyDescent="0.3">
      <c r="A259" s="438"/>
      <c r="B259" s="439"/>
      <c r="C259" s="440"/>
      <c r="D259" s="441"/>
      <c r="E259" s="441"/>
      <c r="F259" s="442"/>
      <c r="G259" s="443"/>
      <c r="H259" s="442"/>
      <c r="I259" s="455"/>
      <c r="J259" s="444"/>
      <c r="K259" s="652"/>
      <c r="L259" s="444"/>
      <c r="M259" s="444"/>
      <c r="N259" s="444"/>
      <c r="O259" s="444"/>
      <c r="P259" s="444"/>
      <c r="Q259" s="444"/>
      <c r="R259" s="444"/>
      <c r="S259" s="444"/>
      <c r="T259" s="444"/>
      <c r="U259" s="444"/>
      <c r="V259" s="444"/>
      <c r="W259" s="444"/>
      <c r="X259" s="444"/>
    </row>
    <row r="260" spans="1:24" ht="15.6" x14ac:dyDescent="0.3">
      <c r="A260" s="438"/>
      <c r="B260" s="439"/>
      <c r="C260" s="440"/>
      <c r="D260" s="441"/>
      <c r="E260" s="441"/>
      <c r="F260" s="442"/>
      <c r="G260" s="443"/>
      <c r="H260" s="442"/>
      <c r="I260" s="455"/>
      <c r="J260" s="444"/>
      <c r="K260" s="652"/>
      <c r="L260" s="444"/>
      <c r="M260" s="444"/>
      <c r="N260" s="444"/>
      <c r="O260" s="444"/>
      <c r="P260" s="444"/>
      <c r="Q260" s="444"/>
      <c r="R260" s="444"/>
      <c r="S260" s="444"/>
      <c r="T260" s="444"/>
      <c r="U260" s="444"/>
      <c r="V260" s="444"/>
      <c r="W260" s="444"/>
      <c r="X260" s="444"/>
    </row>
    <row r="261" spans="1:24" ht="15.6" x14ac:dyDescent="0.3">
      <c r="A261" s="438"/>
      <c r="B261" s="439"/>
      <c r="C261" s="440"/>
      <c r="D261" s="441"/>
      <c r="E261" s="441"/>
      <c r="F261" s="442"/>
      <c r="G261" s="443"/>
      <c r="H261" s="442"/>
      <c r="I261" s="455"/>
      <c r="J261" s="444"/>
      <c r="K261" s="652"/>
      <c r="L261" s="444"/>
      <c r="M261" s="444"/>
      <c r="N261" s="444"/>
      <c r="O261" s="444"/>
      <c r="P261" s="444"/>
      <c r="Q261" s="444"/>
      <c r="R261" s="444"/>
      <c r="S261" s="444"/>
      <c r="T261" s="444"/>
      <c r="U261" s="444"/>
      <c r="V261" s="444"/>
      <c r="W261" s="444"/>
      <c r="X261" s="444"/>
    </row>
    <row r="262" spans="1:24" ht="15.6" x14ac:dyDescent="0.3">
      <c r="A262" s="438"/>
      <c r="B262" s="439"/>
      <c r="C262" s="440"/>
      <c r="D262" s="441"/>
      <c r="E262" s="441"/>
      <c r="F262" s="442"/>
      <c r="G262" s="443"/>
      <c r="H262" s="442"/>
      <c r="I262" s="455"/>
      <c r="J262" s="444"/>
      <c r="K262" s="652"/>
      <c r="L262" s="444"/>
      <c r="M262" s="444"/>
      <c r="N262" s="444"/>
      <c r="O262" s="444"/>
      <c r="P262" s="444"/>
      <c r="Q262" s="444"/>
      <c r="R262" s="444"/>
      <c r="S262" s="444"/>
      <c r="T262" s="444"/>
      <c r="U262" s="444"/>
      <c r="V262" s="444"/>
      <c r="W262" s="444"/>
      <c r="X262" s="444"/>
    </row>
    <row r="263" spans="1:24" ht="15.6" x14ac:dyDescent="0.3">
      <c r="A263" s="438"/>
      <c r="B263" s="439"/>
      <c r="C263" s="440"/>
      <c r="D263" s="441"/>
      <c r="E263" s="441"/>
      <c r="F263" s="442"/>
      <c r="G263" s="443"/>
      <c r="H263" s="442"/>
      <c r="I263" s="455"/>
      <c r="J263" s="444"/>
      <c r="K263" s="652"/>
      <c r="L263" s="444"/>
      <c r="M263" s="444"/>
      <c r="N263" s="444"/>
      <c r="O263" s="444"/>
      <c r="P263" s="444"/>
      <c r="Q263" s="444"/>
      <c r="R263" s="444"/>
      <c r="S263" s="444"/>
      <c r="T263" s="444"/>
      <c r="U263" s="444"/>
      <c r="V263" s="444"/>
      <c r="W263" s="444"/>
      <c r="X263" s="444"/>
    </row>
    <row r="264" spans="1:24" ht="15.6" x14ac:dyDescent="0.3">
      <c r="A264" s="438"/>
      <c r="B264" s="439"/>
      <c r="C264" s="440"/>
      <c r="D264" s="441"/>
      <c r="E264" s="441"/>
      <c r="F264" s="442"/>
      <c r="G264" s="443"/>
      <c r="H264" s="442"/>
      <c r="I264" s="455"/>
      <c r="J264" s="444"/>
      <c r="K264" s="652"/>
      <c r="L264" s="444"/>
      <c r="M264" s="444"/>
      <c r="N264" s="444"/>
      <c r="O264" s="444"/>
      <c r="P264" s="444"/>
      <c r="Q264" s="444"/>
      <c r="R264" s="444"/>
      <c r="S264" s="444"/>
      <c r="T264" s="444"/>
      <c r="U264" s="444"/>
      <c r="V264" s="444"/>
      <c r="W264" s="444"/>
      <c r="X264" s="444"/>
    </row>
    <row r="265" spans="1:24" ht="15.6" x14ac:dyDescent="0.3">
      <c r="A265" s="438"/>
      <c r="B265" s="439"/>
      <c r="C265" s="440"/>
      <c r="D265" s="441"/>
      <c r="E265" s="441"/>
      <c r="F265" s="442"/>
      <c r="G265" s="443"/>
      <c r="H265" s="442"/>
      <c r="I265" s="455"/>
      <c r="J265" s="444"/>
      <c r="K265" s="652"/>
      <c r="L265" s="444"/>
      <c r="M265" s="444"/>
      <c r="N265" s="444"/>
      <c r="O265" s="444"/>
      <c r="P265" s="444"/>
      <c r="Q265" s="444"/>
      <c r="R265" s="444"/>
      <c r="S265" s="444"/>
      <c r="T265" s="444"/>
      <c r="U265" s="444"/>
      <c r="V265" s="444"/>
      <c r="W265" s="444"/>
      <c r="X265" s="444"/>
    </row>
    <row r="266" spans="1:24" ht="15.6" x14ac:dyDescent="0.3">
      <c r="A266" s="438"/>
      <c r="B266" s="439"/>
      <c r="C266" s="440"/>
      <c r="D266" s="441"/>
      <c r="E266" s="441"/>
      <c r="F266" s="442"/>
      <c r="G266" s="443"/>
      <c r="H266" s="442"/>
      <c r="I266" s="455"/>
      <c r="J266" s="444"/>
      <c r="K266" s="652"/>
      <c r="L266" s="444"/>
      <c r="M266" s="444"/>
      <c r="N266" s="444"/>
      <c r="O266" s="444"/>
      <c r="P266" s="444"/>
      <c r="Q266" s="444"/>
      <c r="R266" s="444"/>
      <c r="S266" s="444"/>
      <c r="T266" s="444"/>
      <c r="U266" s="444"/>
      <c r="V266" s="444"/>
      <c r="W266" s="444"/>
      <c r="X266" s="444"/>
    </row>
    <row r="267" spans="1:24" ht="15.6" x14ac:dyDescent="0.3">
      <c r="A267" s="438"/>
      <c r="B267" s="439"/>
      <c r="C267" s="440"/>
      <c r="D267" s="441"/>
      <c r="E267" s="441"/>
      <c r="F267" s="442"/>
      <c r="G267" s="443"/>
      <c r="H267" s="442"/>
      <c r="I267" s="455"/>
      <c r="J267" s="444"/>
      <c r="K267" s="652"/>
      <c r="L267" s="444"/>
      <c r="M267" s="444"/>
      <c r="N267" s="444"/>
      <c r="O267" s="444"/>
      <c r="P267" s="444"/>
      <c r="Q267" s="444"/>
      <c r="R267" s="444"/>
      <c r="S267" s="444"/>
      <c r="T267" s="444"/>
      <c r="U267" s="444"/>
      <c r="V267" s="444"/>
      <c r="W267" s="444"/>
      <c r="X267" s="444"/>
    </row>
    <row r="268" spans="1:24" ht="15.6" x14ac:dyDescent="0.3">
      <c r="A268" s="438"/>
      <c r="B268" s="439"/>
      <c r="C268" s="440"/>
      <c r="D268" s="441"/>
      <c r="E268" s="441"/>
      <c r="F268" s="442"/>
      <c r="G268" s="443"/>
      <c r="H268" s="442"/>
      <c r="I268" s="455"/>
      <c r="J268" s="444"/>
      <c r="K268" s="652"/>
      <c r="L268" s="444"/>
      <c r="M268" s="444"/>
      <c r="N268" s="444"/>
      <c r="O268" s="444"/>
      <c r="P268" s="444"/>
      <c r="Q268" s="444"/>
      <c r="R268" s="444"/>
      <c r="S268" s="444"/>
      <c r="T268" s="444"/>
      <c r="U268" s="444"/>
      <c r="V268" s="444"/>
      <c r="W268" s="444"/>
      <c r="X268" s="444"/>
    </row>
    <row r="269" spans="1:24" ht="15.6" x14ac:dyDescent="0.3">
      <c r="A269" s="438"/>
      <c r="B269" s="439"/>
      <c r="C269" s="440"/>
      <c r="D269" s="441"/>
      <c r="E269" s="441"/>
      <c r="F269" s="442"/>
      <c r="G269" s="443"/>
      <c r="H269" s="442"/>
      <c r="I269" s="455"/>
      <c r="J269" s="444"/>
      <c r="K269" s="652"/>
      <c r="L269" s="444"/>
      <c r="M269" s="444"/>
      <c r="N269" s="444"/>
      <c r="O269" s="444"/>
      <c r="P269" s="444"/>
      <c r="Q269" s="444"/>
      <c r="R269" s="444"/>
      <c r="S269" s="444"/>
      <c r="T269" s="444"/>
      <c r="U269" s="444"/>
      <c r="V269" s="444"/>
      <c r="W269" s="444"/>
      <c r="X269" s="444"/>
    </row>
    <row r="270" spans="1:24" ht="15.6" x14ac:dyDescent="0.3">
      <c r="A270" s="438"/>
      <c r="B270" s="439"/>
      <c r="C270" s="440"/>
      <c r="D270" s="441"/>
      <c r="E270" s="441"/>
      <c r="F270" s="442"/>
      <c r="G270" s="443"/>
      <c r="H270" s="442"/>
      <c r="I270" s="455"/>
      <c r="J270" s="444"/>
      <c r="K270" s="652"/>
      <c r="L270" s="444"/>
      <c r="M270" s="444"/>
      <c r="N270" s="444"/>
      <c r="O270" s="444"/>
      <c r="P270" s="444"/>
      <c r="Q270" s="444"/>
      <c r="R270" s="444"/>
      <c r="S270" s="444"/>
      <c r="T270" s="444"/>
      <c r="U270" s="444"/>
      <c r="V270" s="444"/>
      <c r="W270" s="444"/>
      <c r="X270" s="444"/>
    </row>
    <row r="271" spans="1:24" ht="15.6" x14ac:dyDescent="0.3">
      <c r="A271" s="438"/>
      <c r="B271" s="439"/>
      <c r="C271" s="440"/>
      <c r="D271" s="441"/>
      <c r="E271" s="441"/>
      <c r="F271" s="442"/>
      <c r="G271" s="443"/>
      <c r="H271" s="442"/>
      <c r="I271" s="455"/>
      <c r="J271" s="444"/>
      <c r="K271" s="652"/>
      <c r="L271" s="444"/>
      <c r="M271" s="444"/>
      <c r="N271" s="444"/>
      <c r="O271" s="444"/>
      <c r="P271" s="444"/>
      <c r="Q271" s="444"/>
      <c r="R271" s="444"/>
      <c r="S271" s="444"/>
      <c r="T271" s="444"/>
      <c r="U271" s="444"/>
      <c r="V271" s="444"/>
      <c r="W271" s="444"/>
      <c r="X271" s="444"/>
    </row>
    <row r="272" spans="1:24" ht="15.6" x14ac:dyDescent="0.3">
      <c r="A272" s="438"/>
      <c r="B272" s="439"/>
      <c r="C272" s="440"/>
      <c r="D272" s="441"/>
      <c r="E272" s="441"/>
      <c r="F272" s="442"/>
      <c r="G272" s="443"/>
      <c r="H272" s="442"/>
      <c r="I272" s="455"/>
      <c r="J272" s="444"/>
      <c r="K272" s="652"/>
      <c r="L272" s="444"/>
      <c r="M272" s="444"/>
      <c r="N272" s="444"/>
      <c r="O272" s="444"/>
      <c r="P272" s="444"/>
      <c r="Q272" s="444"/>
      <c r="R272" s="444"/>
      <c r="S272" s="444"/>
      <c r="T272" s="444"/>
      <c r="U272" s="444"/>
      <c r="V272" s="444"/>
      <c r="W272" s="444"/>
      <c r="X272" s="444"/>
    </row>
    <row r="273" spans="1:24" ht="15.6" x14ac:dyDescent="0.3">
      <c r="A273" s="438"/>
      <c r="B273" s="439"/>
      <c r="C273" s="440"/>
      <c r="D273" s="441"/>
      <c r="E273" s="441"/>
      <c r="F273" s="442"/>
      <c r="G273" s="443"/>
      <c r="H273" s="442"/>
      <c r="I273" s="455"/>
      <c r="J273" s="444"/>
      <c r="K273" s="652"/>
      <c r="L273" s="444"/>
      <c r="M273" s="444"/>
      <c r="N273" s="444"/>
      <c r="O273" s="444"/>
      <c r="P273" s="444"/>
      <c r="Q273" s="444"/>
      <c r="R273" s="444"/>
      <c r="S273" s="444"/>
      <c r="T273" s="444"/>
      <c r="U273" s="444"/>
      <c r="V273" s="444"/>
      <c r="W273" s="444"/>
      <c r="X273" s="444"/>
    </row>
    <row r="274" spans="1:24" ht="15.6" x14ac:dyDescent="0.3">
      <c r="A274" s="438"/>
      <c r="B274" s="439"/>
      <c r="C274" s="440"/>
      <c r="D274" s="441"/>
      <c r="E274" s="441"/>
      <c r="F274" s="442"/>
      <c r="G274" s="443"/>
      <c r="H274" s="442"/>
      <c r="I274" s="455"/>
      <c r="J274" s="444"/>
      <c r="K274" s="652"/>
      <c r="L274" s="444"/>
      <c r="M274" s="444"/>
      <c r="N274" s="444"/>
      <c r="O274" s="444"/>
      <c r="P274" s="444"/>
      <c r="Q274" s="444"/>
      <c r="R274" s="444"/>
      <c r="S274" s="444"/>
      <c r="T274" s="444"/>
      <c r="U274" s="444"/>
      <c r="V274" s="444"/>
      <c r="W274" s="444"/>
      <c r="X274" s="444"/>
    </row>
    <row r="275" spans="1:24" ht="15.6" x14ac:dyDescent="0.3">
      <c r="A275" s="438"/>
      <c r="B275" s="439"/>
      <c r="C275" s="440"/>
      <c r="D275" s="441"/>
      <c r="E275" s="441"/>
      <c r="F275" s="442"/>
      <c r="G275" s="443"/>
      <c r="H275" s="442"/>
      <c r="I275" s="455"/>
      <c r="J275" s="444"/>
      <c r="K275" s="652"/>
      <c r="L275" s="444"/>
      <c r="M275" s="444"/>
      <c r="N275" s="444"/>
      <c r="O275" s="444"/>
      <c r="P275" s="444"/>
      <c r="Q275" s="444"/>
      <c r="R275" s="444"/>
      <c r="S275" s="444"/>
      <c r="T275" s="444"/>
      <c r="U275" s="444"/>
      <c r="V275" s="444"/>
      <c r="W275" s="444"/>
      <c r="X275" s="444"/>
    </row>
    <row r="276" spans="1:24" ht="15.6" x14ac:dyDescent="0.3">
      <c r="A276" s="438"/>
      <c r="B276" s="439"/>
      <c r="C276" s="440"/>
      <c r="D276" s="441"/>
      <c r="E276" s="441"/>
      <c r="F276" s="442"/>
      <c r="G276" s="443"/>
      <c r="H276" s="442"/>
      <c r="I276" s="455"/>
      <c r="J276" s="444"/>
      <c r="K276" s="652"/>
      <c r="L276" s="444"/>
      <c r="M276" s="444"/>
      <c r="N276" s="444"/>
      <c r="O276" s="444"/>
      <c r="P276" s="444"/>
      <c r="Q276" s="444"/>
      <c r="R276" s="444"/>
      <c r="S276" s="444"/>
      <c r="T276" s="444"/>
      <c r="U276" s="444"/>
      <c r="V276" s="444"/>
      <c r="W276" s="444"/>
      <c r="X276" s="444"/>
    </row>
    <row r="277" spans="1:24" ht="15.6" x14ac:dyDescent="0.3">
      <c r="A277" s="438"/>
      <c r="B277" s="439"/>
      <c r="C277" s="440"/>
      <c r="D277" s="441"/>
      <c r="E277" s="441"/>
      <c r="F277" s="442"/>
      <c r="G277" s="443"/>
      <c r="H277" s="442"/>
      <c r="I277" s="455"/>
      <c r="J277" s="444"/>
      <c r="K277" s="652"/>
      <c r="L277" s="444"/>
      <c r="M277" s="444"/>
      <c r="N277" s="444"/>
      <c r="O277" s="444"/>
      <c r="P277" s="444"/>
      <c r="Q277" s="444"/>
      <c r="R277" s="444"/>
      <c r="S277" s="444"/>
      <c r="T277" s="444"/>
      <c r="U277" s="444"/>
      <c r="V277" s="444"/>
      <c r="W277" s="444"/>
      <c r="X277" s="444"/>
    </row>
    <row r="278" spans="1:24" ht="15.6" x14ac:dyDescent="0.3">
      <c r="A278" s="438"/>
      <c r="B278" s="439"/>
      <c r="C278" s="440"/>
      <c r="D278" s="441"/>
      <c r="E278" s="441"/>
      <c r="F278" s="442"/>
      <c r="G278" s="443"/>
      <c r="H278" s="442"/>
      <c r="I278" s="455"/>
      <c r="J278" s="444"/>
      <c r="K278" s="652"/>
      <c r="L278" s="444"/>
      <c r="M278" s="444"/>
      <c r="N278" s="444"/>
      <c r="O278" s="444"/>
      <c r="P278" s="444"/>
      <c r="Q278" s="444"/>
      <c r="R278" s="444"/>
      <c r="S278" s="444"/>
      <c r="T278" s="444"/>
      <c r="U278" s="444"/>
      <c r="V278" s="444"/>
      <c r="W278" s="444"/>
      <c r="X278" s="444"/>
    </row>
    <row r="279" spans="1:24" ht="15.6" x14ac:dyDescent="0.3">
      <c r="A279" s="438"/>
      <c r="B279" s="439"/>
      <c r="C279" s="440"/>
      <c r="D279" s="441"/>
      <c r="E279" s="441"/>
      <c r="F279" s="442"/>
      <c r="G279" s="443"/>
      <c r="H279" s="442"/>
      <c r="I279" s="455"/>
      <c r="J279" s="444"/>
      <c r="K279" s="652"/>
      <c r="L279" s="444"/>
      <c r="M279" s="444"/>
      <c r="N279" s="444"/>
      <c r="O279" s="444"/>
      <c r="P279" s="444"/>
      <c r="Q279" s="444"/>
      <c r="R279" s="444"/>
      <c r="S279" s="444"/>
      <c r="T279" s="444"/>
      <c r="U279" s="444"/>
      <c r="V279" s="444"/>
      <c r="W279" s="444"/>
      <c r="X279" s="444"/>
    </row>
    <row r="280" spans="1:24" ht="15.6" x14ac:dyDescent="0.3">
      <c r="A280" s="438"/>
      <c r="B280" s="439"/>
      <c r="C280" s="440"/>
      <c r="D280" s="441"/>
      <c r="E280" s="441"/>
      <c r="F280" s="442"/>
      <c r="G280" s="443"/>
      <c r="H280" s="442"/>
      <c r="I280" s="455"/>
      <c r="J280" s="444"/>
      <c r="K280" s="652"/>
      <c r="L280" s="444"/>
      <c r="M280" s="444"/>
      <c r="N280" s="444"/>
      <c r="O280" s="444"/>
      <c r="P280" s="444"/>
      <c r="Q280" s="444"/>
      <c r="R280" s="444"/>
      <c r="S280" s="444"/>
      <c r="T280" s="444"/>
      <c r="U280" s="444"/>
      <c r="V280" s="444"/>
      <c r="W280" s="444"/>
      <c r="X280" s="444"/>
    </row>
    <row r="281" spans="1:24" ht="15.6" x14ac:dyDescent="0.3">
      <c r="A281" s="438"/>
      <c r="B281" s="439"/>
      <c r="C281" s="440"/>
      <c r="D281" s="441"/>
      <c r="E281" s="441"/>
      <c r="F281" s="442"/>
      <c r="G281" s="443"/>
      <c r="H281" s="442"/>
      <c r="I281" s="455"/>
      <c r="J281" s="444"/>
      <c r="K281" s="652"/>
      <c r="L281" s="444"/>
      <c r="M281" s="444"/>
      <c r="N281" s="444"/>
      <c r="O281" s="444"/>
      <c r="P281" s="444"/>
      <c r="Q281" s="444"/>
      <c r="R281" s="444"/>
      <c r="S281" s="444"/>
      <c r="T281" s="444"/>
      <c r="U281" s="444"/>
      <c r="V281" s="444"/>
      <c r="W281" s="444"/>
      <c r="X281" s="444"/>
    </row>
    <row r="282" spans="1:24" ht="15.6" x14ac:dyDescent="0.3">
      <c r="A282" s="438"/>
      <c r="B282" s="439"/>
      <c r="C282" s="440"/>
      <c r="D282" s="441"/>
      <c r="E282" s="441"/>
      <c r="F282" s="442"/>
      <c r="G282" s="443"/>
      <c r="H282" s="442"/>
      <c r="I282" s="455"/>
      <c r="J282" s="444"/>
      <c r="K282" s="652"/>
      <c r="L282" s="444"/>
      <c r="M282" s="444"/>
      <c r="N282" s="444"/>
      <c r="O282" s="444"/>
      <c r="P282" s="444"/>
      <c r="Q282" s="444"/>
      <c r="R282" s="444"/>
      <c r="S282" s="444"/>
      <c r="T282" s="444"/>
      <c r="U282" s="444"/>
      <c r="V282" s="444"/>
      <c r="W282" s="444"/>
      <c r="X282" s="444"/>
    </row>
    <row r="283" spans="1:24" ht="15.6" x14ac:dyDescent="0.3">
      <c r="A283" s="438"/>
      <c r="B283" s="439"/>
      <c r="C283" s="440"/>
      <c r="D283" s="441"/>
      <c r="E283" s="441"/>
      <c r="F283" s="442"/>
      <c r="G283" s="443"/>
      <c r="H283" s="442"/>
      <c r="I283" s="455"/>
      <c r="J283" s="444"/>
      <c r="K283" s="652"/>
      <c r="L283" s="444"/>
      <c r="M283" s="444"/>
      <c r="N283" s="444"/>
      <c r="O283" s="444"/>
      <c r="P283" s="444"/>
      <c r="Q283" s="444"/>
      <c r="R283" s="444"/>
      <c r="S283" s="444"/>
      <c r="T283" s="444"/>
      <c r="U283" s="444"/>
      <c r="V283" s="444"/>
      <c r="W283" s="444"/>
      <c r="X283" s="444"/>
    </row>
    <row r="284" spans="1:24" ht="15.6" x14ac:dyDescent="0.3">
      <c r="A284" s="438"/>
      <c r="B284" s="439"/>
      <c r="C284" s="440"/>
      <c r="D284" s="441"/>
      <c r="E284" s="441"/>
      <c r="F284" s="442"/>
      <c r="G284" s="443"/>
      <c r="H284" s="442"/>
      <c r="I284" s="455"/>
      <c r="J284" s="444"/>
      <c r="K284" s="652"/>
      <c r="L284" s="444"/>
      <c r="M284" s="444"/>
      <c r="N284" s="444"/>
      <c r="O284" s="444"/>
      <c r="P284" s="444"/>
      <c r="Q284" s="444"/>
      <c r="R284" s="444"/>
      <c r="S284" s="444"/>
      <c r="T284" s="444"/>
      <c r="U284" s="444"/>
      <c r="V284" s="444"/>
      <c r="W284" s="444"/>
      <c r="X284" s="444"/>
    </row>
    <row r="285" spans="1:24" ht="15.6" x14ac:dyDescent="0.3">
      <c r="A285" s="438"/>
      <c r="B285" s="439"/>
      <c r="C285" s="440"/>
      <c r="D285" s="441"/>
      <c r="E285" s="441"/>
      <c r="F285" s="442"/>
      <c r="G285" s="443"/>
      <c r="H285" s="442"/>
      <c r="I285" s="455"/>
      <c r="J285" s="444"/>
      <c r="K285" s="652"/>
      <c r="L285" s="444"/>
      <c r="M285" s="444"/>
      <c r="N285" s="444"/>
      <c r="O285" s="444"/>
      <c r="P285" s="444"/>
      <c r="Q285" s="444"/>
      <c r="R285" s="444"/>
      <c r="S285" s="444"/>
      <c r="T285" s="444"/>
      <c r="U285" s="444"/>
      <c r="V285" s="444"/>
      <c r="W285" s="444"/>
      <c r="X285" s="444"/>
    </row>
    <row r="286" spans="1:24" ht="15.6" x14ac:dyDescent="0.3">
      <c r="A286" s="438"/>
      <c r="B286" s="439"/>
      <c r="C286" s="440"/>
      <c r="D286" s="441"/>
      <c r="E286" s="441"/>
      <c r="F286" s="442"/>
      <c r="G286" s="443"/>
      <c r="H286" s="442"/>
      <c r="I286" s="455"/>
      <c r="J286" s="444"/>
      <c r="K286" s="652"/>
      <c r="L286" s="444"/>
      <c r="M286" s="444"/>
      <c r="N286" s="444"/>
      <c r="O286" s="444"/>
      <c r="P286" s="444"/>
      <c r="Q286" s="444"/>
      <c r="R286" s="444"/>
      <c r="S286" s="444"/>
      <c r="T286" s="444"/>
      <c r="U286" s="444"/>
      <c r="V286" s="444"/>
      <c r="W286" s="444"/>
      <c r="X286" s="444"/>
    </row>
    <row r="287" spans="1:24" ht="15.6" x14ac:dyDescent="0.3">
      <c r="A287" s="438"/>
      <c r="B287" s="439"/>
      <c r="C287" s="440"/>
      <c r="D287" s="441"/>
      <c r="E287" s="441"/>
      <c r="F287" s="442"/>
      <c r="G287" s="443"/>
      <c r="H287" s="442"/>
      <c r="I287" s="455"/>
      <c r="J287" s="444"/>
      <c r="K287" s="652"/>
      <c r="L287" s="444"/>
      <c r="M287" s="444"/>
      <c r="N287" s="444"/>
      <c r="O287" s="444"/>
      <c r="P287" s="444"/>
      <c r="Q287" s="444"/>
      <c r="R287" s="444"/>
      <c r="S287" s="444"/>
      <c r="T287" s="444"/>
      <c r="U287" s="444"/>
      <c r="V287" s="444"/>
      <c r="W287" s="444"/>
      <c r="X287" s="444"/>
    </row>
    <row r="288" spans="1:24" ht="15.6" x14ac:dyDescent="0.3">
      <c r="A288" s="438"/>
      <c r="B288" s="439"/>
      <c r="C288" s="440"/>
      <c r="D288" s="441"/>
      <c r="E288" s="441"/>
      <c r="F288" s="442"/>
      <c r="G288" s="443"/>
      <c r="H288" s="442"/>
      <c r="I288" s="455"/>
      <c r="J288" s="444"/>
      <c r="K288" s="652"/>
      <c r="L288" s="444"/>
      <c r="M288" s="444"/>
      <c r="N288" s="444"/>
      <c r="O288" s="444"/>
      <c r="P288" s="444"/>
      <c r="Q288" s="444"/>
      <c r="R288" s="444"/>
      <c r="S288" s="444"/>
      <c r="T288" s="444"/>
      <c r="U288" s="444"/>
      <c r="V288" s="444"/>
      <c r="W288" s="444"/>
      <c r="X288" s="444"/>
    </row>
    <row r="289" spans="1:24" ht="15.6" x14ac:dyDescent="0.3">
      <c r="A289" s="438"/>
      <c r="B289" s="439"/>
      <c r="C289" s="440"/>
      <c r="D289" s="441"/>
      <c r="E289" s="441"/>
      <c r="F289" s="442"/>
      <c r="G289" s="443"/>
      <c r="H289" s="442"/>
      <c r="I289" s="455"/>
      <c r="J289" s="444"/>
      <c r="K289" s="652"/>
      <c r="L289" s="444"/>
      <c r="M289" s="444"/>
      <c r="N289" s="444"/>
      <c r="O289" s="444"/>
      <c r="P289" s="444"/>
      <c r="Q289" s="444"/>
      <c r="R289" s="444"/>
      <c r="S289" s="444"/>
      <c r="T289" s="444"/>
      <c r="U289" s="444"/>
      <c r="V289" s="444"/>
      <c r="W289" s="444"/>
      <c r="X289" s="444"/>
    </row>
    <row r="290" spans="1:24" ht="15.6" x14ac:dyDescent="0.3">
      <c r="A290" s="438"/>
      <c r="B290" s="439"/>
      <c r="C290" s="440"/>
      <c r="D290" s="441"/>
      <c r="E290" s="441"/>
      <c r="F290" s="442"/>
      <c r="G290" s="443"/>
      <c r="H290" s="442"/>
      <c r="I290" s="455"/>
      <c r="J290" s="444"/>
      <c r="K290" s="652"/>
      <c r="L290" s="444"/>
      <c r="M290" s="444"/>
      <c r="N290" s="444"/>
      <c r="O290" s="444"/>
      <c r="P290" s="444"/>
      <c r="Q290" s="444"/>
      <c r="R290" s="444"/>
      <c r="S290" s="444"/>
      <c r="T290" s="444"/>
      <c r="U290" s="444"/>
      <c r="V290" s="444"/>
      <c r="W290" s="444"/>
      <c r="X290" s="444"/>
    </row>
    <row r="291" spans="1:24" ht="15.6" x14ac:dyDescent="0.3">
      <c r="A291" s="438"/>
      <c r="B291" s="439"/>
      <c r="C291" s="440"/>
      <c r="D291" s="441"/>
      <c r="E291" s="441"/>
      <c r="F291" s="442"/>
      <c r="G291" s="443"/>
      <c r="H291" s="442"/>
      <c r="I291" s="455"/>
      <c r="J291" s="444"/>
      <c r="K291" s="652"/>
      <c r="L291" s="444"/>
      <c r="M291" s="444"/>
      <c r="N291" s="444"/>
      <c r="O291" s="444"/>
      <c r="P291" s="444"/>
      <c r="Q291" s="444"/>
      <c r="R291" s="444"/>
      <c r="S291" s="444"/>
      <c r="T291" s="444"/>
      <c r="U291" s="444"/>
      <c r="V291" s="444"/>
      <c r="W291" s="444"/>
      <c r="X291" s="444"/>
    </row>
    <row r="292" spans="1:24" ht="15.6" x14ac:dyDescent="0.3">
      <c r="A292" s="438"/>
      <c r="B292" s="439"/>
      <c r="C292" s="440"/>
      <c r="D292" s="441"/>
      <c r="E292" s="441"/>
      <c r="F292" s="442"/>
      <c r="G292" s="443"/>
      <c r="H292" s="442"/>
      <c r="I292" s="455"/>
      <c r="J292" s="444"/>
      <c r="K292" s="652"/>
      <c r="L292" s="444"/>
      <c r="M292" s="444"/>
      <c r="N292" s="444"/>
      <c r="O292" s="444"/>
      <c r="P292" s="444"/>
      <c r="Q292" s="444"/>
      <c r="R292" s="444"/>
      <c r="S292" s="444"/>
      <c r="T292" s="444"/>
      <c r="U292" s="444"/>
      <c r="V292" s="444"/>
      <c r="W292" s="444"/>
      <c r="X292" s="444"/>
    </row>
    <row r="293" spans="1:24" ht="15.6" x14ac:dyDescent="0.3">
      <c r="A293" s="438"/>
      <c r="B293" s="439"/>
      <c r="C293" s="440"/>
      <c r="D293" s="441"/>
      <c r="E293" s="441"/>
      <c r="F293" s="442"/>
      <c r="G293" s="443"/>
      <c r="H293" s="442"/>
      <c r="I293" s="455"/>
      <c r="J293" s="444"/>
      <c r="K293" s="652"/>
      <c r="L293" s="444"/>
      <c r="M293" s="444"/>
      <c r="N293" s="444"/>
      <c r="O293" s="444"/>
      <c r="P293" s="444"/>
      <c r="Q293" s="444"/>
      <c r="R293" s="444"/>
      <c r="S293" s="444"/>
      <c r="T293" s="444"/>
      <c r="U293" s="444"/>
      <c r="V293" s="444"/>
      <c r="W293" s="444"/>
      <c r="X293" s="444"/>
    </row>
    <row r="294" spans="1:24" ht="15.6" x14ac:dyDescent="0.3">
      <c r="A294" s="438"/>
      <c r="B294" s="439"/>
      <c r="C294" s="440"/>
      <c r="D294" s="441"/>
      <c r="E294" s="441"/>
      <c r="F294" s="442"/>
      <c r="G294" s="443"/>
      <c r="H294" s="442"/>
      <c r="I294" s="455"/>
      <c r="J294" s="444"/>
      <c r="K294" s="652"/>
      <c r="L294" s="444"/>
      <c r="M294" s="444"/>
      <c r="N294" s="444"/>
      <c r="O294" s="444"/>
      <c r="P294" s="444"/>
      <c r="Q294" s="444"/>
      <c r="R294" s="444"/>
      <c r="S294" s="444"/>
      <c r="T294" s="444"/>
      <c r="U294" s="444"/>
      <c r="V294" s="444"/>
      <c r="W294" s="444"/>
      <c r="X294" s="444"/>
    </row>
    <row r="295" spans="1:24" ht="15.6" x14ac:dyDescent="0.3">
      <c r="A295" s="438"/>
      <c r="B295" s="439"/>
      <c r="C295" s="440"/>
      <c r="D295" s="441"/>
      <c r="E295" s="441"/>
      <c r="F295" s="442"/>
      <c r="G295" s="443"/>
      <c r="H295" s="442"/>
      <c r="I295" s="455"/>
      <c r="J295" s="444"/>
      <c r="K295" s="652"/>
      <c r="L295" s="444"/>
      <c r="M295" s="444"/>
      <c r="N295" s="444"/>
      <c r="O295" s="444"/>
      <c r="P295" s="444"/>
      <c r="Q295" s="444"/>
      <c r="R295" s="444"/>
      <c r="S295" s="444"/>
      <c r="T295" s="444"/>
      <c r="U295" s="444"/>
      <c r="V295" s="444"/>
      <c r="W295" s="444"/>
      <c r="X295" s="444"/>
    </row>
    <row r="296" spans="1:24" ht="15.6" x14ac:dyDescent="0.3">
      <c r="A296" s="438"/>
      <c r="B296" s="439"/>
      <c r="C296" s="440"/>
      <c r="D296" s="441"/>
      <c r="E296" s="441"/>
      <c r="F296" s="442"/>
      <c r="G296" s="443"/>
      <c r="H296" s="442"/>
      <c r="I296" s="455"/>
      <c r="J296" s="444"/>
      <c r="K296" s="652"/>
      <c r="L296" s="444"/>
      <c r="M296" s="444"/>
      <c r="N296" s="444"/>
      <c r="O296" s="444"/>
      <c r="P296" s="444"/>
      <c r="Q296" s="444"/>
      <c r="R296" s="444"/>
      <c r="S296" s="444"/>
      <c r="T296" s="444"/>
      <c r="U296" s="444"/>
      <c r="V296" s="444"/>
      <c r="W296" s="444"/>
      <c r="X296" s="444"/>
    </row>
    <row r="297" spans="1:24" ht="15.6" x14ac:dyDescent="0.3">
      <c r="A297" s="438"/>
      <c r="B297" s="439"/>
      <c r="C297" s="440"/>
      <c r="D297" s="441"/>
      <c r="E297" s="441"/>
      <c r="F297" s="442"/>
      <c r="G297" s="443"/>
      <c r="H297" s="442"/>
      <c r="I297" s="455"/>
      <c r="J297" s="444"/>
      <c r="K297" s="652"/>
      <c r="L297" s="444"/>
      <c r="M297" s="444"/>
      <c r="N297" s="444"/>
      <c r="O297" s="444"/>
      <c r="P297" s="444"/>
      <c r="Q297" s="444"/>
      <c r="R297" s="444"/>
      <c r="S297" s="444"/>
      <c r="T297" s="444"/>
      <c r="U297" s="444"/>
      <c r="V297" s="444"/>
      <c r="W297" s="444"/>
      <c r="X297" s="444"/>
    </row>
    <row r="298" spans="1:24" ht="15.6" x14ac:dyDescent="0.3">
      <c r="A298" s="438"/>
      <c r="B298" s="439"/>
      <c r="C298" s="440"/>
      <c r="D298" s="441"/>
      <c r="E298" s="441"/>
      <c r="F298" s="442"/>
      <c r="G298" s="443"/>
      <c r="H298" s="442"/>
      <c r="I298" s="455"/>
      <c r="J298" s="444"/>
      <c r="K298" s="652"/>
      <c r="L298" s="444"/>
      <c r="M298" s="444"/>
      <c r="N298" s="444"/>
      <c r="O298" s="444"/>
      <c r="P298" s="444"/>
      <c r="Q298" s="444"/>
      <c r="R298" s="444"/>
      <c r="S298" s="444"/>
      <c r="T298" s="444"/>
      <c r="U298" s="444"/>
      <c r="V298" s="444"/>
      <c r="W298" s="444"/>
      <c r="X298" s="444"/>
    </row>
    <row r="299" spans="1:24" ht="15.6" x14ac:dyDescent="0.3">
      <c r="A299" s="438"/>
      <c r="B299" s="439"/>
      <c r="C299" s="440"/>
      <c r="D299" s="441"/>
      <c r="E299" s="441"/>
      <c r="F299" s="442"/>
      <c r="G299" s="443"/>
      <c r="H299" s="442"/>
      <c r="I299" s="455"/>
      <c r="J299" s="444"/>
      <c r="K299" s="652"/>
      <c r="L299" s="444"/>
      <c r="M299" s="444"/>
      <c r="N299" s="444"/>
      <c r="O299" s="444"/>
      <c r="P299" s="444"/>
      <c r="Q299" s="444"/>
      <c r="R299" s="444"/>
      <c r="S299" s="444"/>
      <c r="T299" s="444"/>
      <c r="U299" s="444"/>
      <c r="V299" s="444"/>
      <c r="W299" s="444"/>
      <c r="X299" s="444"/>
    </row>
    <row r="300" spans="1:24" ht="15.6" x14ac:dyDescent="0.3">
      <c r="A300" s="438"/>
      <c r="B300" s="439"/>
      <c r="C300" s="440"/>
      <c r="D300" s="441"/>
      <c r="E300" s="441"/>
      <c r="F300" s="442"/>
      <c r="G300" s="443"/>
      <c r="H300" s="442"/>
      <c r="I300" s="455"/>
      <c r="J300" s="444"/>
      <c r="K300" s="652"/>
      <c r="L300" s="444"/>
      <c r="M300" s="444"/>
      <c r="N300" s="444"/>
      <c r="O300" s="444"/>
      <c r="P300" s="444"/>
      <c r="Q300" s="444"/>
      <c r="R300" s="444"/>
      <c r="S300" s="444"/>
      <c r="T300" s="444"/>
      <c r="U300" s="444"/>
      <c r="V300" s="444"/>
      <c r="W300" s="444"/>
      <c r="X300" s="444"/>
    </row>
    <row r="301" spans="1:24" ht="15.6" x14ac:dyDescent="0.3">
      <c r="A301" s="438"/>
      <c r="B301" s="439"/>
      <c r="C301" s="440"/>
      <c r="D301" s="441"/>
      <c r="E301" s="441"/>
      <c r="F301" s="442"/>
      <c r="G301" s="443"/>
      <c r="H301" s="442"/>
      <c r="I301" s="455"/>
      <c r="J301" s="444"/>
      <c r="K301" s="652"/>
      <c r="L301" s="444"/>
      <c r="M301" s="444"/>
      <c r="N301" s="444"/>
      <c r="O301" s="444"/>
      <c r="P301" s="444"/>
      <c r="Q301" s="444"/>
      <c r="R301" s="444"/>
      <c r="S301" s="444"/>
      <c r="T301" s="444"/>
      <c r="U301" s="444"/>
      <c r="V301" s="444"/>
      <c r="W301" s="444"/>
      <c r="X301" s="444"/>
    </row>
    <row r="302" spans="1:24" ht="15.6" x14ac:dyDescent="0.3">
      <c r="A302" s="438"/>
      <c r="B302" s="439"/>
      <c r="C302" s="440"/>
      <c r="D302" s="441"/>
      <c r="E302" s="441"/>
      <c r="F302" s="442"/>
      <c r="G302" s="443"/>
      <c r="H302" s="442"/>
      <c r="I302" s="455"/>
      <c r="J302" s="444"/>
      <c r="K302" s="652"/>
      <c r="L302" s="444"/>
      <c r="M302" s="444"/>
      <c r="N302" s="444"/>
      <c r="O302" s="444"/>
      <c r="P302" s="444"/>
      <c r="Q302" s="444"/>
      <c r="R302" s="444"/>
      <c r="S302" s="444"/>
      <c r="T302" s="444"/>
      <c r="U302" s="444"/>
      <c r="V302" s="444"/>
      <c r="W302" s="444"/>
      <c r="X302" s="444"/>
    </row>
    <row r="303" spans="1:24" ht="15.6" x14ac:dyDescent="0.3">
      <c r="A303" s="438"/>
      <c r="B303" s="439"/>
      <c r="C303" s="440"/>
      <c r="D303" s="441"/>
      <c r="E303" s="441"/>
      <c r="F303" s="442"/>
      <c r="G303" s="443"/>
      <c r="H303" s="442"/>
      <c r="I303" s="455"/>
      <c r="J303" s="444"/>
      <c r="K303" s="652"/>
      <c r="L303" s="444"/>
      <c r="M303" s="444"/>
      <c r="N303" s="444"/>
      <c r="O303" s="444"/>
      <c r="P303" s="444"/>
      <c r="Q303" s="444"/>
      <c r="R303" s="444"/>
      <c r="S303" s="444"/>
      <c r="T303" s="444"/>
      <c r="U303" s="444"/>
      <c r="V303" s="444"/>
      <c r="W303" s="444"/>
      <c r="X303" s="444"/>
    </row>
    <row r="304" spans="1:24" ht="15.6" x14ac:dyDescent="0.3">
      <c r="A304" s="438"/>
      <c r="B304" s="439"/>
      <c r="C304" s="440"/>
      <c r="D304" s="441"/>
      <c r="E304" s="441"/>
      <c r="F304" s="442"/>
      <c r="G304" s="443"/>
      <c r="H304" s="442"/>
      <c r="I304" s="455"/>
      <c r="J304" s="444"/>
      <c r="K304" s="652"/>
      <c r="L304" s="444"/>
      <c r="M304" s="444"/>
      <c r="N304" s="444"/>
      <c r="O304" s="444"/>
      <c r="P304" s="444"/>
      <c r="Q304" s="444"/>
      <c r="R304" s="444"/>
      <c r="S304" s="444"/>
      <c r="T304" s="444"/>
      <c r="U304" s="444"/>
      <c r="V304" s="444"/>
      <c r="W304" s="444"/>
      <c r="X304" s="444"/>
    </row>
    <row r="305" spans="1:24" ht="15.6" x14ac:dyDescent="0.3">
      <c r="A305" s="438"/>
      <c r="B305" s="439"/>
      <c r="C305" s="440"/>
      <c r="D305" s="441"/>
      <c r="E305" s="441"/>
      <c r="F305" s="442"/>
      <c r="G305" s="443"/>
      <c r="H305" s="442"/>
      <c r="I305" s="455"/>
      <c r="J305" s="444"/>
      <c r="K305" s="652"/>
      <c r="L305" s="444"/>
      <c r="M305" s="444"/>
      <c r="N305" s="444"/>
      <c r="O305" s="444"/>
      <c r="P305" s="444"/>
      <c r="Q305" s="444"/>
      <c r="R305" s="444"/>
      <c r="S305" s="444"/>
      <c r="T305" s="444"/>
      <c r="U305" s="444"/>
      <c r="V305" s="444"/>
      <c r="W305" s="444"/>
      <c r="X305" s="444"/>
    </row>
    <row r="306" spans="1:24" ht="15.6" x14ac:dyDescent="0.3">
      <c r="A306" s="438"/>
      <c r="B306" s="439"/>
      <c r="C306" s="440"/>
      <c r="D306" s="441"/>
      <c r="E306" s="441"/>
      <c r="F306" s="442"/>
      <c r="G306" s="443"/>
      <c r="H306" s="442"/>
      <c r="I306" s="455"/>
      <c r="J306" s="444"/>
      <c r="K306" s="652"/>
      <c r="L306" s="444"/>
      <c r="M306" s="444"/>
      <c r="N306" s="444"/>
      <c r="O306" s="444"/>
      <c r="P306" s="444"/>
      <c r="Q306" s="444"/>
      <c r="R306" s="444"/>
      <c r="S306" s="444"/>
      <c r="T306" s="444"/>
      <c r="U306" s="444"/>
      <c r="V306" s="444"/>
      <c r="W306" s="444"/>
      <c r="X306" s="444"/>
    </row>
    <row r="307" spans="1:24" ht="15.6" x14ac:dyDescent="0.3">
      <c r="A307" s="438"/>
      <c r="B307" s="439"/>
      <c r="C307" s="440"/>
      <c r="D307" s="441"/>
      <c r="E307" s="441"/>
      <c r="F307" s="442"/>
      <c r="G307" s="443"/>
      <c r="H307" s="442"/>
      <c r="I307" s="455"/>
      <c r="J307" s="444"/>
      <c r="K307" s="652"/>
      <c r="L307" s="444"/>
      <c r="M307" s="444"/>
      <c r="N307" s="444"/>
      <c r="O307" s="444"/>
      <c r="P307" s="444"/>
      <c r="Q307" s="444"/>
      <c r="R307" s="444"/>
      <c r="S307" s="444"/>
      <c r="T307" s="444"/>
      <c r="U307" s="444"/>
      <c r="V307" s="444"/>
      <c r="W307" s="444"/>
      <c r="X307" s="444"/>
    </row>
    <row r="308" spans="1:24" ht="15.6" x14ac:dyDescent="0.3">
      <c r="A308" s="438"/>
      <c r="B308" s="439"/>
      <c r="C308" s="440"/>
      <c r="D308" s="441"/>
      <c r="E308" s="441"/>
      <c r="F308" s="442"/>
      <c r="G308" s="443"/>
      <c r="H308" s="442"/>
      <c r="I308" s="455"/>
      <c r="J308" s="444"/>
      <c r="K308" s="652"/>
      <c r="L308" s="444"/>
      <c r="M308" s="444"/>
      <c r="N308" s="444"/>
      <c r="O308" s="444"/>
      <c r="P308" s="444"/>
      <c r="Q308" s="444"/>
      <c r="R308" s="444"/>
      <c r="S308" s="444"/>
      <c r="T308" s="444"/>
      <c r="U308" s="444"/>
      <c r="V308" s="444"/>
      <c r="W308" s="444"/>
      <c r="X308" s="444"/>
    </row>
    <row r="309" spans="1:24" ht="15.6" x14ac:dyDescent="0.3">
      <c r="A309" s="438"/>
      <c r="B309" s="439"/>
      <c r="C309" s="440"/>
      <c r="D309" s="441"/>
      <c r="E309" s="441"/>
      <c r="F309" s="442"/>
      <c r="G309" s="443"/>
      <c r="H309" s="442"/>
      <c r="I309" s="455"/>
      <c r="J309" s="444"/>
      <c r="K309" s="652"/>
      <c r="L309" s="444"/>
      <c r="M309" s="444"/>
      <c r="N309" s="444"/>
      <c r="O309" s="444"/>
      <c r="P309" s="444"/>
      <c r="Q309" s="444"/>
      <c r="R309" s="444"/>
      <c r="S309" s="444"/>
      <c r="T309" s="444"/>
      <c r="U309" s="444"/>
      <c r="V309" s="444"/>
      <c r="W309" s="444"/>
      <c r="X309" s="444"/>
    </row>
    <row r="310" spans="1:24" ht="15.6" x14ac:dyDescent="0.3">
      <c r="A310" s="438"/>
      <c r="B310" s="439"/>
      <c r="C310" s="440"/>
      <c r="D310" s="441"/>
      <c r="E310" s="441"/>
      <c r="F310" s="442"/>
      <c r="G310" s="443"/>
      <c r="H310" s="442"/>
      <c r="I310" s="455"/>
      <c r="J310" s="444"/>
      <c r="K310" s="652"/>
      <c r="L310" s="444"/>
      <c r="M310" s="444"/>
      <c r="N310" s="444"/>
      <c r="O310" s="444"/>
      <c r="P310" s="444"/>
      <c r="Q310" s="444"/>
      <c r="R310" s="444"/>
      <c r="S310" s="444"/>
      <c r="T310" s="444"/>
      <c r="U310" s="444"/>
      <c r="V310" s="444"/>
      <c r="W310" s="444"/>
      <c r="X310" s="444"/>
    </row>
    <row r="311" spans="1:24" ht="15.6" x14ac:dyDescent="0.3">
      <c r="A311" s="438"/>
      <c r="B311" s="439"/>
      <c r="C311" s="440"/>
      <c r="D311" s="441"/>
      <c r="E311" s="441"/>
      <c r="F311" s="442"/>
      <c r="G311" s="443"/>
      <c r="H311" s="442"/>
      <c r="I311" s="455"/>
      <c r="J311" s="444"/>
      <c r="K311" s="652"/>
      <c r="L311" s="444"/>
      <c r="M311" s="444"/>
      <c r="N311" s="444"/>
      <c r="O311" s="444"/>
      <c r="P311" s="444"/>
      <c r="Q311" s="444"/>
      <c r="R311" s="444"/>
      <c r="S311" s="444"/>
      <c r="T311" s="444"/>
      <c r="U311" s="444"/>
      <c r="V311" s="444"/>
      <c r="W311" s="444"/>
      <c r="X311" s="444"/>
    </row>
    <row r="312" spans="1:24" ht="15.6" x14ac:dyDescent="0.3">
      <c r="A312" s="438"/>
      <c r="B312" s="439"/>
      <c r="C312" s="440"/>
      <c r="D312" s="441"/>
      <c r="E312" s="441"/>
      <c r="F312" s="442"/>
      <c r="G312" s="443"/>
      <c r="H312" s="442"/>
      <c r="I312" s="455"/>
      <c r="J312" s="444"/>
      <c r="K312" s="652"/>
      <c r="L312" s="444"/>
      <c r="M312" s="444"/>
      <c r="N312" s="444"/>
      <c r="O312" s="444"/>
      <c r="P312" s="444"/>
      <c r="Q312" s="444"/>
      <c r="R312" s="444"/>
      <c r="S312" s="444"/>
      <c r="T312" s="444"/>
      <c r="U312" s="444"/>
      <c r="V312" s="444"/>
      <c r="W312" s="444"/>
      <c r="X312" s="444"/>
    </row>
    <row r="313" spans="1:24" ht="15.6" x14ac:dyDescent="0.3">
      <c r="A313" s="438"/>
      <c r="B313" s="439"/>
      <c r="C313" s="440"/>
      <c r="D313" s="441"/>
      <c r="E313" s="441"/>
      <c r="F313" s="442"/>
      <c r="G313" s="443"/>
      <c r="H313" s="442"/>
      <c r="I313" s="455"/>
      <c r="J313" s="444"/>
      <c r="K313" s="652"/>
      <c r="L313" s="444"/>
      <c r="M313" s="444"/>
      <c r="N313" s="444"/>
      <c r="O313" s="444"/>
      <c r="P313" s="444"/>
      <c r="Q313" s="444"/>
      <c r="R313" s="444"/>
      <c r="S313" s="444"/>
      <c r="T313" s="444"/>
      <c r="U313" s="444"/>
      <c r="V313" s="444"/>
      <c r="W313" s="444"/>
      <c r="X313" s="444"/>
    </row>
    <row r="314" spans="1:24" ht="15.6" x14ac:dyDescent="0.3">
      <c r="A314" s="438"/>
      <c r="B314" s="439"/>
      <c r="C314" s="440"/>
      <c r="D314" s="441"/>
      <c r="E314" s="441"/>
      <c r="F314" s="442"/>
      <c r="G314" s="443"/>
      <c r="H314" s="442"/>
      <c r="I314" s="455"/>
      <c r="J314" s="444"/>
      <c r="K314" s="652"/>
      <c r="L314" s="444"/>
      <c r="M314" s="444"/>
      <c r="N314" s="444"/>
      <c r="O314" s="444"/>
      <c r="P314" s="444"/>
      <c r="Q314" s="444"/>
      <c r="R314" s="444"/>
      <c r="S314" s="444"/>
      <c r="T314" s="444"/>
      <c r="U314" s="444"/>
      <c r="V314" s="444"/>
      <c r="W314" s="444"/>
      <c r="X314" s="444"/>
    </row>
    <row r="315" spans="1:24" ht="15.6" x14ac:dyDescent="0.3">
      <c r="A315" s="438"/>
      <c r="B315" s="439"/>
      <c r="C315" s="440"/>
      <c r="D315" s="441"/>
      <c r="E315" s="441"/>
      <c r="F315" s="442"/>
      <c r="G315" s="443"/>
      <c r="H315" s="442"/>
      <c r="I315" s="455"/>
      <c r="J315" s="444"/>
      <c r="K315" s="652"/>
      <c r="L315" s="444"/>
      <c r="M315" s="444"/>
      <c r="N315" s="444"/>
      <c r="O315" s="444"/>
      <c r="P315" s="444"/>
      <c r="Q315" s="444"/>
      <c r="R315" s="444"/>
      <c r="S315" s="444"/>
      <c r="T315" s="444"/>
      <c r="U315" s="444"/>
      <c r="V315" s="444"/>
      <c r="W315" s="444"/>
      <c r="X315" s="444"/>
    </row>
    <row r="316" spans="1:24" ht="15.6" x14ac:dyDescent="0.3">
      <c r="A316" s="438"/>
      <c r="B316" s="439"/>
      <c r="C316" s="440"/>
      <c r="D316" s="441"/>
      <c r="E316" s="441"/>
      <c r="F316" s="442"/>
      <c r="G316" s="443"/>
      <c r="H316" s="442"/>
      <c r="I316" s="455"/>
      <c r="J316" s="444"/>
      <c r="K316" s="652"/>
      <c r="L316" s="444"/>
      <c r="M316" s="444"/>
      <c r="N316" s="444"/>
      <c r="O316" s="444"/>
      <c r="P316" s="444"/>
      <c r="Q316" s="444"/>
      <c r="R316" s="444"/>
      <c r="S316" s="444"/>
      <c r="T316" s="444"/>
      <c r="U316" s="444"/>
      <c r="V316" s="444"/>
      <c r="W316" s="444"/>
      <c r="X316" s="444"/>
    </row>
    <row r="317" spans="1:24" ht="15.6" x14ac:dyDescent="0.3">
      <c r="A317" s="438"/>
      <c r="B317" s="439"/>
      <c r="C317" s="440"/>
      <c r="D317" s="441"/>
      <c r="E317" s="441"/>
      <c r="F317" s="442"/>
      <c r="G317" s="443"/>
      <c r="H317" s="442"/>
      <c r="I317" s="455"/>
      <c r="J317" s="444"/>
      <c r="K317" s="652"/>
      <c r="L317" s="444"/>
      <c r="M317" s="444"/>
      <c r="N317" s="444"/>
      <c r="O317" s="444"/>
      <c r="P317" s="444"/>
      <c r="Q317" s="444"/>
      <c r="R317" s="444"/>
      <c r="S317" s="444"/>
      <c r="T317" s="444"/>
      <c r="U317" s="444"/>
      <c r="V317" s="444"/>
      <c r="W317" s="444"/>
      <c r="X317" s="444"/>
    </row>
    <row r="318" spans="1:24" ht="15.6" x14ac:dyDescent="0.3">
      <c r="A318" s="438"/>
      <c r="B318" s="439"/>
      <c r="C318" s="440"/>
      <c r="D318" s="441"/>
      <c r="E318" s="441"/>
      <c r="F318" s="442"/>
      <c r="G318" s="443"/>
      <c r="H318" s="442"/>
      <c r="I318" s="455"/>
      <c r="J318" s="444"/>
      <c r="K318" s="652"/>
      <c r="L318" s="444"/>
      <c r="M318" s="444"/>
      <c r="N318" s="444"/>
      <c r="O318" s="444"/>
      <c r="P318" s="444"/>
      <c r="Q318" s="444"/>
      <c r="R318" s="444"/>
      <c r="S318" s="444"/>
      <c r="T318" s="444"/>
      <c r="U318" s="444"/>
      <c r="V318" s="444"/>
      <c r="W318" s="444"/>
      <c r="X318" s="444"/>
    </row>
    <row r="319" spans="1:24" ht="15.6" x14ac:dyDescent="0.3">
      <c r="A319" s="438"/>
      <c r="B319" s="439"/>
      <c r="C319" s="440"/>
      <c r="D319" s="441"/>
      <c r="E319" s="441"/>
      <c r="F319" s="442"/>
      <c r="G319" s="443"/>
      <c r="H319" s="442"/>
      <c r="I319" s="455"/>
      <c r="J319" s="444"/>
      <c r="K319" s="652"/>
      <c r="L319" s="444"/>
      <c r="M319" s="444"/>
      <c r="N319" s="444"/>
      <c r="O319" s="444"/>
      <c r="P319" s="444"/>
      <c r="Q319" s="444"/>
      <c r="R319" s="444"/>
      <c r="S319" s="444"/>
      <c r="T319" s="444"/>
      <c r="U319" s="444"/>
      <c r="V319" s="444"/>
      <c r="W319" s="444"/>
      <c r="X319" s="444"/>
    </row>
    <row r="320" spans="1:24" ht="15.6" x14ac:dyDescent="0.3">
      <c r="A320" s="438"/>
      <c r="B320" s="439"/>
      <c r="C320" s="440"/>
      <c r="D320" s="441"/>
      <c r="E320" s="441"/>
      <c r="F320" s="442"/>
      <c r="G320" s="443"/>
      <c r="H320" s="442"/>
      <c r="I320" s="455"/>
      <c r="J320" s="444"/>
      <c r="K320" s="652"/>
      <c r="L320" s="444"/>
      <c r="M320" s="444"/>
      <c r="N320" s="444"/>
      <c r="O320" s="444"/>
      <c r="P320" s="444"/>
      <c r="Q320" s="444"/>
      <c r="R320" s="444"/>
      <c r="S320" s="444"/>
      <c r="T320" s="444"/>
      <c r="U320" s="444"/>
      <c r="V320" s="444"/>
      <c r="W320" s="444"/>
      <c r="X320" s="444"/>
    </row>
    <row r="321" spans="1:24" ht="15.6" x14ac:dyDescent="0.3">
      <c r="A321" s="438"/>
      <c r="B321" s="439"/>
      <c r="C321" s="440"/>
      <c r="D321" s="441"/>
      <c r="E321" s="441"/>
      <c r="F321" s="442"/>
      <c r="G321" s="443"/>
      <c r="H321" s="442"/>
      <c r="I321" s="455"/>
      <c r="J321" s="444"/>
      <c r="K321" s="652"/>
      <c r="L321" s="444"/>
      <c r="M321" s="444"/>
      <c r="N321" s="444"/>
      <c r="O321" s="444"/>
      <c r="P321" s="444"/>
      <c r="Q321" s="444"/>
      <c r="R321" s="444"/>
      <c r="S321" s="444"/>
      <c r="T321" s="444"/>
      <c r="U321" s="444"/>
      <c r="V321" s="444"/>
      <c r="W321" s="444"/>
      <c r="X321" s="444"/>
    </row>
    <row r="322" spans="1:24" ht="15.6" x14ac:dyDescent="0.3">
      <c r="A322" s="438"/>
      <c r="B322" s="439"/>
      <c r="C322" s="440"/>
      <c r="D322" s="441"/>
      <c r="E322" s="441"/>
      <c r="F322" s="442"/>
      <c r="G322" s="443"/>
      <c r="H322" s="442"/>
      <c r="I322" s="455"/>
      <c r="J322" s="444"/>
      <c r="K322" s="652"/>
      <c r="L322" s="444"/>
      <c r="M322" s="444"/>
      <c r="N322" s="444"/>
      <c r="O322" s="444"/>
      <c r="P322" s="444"/>
      <c r="Q322" s="444"/>
      <c r="R322" s="444"/>
      <c r="S322" s="444"/>
      <c r="T322" s="444"/>
      <c r="U322" s="444"/>
      <c r="V322" s="444"/>
      <c r="W322" s="444"/>
      <c r="X322" s="444"/>
    </row>
    <row r="323" spans="1:24" ht="15.6" x14ac:dyDescent="0.3">
      <c r="A323" s="438"/>
      <c r="B323" s="439"/>
      <c r="C323" s="440"/>
      <c r="D323" s="441"/>
      <c r="E323" s="441"/>
      <c r="F323" s="442"/>
      <c r="G323" s="443"/>
      <c r="H323" s="442"/>
      <c r="I323" s="455"/>
      <c r="J323" s="444"/>
      <c r="K323" s="652"/>
      <c r="L323" s="444"/>
      <c r="M323" s="444"/>
      <c r="N323" s="444"/>
      <c r="O323" s="444"/>
      <c r="P323" s="444"/>
      <c r="Q323" s="444"/>
      <c r="R323" s="444"/>
      <c r="S323" s="444"/>
      <c r="T323" s="444"/>
      <c r="U323" s="444"/>
      <c r="V323" s="444"/>
      <c r="W323" s="444"/>
      <c r="X323" s="444"/>
    </row>
    <row r="324" spans="1:24" ht="15.6" x14ac:dyDescent="0.3">
      <c r="A324" s="438"/>
      <c r="B324" s="439"/>
      <c r="C324" s="440"/>
      <c r="D324" s="441"/>
      <c r="E324" s="441"/>
      <c r="F324" s="442"/>
      <c r="G324" s="443"/>
      <c r="H324" s="442"/>
      <c r="I324" s="455"/>
      <c r="J324" s="444"/>
      <c r="K324" s="652"/>
      <c r="L324" s="444"/>
      <c r="M324" s="444"/>
      <c r="N324" s="444"/>
      <c r="O324" s="444"/>
      <c r="P324" s="444"/>
      <c r="Q324" s="444"/>
      <c r="R324" s="444"/>
      <c r="S324" s="444"/>
      <c r="T324" s="444"/>
      <c r="U324" s="444"/>
      <c r="V324" s="444"/>
      <c r="W324" s="444"/>
      <c r="X324" s="444"/>
    </row>
    <row r="325" spans="1:24" ht="15.6" x14ac:dyDescent="0.3">
      <c r="A325" s="438"/>
      <c r="B325" s="439"/>
      <c r="C325" s="440"/>
      <c r="D325" s="441"/>
      <c r="E325" s="441"/>
      <c r="F325" s="442"/>
      <c r="G325" s="443"/>
      <c r="H325" s="442"/>
      <c r="I325" s="455"/>
      <c r="J325" s="444"/>
      <c r="K325" s="652"/>
      <c r="L325" s="444"/>
      <c r="M325" s="444"/>
      <c r="N325" s="444"/>
      <c r="O325" s="444"/>
      <c r="P325" s="444"/>
      <c r="Q325" s="444"/>
      <c r="R325" s="444"/>
      <c r="S325" s="444"/>
      <c r="T325" s="444"/>
      <c r="U325" s="444"/>
      <c r="V325" s="444"/>
      <c r="W325" s="444"/>
      <c r="X325" s="444"/>
    </row>
    <row r="326" spans="1:24" ht="15.6" x14ac:dyDescent="0.3">
      <c r="A326" s="438"/>
      <c r="B326" s="439"/>
      <c r="C326" s="440"/>
      <c r="D326" s="441"/>
      <c r="E326" s="441"/>
      <c r="F326" s="442"/>
      <c r="G326" s="443"/>
      <c r="H326" s="442"/>
      <c r="I326" s="455"/>
      <c r="J326" s="444"/>
      <c r="K326" s="652"/>
      <c r="L326" s="444"/>
      <c r="M326" s="444"/>
      <c r="N326" s="444"/>
      <c r="O326" s="444"/>
      <c r="P326" s="444"/>
      <c r="Q326" s="444"/>
      <c r="R326" s="444"/>
      <c r="S326" s="444"/>
      <c r="T326" s="444"/>
      <c r="U326" s="444"/>
      <c r="V326" s="444"/>
      <c r="W326" s="444"/>
      <c r="X326" s="444"/>
    </row>
    <row r="327" spans="1:24" ht="15.6" x14ac:dyDescent="0.3">
      <c r="A327" s="438"/>
      <c r="B327" s="439"/>
      <c r="C327" s="440"/>
      <c r="D327" s="441"/>
      <c r="E327" s="441"/>
      <c r="F327" s="442"/>
      <c r="G327" s="443"/>
      <c r="H327" s="442"/>
      <c r="I327" s="455"/>
      <c r="J327" s="444"/>
      <c r="K327" s="652"/>
      <c r="L327" s="444"/>
      <c r="M327" s="444"/>
      <c r="N327" s="444"/>
      <c r="O327" s="444"/>
      <c r="P327" s="444"/>
      <c r="Q327" s="444"/>
      <c r="R327" s="444"/>
      <c r="S327" s="444"/>
      <c r="T327" s="444"/>
      <c r="U327" s="444"/>
      <c r="V327" s="444"/>
      <c r="W327" s="444"/>
      <c r="X327" s="444"/>
    </row>
    <row r="328" spans="1:24" ht="15.6" x14ac:dyDescent="0.3">
      <c r="A328" s="438"/>
      <c r="B328" s="439"/>
      <c r="C328" s="440"/>
      <c r="D328" s="441"/>
      <c r="E328" s="441"/>
      <c r="F328" s="442"/>
      <c r="G328" s="443"/>
      <c r="H328" s="442"/>
      <c r="I328" s="455"/>
      <c r="J328" s="444"/>
      <c r="K328" s="652"/>
      <c r="L328" s="444"/>
      <c r="M328" s="444"/>
      <c r="N328" s="444"/>
      <c r="O328" s="444"/>
      <c r="P328" s="444"/>
      <c r="Q328" s="444"/>
      <c r="R328" s="444"/>
      <c r="S328" s="444"/>
      <c r="T328" s="444"/>
      <c r="U328" s="444"/>
      <c r="V328" s="444"/>
      <c r="W328" s="444"/>
      <c r="X328" s="444"/>
    </row>
    <row r="329" spans="1:24" ht="15.6" x14ac:dyDescent="0.3">
      <c r="A329" s="438"/>
      <c r="B329" s="439"/>
      <c r="C329" s="440"/>
      <c r="D329" s="441"/>
      <c r="E329" s="441"/>
      <c r="F329" s="442"/>
      <c r="G329" s="443"/>
      <c r="H329" s="442"/>
      <c r="I329" s="455"/>
      <c r="J329" s="444"/>
      <c r="K329" s="652"/>
      <c r="L329" s="444"/>
      <c r="M329" s="444"/>
      <c r="N329" s="444"/>
      <c r="O329" s="444"/>
      <c r="P329" s="444"/>
      <c r="Q329" s="444"/>
      <c r="R329" s="444"/>
      <c r="S329" s="444"/>
      <c r="T329" s="444"/>
      <c r="U329" s="444"/>
      <c r="V329" s="444"/>
      <c r="W329" s="444"/>
      <c r="X329" s="444"/>
    </row>
    <row r="330" spans="1:24" ht="15.6" x14ac:dyDescent="0.3">
      <c r="A330" s="438"/>
      <c r="B330" s="439"/>
      <c r="C330" s="440"/>
      <c r="D330" s="441"/>
      <c r="E330" s="441"/>
      <c r="F330" s="442"/>
      <c r="G330" s="443"/>
      <c r="H330" s="442"/>
      <c r="I330" s="455"/>
      <c r="J330" s="444"/>
      <c r="K330" s="652"/>
      <c r="L330" s="444"/>
      <c r="M330" s="444"/>
      <c r="N330" s="444"/>
      <c r="O330" s="444"/>
      <c r="P330" s="444"/>
      <c r="Q330" s="444"/>
      <c r="R330" s="444"/>
      <c r="S330" s="444"/>
      <c r="T330" s="444"/>
      <c r="U330" s="444"/>
      <c r="V330" s="444"/>
      <c r="W330" s="444"/>
      <c r="X330" s="444"/>
    </row>
    <row r="331" spans="1:24" ht="15.6" x14ac:dyDescent="0.3">
      <c r="A331" s="438"/>
      <c r="B331" s="439"/>
      <c r="C331" s="440"/>
      <c r="D331" s="441"/>
      <c r="E331" s="441"/>
      <c r="F331" s="442"/>
      <c r="G331" s="443"/>
      <c r="H331" s="442"/>
      <c r="I331" s="455"/>
      <c r="J331" s="444"/>
      <c r="K331" s="652"/>
      <c r="L331" s="444"/>
      <c r="M331" s="444"/>
      <c r="N331" s="444"/>
      <c r="O331" s="444"/>
      <c r="P331" s="444"/>
      <c r="Q331" s="444"/>
      <c r="R331" s="444"/>
      <c r="S331" s="444"/>
      <c r="T331" s="444"/>
      <c r="U331" s="444"/>
      <c r="V331" s="444"/>
      <c r="W331" s="444"/>
      <c r="X331" s="444"/>
    </row>
    <row r="332" spans="1:24" ht="15.6" x14ac:dyDescent="0.3">
      <c r="A332" s="438"/>
      <c r="B332" s="439"/>
      <c r="C332" s="440"/>
      <c r="D332" s="441"/>
      <c r="E332" s="441"/>
      <c r="F332" s="442"/>
      <c r="G332" s="443"/>
      <c r="H332" s="442"/>
      <c r="I332" s="455"/>
      <c r="J332" s="444"/>
      <c r="K332" s="652"/>
      <c r="L332" s="444"/>
      <c r="M332" s="444"/>
      <c r="N332" s="444"/>
      <c r="O332" s="444"/>
      <c r="P332" s="444"/>
      <c r="Q332" s="444"/>
      <c r="R332" s="444"/>
      <c r="S332" s="444"/>
      <c r="T332" s="444"/>
      <c r="U332" s="444"/>
      <c r="V332" s="444"/>
      <c r="W332" s="444"/>
      <c r="X332" s="444"/>
    </row>
    <row r="333" spans="1:24" ht="15.6" x14ac:dyDescent="0.3">
      <c r="A333" s="438"/>
      <c r="B333" s="439"/>
      <c r="C333" s="440"/>
      <c r="D333" s="441"/>
      <c r="E333" s="441"/>
      <c r="F333" s="442"/>
      <c r="G333" s="443"/>
      <c r="H333" s="442"/>
      <c r="I333" s="455"/>
      <c r="J333" s="444"/>
      <c r="K333" s="652"/>
      <c r="L333" s="444"/>
      <c r="M333" s="444"/>
      <c r="N333" s="444"/>
      <c r="O333" s="444"/>
      <c r="P333" s="444"/>
      <c r="Q333" s="444"/>
      <c r="R333" s="444"/>
      <c r="S333" s="444"/>
      <c r="T333" s="444"/>
      <c r="U333" s="444"/>
      <c r="V333" s="444"/>
      <c r="W333" s="444"/>
      <c r="X333" s="444"/>
    </row>
    <row r="334" spans="1:24" ht="15.6" x14ac:dyDescent="0.3">
      <c r="A334" s="438"/>
      <c r="B334" s="439"/>
      <c r="C334" s="440"/>
      <c r="D334" s="441"/>
      <c r="E334" s="441"/>
      <c r="F334" s="442"/>
      <c r="G334" s="443"/>
      <c r="H334" s="442"/>
      <c r="I334" s="455"/>
      <c r="J334" s="444"/>
      <c r="K334" s="652"/>
      <c r="L334" s="444"/>
      <c r="M334" s="444"/>
      <c r="N334" s="444"/>
      <c r="O334" s="444"/>
      <c r="P334" s="444"/>
      <c r="Q334" s="444"/>
      <c r="R334" s="444"/>
      <c r="S334" s="444"/>
      <c r="T334" s="444"/>
      <c r="U334" s="444"/>
      <c r="V334" s="444"/>
      <c r="W334" s="444"/>
      <c r="X334" s="444"/>
    </row>
    <row r="335" spans="1:24" ht="15.6" x14ac:dyDescent="0.3">
      <c r="A335" s="438"/>
      <c r="B335" s="439"/>
      <c r="C335" s="440"/>
      <c r="D335" s="441"/>
      <c r="E335" s="441"/>
      <c r="F335" s="442"/>
      <c r="G335" s="443"/>
      <c r="H335" s="442"/>
      <c r="I335" s="455"/>
      <c r="J335" s="444"/>
      <c r="K335" s="652"/>
      <c r="L335" s="444"/>
      <c r="M335" s="444"/>
      <c r="N335" s="444"/>
      <c r="O335" s="444"/>
      <c r="P335" s="444"/>
      <c r="Q335" s="444"/>
      <c r="R335" s="444"/>
      <c r="S335" s="444"/>
      <c r="T335" s="444"/>
      <c r="U335" s="444"/>
      <c r="V335" s="444"/>
      <c r="W335" s="444"/>
      <c r="X335" s="444"/>
    </row>
    <row r="336" spans="1:24" ht="15.6" x14ac:dyDescent="0.3">
      <c r="A336" s="438"/>
      <c r="B336" s="439"/>
      <c r="C336" s="440"/>
      <c r="D336" s="441"/>
      <c r="E336" s="441"/>
      <c r="F336" s="442"/>
      <c r="G336" s="443"/>
      <c r="H336" s="442"/>
      <c r="I336" s="455"/>
      <c r="J336" s="444"/>
      <c r="K336" s="652"/>
      <c r="L336" s="444"/>
      <c r="M336" s="444"/>
      <c r="N336" s="444"/>
      <c r="O336" s="444"/>
      <c r="P336" s="444"/>
      <c r="Q336" s="444"/>
      <c r="R336" s="444"/>
      <c r="S336" s="444"/>
      <c r="T336" s="444"/>
      <c r="U336" s="444"/>
      <c r="V336" s="444"/>
      <c r="W336" s="444"/>
      <c r="X336" s="444"/>
    </row>
    <row r="337" spans="1:24" ht="15.6" x14ac:dyDescent="0.3">
      <c r="A337" s="438"/>
      <c r="B337" s="439"/>
      <c r="C337" s="440"/>
      <c r="D337" s="441"/>
      <c r="E337" s="441"/>
      <c r="F337" s="442"/>
      <c r="G337" s="443"/>
      <c r="H337" s="442"/>
      <c r="I337" s="455"/>
      <c r="J337" s="444"/>
      <c r="K337" s="652"/>
      <c r="L337" s="444"/>
      <c r="M337" s="444"/>
      <c r="N337" s="444"/>
      <c r="O337" s="444"/>
      <c r="P337" s="444"/>
      <c r="Q337" s="444"/>
      <c r="R337" s="444"/>
      <c r="S337" s="444"/>
      <c r="T337" s="444"/>
      <c r="U337" s="444"/>
      <c r="V337" s="444"/>
      <c r="W337" s="444"/>
      <c r="X337" s="444"/>
    </row>
    <row r="338" spans="1:24" ht="15.6" x14ac:dyDescent="0.3">
      <c r="A338" s="438"/>
      <c r="B338" s="439"/>
      <c r="C338" s="440"/>
      <c r="D338" s="441"/>
      <c r="E338" s="441"/>
      <c r="F338" s="442"/>
      <c r="G338" s="443"/>
      <c r="H338" s="442"/>
      <c r="I338" s="455"/>
      <c r="J338" s="444"/>
      <c r="K338" s="652"/>
      <c r="L338" s="444"/>
      <c r="M338" s="444"/>
      <c r="N338" s="444"/>
      <c r="O338" s="444"/>
      <c r="P338" s="444"/>
      <c r="Q338" s="444"/>
      <c r="R338" s="444"/>
      <c r="S338" s="444"/>
      <c r="T338" s="444"/>
      <c r="U338" s="444"/>
      <c r="V338" s="444"/>
      <c r="W338" s="444"/>
      <c r="X338" s="444"/>
    </row>
    <row r="339" spans="1:24" ht="15.6" x14ac:dyDescent="0.3">
      <c r="A339" s="438"/>
      <c r="B339" s="439"/>
      <c r="C339" s="440"/>
      <c r="D339" s="441"/>
      <c r="E339" s="441"/>
      <c r="F339" s="442"/>
      <c r="G339" s="443"/>
      <c r="H339" s="442"/>
      <c r="I339" s="455"/>
      <c r="J339" s="444"/>
      <c r="K339" s="652"/>
      <c r="L339" s="444"/>
      <c r="M339" s="444"/>
      <c r="N339" s="444"/>
      <c r="O339" s="444"/>
      <c r="P339" s="444"/>
      <c r="Q339" s="444"/>
      <c r="R339" s="444"/>
      <c r="S339" s="444"/>
      <c r="T339" s="444"/>
      <c r="U339" s="444"/>
      <c r="V339" s="444"/>
      <c r="W339" s="444"/>
      <c r="X339" s="444"/>
    </row>
    <row r="340" spans="1:24" ht="15.6" x14ac:dyDescent="0.3">
      <c r="A340" s="438"/>
      <c r="B340" s="439"/>
      <c r="C340" s="440"/>
      <c r="D340" s="441"/>
      <c r="E340" s="441"/>
      <c r="F340" s="442"/>
      <c r="G340" s="443"/>
      <c r="H340" s="442"/>
      <c r="I340" s="455"/>
      <c r="J340" s="444"/>
      <c r="K340" s="652"/>
      <c r="L340" s="444"/>
      <c r="M340" s="444"/>
      <c r="N340" s="444"/>
      <c r="O340" s="444"/>
      <c r="P340" s="444"/>
      <c r="Q340" s="444"/>
      <c r="R340" s="444"/>
      <c r="S340" s="444"/>
      <c r="T340" s="444"/>
      <c r="U340" s="444"/>
      <c r="V340" s="444"/>
      <c r="W340" s="444"/>
      <c r="X340" s="444"/>
    </row>
    <row r="341" spans="1:24" ht="15.6" x14ac:dyDescent="0.3">
      <c r="A341" s="438"/>
      <c r="B341" s="439"/>
      <c r="C341" s="440"/>
      <c r="D341" s="441"/>
      <c r="E341" s="441"/>
      <c r="F341" s="442"/>
      <c r="G341" s="443"/>
      <c r="H341" s="442"/>
      <c r="I341" s="455"/>
      <c r="J341" s="444"/>
      <c r="K341" s="652"/>
      <c r="L341" s="444"/>
      <c r="M341" s="444"/>
      <c r="N341" s="444"/>
      <c r="O341" s="444"/>
      <c r="P341" s="444"/>
      <c r="Q341" s="444"/>
      <c r="R341" s="444"/>
      <c r="S341" s="444"/>
      <c r="T341" s="444"/>
      <c r="U341" s="444"/>
      <c r="V341" s="444"/>
      <c r="W341" s="444"/>
      <c r="X341" s="444"/>
    </row>
    <row r="342" spans="1:24" ht="15.6" x14ac:dyDescent="0.3">
      <c r="A342" s="438"/>
      <c r="B342" s="439"/>
      <c r="C342" s="440"/>
      <c r="D342" s="441"/>
      <c r="E342" s="441"/>
      <c r="F342" s="442"/>
      <c r="G342" s="443"/>
      <c r="H342" s="442"/>
      <c r="I342" s="455"/>
      <c r="J342" s="444"/>
      <c r="K342" s="652"/>
      <c r="L342" s="444"/>
      <c r="M342" s="444"/>
      <c r="N342" s="444"/>
      <c r="O342" s="444"/>
      <c r="P342" s="444"/>
      <c r="Q342" s="444"/>
      <c r="R342" s="444"/>
      <c r="S342" s="444"/>
      <c r="T342" s="444"/>
      <c r="U342" s="444"/>
      <c r="V342" s="444"/>
      <c r="W342" s="444"/>
      <c r="X342" s="444"/>
    </row>
    <row r="343" spans="1:24" ht="15.6" x14ac:dyDescent="0.3">
      <c r="A343" s="438"/>
      <c r="B343" s="439"/>
      <c r="C343" s="440"/>
      <c r="D343" s="441"/>
      <c r="E343" s="441"/>
      <c r="F343" s="442"/>
      <c r="G343" s="443"/>
      <c r="H343" s="442"/>
      <c r="I343" s="455"/>
      <c r="J343" s="444"/>
      <c r="K343" s="652"/>
      <c r="L343" s="444"/>
      <c r="M343" s="444"/>
      <c r="N343" s="444"/>
      <c r="O343" s="444"/>
      <c r="P343" s="444"/>
      <c r="Q343" s="444"/>
      <c r="R343" s="444"/>
      <c r="S343" s="444"/>
      <c r="T343" s="444"/>
      <c r="U343" s="444"/>
      <c r="V343" s="444"/>
      <c r="W343" s="444"/>
      <c r="X343" s="444"/>
    </row>
    <row r="344" spans="1:24" ht="15.6" x14ac:dyDescent="0.3">
      <c r="A344" s="438"/>
      <c r="B344" s="439"/>
      <c r="C344" s="440"/>
      <c r="D344" s="441"/>
      <c r="E344" s="441"/>
      <c r="F344" s="442"/>
      <c r="G344" s="443"/>
      <c r="H344" s="442"/>
      <c r="I344" s="455"/>
      <c r="J344" s="444"/>
      <c r="K344" s="652"/>
      <c r="L344" s="444"/>
      <c r="M344" s="444"/>
      <c r="N344" s="444"/>
      <c r="O344" s="444"/>
      <c r="P344" s="444"/>
      <c r="Q344" s="444"/>
      <c r="R344" s="444"/>
      <c r="S344" s="444"/>
      <c r="T344" s="444"/>
      <c r="U344" s="444"/>
      <c r="V344" s="444"/>
      <c r="W344" s="444"/>
      <c r="X344" s="444"/>
    </row>
    <row r="345" spans="1:24" ht="15.6" x14ac:dyDescent="0.3">
      <c r="A345" s="438"/>
      <c r="B345" s="439"/>
      <c r="C345" s="440"/>
      <c r="D345" s="441"/>
      <c r="E345" s="441"/>
      <c r="F345" s="442"/>
      <c r="G345" s="443"/>
      <c r="H345" s="442"/>
      <c r="I345" s="455"/>
      <c r="J345" s="444"/>
      <c r="K345" s="652"/>
      <c r="L345" s="444"/>
      <c r="M345" s="444"/>
      <c r="N345" s="444"/>
      <c r="O345" s="444"/>
      <c r="P345" s="444"/>
      <c r="Q345" s="444"/>
      <c r="R345" s="444"/>
      <c r="S345" s="444"/>
      <c r="T345" s="444"/>
      <c r="U345" s="444"/>
      <c r="V345" s="444"/>
      <c r="W345" s="444"/>
      <c r="X345" s="444"/>
    </row>
    <row r="346" spans="1:24" ht="15.6" x14ac:dyDescent="0.3">
      <c r="A346" s="438"/>
      <c r="B346" s="439"/>
      <c r="C346" s="440"/>
      <c r="D346" s="441"/>
      <c r="E346" s="441"/>
      <c r="F346" s="442"/>
      <c r="G346" s="443"/>
      <c r="H346" s="442"/>
      <c r="I346" s="455"/>
      <c r="J346" s="444"/>
      <c r="K346" s="652"/>
      <c r="L346" s="444"/>
      <c r="M346" s="444"/>
      <c r="N346" s="444"/>
      <c r="O346" s="444"/>
      <c r="P346" s="444"/>
      <c r="Q346" s="444"/>
      <c r="R346" s="444"/>
      <c r="S346" s="444"/>
      <c r="T346" s="444"/>
      <c r="U346" s="444"/>
      <c r="V346" s="444"/>
      <c r="W346" s="444"/>
      <c r="X346" s="444"/>
    </row>
    <row r="347" spans="1:24" ht="15.6" x14ac:dyDescent="0.3">
      <c r="A347" s="438"/>
      <c r="B347" s="439"/>
      <c r="C347" s="440"/>
      <c r="D347" s="441"/>
      <c r="E347" s="441"/>
      <c r="F347" s="442"/>
      <c r="G347" s="443"/>
      <c r="H347" s="442"/>
      <c r="I347" s="455"/>
      <c r="J347" s="444"/>
      <c r="K347" s="652"/>
      <c r="L347" s="444"/>
      <c r="M347" s="444"/>
      <c r="N347" s="444"/>
      <c r="O347" s="444"/>
      <c r="P347" s="444"/>
      <c r="Q347" s="444"/>
      <c r="R347" s="444"/>
      <c r="S347" s="444"/>
      <c r="T347" s="444"/>
      <c r="U347" s="444"/>
      <c r="V347" s="444"/>
      <c r="W347" s="444"/>
      <c r="X347" s="444"/>
    </row>
    <row r="348" spans="1:24" ht="15.6" x14ac:dyDescent="0.3">
      <c r="A348" s="438"/>
      <c r="B348" s="439"/>
      <c r="C348" s="440"/>
      <c r="D348" s="441"/>
      <c r="E348" s="441"/>
      <c r="F348" s="442"/>
      <c r="G348" s="443"/>
      <c r="H348" s="442"/>
      <c r="I348" s="455"/>
      <c r="J348" s="444"/>
      <c r="K348" s="652"/>
      <c r="L348" s="444"/>
      <c r="M348" s="444"/>
      <c r="N348" s="444"/>
      <c r="O348" s="444"/>
      <c r="P348" s="444"/>
      <c r="Q348" s="444"/>
      <c r="R348" s="444"/>
      <c r="S348" s="444"/>
      <c r="T348" s="444"/>
      <c r="U348" s="444"/>
      <c r="V348" s="444"/>
      <c r="W348" s="444"/>
      <c r="X348" s="444"/>
    </row>
    <row r="349" spans="1:24" ht="15.6" x14ac:dyDescent="0.3">
      <c r="A349" s="438"/>
      <c r="B349" s="439"/>
      <c r="C349" s="440"/>
      <c r="D349" s="441"/>
      <c r="E349" s="441"/>
      <c r="F349" s="442"/>
      <c r="G349" s="443"/>
      <c r="H349" s="442"/>
      <c r="I349" s="455"/>
      <c r="J349" s="444"/>
      <c r="K349" s="652"/>
      <c r="L349" s="444"/>
      <c r="M349" s="444"/>
      <c r="N349" s="444"/>
      <c r="O349" s="444"/>
      <c r="P349" s="444"/>
      <c r="Q349" s="444"/>
      <c r="R349" s="444"/>
      <c r="S349" s="444"/>
      <c r="T349" s="444"/>
      <c r="U349" s="444"/>
      <c r="V349" s="444"/>
      <c r="W349" s="444"/>
      <c r="X349" s="444"/>
    </row>
    <row r="350" spans="1:24" ht="15.6" x14ac:dyDescent="0.3">
      <c r="A350" s="438"/>
      <c r="B350" s="439"/>
      <c r="C350" s="440"/>
      <c r="D350" s="441"/>
      <c r="E350" s="441"/>
      <c r="F350" s="442"/>
      <c r="G350" s="443"/>
      <c r="H350" s="442"/>
      <c r="I350" s="455"/>
      <c r="J350" s="444"/>
      <c r="K350" s="652"/>
      <c r="L350" s="444"/>
      <c r="M350" s="444"/>
      <c r="N350" s="444"/>
      <c r="O350" s="444"/>
      <c r="P350" s="444"/>
      <c r="Q350" s="444"/>
      <c r="R350" s="444"/>
      <c r="S350" s="444"/>
      <c r="T350" s="444"/>
      <c r="U350" s="444"/>
      <c r="V350" s="444"/>
      <c r="W350" s="444"/>
      <c r="X350" s="444"/>
    </row>
    <row r="351" spans="1:24" ht="15.6" x14ac:dyDescent="0.3">
      <c r="A351" s="438"/>
      <c r="B351" s="439"/>
      <c r="C351" s="440"/>
      <c r="D351" s="441"/>
      <c r="E351" s="441"/>
      <c r="F351" s="442"/>
      <c r="G351" s="443"/>
      <c r="H351" s="442"/>
      <c r="I351" s="455"/>
      <c r="J351" s="444"/>
      <c r="K351" s="652"/>
      <c r="L351" s="444"/>
      <c r="M351" s="444"/>
      <c r="N351" s="444"/>
      <c r="O351" s="444"/>
      <c r="P351" s="444"/>
      <c r="Q351" s="444"/>
      <c r="R351" s="444"/>
      <c r="S351" s="444"/>
      <c r="T351" s="444"/>
      <c r="U351" s="444"/>
      <c r="V351" s="444"/>
      <c r="W351" s="444"/>
      <c r="X351" s="444"/>
    </row>
    <row r="352" spans="1:24" ht="15.6" x14ac:dyDescent="0.3">
      <c r="A352" s="438"/>
      <c r="B352" s="439"/>
      <c r="C352" s="440"/>
      <c r="D352" s="441"/>
      <c r="E352" s="441"/>
      <c r="F352" s="442"/>
      <c r="G352" s="443"/>
      <c r="H352" s="442"/>
      <c r="I352" s="455"/>
      <c r="J352" s="444"/>
      <c r="K352" s="652"/>
      <c r="L352" s="444"/>
      <c r="M352" s="444"/>
      <c r="N352" s="444"/>
      <c r="O352" s="444"/>
      <c r="P352" s="444"/>
      <c r="Q352" s="444"/>
      <c r="R352" s="444"/>
      <c r="S352" s="444"/>
      <c r="T352" s="444"/>
      <c r="U352" s="444"/>
      <c r="V352" s="444"/>
      <c r="W352" s="444"/>
      <c r="X352" s="444"/>
    </row>
    <row r="353" spans="1:24" ht="15.6" x14ac:dyDescent="0.3">
      <c r="A353" s="438"/>
      <c r="B353" s="439"/>
      <c r="C353" s="440"/>
      <c r="D353" s="441"/>
      <c r="E353" s="441"/>
      <c r="F353" s="442"/>
      <c r="G353" s="443"/>
      <c r="H353" s="442"/>
      <c r="I353" s="455"/>
      <c r="J353" s="444"/>
      <c r="K353" s="652"/>
      <c r="L353" s="444"/>
      <c r="M353" s="444"/>
      <c r="N353" s="444"/>
      <c r="O353" s="444"/>
      <c r="P353" s="444"/>
      <c r="Q353" s="444"/>
      <c r="R353" s="444"/>
      <c r="S353" s="444"/>
      <c r="T353" s="444"/>
      <c r="U353" s="444"/>
      <c r="V353" s="444"/>
      <c r="W353" s="444"/>
      <c r="X353" s="444"/>
    </row>
    <row r="354" spans="1:24" ht="15.6" x14ac:dyDescent="0.3">
      <c r="A354" s="438"/>
      <c r="B354" s="439"/>
      <c r="C354" s="440"/>
      <c r="D354" s="441"/>
      <c r="E354" s="441"/>
      <c r="F354" s="442"/>
      <c r="G354" s="443"/>
      <c r="H354" s="442"/>
      <c r="I354" s="455"/>
      <c r="J354" s="444"/>
      <c r="K354" s="652"/>
      <c r="L354" s="444"/>
      <c r="M354" s="444"/>
      <c r="N354" s="444"/>
      <c r="O354" s="444"/>
      <c r="P354" s="444"/>
      <c r="Q354" s="444"/>
      <c r="R354" s="444"/>
      <c r="S354" s="444"/>
      <c r="T354" s="444"/>
      <c r="U354" s="444"/>
      <c r="V354" s="444"/>
      <c r="W354" s="444"/>
      <c r="X354" s="444"/>
    </row>
    <row r="355" spans="1:24" ht="15.6" x14ac:dyDescent="0.3">
      <c r="A355" s="438"/>
      <c r="B355" s="439"/>
      <c r="C355" s="440"/>
      <c r="D355" s="441"/>
      <c r="E355" s="441"/>
      <c r="F355" s="442"/>
      <c r="G355" s="443"/>
      <c r="H355" s="442"/>
      <c r="I355" s="455"/>
      <c r="J355" s="444"/>
      <c r="K355" s="652"/>
      <c r="L355" s="444"/>
      <c r="M355" s="444"/>
      <c r="N355" s="444"/>
      <c r="O355" s="444"/>
      <c r="P355" s="444"/>
      <c r="Q355" s="444"/>
      <c r="R355" s="444"/>
      <c r="S355" s="444"/>
      <c r="T355" s="444"/>
      <c r="U355" s="444"/>
      <c r="V355" s="444"/>
      <c r="W355" s="444"/>
      <c r="X355" s="444"/>
    </row>
    <row r="356" spans="1:24" ht="15.6" x14ac:dyDescent="0.3">
      <c r="A356" s="438"/>
      <c r="B356" s="439"/>
      <c r="C356" s="440"/>
      <c r="D356" s="441"/>
      <c r="E356" s="441"/>
      <c r="F356" s="442"/>
      <c r="G356" s="443"/>
      <c r="H356" s="442"/>
      <c r="I356" s="455"/>
      <c r="J356" s="444"/>
      <c r="K356" s="652"/>
      <c r="L356" s="444"/>
      <c r="M356" s="444"/>
      <c r="N356" s="444"/>
      <c r="O356" s="444"/>
      <c r="P356" s="444"/>
      <c r="Q356" s="444"/>
      <c r="R356" s="444"/>
      <c r="S356" s="444"/>
      <c r="T356" s="444"/>
      <c r="U356" s="444"/>
      <c r="V356" s="444"/>
      <c r="W356" s="444"/>
      <c r="X356" s="444"/>
    </row>
    <row r="357" spans="1:24" ht="15.6" x14ac:dyDescent="0.3">
      <c r="A357" s="438"/>
      <c r="B357" s="439"/>
      <c r="C357" s="440"/>
      <c r="D357" s="441"/>
      <c r="E357" s="441"/>
      <c r="F357" s="442"/>
      <c r="G357" s="443"/>
      <c r="H357" s="442"/>
      <c r="I357" s="455"/>
      <c r="J357" s="444"/>
      <c r="K357" s="652"/>
      <c r="L357" s="444"/>
      <c r="M357" s="444"/>
      <c r="N357" s="444"/>
      <c r="O357" s="444"/>
      <c r="P357" s="444"/>
      <c r="Q357" s="444"/>
      <c r="R357" s="444"/>
      <c r="S357" s="444"/>
      <c r="T357" s="444"/>
      <c r="U357" s="444"/>
      <c r="V357" s="444"/>
      <c r="W357" s="444"/>
      <c r="X357" s="444"/>
    </row>
    <row r="358" spans="1:24" ht="15.6" x14ac:dyDescent="0.3">
      <c r="A358" s="438"/>
      <c r="B358" s="439"/>
      <c r="C358" s="440"/>
      <c r="D358" s="441"/>
      <c r="E358" s="441"/>
      <c r="F358" s="442"/>
      <c r="G358" s="443"/>
      <c r="H358" s="442"/>
      <c r="I358" s="455"/>
      <c r="J358" s="444"/>
      <c r="K358" s="652"/>
      <c r="L358" s="444"/>
      <c r="M358" s="444"/>
      <c r="N358" s="444"/>
      <c r="O358" s="444"/>
      <c r="P358" s="444"/>
      <c r="Q358" s="444"/>
      <c r="R358" s="444"/>
      <c r="S358" s="444"/>
      <c r="T358" s="444"/>
      <c r="U358" s="444"/>
      <c r="V358" s="444"/>
      <c r="W358" s="444"/>
      <c r="X358" s="444"/>
    </row>
    <row r="359" spans="1:24" ht="15.6" x14ac:dyDescent="0.3">
      <c r="A359" s="438"/>
      <c r="B359" s="439"/>
      <c r="C359" s="440"/>
      <c r="D359" s="441"/>
      <c r="E359" s="441"/>
      <c r="F359" s="442"/>
      <c r="G359" s="443"/>
      <c r="H359" s="442"/>
      <c r="I359" s="455"/>
      <c r="J359" s="444"/>
      <c r="K359" s="652"/>
      <c r="L359" s="444"/>
      <c r="M359" s="444"/>
      <c r="N359" s="444"/>
      <c r="O359" s="444"/>
      <c r="P359" s="444"/>
      <c r="Q359" s="444"/>
      <c r="R359" s="444"/>
      <c r="S359" s="444"/>
      <c r="T359" s="444"/>
      <c r="U359" s="444"/>
      <c r="V359" s="444"/>
      <c r="W359" s="444"/>
      <c r="X359" s="444"/>
    </row>
    <row r="360" spans="1:24" ht="15.6" x14ac:dyDescent="0.3">
      <c r="A360" s="438"/>
      <c r="B360" s="439"/>
      <c r="C360" s="440"/>
      <c r="D360" s="441"/>
      <c r="E360" s="441"/>
      <c r="F360" s="442"/>
      <c r="G360" s="443"/>
      <c r="H360" s="442"/>
      <c r="I360" s="455"/>
      <c r="J360" s="444"/>
      <c r="K360" s="652"/>
      <c r="L360" s="444"/>
      <c r="M360" s="444"/>
      <c r="N360" s="444"/>
      <c r="O360" s="444"/>
      <c r="P360" s="444"/>
      <c r="Q360" s="444"/>
      <c r="R360" s="444"/>
      <c r="S360" s="444"/>
      <c r="T360" s="444"/>
      <c r="U360" s="444"/>
      <c r="V360" s="444"/>
      <c r="W360" s="444"/>
      <c r="X360" s="444"/>
    </row>
    <row r="361" spans="1:24" ht="15.6" x14ac:dyDescent="0.3">
      <c r="A361" s="438"/>
      <c r="B361" s="439"/>
      <c r="C361" s="440"/>
      <c r="D361" s="441"/>
      <c r="E361" s="441"/>
      <c r="F361" s="442"/>
      <c r="G361" s="443"/>
      <c r="H361" s="442"/>
      <c r="I361" s="455"/>
      <c r="J361" s="444"/>
      <c r="K361" s="652"/>
      <c r="L361" s="444"/>
      <c r="M361" s="444"/>
      <c r="N361" s="444"/>
      <c r="O361" s="444"/>
      <c r="P361" s="444"/>
      <c r="Q361" s="444"/>
      <c r="R361" s="444"/>
      <c r="S361" s="444"/>
      <c r="T361" s="444"/>
      <c r="U361" s="444"/>
      <c r="V361" s="444"/>
      <c r="W361" s="444"/>
      <c r="X361" s="444"/>
    </row>
    <row r="362" spans="1:24" ht="15.6" x14ac:dyDescent="0.3">
      <c r="A362" s="438"/>
      <c r="B362" s="439"/>
      <c r="C362" s="440"/>
      <c r="D362" s="441"/>
      <c r="E362" s="441"/>
      <c r="F362" s="442"/>
      <c r="G362" s="443"/>
      <c r="H362" s="442"/>
      <c r="I362" s="455"/>
      <c r="J362" s="444"/>
      <c r="K362" s="652"/>
      <c r="L362" s="444"/>
      <c r="M362" s="444"/>
      <c r="N362" s="444"/>
      <c r="O362" s="444"/>
      <c r="P362" s="444"/>
      <c r="Q362" s="444"/>
      <c r="R362" s="444"/>
      <c r="S362" s="444"/>
      <c r="T362" s="444"/>
      <c r="U362" s="444"/>
      <c r="V362" s="444"/>
      <c r="W362" s="444"/>
      <c r="X362" s="444"/>
    </row>
    <row r="363" spans="1:24" ht="15.6" x14ac:dyDescent="0.3">
      <c r="A363" s="438"/>
      <c r="B363" s="439"/>
      <c r="C363" s="440"/>
      <c r="D363" s="441"/>
      <c r="E363" s="441"/>
      <c r="F363" s="442"/>
      <c r="G363" s="443"/>
      <c r="H363" s="442"/>
      <c r="I363" s="455"/>
      <c r="J363" s="444"/>
      <c r="K363" s="652"/>
      <c r="L363" s="444"/>
      <c r="M363" s="444"/>
      <c r="N363" s="444"/>
      <c r="O363" s="444"/>
      <c r="P363" s="444"/>
      <c r="Q363" s="444"/>
      <c r="R363" s="444"/>
      <c r="S363" s="444"/>
      <c r="T363" s="444"/>
      <c r="U363" s="444"/>
      <c r="V363" s="444"/>
      <c r="W363" s="444"/>
      <c r="X363" s="444"/>
    </row>
    <row r="364" spans="1:24" ht="15.6" x14ac:dyDescent="0.3">
      <c r="A364" s="438"/>
      <c r="B364" s="439"/>
      <c r="C364" s="440"/>
      <c r="D364" s="441"/>
      <c r="E364" s="441"/>
      <c r="F364" s="442"/>
      <c r="G364" s="443"/>
      <c r="H364" s="442"/>
      <c r="I364" s="455"/>
      <c r="J364" s="444"/>
      <c r="K364" s="652"/>
      <c r="L364" s="444"/>
      <c r="M364" s="444"/>
      <c r="N364" s="444"/>
      <c r="O364" s="444"/>
      <c r="P364" s="444"/>
      <c r="Q364" s="444"/>
      <c r="R364" s="444"/>
      <c r="S364" s="444"/>
      <c r="T364" s="444"/>
      <c r="U364" s="444"/>
      <c r="V364" s="444"/>
      <c r="W364" s="444"/>
      <c r="X364" s="444"/>
    </row>
    <row r="365" spans="1:24" ht="15.6" x14ac:dyDescent="0.3">
      <c r="A365" s="438"/>
      <c r="B365" s="439"/>
      <c r="C365" s="440"/>
      <c r="D365" s="441"/>
      <c r="E365" s="441"/>
      <c r="F365" s="442"/>
      <c r="G365" s="443"/>
      <c r="H365" s="442"/>
      <c r="I365" s="455"/>
      <c r="J365" s="444"/>
      <c r="K365" s="652"/>
      <c r="L365" s="444"/>
      <c r="M365" s="444"/>
      <c r="N365" s="444"/>
      <c r="O365" s="444"/>
      <c r="P365" s="444"/>
      <c r="Q365" s="444"/>
      <c r="R365" s="444"/>
      <c r="S365" s="444"/>
      <c r="T365" s="444"/>
      <c r="U365" s="444"/>
      <c r="V365" s="444"/>
      <c r="W365" s="444"/>
      <c r="X365" s="444"/>
    </row>
    <row r="366" spans="1:24" ht="15.6" x14ac:dyDescent="0.3">
      <c r="A366" s="438"/>
      <c r="B366" s="439"/>
      <c r="C366" s="440"/>
      <c r="D366" s="441"/>
      <c r="E366" s="441"/>
      <c r="F366" s="442"/>
      <c r="G366" s="443"/>
      <c r="H366" s="442"/>
      <c r="I366" s="455"/>
      <c r="J366" s="444"/>
      <c r="K366" s="652"/>
      <c r="L366" s="444"/>
      <c r="M366" s="444"/>
      <c r="N366" s="444"/>
      <c r="O366" s="444"/>
      <c r="P366" s="444"/>
      <c r="Q366" s="444"/>
      <c r="R366" s="444"/>
      <c r="S366" s="444"/>
      <c r="T366" s="444"/>
      <c r="U366" s="444"/>
      <c r="V366" s="444"/>
      <c r="W366" s="444"/>
      <c r="X366" s="444"/>
    </row>
    <row r="367" spans="1:24" ht="15.6" x14ac:dyDescent="0.3">
      <c r="A367" s="438"/>
      <c r="B367" s="439"/>
      <c r="C367" s="440"/>
      <c r="D367" s="441"/>
      <c r="E367" s="441"/>
      <c r="F367" s="442"/>
      <c r="G367" s="443"/>
      <c r="H367" s="442"/>
      <c r="I367" s="455"/>
      <c r="J367" s="444"/>
      <c r="K367" s="652"/>
      <c r="L367" s="444"/>
      <c r="M367" s="444"/>
      <c r="N367" s="444"/>
      <c r="O367" s="444"/>
      <c r="P367" s="444"/>
      <c r="Q367" s="444"/>
      <c r="R367" s="444"/>
      <c r="S367" s="444"/>
      <c r="T367" s="444"/>
      <c r="U367" s="444"/>
      <c r="V367" s="444"/>
      <c r="W367" s="444"/>
      <c r="X367" s="444"/>
    </row>
    <row r="368" spans="1:24" ht="15.6" x14ac:dyDescent="0.3">
      <c r="A368" s="438"/>
      <c r="B368" s="439"/>
      <c r="C368" s="440"/>
      <c r="D368" s="441"/>
      <c r="E368" s="441"/>
      <c r="F368" s="442"/>
      <c r="G368" s="443"/>
      <c r="H368" s="442"/>
      <c r="I368" s="455"/>
      <c r="J368" s="444"/>
      <c r="K368" s="652"/>
      <c r="L368" s="444"/>
      <c r="M368" s="444"/>
      <c r="N368" s="444"/>
      <c r="O368" s="444"/>
      <c r="P368" s="444"/>
      <c r="Q368" s="444"/>
      <c r="R368" s="444"/>
      <c r="S368" s="444"/>
      <c r="T368" s="444"/>
      <c r="U368" s="444"/>
      <c r="V368" s="444"/>
      <c r="W368" s="444"/>
      <c r="X368" s="444"/>
    </row>
    <row r="369" spans="1:24" ht="15.6" x14ac:dyDescent="0.3">
      <c r="A369" s="438"/>
      <c r="B369" s="439"/>
      <c r="C369" s="440"/>
      <c r="D369" s="441"/>
      <c r="E369" s="441"/>
      <c r="F369" s="442"/>
      <c r="G369" s="443"/>
      <c r="H369" s="442"/>
      <c r="I369" s="455"/>
      <c r="J369" s="444"/>
      <c r="K369" s="652"/>
      <c r="L369" s="444"/>
      <c r="M369" s="444"/>
      <c r="N369" s="444"/>
      <c r="O369" s="444"/>
      <c r="P369" s="444"/>
      <c r="Q369" s="444"/>
      <c r="R369" s="444"/>
      <c r="S369" s="444"/>
      <c r="T369" s="444"/>
      <c r="U369" s="444"/>
      <c r="V369" s="444"/>
      <c r="W369" s="444"/>
      <c r="X369" s="444"/>
    </row>
    <row r="370" spans="1:24" ht="15.6" x14ac:dyDescent="0.3">
      <c r="A370" s="438"/>
      <c r="B370" s="439"/>
      <c r="C370" s="440"/>
      <c r="D370" s="441"/>
      <c r="E370" s="441"/>
      <c r="F370" s="442"/>
      <c r="G370" s="443"/>
      <c r="H370" s="442"/>
      <c r="I370" s="455"/>
      <c r="J370" s="444"/>
      <c r="K370" s="652"/>
      <c r="L370" s="444"/>
      <c r="M370" s="444"/>
      <c r="N370" s="444"/>
      <c r="O370" s="444"/>
      <c r="P370" s="444"/>
      <c r="Q370" s="444"/>
      <c r="R370" s="444"/>
      <c r="S370" s="444"/>
      <c r="T370" s="444"/>
      <c r="U370" s="444"/>
      <c r="V370" s="444"/>
      <c r="W370" s="444"/>
      <c r="X370" s="444"/>
    </row>
    <row r="371" spans="1:24" ht="15.6" x14ac:dyDescent="0.3">
      <c r="A371" s="438"/>
      <c r="B371" s="439"/>
      <c r="C371" s="440"/>
      <c r="D371" s="441"/>
      <c r="E371" s="441"/>
      <c r="F371" s="442"/>
      <c r="G371" s="443"/>
      <c r="H371" s="442"/>
      <c r="I371" s="455"/>
      <c r="J371" s="444"/>
      <c r="K371" s="652"/>
      <c r="L371" s="444"/>
      <c r="M371" s="444"/>
      <c r="N371" s="444"/>
      <c r="O371" s="444"/>
      <c r="P371" s="444"/>
      <c r="Q371" s="444"/>
      <c r="R371" s="444"/>
      <c r="S371" s="444"/>
      <c r="T371" s="444"/>
      <c r="U371" s="444"/>
      <c r="V371" s="444"/>
      <c r="W371" s="444"/>
      <c r="X371" s="444"/>
    </row>
    <row r="372" spans="1:24" ht="15.6" x14ac:dyDescent="0.3">
      <c r="A372" s="438"/>
      <c r="B372" s="439"/>
      <c r="C372" s="440"/>
      <c r="D372" s="441"/>
      <c r="E372" s="441"/>
      <c r="F372" s="442"/>
      <c r="G372" s="443"/>
      <c r="H372" s="442"/>
      <c r="I372" s="455"/>
      <c r="J372" s="444"/>
      <c r="K372" s="652"/>
      <c r="L372" s="444"/>
      <c r="M372" s="444"/>
      <c r="N372" s="444"/>
      <c r="O372" s="444"/>
      <c r="P372" s="444"/>
      <c r="Q372" s="444"/>
      <c r="R372" s="444"/>
      <c r="S372" s="444"/>
      <c r="T372" s="444"/>
      <c r="U372" s="444"/>
      <c r="V372" s="444"/>
      <c r="W372" s="444"/>
      <c r="X372" s="444"/>
    </row>
    <row r="373" spans="1:24" ht="15.6" x14ac:dyDescent="0.3">
      <c r="A373" s="438"/>
      <c r="B373" s="439"/>
      <c r="C373" s="440"/>
      <c r="D373" s="441"/>
      <c r="E373" s="441"/>
      <c r="F373" s="442"/>
      <c r="G373" s="443"/>
      <c r="H373" s="442"/>
      <c r="I373" s="455"/>
      <c r="J373" s="444"/>
      <c r="K373" s="652"/>
      <c r="L373" s="444"/>
      <c r="M373" s="444"/>
      <c r="N373" s="444"/>
      <c r="O373" s="444"/>
      <c r="P373" s="444"/>
      <c r="Q373" s="444"/>
      <c r="R373" s="444"/>
      <c r="S373" s="444"/>
      <c r="T373" s="444"/>
      <c r="U373" s="444"/>
      <c r="V373" s="444"/>
      <c r="W373" s="444"/>
      <c r="X373" s="444"/>
    </row>
    <row r="374" spans="1:24" ht="15.6" x14ac:dyDescent="0.3">
      <c r="A374" s="438"/>
      <c r="B374" s="439"/>
      <c r="C374" s="440"/>
      <c r="D374" s="441"/>
      <c r="E374" s="441"/>
      <c r="F374" s="442"/>
      <c r="G374" s="443"/>
      <c r="H374" s="442"/>
      <c r="I374" s="455"/>
      <c r="J374" s="444"/>
      <c r="K374" s="652"/>
      <c r="L374" s="444"/>
      <c r="M374" s="444"/>
      <c r="N374" s="444"/>
      <c r="O374" s="444"/>
      <c r="P374" s="444"/>
      <c r="Q374" s="444"/>
      <c r="R374" s="444"/>
      <c r="S374" s="444"/>
      <c r="T374" s="444"/>
      <c r="U374" s="444"/>
      <c r="V374" s="444"/>
      <c r="W374" s="444"/>
      <c r="X374" s="444"/>
    </row>
    <row r="375" spans="1:24" ht="15.6" x14ac:dyDescent="0.3">
      <c r="A375" s="438"/>
      <c r="B375" s="439"/>
      <c r="C375" s="440"/>
      <c r="D375" s="441"/>
      <c r="E375" s="441"/>
      <c r="F375" s="442"/>
      <c r="G375" s="443"/>
      <c r="H375" s="442"/>
      <c r="I375" s="455"/>
      <c r="J375" s="444"/>
      <c r="K375" s="652"/>
      <c r="L375" s="444"/>
      <c r="M375" s="444"/>
      <c r="N375" s="444"/>
      <c r="O375" s="444"/>
      <c r="P375" s="444"/>
      <c r="Q375" s="444"/>
      <c r="R375" s="444"/>
      <c r="S375" s="444"/>
      <c r="T375" s="444"/>
      <c r="U375" s="444"/>
      <c r="V375" s="444"/>
      <c r="W375" s="444"/>
      <c r="X375" s="444"/>
    </row>
    <row r="376" spans="1:24" ht="15.6" x14ac:dyDescent="0.3">
      <c r="A376" s="438"/>
      <c r="B376" s="439"/>
      <c r="C376" s="440"/>
      <c r="D376" s="441"/>
      <c r="E376" s="441"/>
      <c r="F376" s="442"/>
      <c r="G376" s="443"/>
      <c r="H376" s="442"/>
      <c r="I376" s="455"/>
      <c r="J376" s="444"/>
      <c r="K376" s="652"/>
      <c r="L376" s="444"/>
      <c r="M376" s="444"/>
      <c r="N376" s="444"/>
      <c r="O376" s="444"/>
      <c r="P376" s="444"/>
      <c r="Q376" s="444"/>
      <c r="R376" s="444"/>
      <c r="S376" s="444"/>
      <c r="T376" s="444"/>
      <c r="U376" s="444"/>
      <c r="V376" s="444"/>
      <c r="W376" s="444"/>
      <c r="X376" s="444"/>
    </row>
    <row r="377" spans="1:24" ht="15.6" x14ac:dyDescent="0.3">
      <c r="A377" s="438"/>
      <c r="B377" s="439"/>
      <c r="C377" s="440"/>
      <c r="D377" s="441"/>
      <c r="E377" s="441"/>
      <c r="F377" s="442"/>
      <c r="G377" s="443"/>
      <c r="H377" s="442"/>
      <c r="I377" s="455"/>
      <c r="J377" s="444"/>
      <c r="K377" s="652"/>
      <c r="L377" s="444"/>
      <c r="M377" s="444"/>
      <c r="N377" s="444"/>
      <c r="O377" s="444"/>
      <c r="P377" s="444"/>
      <c r="Q377" s="444"/>
      <c r="R377" s="444"/>
      <c r="S377" s="444"/>
      <c r="T377" s="444"/>
      <c r="U377" s="444"/>
      <c r="V377" s="444"/>
      <c r="W377" s="444"/>
      <c r="X377" s="444"/>
    </row>
    <row r="378" spans="1:24" ht="15.6" x14ac:dyDescent="0.3">
      <c r="A378" s="438"/>
      <c r="B378" s="439"/>
      <c r="C378" s="440"/>
      <c r="D378" s="441"/>
      <c r="E378" s="441"/>
      <c r="F378" s="442"/>
      <c r="G378" s="443"/>
      <c r="H378" s="442"/>
      <c r="I378" s="455"/>
      <c r="J378" s="444"/>
      <c r="K378" s="652"/>
      <c r="L378" s="444"/>
      <c r="M378" s="444"/>
      <c r="N378" s="444"/>
      <c r="O378" s="444"/>
      <c r="P378" s="444"/>
      <c r="Q378" s="444"/>
      <c r="R378" s="444"/>
      <c r="S378" s="444"/>
      <c r="T378" s="444"/>
      <c r="U378" s="444"/>
      <c r="V378" s="444"/>
      <c r="W378" s="444"/>
      <c r="X378" s="444"/>
    </row>
    <row r="379" spans="1:24" ht="15.6" x14ac:dyDescent="0.3">
      <c r="A379" s="438"/>
      <c r="B379" s="439"/>
      <c r="C379" s="440"/>
      <c r="D379" s="441"/>
      <c r="E379" s="441"/>
      <c r="F379" s="442"/>
      <c r="G379" s="443"/>
      <c r="H379" s="442"/>
      <c r="I379" s="455"/>
      <c r="J379" s="444"/>
      <c r="K379" s="652"/>
      <c r="L379" s="444"/>
      <c r="M379" s="444"/>
      <c r="N379" s="444"/>
      <c r="O379" s="444"/>
      <c r="P379" s="444"/>
      <c r="Q379" s="444"/>
      <c r="R379" s="444"/>
      <c r="S379" s="444"/>
      <c r="T379" s="444"/>
      <c r="U379" s="444"/>
      <c r="V379" s="444"/>
      <c r="W379" s="444"/>
      <c r="X379" s="444"/>
    </row>
    <row r="380" spans="1:24" ht="15.6" x14ac:dyDescent="0.3">
      <c r="A380" s="438"/>
      <c r="B380" s="439"/>
      <c r="C380" s="440"/>
      <c r="D380" s="441"/>
      <c r="E380" s="441"/>
      <c r="F380" s="442"/>
      <c r="G380" s="443"/>
      <c r="H380" s="442"/>
      <c r="I380" s="455"/>
      <c r="J380" s="444"/>
      <c r="K380" s="652"/>
      <c r="L380" s="444"/>
      <c r="M380" s="444"/>
      <c r="N380" s="444"/>
      <c r="O380" s="444"/>
      <c r="P380" s="444"/>
      <c r="Q380" s="444"/>
      <c r="R380" s="444"/>
      <c r="S380" s="444"/>
      <c r="T380" s="444"/>
      <c r="U380" s="444"/>
      <c r="V380" s="444"/>
      <c r="W380" s="444"/>
      <c r="X380" s="444"/>
    </row>
    <row r="381" spans="1:24" ht="15.6" x14ac:dyDescent="0.3">
      <c r="A381" s="438"/>
      <c r="B381" s="439"/>
      <c r="C381" s="440"/>
      <c r="D381" s="441"/>
      <c r="E381" s="441"/>
      <c r="F381" s="442"/>
      <c r="G381" s="443"/>
      <c r="H381" s="442"/>
      <c r="I381" s="455"/>
      <c r="J381" s="444"/>
      <c r="K381" s="652"/>
      <c r="L381" s="444"/>
      <c r="M381" s="444"/>
      <c r="N381" s="444"/>
      <c r="O381" s="444"/>
      <c r="P381" s="444"/>
      <c r="Q381" s="444"/>
      <c r="R381" s="444"/>
      <c r="S381" s="444"/>
      <c r="T381" s="444"/>
      <c r="U381" s="444"/>
      <c r="V381" s="444"/>
      <c r="W381" s="444"/>
      <c r="X381" s="444"/>
    </row>
    <row r="382" spans="1:24" ht="15.6" x14ac:dyDescent="0.3">
      <c r="A382" s="438"/>
      <c r="B382" s="439"/>
      <c r="C382" s="440"/>
      <c r="D382" s="441"/>
      <c r="E382" s="441"/>
      <c r="F382" s="442"/>
      <c r="G382" s="443"/>
      <c r="H382" s="442"/>
      <c r="I382" s="455"/>
      <c r="J382" s="444"/>
      <c r="K382" s="652"/>
      <c r="L382" s="444"/>
      <c r="M382" s="444"/>
      <c r="N382" s="444"/>
      <c r="O382" s="444"/>
      <c r="P382" s="444"/>
      <c r="Q382" s="444"/>
      <c r="R382" s="444"/>
      <c r="S382" s="444"/>
      <c r="T382" s="444"/>
      <c r="U382" s="444"/>
      <c r="V382" s="444"/>
      <c r="W382" s="444"/>
      <c r="X382" s="444"/>
    </row>
    <row r="383" spans="1:24" ht="15.6" x14ac:dyDescent="0.3">
      <c r="A383" s="438"/>
      <c r="B383" s="439"/>
      <c r="C383" s="440"/>
      <c r="D383" s="441"/>
      <c r="E383" s="441"/>
      <c r="F383" s="442"/>
      <c r="G383" s="443"/>
      <c r="H383" s="442"/>
      <c r="I383" s="455"/>
      <c r="J383" s="444"/>
      <c r="K383" s="652"/>
      <c r="L383" s="444"/>
      <c r="M383" s="444"/>
      <c r="N383" s="444"/>
      <c r="O383" s="444"/>
      <c r="P383" s="444"/>
      <c r="Q383" s="444"/>
      <c r="R383" s="444"/>
      <c r="S383" s="444"/>
      <c r="T383" s="444"/>
      <c r="U383" s="444"/>
      <c r="V383" s="444"/>
      <c r="W383" s="444"/>
      <c r="X383" s="444"/>
    </row>
    <row r="384" spans="1:24" ht="15.6" x14ac:dyDescent="0.3">
      <c r="A384" s="438"/>
      <c r="B384" s="439"/>
      <c r="C384" s="440"/>
      <c r="D384" s="441"/>
      <c r="E384" s="441"/>
      <c r="F384" s="442"/>
      <c r="G384" s="443"/>
      <c r="H384" s="442"/>
      <c r="I384" s="455"/>
      <c r="J384" s="444"/>
      <c r="K384" s="652"/>
      <c r="L384" s="444"/>
      <c r="M384" s="444"/>
      <c r="N384" s="444"/>
      <c r="O384" s="444"/>
      <c r="P384" s="444"/>
      <c r="Q384" s="444"/>
      <c r="R384" s="444"/>
      <c r="S384" s="444"/>
      <c r="T384" s="444"/>
      <c r="U384" s="444"/>
      <c r="V384" s="444"/>
      <c r="W384" s="444"/>
      <c r="X384" s="444"/>
    </row>
    <row r="385" spans="1:24" ht="15.6" x14ac:dyDescent="0.3">
      <c r="A385" s="438"/>
      <c r="B385" s="439"/>
      <c r="C385" s="440"/>
      <c r="D385" s="441"/>
      <c r="E385" s="441"/>
      <c r="F385" s="442"/>
      <c r="G385" s="443"/>
      <c r="H385" s="442"/>
      <c r="I385" s="455"/>
      <c r="J385" s="444"/>
      <c r="K385" s="652"/>
      <c r="L385" s="444"/>
      <c r="M385" s="444"/>
      <c r="N385" s="444"/>
      <c r="O385" s="444"/>
      <c r="P385" s="444"/>
      <c r="Q385" s="444"/>
      <c r="R385" s="444"/>
      <c r="S385" s="444"/>
      <c r="T385" s="444"/>
      <c r="U385" s="444"/>
      <c r="V385" s="444"/>
      <c r="W385" s="444"/>
      <c r="X385" s="444"/>
    </row>
    <row r="386" spans="1:24" ht="15.6" x14ac:dyDescent="0.3">
      <c r="A386" s="438"/>
      <c r="B386" s="439"/>
      <c r="C386" s="440"/>
      <c r="D386" s="441"/>
      <c r="E386" s="441"/>
      <c r="F386" s="442"/>
      <c r="G386" s="443"/>
      <c r="H386" s="442"/>
      <c r="I386" s="455"/>
      <c r="J386" s="444"/>
      <c r="K386" s="652"/>
      <c r="L386" s="444"/>
      <c r="M386" s="444"/>
      <c r="N386" s="444"/>
      <c r="O386" s="444"/>
      <c r="P386" s="444"/>
      <c r="Q386" s="444"/>
      <c r="R386" s="444"/>
      <c r="S386" s="444"/>
      <c r="T386" s="444"/>
      <c r="U386" s="444"/>
      <c r="V386" s="444"/>
      <c r="W386" s="444"/>
      <c r="X386" s="444"/>
    </row>
    <row r="387" spans="1:24" ht="15.6" x14ac:dyDescent="0.3">
      <c r="A387" s="438"/>
      <c r="B387" s="439"/>
      <c r="C387" s="440"/>
      <c r="D387" s="441"/>
      <c r="E387" s="441"/>
      <c r="F387" s="442"/>
      <c r="G387" s="443"/>
      <c r="H387" s="442"/>
      <c r="I387" s="455"/>
      <c r="J387" s="444"/>
      <c r="K387" s="652"/>
      <c r="L387" s="444"/>
      <c r="M387" s="444"/>
      <c r="N387" s="444"/>
      <c r="O387" s="444"/>
      <c r="P387" s="444"/>
      <c r="Q387" s="444"/>
      <c r="R387" s="444"/>
      <c r="S387" s="444"/>
      <c r="T387" s="444"/>
      <c r="U387" s="444"/>
      <c r="V387" s="444"/>
      <c r="W387" s="444"/>
      <c r="X387" s="444"/>
    </row>
    <row r="388" spans="1:24" ht="15.6" x14ac:dyDescent="0.3">
      <c r="A388" s="438"/>
      <c r="B388" s="439"/>
      <c r="C388" s="440"/>
      <c r="D388" s="441"/>
      <c r="E388" s="441"/>
      <c r="F388" s="442"/>
      <c r="G388" s="443"/>
      <c r="H388" s="442"/>
      <c r="I388" s="455"/>
      <c r="J388" s="444"/>
      <c r="K388" s="652"/>
      <c r="L388" s="444"/>
      <c r="M388" s="444"/>
      <c r="N388" s="444"/>
      <c r="O388" s="444"/>
      <c r="P388" s="444"/>
      <c r="Q388" s="444"/>
      <c r="R388" s="444"/>
      <c r="S388" s="444"/>
      <c r="T388" s="444"/>
      <c r="U388" s="444"/>
      <c r="V388" s="444"/>
      <c r="W388" s="444"/>
      <c r="X388" s="444"/>
    </row>
    <row r="389" spans="1:24" ht="15.6" x14ac:dyDescent="0.3">
      <c r="A389" s="438"/>
      <c r="B389" s="439"/>
      <c r="C389" s="440"/>
      <c r="D389" s="441"/>
      <c r="E389" s="441"/>
      <c r="F389" s="442"/>
      <c r="G389" s="443"/>
      <c r="H389" s="442"/>
      <c r="I389" s="455"/>
      <c r="J389" s="444"/>
      <c r="K389" s="652"/>
      <c r="L389" s="444"/>
      <c r="M389" s="444"/>
      <c r="N389" s="444"/>
      <c r="O389" s="444"/>
      <c r="P389" s="444"/>
      <c r="Q389" s="444"/>
      <c r="R389" s="444"/>
      <c r="S389" s="444"/>
      <c r="T389" s="444"/>
      <c r="U389" s="444"/>
      <c r="V389" s="444"/>
      <c r="W389" s="444"/>
      <c r="X389" s="444"/>
    </row>
    <row r="390" spans="1:24" ht="15.6" x14ac:dyDescent="0.3">
      <c r="A390" s="438"/>
      <c r="B390" s="439"/>
      <c r="C390" s="440"/>
      <c r="D390" s="441"/>
      <c r="E390" s="441"/>
      <c r="F390" s="442"/>
      <c r="G390" s="443"/>
      <c r="H390" s="442"/>
      <c r="I390" s="455"/>
      <c r="J390" s="444"/>
      <c r="K390" s="652"/>
      <c r="L390" s="444"/>
      <c r="M390" s="444"/>
      <c r="N390" s="444"/>
      <c r="O390" s="444"/>
      <c r="P390" s="444"/>
      <c r="Q390" s="444"/>
      <c r="R390" s="444"/>
      <c r="S390" s="444"/>
      <c r="T390" s="444"/>
      <c r="U390" s="444"/>
      <c r="V390" s="444"/>
      <c r="W390" s="444"/>
      <c r="X390" s="444"/>
    </row>
    <row r="391" spans="1:24" ht="15.6" x14ac:dyDescent="0.3">
      <c r="A391" s="438"/>
      <c r="B391" s="439"/>
      <c r="C391" s="440"/>
      <c r="D391" s="441"/>
      <c r="E391" s="441"/>
      <c r="F391" s="442"/>
      <c r="G391" s="443"/>
      <c r="H391" s="442"/>
      <c r="I391" s="455"/>
      <c r="J391" s="444"/>
      <c r="K391" s="652"/>
      <c r="L391" s="444"/>
      <c r="M391" s="444"/>
      <c r="N391" s="444"/>
      <c r="O391" s="444"/>
      <c r="P391" s="444"/>
      <c r="Q391" s="444"/>
      <c r="R391" s="444"/>
      <c r="S391" s="444"/>
      <c r="T391" s="444"/>
      <c r="U391" s="444"/>
      <c r="V391" s="444"/>
      <c r="W391" s="444"/>
      <c r="X391" s="444"/>
    </row>
    <row r="392" spans="1:24" ht="15.6" x14ac:dyDescent="0.3">
      <c r="A392" s="438"/>
      <c r="B392" s="439"/>
      <c r="C392" s="440"/>
      <c r="D392" s="441"/>
      <c r="E392" s="441"/>
      <c r="F392" s="442"/>
      <c r="G392" s="443"/>
      <c r="H392" s="442"/>
      <c r="I392" s="455"/>
      <c r="J392" s="444"/>
      <c r="K392" s="652"/>
      <c r="L392" s="444"/>
      <c r="M392" s="444"/>
      <c r="N392" s="444"/>
      <c r="O392" s="444"/>
      <c r="P392" s="444"/>
      <c r="Q392" s="444"/>
      <c r="R392" s="444"/>
      <c r="S392" s="444"/>
      <c r="T392" s="444"/>
      <c r="U392" s="444"/>
      <c r="V392" s="444"/>
      <c r="W392" s="444"/>
      <c r="X392" s="444"/>
    </row>
    <row r="393" spans="1:24" ht="15.6" x14ac:dyDescent="0.3">
      <c r="A393" s="438"/>
      <c r="B393" s="439"/>
      <c r="C393" s="440"/>
      <c r="D393" s="441"/>
      <c r="E393" s="441"/>
      <c r="F393" s="442"/>
      <c r="G393" s="443"/>
      <c r="H393" s="442"/>
      <c r="I393" s="455"/>
      <c r="J393" s="444"/>
      <c r="K393" s="652"/>
      <c r="L393" s="444"/>
      <c r="M393" s="444"/>
      <c r="N393" s="444"/>
      <c r="O393" s="444"/>
      <c r="P393" s="444"/>
      <c r="Q393" s="444"/>
      <c r="R393" s="444"/>
      <c r="S393" s="444"/>
      <c r="T393" s="444"/>
      <c r="U393" s="444"/>
      <c r="V393" s="444"/>
      <c r="W393" s="444"/>
      <c r="X393" s="444"/>
    </row>
    <row r="394" spans="1:24" ht="15.6" x14ac:dyDescent="0.3">
      <c r="A394" s="438"/>
      <c r="B394" s="439"/>
      <c r="C394" s="440"/>
      <c r="D394" s="441"/>
      <c r="E394" s="441"/>
      <c r="F394" s="442"/>
      <c r="G394" s="443"/>
      <c r="H394" s="442"/>
      <c r="I394" s="455"/>
      <c r="J394" s="444"/>
      <c r="K394" s="652"/>
      <c r="L394" s="444"/>
      <c r="M394" s="444"/>
      <c r="N394" s="444"/>
      <c r="O394" s="444"/>
      <c r="P394" s="444"/>
      <c r="Q394" s="444"/>
      <c r="R394" s="444"/>
      <c r="S394" s="444"/>
      <c r="T394" s="444"/>
      <c r="U394" s="444"/>
      <c r="V394" s="444"/>
      <c r="W394" s="444"/>
      <c r="X394" s="444"/>
    </row>
    <row r="395" spans="1:24" ht="15.6" x14ac:dyDescent="0.3">
      <c r="A395" s="438"/>
      <c r="B395" s="439"/>
      <c r="C395" s="440"/>
      <c r="D395" s="441"/>
      <c r="E395" s="441"/>
      <c r="F395" s="442"/>
      <c r="G395" s="443"/>
      <c r="H395" s="442"/>
      <c r="I395" s="455"/>
      <c r="J395" s="444"/>
      <c r="K395" s="652"/>
      <c r="L395" s="444"/>
      <c r="M395" s="444"/>
      <c r="N395" s="444"/>
      <c r="O395" s="444"/>
      <c r="P395" s="444"/>
      <c r="Q395" s="444"/>
      <c r="R395" s="444"/>
      <c r="S395" s="444"/>
      <c r="T395" s="444"/>
      <c r="U395" s="444"/>
      <c r="V395" s="444"/>
      <c r="W395" s="444"/>
      <c r="X395" s="444"/>
    </row>
    <row r="396" spans="1:24" ht="15.6" x14ac:dyDescent="0.3">
      <c r="A396" s="438"/>
      <c r="B396" s="439"/>
      <c r="C396" s="440"/>
      <c r="D396" s="441"/>
      <c r="E396" s="441"/>
      <c r="F396" s="442"/>
      <c r="G396" s="443"/>
      <c r="H396" s="442"/>
      <c r="I396" s="455"/>
      <c r="J396" s="444"/>
      <c r="K396" s="652"/>
      <c r="L396" s="444"/>
      <c r="M396" s="444"/>
      <c r="N396" s="444"/>
      <c r="O396" s="444"/>
      <c r="P396" s="444"/>
      <c r="Q396" s="444"/>
      <c r="R396" s="444"/>
      <c r="S396" s="444"/>
      <c r="T396" s="444"/>
      <c r="U396" s="444"/>
      <c r="V396" s="444"/>
      <c r="W396" s="444"/>
      <c r="X396" s="444"/>
    </row>
    <row r="397" spans="1:24" ht="15.6" x14ac:dyDescent="0.3">
      <c r="A397" s="438"/>
      <c r="B397" s="439"/>
      <c r="C397" s="440"/>
      <c r="D397" s="441"/>
      <c r="E397" s="441"/>
      <c r="F397" s="442"/>
      <c r="G397" s="443"/>
      <c r="H397" s="442"/>
      <c r="I397" s="455"/>
      <c r="J397" s="444"/>
      <c r="K397" s="652"/>
      <c r="L397" s="444"/>
      <c r="M397" s="444"/>
      <c r="N397" s="444"/>
      <c r="O397" s="444"/>
      <c r="P397" s="444"/>
      <c r="Q397" s="444"/>
      <c r="R397" s="444"/>
      <c r="S397" s="444"/>
      <c r="T397" s="444"/>
      <c r="U397" s="444"/>
      <c r="V397" s="444"/>
      <c r="W397" s="444"/>
      <c r="X397" s="444"/>
    </row>
    <row r="398" spans="1:24" ht="15.6" x14ac:dyDescent="0.3">
      <c r="A398" s="438"/>
      <c r="B398" s="439"/>
      <c r="C398" s="440"/>
      <c r="D398" s="441"/>
      <c r="E398" s="441"/>
      <c r="F398" s="442"/>
      <c r="G398" s="443"/>
      <c r="H398" s="442"/>
      <c r="I398" s="455"/>
      <c r="J398" s="444"/>
      <c r="K398" s="652"/>
      <c r="L398" s="444"/>
      <c r="M398" s="444"/>
      <c r="N398" s="444"/>
      <c r="O398" s="444"/>
      <c r="P398" s="444"/>
      <c r="Q398" s="444"/>
      <c r="R398" s="444"/>
      <c r="S398" s="444"/>
      <c r="T398" s="444"/>
      <c r="U398" s="444"/>
      <c r="V398" s="444"/>
      <c r="W398" s="444"/>
      <c r="X398" s="444"/>
    </row>
    <row r="399" spans="1:24" ht="15.6" x14ac:dyDescent="0.3">
      <c r="A399" s="438"/>
      <c r="B399" s="439"/>
      <c r="C399" s="440"/>
      <c r="D399" s="441"/>
      <c r="E399" s="441"/>
      <c r="F399" s="442"/>
      <c r="G399" s="443"/>
      <c r="H399" s="442"/>
      <c r="I399" s="455"/>
      <c r="J399" s="444"/>
      <c r="K399" s="652"/>
      <c r="L399" s="444"/>
      <c r="M399" s="444"/>
      <c r="N399" s="444"/>
      <c r="O399" s="444"/>
      <c r="P399" s="444"/>
      <c r="Q399" s="444"/>
      <c r="R399" s="444"/>
      <c r="S399" s="444"/>
      <c r="T399" s="444"/>
      <c r="U399" s="444"/>
      <c r="V399" s="444"/>
      <c r="W399" s="444"/>
      <c r="X399" s="444"/>
    </row>
    <row r="400" spans="1:24" ht="15.6" x14ac:dyDescent="0.3">
      <c r="A400" s="438"/>
      <c r="B400" s="439"/>
      <c r="C400" s="440"/>
      <c r="D400" s="441"/>
      <c r="E400" s="441"/>
      <c r="F400" s="442"/>
      <c r="G400" s="443"/>
      <c r="H400" s="442"/>
      <c r="I400" s="455"/>
      <c r="J400" s="444"/>
      <c r="K400" s="652"/>
      <c r="L400" s="444"/>
      <c r="M400" s="444"/>
      <c r="N400" s="444"/>
      <c r="O400" s="444"/>
      <c r="P400" s="444"/>
      <c r="Q400" s="444"/>
      <c r="R400" s="444"/>
      <c r="S400" s="444"/>
      <c r="T400" s="444"/>
      <c r="U400" s="444"/>
      <c r="V400" s="444"/>
      <c r="W400" s="444"/>
      <c r="X400" s="444"/>
    </row>
    <row r="401" spans="1:24" ht="15.6" x14ac:dyDescent="0.3">
      <c r="A401" s="438"/>
      <c r="B401" s="439"/>
      <c r="C401" s="440"/>
      <c r="D401" s="441"/>
      <c r="E401" s="441"/>
      <c r="F401" s="442"/>
      <c r="G401" s="443"/>
      <c r="H401" s="442"/>
      <c r="I401" s="455"/>
      <c r="J401" s="444"/>
      <c r="K401" s="652"/>
      <c r="L401" s="444"/>
      <c r="M401" s="444"/>
      <c r="N401" s="444"/>
      <c r="O401" s="444"/>
      <c r="P401" s="444"/>
      <c r="Q401" s="444"/>
      <c r="R401" s="444"/>
      <c r="S401" s="444"/>
      <c r="T401" s="444"/>
      <c r="U401" s="444"/>
      <c r="V401" s="444"/>
      <c r="W401" s="444"/>
      <c r="X401" s="444"/>
    </row>
    <row r="402" spans="1:24" ht="15.6" x14ac:dyDescent="0.3">
      <c r="A402" s="438"/>
      <c r="B402" s="439"/>
      <c r="C402" s="440"/>
      <c r="D402" s="441"/>
      <c r="E402" s="441"/>
      <c r="F402" s="442"/>
      <c r="G402" s="443"/>
      <c r="H402" s="442"/>
      <c r="I402" s="455"/>
      <c r="J402" s="444"/>
      <c r="K402" s="652"/>
      <c r="L402" s="444"/>
      <c r="M402" s="444"/>
      <c r="N402" s="444"/>
      <c r="O402" s="444"/>
      <c r="P402" s="444"/>
      <c r="Q402" s="444"/>
      <c r="R402" s="444"/>
      <c r="S402" s="444"/>
      <c r="T402" s="444"/>
      <c r="U402" s="444"/>
      <c r="V402" s="444"/>
      <c r="W402" s="444"/>
      <c r="X402" s="444"/>
    </row>
    <row r="403" spans="1:24" ht="15.6" x14ac:dyDescent="0.3">
      <c r="A403" s="438"/>
      <c r="B403" s="439"/>
      <c r="C403" s="440"/>
      <c r="D403" s="441"/>
      <c r="E403" s="441"/>
      <c r="F403" s="442"/>
      <c r="G403" s="443"/>
      <c r="H403" s="442"/>
      <c r="I403" s="455"/>
      <c r="J403" s="444"/>
      <c r="K403" s="652"/>
      <c r="L403" s="444"/>
      <c r="M403" s="444"/>
      <c r="N403" s="444"/>
      <c r="O403" s="444"/>
      <c r="P403" s="444"/>
      <c r="Q403" s="444"/>
      <c r="R403" s="444"/>
      <c r="S403" s="444"/>
      <c r="T403" s="444"/>
      <c r="U403" s="444"/>
      <c r="V403" s="444"/>
      <c r="W403" s="444"/>
      <c r="X403" s="444"/>
    </row>
    <row r="404" spans="1:24" ht="15.6" x14ac:dyDescent="0.3">
      <c r="A404" s="438"/>
      <c r="B404" s="439"/>
      <c r="C404" s="440"/>
      <c r="D404" s="441"/>
      <c r="E404" s="441"/>
      <c r="F404" s="442"/>
      <c r="G404" s="443"/>
      <c r="H404" s="442"/>
      <c r="I404" s="455"/>
      <c r="J404" s="444"/>
      <c r="K404" s="652"/>
      <c r="L404" s="444"/>
      <c r="M404" s="444"/>
      <c r="N404" s="444"/>
      <c r="O404" s="444"/>
      <c r="P404" s="444"/>
      <c r="Q404" s="444"/>
      <c r="R404" s="444"/>
      <c r="S404" s="444"/>
      <c r="T404" s="444"/>
      <c r="U404" s="444"/>
      <c r="V404" s="444"/>
      <c r="W404" s="444"/>
      <c r="X404" s="444"/>
    </row>
    <row r="405" spans="1:24" ht="15.6" x14ac:dyDescent="0.3">
      <c r="A405" s="438"/>
      <c r="B405" s="439"/>
      <c r="C405" s="440"/>
      <c r="D405" s="441"/>
      <c r="E405" s="441"/>
      <c r="F405" s="442"/>
      <c r="G405" s="443"/>
      <c r="H405" s="442"/>
      <c r="I405" s="455"/>
      <c r="J405" s="444"/>
      <c r="K405" s="652"/>
      <c r="L405" s="444"/>
      <c r="M405" s="444"/>
      <c r="N405" s="444"/>
      <c r="O405" s="444"/>
      <c r="P405" s="444"/>
      <c r="Q405" s="444"/>
      <c r="R405" s="444"/>
      <c r="S405" s="444"/>
      <c r="T405" s="444"/>
      <c r="U405" s="444"/>
      <c r="V405" s="444"/>
      <c r="W405" s="444"/>
      <c r="X405" s="444"/>
    </row>
    <row r="406" spans="1:24" ht="15.6" x14ac:dyDescent="0.3">
      <c r="A406" s="438"/>
      <c r="B406" s="439"/>
      <c r="C406" s="440"/>
      <c r="D406" s="441"/>
      <c r="E406" s="441"/>
      <c r="F406" s="442"/>
      <c r="G406" s="443"/>
      <c r="H406" s="442"/>
      <c r="I406" s="455"/>
      <c r="J406" s="444"/>
      <c r="K406" s="652"/>
      <c r="L406" s="444"/>
      <c r="M406" s="444"/>
      <c r="N406" s="444"/>
      <c r="O406" s="444"/>
      <c r="P406" s="444"/>
      <c r="Q406" s="444"/>
      <c r="R406" s="444"/>
      <c r="S406" s="444"/>
      <c r="T406" s="444"/>
      <c r="U406" s="444"/>
      <c r="V406" s="444"/>
      <c r="W406" s="444"/>
      <c r="X406" s="444"/>
    </row>
    <row r="407" spans="1:24" ht="15.6" x14ac:dyDescent="0.3">
      <c r="A407" s="438"/>
      <c r="B407" s="439"/>
      <c r="C407" s="440"/>
      <c r="D407" s="441"/>
      <c r="E407" s="441"/>
      <c r="F407" s="442"/>
      <c r="G407" s="443"/>
      <c r="H407" s="442"/>
      <c r="I407" s="455"/>
      <c r="J407" s="444"/>
      <c r="K407" s="652"/>
      <c r="L407" s="444"/>
      <c r="M407" s="444"/>
      <c r="N407" s="444"/>
      <c r="O407" s="444"/>
      <c r="P407" s="444"/>
      <c r="Q407" s="444"/>
      <c r="R407" s="444"/>
      <c r="S407" s="444"/>
      <c r="T407" s="444"/>
      <c r="U407" s="444"/>
      <c r="V407" s="444"/>
      <c r="W407" s="444"/>
      <c r="X407" s="444"/>
    </row>
    <row r="408" spans="1:24" ht="15.6" x14ac:dyDescent="0.3">
      <c r="A408" s="438"/>
      <c r="B408" s="439"/>
      <c r="C408" s="440"/>
      <c r="D408" s="441"/>
      <c r="E408" s="441"/>
      <c r="F408" s="442"/>
      <c r="G408" s="443"/>
      <c r="H408" s="442"/>
      <c r="I408" s="455"/>
      <c r="J408" s="444"/>
      <c r="K408" s="652"/>
      <c r="L408" s="444"/>
      <c r="M408" s="444"/>
      <c r="N408" s="444"/>
      <c r="O408" s="444"/>
      <c r="P408" s="444"/>
      <c r="Q408" s="444"/>
      <c r="R408" s="444"/>
      <c r="S408" s="444"/>
      <c r="T408" s="444"/>
      <c r="U408" s="444"/>
      <c r="V408" s="444"/>
      <c r="W408" s="444"/>
      <c r="X408" s="444"/>
    </row>
    <row r="409" spans="1:24" ht="15.6" x14ac:dyDescent="0.3">
      <c r="A409" s="438"/>
      <c r="B409" s="439"/>
      <c r="C409" s="440"/>
      <c r="D409" s="441"/>
      <c r="E409" s="441"/>
      <c r="F409" s="442"/>
      <c r="G409" s="443"/>
      <c r="H409" s="442"/>
      <c r="I409" s="455"/>
      <c r="J409" s="444"/>
      <c r="K409" s="652"/>
      <c r="L409" s="444"/>
      <c r="M409" s="444"/>
      <c r="N409" s="444"/>
      <c r="O409" s="444"/>
      <c r="P409" s="444"/>
      <c r="Q409" s="444"/>
      <c r="R409" s="444"/>
      <c r="S409" s="444"/>
      <c r="T409" s="444"/>
      <c r="U409" s="444"/>
      <c r="V409" s="444"/>
      <c r="W409" s="444"/>
      <c r="X409" s="444"/>
    </row>
    <row r="410" spans="1:24" ht="15.6" x14ac:dyDescent="0.3">
      <c r="A410" s="438"/>
      <c r="B410" s="439"/>
      <c r="C410" s="440"/>
      <c r="D410" s="441"/>
      <c r="E410" s="441"/>
      <c r="F410" s="442"/>
      <c r="G410" s="443"/>
      <c r="H410" s="442"/>
      <c r="I410" s="455"/>
      <c r="J410" s="444"/>
      <c r="K410" s="652"/>
      <c r="L410" s="444"/>
      <c r="M410" s="444"/>
      <c r="N410" s="444"/>
      <c r="O410" s="444"/>
      <c r="P410" s="444"/>
      <c r="Q410" s="444"/>
      <c r="R410" s="444"/>
      <c r="S410" s="444"/>
      <c r="T410" s="444"/>
      <c r="U410" s="444"/>
      <c r="V410" s="444"/>
      <c r="W410" s="444"/>
      <c r="X410" s="444"/>
    </row>
    <row r="411" spans="1:24" ht="15.6" x14ac:dyDescent="0.3">
      <c r="A411" s="438"/>
      <c r="B411" s="439"/>
      <c r="C411" s="440"/>
      <c r="D411" s="441"/>
      <c r="E411" s="441"/>
      <c r="F411" s="442"/>
      <c r="G411" s="443"/>
      <c r="H411" s="442"/>
      <c r="I411" s="455"/>
      <c r="J411" s="444"/>
      <c r="K411" s="652"/>
      <c r="L411" s="444"/>
      <c r="M411" s="444"/>
      <c r="N411" s="444"/>
      <c r="O411" s="444"/>
      <c r="P411" s="444"/>
      <c r="Q411" s="444"/>
      <c r="R411" s="444"/>
      <c r="S411" s="444"/>
      <c r="T411" s="444"/>
      <c r="U411" s="444"/>
      <c r="V411" s="444"/>
      <c r="W411" s="444"/>
      <c r="X411" s="444"/>
    </row>
    <row r="412" spans="1:24" ht="15.6" x14ac:dyDescent="0.3">
      <c r="A412" s="438"/>
      <c r="B412" s="439"/>
      <c r="C412" s="440"/>
      <c r="D412" s="441"/>
      <c r="E412" s="441"/>
      <c r="F412" s="442"/>
      <c r="G412" s="443"/>
      <c r="H412" s="442"/>
      <c r="I412" s="455"/>
      <c r="J412" s="444"/>
      <c r="K412" s="652"/>
      <c r="L412" s="444"/>
      <c r="M412" s="444"/>
      <c r="N412" s="444"/>
      <c r="O412" s="444"/>
      <c r="P412" s="444"/>
      <c r="Q412" s="444"/>
      <c r="R412" s="444"/>
      <c r="S412" s="444"/>
      <c r="T412" s="444"/>
      <c r="U412" s="444"/>
      <c r="V412" s="444"/>
      <c r="W412" s="444"/>
      <c r="X412" s="444"/>
    </row>
    <row r="413" spans="1:24" ht="15.6" x14ac:dyDescent="0.3">
      <c r="A413" s="438"/>
      <c r="B413" s="439"/>
      <c r="C413" s="440"/>
      <c r="D413" s="441"/>
      <c r="E413" s="441"/>
      <c r="F413" s="442"/>
      <c r="G413" s="443"/>
      <c r="H413" s="442"/>
      <c r="I413" s="455"/>
      <c r="J413" s="444"/>
      <c r="K413" s="652"/>
      <c r="L413" s="444"/>
      <c r="M413" s="444"/>
      <c r="N413" s="444"/>
      <c r="O413" s="444"/>
      <c r="P413" s="444"/>
      <c r="Q413" s="444"/>
      <c r="R413" s="444"/>
      <c r="S413" s="444"/>
      <c r="T413" s="444"/>
      <c r="U413" s="444"/>
      <c r="V413" s="444"/>
      <c r="W413" s="444"/>
      <c r="X413" s="444"/>
    </row>
    <row r="414" spans="1:24" ht="15.6" x14ac:dyDescent="0.3">
      <c r="A414" s="438"/>
      <c r="B414" s="439"/>
      <c r="C414" s="440"/>
      <c r="D414" s="441"/>
      <c r="E414" s="441"/>
      <c r="F414" s="442"/>
      <c r="G414" s="443"/>
      <c r="H414" s="442"/>
      <c r="I414" s="455"/>
      <c r="J414" s="444"/>
      <c r="K414" s="652"/>
      <c r="L414" s="444"/>
      <c r="M414" s="444"/>
      <c r="N414" s="444"/>
      <c r="O414" s="444"/>
      <c r="P414" s="444"/>
      <c r="Q414" s="444"/>
      <c r="R414" s="444"/>
      <c r="S414" s="444"/>
      <c r="T414" s="444"/>
      <c r="U414" s="444"/>
      <c r="V414" s="444"/>
      <c r="W414" s="444"/>
      <c r="X414" s="444"/>
    </row>
    <row r="415" spans="1:24" ht="15.6" x14ac:dyDescent="0.3">
      <c r="A415" s="438"/>
      <c r="B415" s="439"/>
      <c r="C415" s="440"/>
      <c r="D415" s="441"/>
      <c r="E415" s="441"/>
      <c r="F415" s="442"/>
      <c r="G415" s="443"/>
      <c r="H415" s="442"/>
      <c r="I415" s="455"/>
      <c r="J415" s="444"/>
      <c r="K415" s="652"/>
      <c r="L415" s="444"/>
      <c r="M415" s="444"/>
      <c r="N415" s="444"/>
      <c r="O415" s="444"/>
      <c r="P415" s="444"/>
      <c r="Q415" s="444"/>
      <c r="R415" s="444"/>
      <c r="S415" s="444"/>
      <c r="T415" s="444"/>
      <c r="U415" s="444"/>
      <c r="V415" s="444"/>
      <c r="W415" s="444"/>
      <c r="X415" s="444"/>
    </row>
    <row r="416" spans="1:24" ht="15.6" x14ac:dyDescent="0.3">
      <c r="A416" s="438"/>
      <c r="B416" s="439"/>
      <c r="C416" s="440"/>
      <c r="D416" s="441"/>
      <c r="E416" s="441"/>
      <c r="F416" s="442"/>
      <c r="G416" s="443"/>
      <c r="H416" s="442"/>
      <c r="I416" s="455"/>
      <c r="J416" s="444"/>
      <c r="K416" s="652"/>
      <c r="L416" s="444"/>
      <c r="M416" s="444"/>
      <c r="N416" s="444"/>
      <c r="O416" s="444"/>
      <c r="P416" s="444"/>
      <c r="Q416" s="444"/>
      <c r="R416" s="444"/>
      <c r="S416" s="444"/>
      <c r="T416" s="444"/>
      <c r="U416" s="444"/>
      <c r="V416" s="444"/>
      <c r="W416" s="444"/>
      <c r="X416" s="444"/>
    </row>
    <row r="417" spans="1:24" ht="15.6" x14ac:dyDescent="0.3">
      <c r="A417" s="438"/>
      <c r="B417" s="439"/>
      <c r="C417" s="440"/>
      <c r="D417" s="441"/>
      <c r="E417" s="441"/>
      <c r="F417" s="442"/>
      <c r="G417" s="443"/>
      <c r="H417" s="442"/>
      <c r="I417" s="455"/>
      <c r="J417" s="444"/>
      <c r="K417" s="652"/>
      <c r="L417" s="444"/>
      <c r="M417" s="444"/>
      <c r="N417" s="444"/>
      <c r="O417" s="444"/>
      <c r="P417" s="444"/>
      <c r="Q417" s="444"/>
      <c r="R417" s="444"/>
      <c r="S417" s="444"/>
      <c r="T417" s="444"/>
      <c r="U417" s="444"/>
      <c r="V417" s="444"/>
      <c r="W417" s="444"/>
      <c r="X417" s="444"/>
    </row>
    <row r="418" spans="1:24" ht="15.6" x14ac:dyDescent="0.3">
      <c r="A418" s="438"/>
      <c r="B418" s="439"/>
      <c r="C418" s="440"/>
      <c r="D418" s="441"/>
      <c r="E418" s="441"/>
      <c r="F418" s="442"/>
      <c r="G418" s="443"/>
      <c r="H418" s="442"/>
      <c r="I418" s="455"/>
      <c r="J418" s="444"/>
      <c r="K418" s="652"/>
      <c r="L418" s="444"/>
      <c r="M418" s="444"/>
      <c r="N418" s="444"/>
      <c r="O418" s="444"/>
      <c r="P418" s="444"/>
      <c r="Q418" s="444"/>
      <c r="R418" s="444"/>
      <c r="S418" s="444"/>
      <c r="T418" s="444"/>
      <c r="U418" s="444"/>
      <c r="V418" s="444"/>
      <c r="W418" s="444"/>
      <c r="X418" s="444"/>
    </row>
    <row r="419" spans="1:24" ht="15.6" x14ac:dyDescent="0.3">
      <c r="A419" s="438"/>
      <c r="B419" s="439"/>
      <c r="C419" s="440"/>
      <c r="D419" s="441"/>
      <c r="E419" s="441"/>
      <c r="F419" s="442"/>
      <c r="G419" s="443"/>
      <c r="H419" s="442"/>
      <c r="I419" s="455"/>
      <c r="J419" s="444"/>
      <c r="K419" s="652"/>
      <c r="L419" s="444"/>
      <c r="M419" s="444"/>
      <c r="N419" s="444"/>
      <c r="O419" s="444"/>
      <c r="P419" s="444"/>
      <c r="Q419" s="444"/>
      <c r="R419" s="444"/>
      <c r="S419" s="444"/>
      <c r="T419" s="444"/>
      <c r="U419" s="444"/>
      <c r="V419" s="444"/>
      <c r="W419" s="444"/>
      <c r="X419" s="444"/>
    </row>
    <row r="420" spans="1:24" ht="15.6" x14ac:dyDescent="0.3">
      <c r="A420" s="438"/>
      <c r="B420" s="439"/>
      <c r="C420" s="440"/>
      <c r="D420" s="441"/>
      <c r="E420" s="441"/>
      <c r="F420" s="442"/>
      <c r="G420" s="443"/>
      <c r="H420" s="442"/>
      <c r="I420" s="455"/>
      <c r="J420" s="444"/>
      <c r="K420" s="652"/>
      <c r="L420" s="444"/>
      <c r="M420" s="444"/>
      <c r="N420" s="444"/>
      <c r="O420" s="444"/>
      <c r="P420" s="444"/>
      <c r="Q420" s="444"/>
      <c r="R420" s="444"/>
      <c r="S420" s="444"/>
      <c r="T420" s="444"/>
      <c r="U420" s="444"/>
      <c r="V420" s="444"/>
      <c r="W420" s="444"/>
      <c r="X420" s="444"/>
    </row>
    <row r="421" spans="1:24" ht="15.6" x14ac:dyDescent="0.3">
      <c r="A421" s="438"/>
      <c r="B421" s="439"/>
      <c r="C421" s="440"/>
      <c r="D421" s="441"/>
      <c r="E421" s="441"/>
      <c r="F421" s="442"/>
      <c r="G421" s="443"/>
      <c r="H421" s="442"/>
      <c r="I421" s="455"/>
      <c r="J421" s="444"/>
      <c r="K421" s="652"/>
      <c r="L421" s="444"/>
      <c r="M421" s="444"/>
      <c r="N421" s="444"/>
      <c r="O421" s="444"/>
      <c r="P421" s="444"/>
      <c r="Q421" s="444"/>
      <c r="R421" s="444"/>
      <c r="S421" s="444"/>
      <c r="T421" s="444"/>
      <c r="U421" s="444"/>
      <c r="V421" s="444"/>
      <c r="W421" s="444"/>
      <c r="X421" s="444"/>
    </row>
    <row r="422" spans="1:24" ht="15.6" x14ac:dyDescent="0.3">
      <c r="A422" s="438"/>
      <c r="B422" s="439"/>
      <c r="C422" s="440"/>
      <c r="D422" s="441"/>
      <c r="E422" s="441"/>
      <c r="F422" s="442"/>
      <c r="G422" s="443"/>
      <c r="H422" s="442"/>
      <c r="I422" s="455"/>
      <c r="J422" s="444"/>
      <c r="K422" s="652"/>
      <c r="L422" s="444"/>
      <c r="M422" s="444"/>
      <c r="N422" s="444"/>
      <c r="O422" s="444"/>
      <c r="P422" s="444"/>
      <c r="Q422" s="444"/>
      <c r="R422" s="444"/>
      <c r="S422" s="444"/>
      <c r="T422" s="444"/>
      <c r="U422" s="444"/>
      <c r="V422" s="444"/>
      <c r="W422" s="444"/>
      <c r="X422" s="444"/>
    </row>
    <row r="423" spans="1:24" ht="15.6" x14ac:dyDescent="0.3">
      <c r="A423" s="438"/>
      <c r="B423" s="439"/>
      <c r="C423" s="440"/>
      <c r="D423" s="441"/>
      <c r="E423" s="441"/>
      <c r="F423" s="442"/>
      <c r="G423" s="443"/>
      <c r="H423" s="442"/>
      <c r="I423" s="455"/>
      <c r="J423" s="444"/>
      <c r="K423" s="652"/>
      <c r="L423" s="444"/>
      <c r="M423" s="444"/>
      <c r="N423" s="444"/>
      <c r="O423" s="444"/>
      <c r="P423" s="444"/>
      <c r="Q423" s="444"/>
      <c r="R423" s="444"/>
      <c r="S423" s="444"/>
      <c r="T423" s="444"/>
      <c r="U423" s="444"/>
      <c r="V423" s="444"/>
      <c r="W423" s="444"/>
      <c r="X423" s="444"/>
    </row>
    <row r="424" spans="1:24" ht="15.6" x14ac:dyDescent="0.3">
      <c r="A424" s="438"/>
      <c r="B424" s="439"/>
      <c r="C424" s="440"/>
      <c r="D424" s="441"/>
      <c r="E424" s="441"/>
      <c r="F424" s="442"/>
      <c r="G424" s="443"/>
      <c r="H424" s="442"/>
      <c r="I424" s="455"/>
      <c r="J424" s="444"/>
      <c r="K424" s="652"/>
      <c r="L424" s="444"/>
      <c r="M424" s="444"/>
      <c r="N424" s="444"/>
      <c r="O424" s="444"/>
      <c r="P424" s="444"/>
      <c r="Q424" s="444"/>
      <c r="R424" s="444"/>
      <c r="S424" s="444"/>
      <c r="T424" s="444"/>
      <c r="U424" s="444"/>
      <c r="V424" s="444"/>
      <c r="W424" s="444"/>
      <c r="X424" s="444"/>
    </row>
    <row r="425" spans="1:24" ht="15.6" x14ac:dyDescent="0.3">
      <c r="A425" s="438"/>
      <c r="B425" s="439"/>
      <c r="C425" s="440"/>
      <c r="D425" s="441"/>
      <c r="E425" s="441"/>
      <c r="F425" s="442"/>
      <c r="G425" s="443"/>
      <c r="H425" s="442"/>
      <c r="I425" s="455"/>
      <c r="J425" s="444"/>
      <c r="K425" s="652"/>
      <c r="L425" s="444"/>
      <c r="M425" s="444"/>
      <c r="N425" s="444"/>
      <c r="O425" s="444"/>
      <c r="P425" s="444"/>
      <c r="Q425" s="444"/>
      <c r="R425" s="444"/>
      <c r="S425" s="444"/>
      <c r="T425" s="444"/>
      <c r="U425" s="444"/>
      <c r="V425" s="444"/>
      <c r="W425" s="444"/>
      <c r="X425" s="444"/>
    </row>
    <row r="426" spans="1:24" ht="15.6" x14ac:dyDescent="0.3">
      <c r="A426" s="438"/>
      <c r="B426" s="439"/>
      <c r="C426" s="440"/>
      <c r="D426" s="441"/>
      <c r="E426" s="441"/>
      <c r="F426" s="442"/>
      <c r="G426" s="443"/>
      <c r="H426" s="442"/>
      <c r="I426" s="455"/>
      <c r="J426" s="444"/>
      <c r="K426" s="652"/>
      <c r="L426" s="444"/>
      <c r="M426" s="444"/>
      <c r="N426" s="444"/>
      <c r="O426" s="444"/>
      <c r="P426" s="444"/>
      <c r="Q426" s="444"/>
      <c r="R426" s="444"/>
      <c r="S426" s="444"/>
      <c r="T426" s="444"/>
      <c r="U426" s="444"/>
      <c r="V426" s="444"/>
      <c r="W426" s="444"/>
      <c r="X426" s="444"/>
    </row>
    <row r="427" spans="1:24" ht="15.6" x14ac:dyDescent="0.3">
      <c r="A427" s="438"/>
      <c r="B427" s="439"/>
      <c r="C427" s="440"/>
      <c r="D427" s="441"/>
      <c r="E427" s="441"/>
      <c r="F427" s="442"/>
      <c r="G427" s="443"/>
      <c r="H427" s="442"/>
      <c r="I427" s="455"/>
      <c r="J427" s="444"/>
      <c r="K427" s="652"/>
      <c r="L427" s="444"/>
      <c r="M427" s="444"/>
      <c r="N427" s="444"/>
      <c r="O427" s="444"/>
      <c r="P427" s="444"/>
      <c r="Q427" s="444"/>
      <c r="R427" s="444"/>
      <c r="S427" s="444"/>
      <c r="T427" s="444"/>
      <c r="U427" s="444"/>
      <c r="V427" s="444"/>
      <c r="W427" s="444"/>
      <c r="X427" s="444"/>
    </row>
    <row r="428" spans="1:24" ht="15.6" x14ac:dyDescent="0.3">
      <c r="A428" s="438"/>
      <c r="B428" s="439"/>
      <c r="C428" s="440"/>
      <c r="D428" s="441"/>
      <c r="E428" s="441"/>
      <c r="F428" s="442"/>
      <c r="G428" s="443"/>
      <c r="H428" s="442"/>
      <c r="I428" s="455"/>
      <c r="J428" s="444"/>
      <c r="K428" s="652"/>
      <c r="L428" s="444"/>
      <c r="M428" s="444"/>
      <c r="N428" s="444"/>
      <c r="O428" s="444"/>
      <c r="P428" s="444"/>
      <c r="Q428" s="444"/>
      <c r="R428" s="444"/>
      <c r="S428" s="444"/>
      <c r="T428" s="444"/>
      <c r="U428" s="444"/>
      <c r="V428" s="444"/>
      <c r="W428" s="444"/>
      <c r="X428" s="444"/>
    </row>
    <row r="429" spans="1:24" ht="15.6" x14ac:dyDescent="0.3">
      <c r="A429" s="438"/>
      <c r="B429" s="439"/>
      <c r="C429" s="440"/>
      <c r="D429" s="441"/>
      <c r="E429" s="441"/>
      <c r="F429" s="442"/>
      <c r="G429" s="443"/>
      <c r="H429" s="442"/>
      <c r="I429" s="455"/>
      <c r="J429" s="444"/>
      <c r="K429" s="652"/>
      <c r="L429" s="444"/>
      <c r="M429" s="444"/>
      <c r="N429" s="444"/>
      <c r="O429" s="444"/>
      <c r="P429" s="444"/>
      <c r="Q429" s="444"/>
      <c r="R429" s="444"/>
      <c r="S429" s="444"/>
      <c r="T429" s="444"/>
      <c r="U429" s="444"/>
      <c r="V429" s="444"/>
      <c r="W429" s="444"/>
      <c r="X429" s="444"/>
    </row>
    <row r="430" spans="1:24" ht="15.6" x14ac:dyDescent="0.3">
      <c r="A430" s="438"/>
      <c r="B430" s="439"/>
      <c r="C430" s="440"/>
      <c r="D430" s="441"/>
      <c r="E430" s="441"/>
      <c r="F430" s="442"/>
      <c r="G430" s="443"/>
      <c r="H430" s="442"/>
      <c r="I430" s="455"/>
      <c r="J430" s="444"/>
      <c r="K430" s="652"/>
      <c r="L430" s="444"/>
      <c r="M430" s="444"/>
      <c r="N430" s="444"/>
      <c r="O430" s="444"/>
      <c r="P430" s="444"/>
      <c r="Q430" s="444"/>
      <c r="R430" s="444"/>
      <c r="S430" s="444"/>
      <c r="T430" s="444"/>
      <c r="U430" s="444"/>
      <c r="V430" s="444"/>
      <c r="W430" s="444"/>
      <c r="X430" s="444"/>
    </row>
    <row r="431" spans="1:24" ht="15.6" x14ac:dyDescent="0.3">
      <c r="A431" s="438"/>
      <c r="B431" s="439"/>
      <c r="C431" s="440"/>
      <c r="D431" s="441"/>
      <c r="E431" s="441"/>
      <c r="F431" s="442"/>
      <c r="G431" s="443"/>
      <c r="H431" s="442"/>
      <c r="I431" s="455"/>
      <c r="J431" s="444"/>
      <c r="K431" s="652"/>
      <c r="L431" s="444"/>
      <c r="M431" s="444"/>
      <c r="N431" s="444"/>
      <c r="O431" s="444"/>
      <c r="P431" s="444"/>
      <c r="Q431" s="444"/>
      <c r="R431" s="444"/>
      <c r="S431" s="444"/>
      <c r="T431" s="444"/>
      <c r="U431" s="444"/>
      <c r="V431" s="444"/>
      <c r="W431" s="444"/>
      <c r="X431" s="444"/>
    </row>
    <row r="432" spans="1:24" ht="15.6" x14ac:dyDescent="0.3">
      <c r="A432" s="438"/>
      <c r="B432" s="439"/>
      <c r="C432" s="440"/>
      <c r="D432" s="441"/>
      <c r="E432" s="441"/>
      <c r="F432" s="442"/>
      <c r="G432" s="443"/>
      <c r="H432" s="442"/>
      <c r="I432" s="455"/>
      <c r="J432" s="444"/>
      <c r="K432" s="652"/>
      <c r="L432" s="444"/>
      <c r="M432" s="444"/>
      <c r="N432" s="444"/>
      <c r="O432" s="444"/>
      <c r="P432" s="444"/>
      <c r="Q432" s="444"/>
      <c r="R432" s="444"/>
      <c r="S432" s="444"/>
      <c r="T432" s="444"/>
      <c r="U432" s="444"/>
      <c r="V432" s="444"/>
      <c r="W432" s="444"/>
      <c r="X432" s="444"/>
    </row>
    <row r="433" spans="1:24" ht="15.6" x14ac:dyDescent="0.3">
      <c r="A433" s="438"/>
      <c r="B433" s="439"/>
      <c r="C433" s="440"/>
      <c r="D433" s="441"/>
      <c r="E433" s="441"/>
      <c r="F433" s="442"/>
      <c r="G433" s="443"/>
      <c r="H433" s="442"/>
      <c r="I433" s="455"/>
      <c r="J433" s="444"/>
      <c r="K433" s="652"/>
      <c r="L433" s="444"/>
      <c r="M433" s="444"/>
      <c r="N433" s="444"/>
      <c r="O433" s="444"/>
      <c r="P433" s="444"/>
      <c r="Q433" s="444"/>
      <c r="R433" s="444"/>
      <c r="S433" s="444"/>
      <c r="T433" s="444"/>
      <c r="U433" s="444"/>
      <c r="V433" s="444"/>
      <c r="W433" s="444"/>
      <c r="X433" s="444"/>
    </row>
    <row r="434" spans="1:24" ht="15.6" x14ac:dyDescent="0.3">
      <c r="A434" s="438"/>
      <c r="B434" s="439"/>
      <c r="C434" s="440"/>
      <c r="D434" s="441"/>
      <c r="E434" s="441"/>
      <c r="F434" s="442"/>
      <c r="G434" s="443"/>
      <c r="H434" s="442"/>
      <c r="I434" s="455"/>
      <c r="J434" s="444"/>
      <c r="K434" s="652"/>
      <c r="L434" s="444"/>
      <c r="M434" s="444"/>
      <c r="N434" s="444"/>
      <c r="O434" s="444"/>
      <c r="P434" s="444"/>
      <c r="Q434" s="444"/>
      <c r="R434" s="444"/>
      <c r="S434" s="444"/>
      <c r="T434" s="444"/>
      <c r="U434" s="444"/>
      <c r="V434" s="444"/>
      <c r="W434" s="444"/>
      <c r="X434" s="444"/>
    </row>
    <row r="435" spans="1:24" ht="15.6" x14ac:dyDescent="0.3">
      <c r="A435" s="438"/>
      <c r="B435" s="439"/>
      <c r="C435" s="440"/>
      <c r="D435" s="441"/>
      <c r="E435" s="441"/>
      <c r="F435" s="442"/>
      <c r="G435" s="443"/>
      <c r="H435" s="442"/>
      <c r="I435" s="455"/>
      <c r="J435" s="444"/>
      <c r="K435" s="652"/>
      <c r="L435" s="444"/>
      <c r="M435" s="444"/>
      <c r="N435" s="444"/>
      <c r="O435" s="444"/>
      <c r="P435" s="444"/>
      <c r="Q435" s="444"/>
      <c r="R435" s="444"/>
      <c r="S435" s="444"/>
      <c r="T435" s="444"/>
      <c r="U435" s="444"/>
      <c r="V435" s="444"/>
      <c r="W435" s="444"/>
      <c r="X435" s="444"/>
    </row>
    <row r="436" spans="1:24" ht="15.6" x14ac:dyDescent="0.3">
      <c r="A436" s="438"/>
      <c r="B436" s="439"/>
      <c r="C436" s="440"/>
      <c r="D436" s="441"/>
      <c r="E436" s="441"/>
      <c r="F436" s="442"/>
      <c r="G436" s="443"/>
      <c r="H436" s="442"/>
      <c r="I436" s="455"/>
      <c r="J436" s="444"/>
      <c r="K436" s="652"/>
      <c r="L436" s="444"/>
      <c r="M436" s="444"/>
      <c r="N436" s="444"/>
      <c r="O436" s="444"/>
      <c r="P436" s="444"/>
      <c r="Q436" s="444"/>
      <c r="R436" s="444"/>
      <c r="S436" s="444"/>
      <c r="T436" s="444"/>
      <c r="U436" s="444"/>
      <c r="V436" s="444"/>
      <c r="W436" s="444"/>
      <c r="X436" s="444"/>
    </row>
    <row r="437" spans="1:24" ht="15.6" x14ac:dyDescent="0.3">
      <c r="A437" s="438"/>
      <c r="B437" s="439"/>
      <c r="C437" s="440"/>
      <c r="D437" s="441"/>
      <c r="E437" s="441"/>
      <c r="F437" s="442"/>
      <c r="G437" s="443"/>
      <c r="H437" s="442"/>
      <c r="I437" s="455"/>
      <c r="J437" s="444"/>
      <c r="K437" s="652"/>
      <c r="L437" s="444"/>
      <c r="M437" s="444"/>
      <c r="N437" s="444"/>
      <c r="O437" s="444"/>
      <c r="P437" s="444"/>
      <c r="Q437" s="444"/>
      <c r="R437" s="444"/>
      <c r="S437" s="444"/>
      <c r="T437" s="444"/>
      <c r="U437" s="444"/>
      <c r="V437" s="444"/>
      <c r="W437" s="444"/>
      <c r="X437" s="444"/>
    </row>
    <row r="438" spans="1:24" ht="15.6" x14ac:dyDescent="0.3">
      <c r="A438" s="438"/>
      <c r="B438" s="439"/>
      <c r="C438" s="440"/>
      <c r="D438" s="441"/>
      <c r="E438" s="441"/>
      <c r="F438" s="442"/>
      <c r="G438" s="443"/>
      <c r="H438" s="442"/>
      <c r="I438" s="455"/>
      <c r="J438" s="444"/>
      <c r="K438" s="652"/>
      <c r="L438" s="444"/>
      <c r="M438" s="444"/>
      <c r="N438" s="444"/>
      <c r="O438" s="444"/>
      <c r="P438" s="444"/>
      <c r="Q438" s="444"/>
      <c r="R438" s="444"/>
      <c r="S438" s="444"/>
      <c r="T438" s="444"/>
      <c r="U438" s="444"/>
      <c r="V438" s="444"/>
      <c r="W438" s="444"/>
      <c r="X438" s="444"/>
    </row>
    <row r="439" spans="1:24" ht="15.6" x14ac:dyDescent="0.3">
      <c r="A439" s="438"/>
      <c r="B439" s="439"/>
      <c r="C439" s="440"/>
      <c r="D439" s="441"/>
      <c r="E439" s="441"/>
      <c r="F439" s="442"/>
      <c r="G439" s="443"/>
      <c r="H439" s="442"/>
      <c r="I439" s="455"/>
      <c r="J439" s="444"/>
      <c r="K439" s="652"/>
      <c r="L439" s="444"/>
      <c r="M439" s="444"/>
      <c r="N439" s="444"/>
      <c r="O439" s="444"/>
      <c r="P439" s="444"/>
      <c r="Q439" s="444"/>
      <c r="R439" s="444"/>
      <c r="S439" s="444"/>
      <c r="T439" s="444"/>
      <c r="U439" s="444"/>
      <c r="V439" s="444"/>
      <c r="W439" s="444"/>
      <c r="X439" s="444"/>
    </row>
    <row r="440" spans="1:24" ht="15.6" x14ac:dyDescent="0.3">
      <c r="A440" s="438"/>
      <c r="B440" s="439"/>
      <c r="C440" s="440"/>
      <c r="D440" s="441"/>
      <c r="E440" s="441"/>
      <c r="F440" s="442"/>
      <c r="G440" s="443"/>
      <c r="H440" s="442"/>
      <c r="I440" s="455"/>
      <c r="J440" s="444"/>
      <c r="K440" s="652"/>
      <c r="L440" s="444"/>
      <c r="M440" s="444"/>
      <c r="N440" s="444"/>
      <c r="O440" s="444"/>
      <c r="P440" s="444"/>
      <c r="Q440" s="444"/>
      <c r="R440" s="444"/>
      <c r="S440" s="444"/>
      <c r="T440" s="444"/>
      <c r="U440" s="444"/>
      <c r="V440" s="444"/>
      <c r="W440" s="444"/>
      <c r="X440" s="444"/>
    </row>
    <row r="441" spans="1:24" ht="15.6" x14ac:dyDescent="0.3">
      <c r="A441" s="438"/>
      <c r="B441" s="439"/>
      <c r="C441" s="440"/>
      <c r="D441" s="441"/>
      <c r="E441" s="441"/>
      <c r="F441" s="442"/>
      <c r="G441" s="443"/>
      <c r="H441" s="442"/>
      <c r="I441" s="455"/>
      <c r="J441" s="444"/>
      <c r="K441" s="652"/>
      <c r="L441" s="444"/>
      <c r="M441" s="444"/>
      <c r="N441" s="444"/>
      <c r="O441" s="444"/>
      <c r="P441" s="444"/>
      <c r="Q441" s="444"/>
      <c r="R441" s="444"/>
      <c r="S441" s="444"/>
      <c r="T441" s="444"/>
      <c r="U441" s="444"/>
      <c r="V441" s="444"/>
      <c r="W441" s="444"/>
      <c r="X441" s="444"/>
    </row>
    <row r="442" spans="1:24" ht="15.6" x14ac:dyDescent="0.3">
      <c r="A442" s="438"/>
      <c r="B442" s="439"/>
      <c r="C442" s="440"/>
      <c r="D442" s="441"/>
      <c r="E442" s="441"/>
      <c r="F442" s="442"/>
      <c r="G442" s="443"/>
      <c r="H442" s="442"/>
      <c r="I442" s="455"/>
      <c r="J442" s="444"/>
      <c r="K442" s="652"/>
      <c r="L442" s="444"/>
      <c r="M442" s="444"/>
      <c r="N442" s="444"/>
      <c r="O442" s="444"/>
      <c r="P442" s="444"/>
      <c r="Q442" s="444"/>
      <c r="R442" s="444"/>
      <c r="S442" s="444"/>
      <c r="T442" s="444"/>
      <c r="U442" s="444"/>
      <c r="V442" s="444"/>
      <c r="W442" s="444"/>
      <c r="X442" s="444"/>
    </row>
    <row r="443" spans="1:24" ht="15.6" x14ac:dyDescent="0.3">
      <c r="A443" s="438"/>
      <c r="B443" s="439"/>
      <c r="C443" s="440"/>
      <c r="D443" s="441"/>
      <c r="E443" s="441"/>
      <c r="F443" s="442"/>
      <c r="G443" s="443"/>
      <c r="H443" s="442"/>
      <c r="I443" s="455"/>
      <c r="J443" s="444"/>
      <c r="K443" s="652"/>
      <c r="L443" s="444"/>
      <c r="M443" s="444"/>
      <c r="N443" s="444"/>
      <c r="O443" s="444"/>
      <c r="P443" s="444"/>
      <c r="Q443" s="444"/>
      <c r="R443" s="444"/>
      <c r="S443" s="444"/>
      <c r="T443" s="444"/>
      <c r="U443" s="444"/>
      <c r="V443" s="444"/>
      <c r="W443" s="444"/>
      <c r="X443" s="444"/>
    </row>
    <row r="444" spans="1:24" ht="15.6" x14ac:dyDescent="0.3">
      <c r="A444" s="438"/>
      <c r="B444" s="439"/>
      <c r="C444" s="440"/>
      <c r="D444" s="441"/>
      <c r="E444" s="441"/>
      <c r="F444" s="442"/>
      <c r="G444" s="443"/>
      <c r="H444" s="442"/>
      <c r="I444" s="455"/>
      <c r="J444" s="444"/>
      <c r="K444" s="652"/>
      <c r="L444" s="444"/>
      <c r="M444" s="444"/>
      <c r="N444" s="444"/>
      <c r="O444" s="444"/>
      <c r="P444" s="444"/>
      <c r="Q444" s="444"/>
      <c r="R444" s="444"/>
      <c r="S444" s="444"/>
      <c r="T444" s="444"/>
      <c r="U444" s="444"/>
      <c r="V444" s="444"/>
      <c r="W444" s="444"/>
      <c r="X444" s="444"/>
    </row>
    <row r="445" spans="1:24" ht="15.6" x14ac:dyDescent="0.3">
      <c r="A445" s="438"/>
      <c r="B445" s="439"/>
      <c r="C445" s="440"/>
      <c r="D445" s="441"/>
      <c r="E445" s="441"/>
      <c r="F445" s="442"/>
      <c r="G445" s="443"/>
      <c r="H445" s="442"/>
      <c r="I445" s="455"/>
      <c r="J445" s="444"/>
      <c r="K445" s="652"/>
      <c r="L445" s="444"/>
      <c r="M445" s="444"/>
      <c r="N445" s="444"/>
      <c r="O445" s="444"/>
      <c r="P445" s="444"/>
      <c r="Q445" s="444"/>
      <c r="R445" s="444"/>
      <c r="S445" s="444"/>
      <c r="T445" s="444"/>
      <c r="U445" s="444"/>
      <c r="V445" s="444"/>
      <c r="W445" s="444"/>
      <c r="X445" s="444"/>
    </row>
    <row r="446" spans="1:24" ht="15.6" x14ac:dyDescent="0.3">
      <c r="A446" s="438"/>
      <c r="B446" s="439"/>
      <c r="C446" s="440"/>
      <c r="D446" s="441"/>
      <c r="E446" s="441"/>
      <c r="F446" s="442"/>
      <c r="G446" s="443"/>
      <c r="H446" s="442"/>
      <c r="I446" s="455"/>
      <c r="J446" s="444"/>
      <c r="K446" s="652"/>
      <c r="L446" s="444"/>
      <c r="M446" s="444"/>
      <c r="N446" s="444"/>
      <c r="O446" s="444"/>
      <c r="P446" s="444"/>
      <c r="Q446" s="444"/>
      <c r="R446" s="444"/>
      <c r="S446" s="444"/>
      <c r="T446" s="444"/>
      <c r="U446" s="444"/>
      <c r="V446" s="444"/>
      <c r="W446" s="444"/>
      <c r="X446" s="444"/>
    </row>
    <row r="447" spans="1:24" ht="15.6" x14ac:dyDescent="0.3">
      <c r="A447" s="438"/>
      <c r="B447" s="439"/>
      <c r="C447" s="440"/>
      <c r="D447" s="441"/>
      <c r="E447" s="441"/>
      <c r="F447" s="442"/>
      <c r="G447" s="443"/>
      <c r="H447" s="442"/>
      <c r="I447" s="455"/>
      <c r="J447" s="444"/>
      <c r="K447" s="652"/>
      <c r="L447" s="444"/>
      <c r="M447" s="444"/>
      <c r="N447" s="444"/>
      <c r="O447" s="444"/>
      <c r="P447" s="444"/>
      <c r="Q447" s="444"/>
      <c r="R447" s="444"/>
      <c r="S447" s="444"/>
      <c r="T447" s="444"/>
      <c r="U447" s="444"/>
      <c r="V447" s="444"/>
      <c r="W447" s="444"/>
      <c r="X447" s="444"/>
    </row>
    <row r="448" spans="1:24" ht="15.6" x14ac:dyDescent="0.3">
      <c r="A448" s="438"/>
      <c r="B448" s="439"/>
      <c r="C448" s="440"/>
      <c r="D448" s="441"/>
      <c r="E448" s="441"/>
      <c r="F448" s="442"/>
      <c r="G448" s="443"/>
      <c r="H448" s="442"/>
      <c r="I448" s="455"/>
      <c r="J448" s="444"/>
      <c r="K448" s="652"/>
      <c r="L448" s="444"/>
      <c r="M448" s="444"/>
      <c r="N448" s="444"/>
      <c r="O448" s="444"/>
      <c r="P448" s="444"/>
      <c r="Q448" s="444"/>
      <c r="R448" s="444"/>
      <c r="S448" s="444"/>
      <c r="T448" s="444"/>
      <c r="U448" s="444"/>
      <c r="V448" s="444"/>
      <c r="W448" s="444"/>
      <c r="X448" s="444"/>
    </row>
    <row r="449" spans="1:24" ht="15.6" x14ac:dyDescent="0.3">
      <c r="A449" s="438"/>
      <c r="B449" s="439"/>
      <c r="C449" s="440"/>
      <c r="D449" s="441"/>
      <c r="E449" s="441"/>
      <c r="F449" s="442"/>
      <c r="G449" s="443"/>
      <c r="H449" s="442"/>
      <c r="I449" s="455"/>
      <c r="J449" s="444"/>
      <c r="K449" s="652"/>
      <c r="L449" s="444"/>
      <c r="M449" s="444"/>
      <c r="N449" s="444"/>
      <c r="O449" s="444"/>
      <c r="P449" s="444"/>
      <c r="Q449" s="444"/>
      <c r="R449" s="444"/>
      <c r="S449" s="444"/>
      <c r="T449" s="444"/>
      <c r="U449" s="444"/>
      <c r="V449" s="444"/>
      <c r="W449" s="444"/>
      <c r="X449" s="444"/>
    </row>
    <row r="450" spans="1:24" ht="15.6" x14ac:dyDescent="0.3">
      <c r="A450" s="438"/>
      <c r="B450" s="439"/>
      <c r="C450" s="440"/>
      <c r="D450" s="441"/>
      <c r="E450" s="441"/>
      <c r="F450" s="442"/>
      <c r="G450" s="443"/>
      <c r="H450" s="442"/>
      <c r="I450" s="455"/>
      <c r="J450" s="444"/>
      <c r="K450" s="652"/>
      <c r="L450" s="444"/>
      <c r="M450" s="444"/>
      <c r="N450" s="444"/>
      <c r="O450" s="444"/>
      <c r="P450" s="444"/>
      <c r="Q450" s="444"/>
      <c r="R450" s="444"/>
      <c r="S450" s="444"/>
      <c r="T450" s="444"/>
      <c r="U450" s="444"/>
      <c r="V450" s="444"/>
      <c r="W450" s="444"/>
      <c r="X450" s="444"/>
    </row>
    <row r="451" spans="1:24" ht="15.6" x14ac:dyDescent="0.3">
      <c r="A451" s="438"/>
      <c r="B451" s="439"/>
      <c r="C451" s="440"/>
      <c r="D451" s="441"/>
      <c r="E451" s="441"/>
      <c r="F451" s="442"/>
      <c r="G451" s="443"/>
      <c r="H451" s="442"/>
      <c r="I451" s="455"/>
      <c r="J451" s="444"/>
      <c r="K451" s="652"/>
      <c r="L451" s="444"/>
      <c r="M451" s="444"/>
      <c r="N451" s="444"/>
      <c r="O451" s="444"/>
      <c r="P451" s="444"/>
      <c r="Q451" s="444"/>
      <c r="R451" s="444"/>
      <c r="S451" s="444"/>
      <c r="T451" s="444"/>
      <c r="U451" s="444"/>
      <c r="V451" s="444"/>
      <c r="W451" s="444"/>
      <c r="X451" s="444"/>
    </row>
    <row r="452" spans="1:24" ht="15.6" x14ac:dyDescent="0.3">
      <c r="A452" s="438"/>
      <c r="B452" s="439"/>
      <c r="C452" s="440"/>
      <c r="D452" s="441"/>
      <c r="E452" s="441"/>
      <c r="F452" s="442"/>
      <c r="G452" s="443"/>
      <c r="H452" s="442"/>
      <c r="I452" s="455"/>
      <c r="J452" s="444"/>
      <c r="K452" s="652"/>
      <c r="L452" s="444"/>
      <c r="M452" s="444"/>
      <c r="N452" s="444"/>
      <c r="O452" s="444"/>
      <c r="P452" s="444"/>
      <c r="Q452" s="444"/>
      <c r="R452" s="444"/>
      <c r="S452" s="444"/>
      <c r="T452" s="444"/>
      <c r="U452" s="444"/>
      <c r="V452" s="444"/>
      <c r="W452" s="444"/>
      <c r="X452" s="444"/>
    </row>
    <row r="453" spans="1:24" ht="15.6" x14ac:dyDescent="0.3">
      <c r="A453" s="438"/>
      <c r="B453" s="439"/>
      <c r="C453" s="440"/>
      <c r="D453" s="441"/>
      <c r="E453" s="441"/>
      <c r="F453" s="442"/>
      <c r="G453" s="443"/>
      <c r="H453" s="442"/>
      <c r="I453" s="455"/>
      <c r="J453" s="444"/>
      <c r="K453" s="652"/>
      <c r="L453" s="444"/>
      <c r="M453" s="444"/>
      <c r="N453" s="444"/>
      <c r="O453" s="444"/>
      <c r="P453" s="444"/>
      <c r="Q453" s="444"/>
      <c r="R453" s="444"/>
      <c r="S453" s="444"/>
      <c r="T453" s="444"/>
      <c r="U453" s="444"/>
      <c r="V453" s="444"/>
      <c r="W453" s="444"/>
      <c r="X453" s="444"/>
    </row>
    <row r="454" spans="1:24" ht="15.6" x14ac:dyDescent="0.3">
      <c r="A454" s="438"/>
      <c r="B454" s="439"/>
      <c r="C454" s="440"/>
      <c r="D454" s="441"/>
      <c r="E454" s="441"/>
      <c r="F454" s="442"/>
      <c r="G454" s="443"/>
      <c r="H454" s="442"/>
      <c r="I454" s="455"/>
      <c r="J454" s="444"/>
      <c r="K454" s="652"/>
      <c r="L454" s="444"/>
      <c r="M454" s="444"/>
      <c r="N454" s="444"/>
      <c r="O454" s="444"/>
      <c r="P454" s="444"/>
      <c r="Q454" s="444"/>
      <c r="R454" s="444"/>
      <c r="S454" s="444"/>
      <c r="T454" s="444"/>
      <c r="U454" s="444"/>
      <c r="V454" s="444"/>
      <c r="W454" s="444"/>
      <c r="X454" s="444"/>
    </row>
    <row r="455" spans="1:24" ht="15.6" x14ac:dyDescent="0.3">
      <c r="A455" s="438"/>
      <c r="B455" s="439"/>
      <c r="C455" s="440"/>
      <c r="D455" s="441"/>
      <c r="E455" s="441"/>
      <c r="F455" s="442"/>
      <c r="G455" s="443"/>
      <c r="H455" s="442"/>
      <c r="I455" s="455"/>
      <c r="J455" s="444"/>
      <c r="K455" s="652"/>
      <c r="L455" s="444"/>
      <c r="M455" s="444"/>
      <c r="N455" s="444"/>
      <c r="O455" s="444"/>
      <c r="P455" s="444"/>
      <c r="Q455" s="444"/>
      <c r="R455" s="444"/>
      <c r="S455" s="444"/>
      <c r="T455" s="444"/>
      <c r="U455" s="444"/>
      <c r="V455" s="444"/>
      <c r="W455" s="444"/>
      <c r="X455" s="444"/>
    </row>
    <row r="456" spans="1:24" ht="15.6" x14ac:dyDescent="0.3">
      <c r="A456" s="438"/>
      <c r="B456" s="439"/>
      <c r="C456" s="440"/>
      <c r="D456" s="441"/>
      <c r="E456" s="441"/>
      <c r="F456" s="442"/>
      <c r="G456" s="443"/>
      <c r="H456" s="442"/>
      <c r="I456" s="455"/>
      <c r="J456" s="444"/>
      <c r="K456" s="652"/>
      <c r="L456" s="444"/>
      <c r="M456" s="444"/>
      <c r="N456" s="444"/>
      <c r="O456" s="444"/>
      <c r="P456" s="444"/>
      <c r="Q456" s="444"/>
      <c r="R456" s="444"/>
      <c r="S456" s="444"/>
      <c r="T456" s="444"/>
      <c r="U456" s="444"/>
      <c r="V456" s="444"/>
      <c r="W456" s="444"/>
      <c r="X456" s="444"/>
    </row>
    <row r="457" spans="1:24" ht="15.6" x14ac:dyDescent="0.3">
      <c r="A457" s="438"/>
      <c r="B457" s="439"/>
      <c r="C457" s="440"/>
      <c r="D457" s="441"/>
      <c r="E457" s="441"/>
      <c r="F457" s="442"/>
      <c r="G457" s="443"/>
      <c r="H457" s="442"/>
      <c r="I457" s="455"/>
      <c r="J457" s="444"/>
      <c r="K457" s="652"/>
      <c r="L457" s="444"/>
      <c r="M457" s="444"/>
      <c r="N457" s="444"/>
      <c r="O457" s="444"/>
      <c r="P457" s="444"/>
      <c r="Q457" s="444"/>
      <c r="R457" s="444"/>
      <c r="S457" s="444"/>
      <c r="T457" s="444"/>
      <c r="U457" s="444"/>
      <c r="V457" s="444"/>
      <c r="W457" s="444"/>
      <c r="X457" s="444"/>
    </row>
    <row r="458" spans="1:24" ht="15.6" x14ac:dyDescent="0.3">
      <c r="A458" s="438"/>
      <c r="B458" s="439"/>
      <c r="C458" s="440"/>
      <c r="D458" s="441"/>
      <c r="E458" s="441"/>
      <c r="F458" s="442"/>
      <c r="G458" s="443"/>
      <c r="H458" s="442"/>
      <c r="I458" s="455"/>
      <c r="J458" s="444"/>
      <c r="K458" s="652"/>
      <c r="L458" s="444"/>
      <c r="M458" s="444"/>
      <c r="N458" s="444"/>
      <c r="O458" s="444"/>
      <c r="P458" s="444"/>
      <c r="Q458" s="444"/>
      <c r="R458" s="444"/>
      <c r="S458" s="444"/>
      <c r="T458" s="444"/>
      <c r="U458" s="444"/>
      <c r="V458" s="444"/>
      <c r="W458" s="444"/>
      <c r="X458" s="444"/>
    </row>
    <row r="459" spans="1:24" ht="15.6" x14ac:dyDescent="0.3">
      <c r="A459" s="438"/>
      <c r="B459" s="439"/>
      <c r="C459" s="440"/>
      <c r="D459" s="441"/>
      <c r="E459" s="441"/>
      <c r="F459" s="442"/>
      <c r="G459" s="443"/>
      <c r="H459" s="442"/>
      <c r="I459" s="455"/>
      <c r="J459" s="444"/>
      <c r="K459" s="652"/>
      <c r="L459" s="444"/>
      <c r="M459" s="444"/>
      <c r="N459" s="444"/>
      <c r="O459" s="444"/>
      <c r="P459" s="444"/>
      <c r="Q459" s="444"/>
      <c r="R459" s="444"/>
      <c r="S459" s="444"/>
      <c r="T459" s="444"/>
      <c r="U459" s="444"/>
      <c r="V459" s="444"/>
      <c r="W459" s="444"/>
      <c r="X459" s="444"/>
    </row>
    <row r="460" spans="1:24" ht="15.6" x14ac:dyDescent="0.3">
      <c r="A460" s="438"/>
      <c r="B460" s="439"/>
      <c r="C460" s="440"/>
      <c r="D460" s="441"/>
      <c r="E460" s="441"/>
      <c r="F460" s="442"/>
      <c r="G460" s="443"/>
      <c r="H460" s="442"/>
      <c r="I460" s="455"/>
      <c r="J460" s="444"/>
      <c r="K460" s="652"/>
      <c r="L460" s="444"/>
      <c r="M460" s="444"/>
      <c r="N460" s="444"/>
      <c r="O460" s="444"/>
      <c r="P460" s="444"/>
      <c r="Q460" s="444"/>
      <c r="R460" s="444"/>
      <c r="S460" s="444"/>
      <c r="T460" s="444"/>
      <c r="U460" s="444"/>
      <c r="V460" s="444"/>
      <c r="W460" s="444"/>
      <c r="X460" s="444"/>
    </row>
    <row r="461" spans="1:24" ht="15.6" x14ac:dyDescent="0.3">
      <c r="A461" s="438"/>
      <c r="B461" s="439"/>
      <c r="C461" s="440"/>
      <c r="D461" s="441"/>
      <c r="E461" s="441"/>
      <c r="F461" s="442"/>
      <c r="G461" s="443"/>
      <c r="H461" s="442"/>
      <c r="I461" s="455"/>
      <c r="J461" s="444"/>
      <c r="K461" s="652"/>
      <c r="L461" s="444"/>
      <c r="M461" s="444"/>
      <c r="N461" s="444"/>
      <c r="O461" s="444"/>
      <c r="P461" s="444"/>
      <c r="Q461" s="444"/>
      <c r="R461" s="444"/>
      <c r="S461" s="444"/>
      <c r="T461" s="444"/>
      <c r="U461" s="444"/>
      <c r="V461" s="444"/>
      <c r="W461" s="444"/>
      <c r="X461" s="444"/>
    </row>
    <row r="462" spans="1:24" ht="15.6" x14ac:dyDescent="0.3">
      <c r="A462" s="438"/>
      <c r="B462" s="439"/>
      <c r="C462" s="440"/>
      <c r="D462" s="441"/>
      <c r="E462" s="441"/>
      <c r="F462" s="442"/>
      <c r="G462" s="443"/>
      <c r="H462" s="442"/>
      <c r="I462" s="455"/>
      <c r="J462" s="444"/>
      <c r="K462" s="652"/>
      <c r="L462" s="444"/>
      <c r="M462" s="444"/>
      <c r="N462" s="444"/>
      <c r="O462" s="444"/>
      <c r="P462" s="444"/>
      <c r="Q462" s="444"/>
      <c r="R462" s="444"/>
      <c r="S462" s="444"/>
      <c r="T462" s="444"/>
      <c r="U462" s="444"/>
      <c r="V462" s="444"/>
      <c r="W462" s="444"/>
      <c r="X462" s="444"/>
    </row>
    <row r="463" spans="1:24" ht="15.6" x14ac:dyDescent="0.3">
      <c r="A463" s="438"/>
      <c r="B463" s="439"/>
      <c r="C463" s="440"/>
      <c r="D463" s="441"/>
      <c r="E463" s="441"/>
      <c r="F463" s="442"/>
      <c r="G463" s="443"/>
      <c r="H463" s="442"/>
      <c r="I463" s="455"/>
      <c r="J463" s="444"/>
      <c r="K463" s="652"/>
      <c r="L463" s="444"/>
      <c r="M463" s="444"/>
      <c r="N463" s="444"/>
      <c r="O463" s="444"/>
      <c r="P463" s="444"/>
      <c r="Q463" s="444"/>
      <c r="R463" s="444"/>
      <c r="S463" s="444"/>
      <c r="T463" s="444"/>
      <c r="U463" s="444"/>
      <c r="V463" s="444"/>
      <c r="W463" s="444"/>
      <c r="X463" s="444"/>
    </row>
    <row r="464" spans="1:24" ht="15.6" x14ac:dyDescent="0.3">
      <c r="A464" s="438"/>
      <c r="B464" s="439"/>
      <c r="C464" s="440"/>
      <c r="D464" s="441"/>
      <c r="E464" s="441"/>
      <c r="F464" s="442"/>
      <c r="G464" s="443"/>
      <c r="H464" s="442"/>
      <c r="I464" s="455"/>
      <c r="J464" s="444"/>
      <c r="K464" s="652"/>
      <c r="L464" s="444"/>
      <c r="M464" s="444"/>
      <c r="N464" s="444"/>
      <c r="O464" s="444"/>
      <c r="P464" s="444"/>
      <c r="Q464" s="444"/>
      <c r="R464" s="444"/>
      <c r="S464" s="444"/>
      <c r="T464" s="444"/>
      <c r="U464" s="444"/>
      <c r="V464" s="444"/>
      <c r="W464" s="444"/>
      <c r="X464" s="444"/>
    </row>
    <row r="465" spans="1:24" ht="15.6" x14ac:dyDescent="0.3">
      <c r="A465" s="438"/>
      <c r="B465" s="439"/>
      <c r="C465" s="440"/>
      <c r="D465" s="441"/>
      <c r="E465" s="441"/>
      <c r="F465" s="442"/>
      <c r="G465" s="443"/>
      <c r="H465" s="442"/>
      <c r="I465" s="455"/>
      <c r="J465" s="444"/>
      <c r="K465" s="652"/>
      <c r="L465" s="444"/>
      <c r="M465" s="444"/>
      <c r="N465" s="444"/>
      <c r="O465" s="444"/>
      <c r="P465" s="444"/>
      <c r="Q465" s="444"/>
      <c r="R465" s="444"/>
      <c r="S465" s="444"/>
      <c r="T465" s="444"/>
      <c r="U465" s="444"/>
      <c r="V465" s="444"/>
      <c r="W465" s="444"/>
      <c r="X465" s="444"/>
    </row>
    <row r="466" spans="1:24" ht="15.6" x14ac:dyDescent="0.3">
      <c r="A466" s="438"/>
      <c r="B466" s="439"/>
      <c r="C466" s="440"/>
      <c r="D466" s="441"/>
      <c r="E466" s="441"/>
      <c r="F466" s="442"/>
      <c r="G466" s="443"/>
      <c r="H466" s="442"/>
      <c r="I466" s="455"/>
      <c r="J466" s="444"/>
      <c r="K466" s="652"/>
      <c r="L466" s="444"/>
      <c r="M466" s="444"/>
      <c r="N466" s="444"/>
      <c r="O466" s="444"/>
      <c r="P466" s="444"/>
      <c r="Q466" s="444"/>
      <c r="R466" s="444"/>
      <c r="S466" s="444"/>
      <c r="T466" s="444"/>
      <c r="U466" s="444"/>
      <c r="V466" s="444"/>
      <c r="W466" s="444"/>
      <c r="X466" s="444"/>
    </row>
    <row r="467" spans="1:24" ht="15.6" x14ac:dyDescent="0.3">
      <c r="A467" s="438"/>
      <c r="B467" s="439"/>
      <c r="C467" s="440"/>
      <c r="D467" s="441"/>
      <c r="E467" s="441"/>
      <c r="F467" s="442"/>
      <c r="G467" s="443"/>
      <c r="H467" s="442"/>
      <c r="I467" s="455"/>
      <c r="J467" s="444"/>
      <c r="K467" s="652"/>
      <c r="L467" s="444"/>
      <c r="M467" s="444"/>
      <c r="N467" s="444"/>
      <c r="O467" s="444"/>
      <c r="P467" s="444"/>
      <c r="Q467" s="444"/>
      <c r="R467" s="444"/>
      <c r="S467" s="444"/>
      <c r="T467" s="444"/>
      <c r="U467" s="444"/>
      <c r="V467" s="444"/>
      <c r="W467" s="444"/>
      <c r="X467" s="444"/>
    </row>
    <row r="468" spans="1:24" ht="15.6" x14ac:dyDescent="0.3">
      <c r="A468" s="438"/>
      <c r="B468" s="439"/>
      <c r="C468" s="440"/>
      <c r="D468" s="441"/>
      <c r="E468" s="441"/>
      <c r="F468" s="442"/>
      <c r="G468" s="443"/>
      <c r="H468" s="442"/>
      <c r="I468" s="455"/>
      <c r="J468" s="444"/>
      <c r="K468" s="652"/>
      <c r="L468" s="444"/>
      <c r="M468" s="444"/>
      <c r="N468" s="444"/>
      <c r="O468" s="444"/>
      <c r="P468" s="444"/>
      <c r="Q468" s="444"/>
      <c r="R468" s="444"/>
      <c r="S468" s="444"/>
      <c r="T468" s="444"/>
      <c r="U468" s="444"/>
      <c r="V468" s="444"/>
      <c r="W468" s="444"/>
      <c r="X468" s="444"/>
    </row>
    <row r="469" spans="1:24" ht="15.6" x14ac:dyDescent="0.3">
      <c r="A469" s="438"/>
      <c r="B469" s="439"/>
      <c r="C469" s="440"/>
      <c r="D469" s="441"/>
      <c r="E469" s="441"/>
      <c r="F469" s="442"/>
      <c r="G469" s="443"/>
      <c r="H469" s="442"/>
      <c r="I469" s="455"/>
      <c r="J469" s="444"/>
      <c r="K469" s="652"/>
      <c r="L469" s="444"/>
      <c r="M469" s="444"/>
      <c r="N469" s="444"/>
      <c r="O469" s="444"/>
      <c r="P469" s="444"/>
      <c r="Q469" s="444"/>
      <c r="R469" s="444"/>
      <c r="S469" s="444"/>
      <c r="T469" s="444"/>
      <c r="U469" s="444"/>
      <c r="V469" s="444"/>
      <c r="W469" s="444"/>
      <c r="X469" s="444"/>
    </row>
    <row r="470" spans="1:24" ht="15.6" x14ac:dyDescent="0.3">
      <c r="A470" s="438"/>
      <c r="B470" s="439"/>
      <c r="C470" s="440"/>
      <c r="D470" s="441"/>
      <c r="E470" s="441"/>
      <c r="F470" s="442"/>
      <c r="G470" s="443"/>
      <c r="H470" s="442"/>
      <c r="I470" s="455"/>
      <c r="J470" s="444"/>
      <c r="K470" s="652"/>
      <c r="L470" s="444"/>
      <c r="M470" s="444"/>
      <c r="N470" s="444"/>
      <c r="O470" s="444"/>
      <c r="P470" s="444"/>
      <c r="Q470" s="444"/>
      <c r="R470" s="444"/>
      <c r="S470" s="444"/>
      <c r="T470" s="444"/>
      <c r="U470" s="444"/>
      <c r="V470" s="444"/>
      <c r="W470" s="444"/>
      <c r="X470" s="444"/>
    </row>
    <row r="471" spans="1:24" ht="15.6" x14ac:dyDescent="0.3">
      <c r="A471" s="438"/>
      <c r="B471" s="439"/>
      <c r="C471" s="440"/>
      <c r="D471" s="441"/>
      <c r="E471" s="441"/>
      <c r="F471" s="442"/>
      <c r="G471" s="443"/>
      <c r="H471" s="442"/>
      <c r="I471" s="455"/>
      <c r="J471" s="444"/>
      <c r="K471" s="652"/>
      <c r="L471" s="444"/>
      <c r="M471" s="444"/>
      <c r="N471" s="444"/>
      <c r="O471" s="444"/>
      <c r="P471" s="444"/>
      <c r="Q471" s="444"/>
      <c r="R471" s="444"/>
      <c r="S471" s="444"/>
      <c r="T471" s="444"/>
      <c r="U471" s="444"/>
      <c r="V471" s="444"/>
      <c r="W471" s="444"/>
      <c r="X471" s="444"/>
    </row>
    <row r="472" spans="1:24" ht="15.6" x14ac:dyDescent="0.3">
      <c r="A472" s="438"/>
      <c r="B472" s="439"/>
      <c r="C472" s="440"/>
      <c r="D472" s="441"/>
      <c r="E472" s="441"/>
      <c r="F472" s="442"/>
      <c r="G472" s="443"/>
      <c r="H472" s="442"/>
      <c r="I472" s="455"/>
      <c r="J472" s="444"/>
      <c r="K472" s="652"/>
      <c r="L472" s="444"/>
      <c r="M472" s="444"/>
      <c r="N472" s="444"/>
      <c r="O472" s="444"/>
      <c r="P472" s="444"/>
      <c r="Q472" s="444"/>
      <c r="R472" s="444"/>
      <c r="S472" s="444"/>
      <c r="T472" s="444"/>
      <c r="U472" s="444"/>
      <c r="V472" s="444"/>
      <c r="W472" s="444"/>
      <c r="X472" s="444"/>
    </row>
    <row r="473" spans="1:24" ht="15.6" x14ac:dyDescent="0.3">
      <c r="A473" s="438"/>
      <c r="B473" s="439"/>
      <c r="C473" s="440"/>
      <c r="D473" s="441"/>
      <c r="E473" s="441"/>
      <c r="F473" s="442"/>
      <c r="G473" s="443"/>
      <c r="H473" s="442"/>
      <c r="I473" s="455"/>
      <c r="J473" s="444"/>
      <c r="K473" s="652"/>
      <c r="L473" s="444"/>
      <c r="M473" s="444"/>
      <c r="N473" s="444"/>
      <c r="O473" s="444"/>
      <c r="P473" s="444"/>
      <c r="Q473" s="444"/>
      <c r="R473" s="444"/>
      <c r="S473" s="444"/>
      <c r="T473" s="444"/>
      <c r="U473" s="444"/>
      <c r="V473" s="444"/>
      <c r="W473" s="444"/>
      <c r="X473" s="444"/>
    </row>
    <row r="474" spans="1:24" ht="15.6" x14ac:dyDescent="0.3">
      <c r="A474" s="438"/>
      <c r="B474" s="439"/>
      <c r="C474" s="440"/>
      <c r="D474" s="441"/>
      <c r="E474" s="441"/>
      <c r="F474" s="442"/>
      <c r="G474" s="443"/>
      <c r="H474" s="442"/>
      <c r="I474" s="455"/>
      <c r="J474" s="444"/>
      <c r="K474" s="652"/>
      <c r="L474" s="444"/>
      <c r="M474" s="444"/>
      <c r="N474" s="444"/>
      <c r="O474" s="444"/>
      <c r="P474" s="444"/>
      <c r="Q474" s="444"/>
      <c r="R474" s="444"/>
      <c r="S474" s="444"/>
      <c r="T474" s="444"/>
      <c r="U474" s="444"/>
      <c r="V474" s="444"/>
      <c r="W474" s="444"/>
      <c r="X474" s="444"/>
    </row>
    <row r="475" spans="1:24" ht="15.6" x14ac:dyDescent="0.3">
      <c r="A475" s="438"/>
      <c r="B475" s="439"/>
      <c r="C475" s="440"/>
      <c r="D475" s="441"/>
      <c r="E475" s="441"/>
      <c r="F475" s="442"/>
      <c r="G475" s="443"/>
      <c r="H475" s="442"/>
      <c r="I475" s="455"/>
      <c r="J475" s="444"/>
      <c r="K475" s="652"/>
      <c r="L475" s="444"/>
      <c r="M475" s="444"/>
      <c r="N475" s="444"/>
      <c r="O475" s="444"/>
      <c r="P475" s="444"/>
      <c r="Q475" s="444"/>
      <c r="R475" s="444"/>
      <c r="S475" s="444"/>
      <c r="T475" s="444"/>
      <c r="U475" s="444"/>
      <c r="V475" s="444"/>
      <c r="W475" s="444"/>
      <c r="X475" s="444"/>
    </row>
    <row r="476" spans="1:24" ht="15.6" x14ac:dyDescent="0.3">
      <c r="A476" s="438"/>
      <c r="B476" s="439"/>
      <c r="C476" s="440"/>
      <c r="D476" s="441"/>
      <c r="E476" s="441"/>
      <c r="F476" s="442"/>
      <c r="G476" s="443"/>
      <c r="H476" s="442"/>
      <c r="I476" s="455"/>
      <c r="J476" s="444"/>
      <c r="K476" s="652"/>
      <c r="L476" s="444"/>
      <c r="M476" s="444"/>
      <c r="N476" s="444"/>
      <c r="O476" s="444"/>
      <c r="P476" s="444"/>
      <c r="Q476" s="444"/>
      <c r="R476" s="444"/>
      <c r="S476" s="444"/>
      <c r="T476" s="444"/>
      <c r="U476" s="444"/>
      <c r="V476" s="444"/>
      <c r="W476" s="444"/>
      <c r="X476" s="444"/>
    </row>
    <row r="477" spans="1:24" ht="15.6" x14ac:dyDescent="0.3">
      <c r="A477" s="438"/>
      <c r="B477" s="439"/>
      <c r="C477" s="440"/>
      <c r="D477" s="441"/>
      <c r="E477" s="441"/>
      <c r="F477" s="442"/>
      <c r="G477" s="443"/>
      <c r="H477" s="442"/>
      <c r="I477" s="455"/>
      <c r="J477" s="444"/>
      <c r="K477" s="652"/>
      <c r="L477" s="444"/>
      <c r="M477" s="444"/>
      <c r="N477" s="444"/>
      <c r="O477" s="444"/>
      <c r="P477" s="444"/>
      <c r="Q477" s="444"/>
      <c r="R477" s="444"/>
      <c r="S477" s="444"/>
      <c r="T477" s="444"/>
      <c r="U477" s="444"/>
      <c r="V477" s="444"/>
      <c r="W477" s="444"/>
      <c r="X477" s="444"/>
    </row>
    <row r="478" spans="1:24" ht="15.6" x14ac:dyDescent="0.3">
      <c r="A478" s="438"/>
      <c r="B478" s="439"/>
      <c r="C478" s="440"/>
      <c r="D478" s="441"/>
      <c r="E478" s="441"/>
      <c r="F478" s="442"/>
      <c r="G478" s="443"/>
      <c r="H478" s="442"/>
      <c r="I478" s="455"/>
      <c r="J478" s="444"/>
      <c r="K478" s="652"/>
      <c r="L478" s="444"/>
      <c r="M478" s="444"/>
      <c r="N478" s="444"/>
      <c r="O478" s="444"/>
      <c r="P478" s="444"/>
      <c r="Q478" s="444"/>
      <c r="R478" s="444"/>
      <c r="S478" s="444"/>
      <c r="T478" s="444"/>
      <c r="U478" s="444"/>
      <c r="V478" s="444"/>
      <c r="W478" s="444"/>
      <c r="X478" s="444"/>
    </row>
    <row r="479" spans="1:24" ht="15.6" x14ac:dyDescent="0.3">
      <c r="A479" s="438"/>
      <c r="B479" s="439"/>
      <c r="C479" s="440"/>
      <c r="D479" s="441"/>
      <c r="E479" s="441"/>
      <c r="F479" s="442"/>
      <c r="G479" s="443"/>
      <c r="H479" s="442"/>
      <c r="I479" s="455"/>
      <c r="J479" s="444"/>
      <c r="K479" s="652"/>
      <c r="L479" s="444"/>
      <c r="M479" s="444"/>
      <c r="N479" s="444"/>
      <c r="O479" s="444"/>
      <c r="P479" s="444"/>
      <c r="Q479" s="444"/>
      <c r="R479" s="444"/>
      <c r="S479" s="444"/>
      <c r="T479" s="444"/>
      <c r="U479" s="444"/>
      <c r="V479" s="444"/>
      <c r="W479" s="444"/>
      <c r="X479" s="444"/>
    </row>
    <row r="480" spans="1:24" ht="15.6" x14ac:dyDescent="0.3">
      <c r="A480" s="438"/>
      <c r="B480" s="439"/>
      <c r="C480" s="440"/>
      <c r="D480" s="441"/>
      <c r="E480" s="441"/>
      <c r="F480" s="442"/>
      <c r="G480" s="443"/>
      <c r="H480" s="442"/>
      <c r="I480" s="455"/>
      <c r="J480" s="444"/>
      <c r="K480" s="652"/>
      <c r="L480" s="444"/>
      <c r="M480" s="444"/>
      <c r="N480" s="444"/>
      <c r="O480" s="444"/>
      <c r="P480" s="444"/>
      <c r="Q480" s="444"/>
      <c r="R480" s="444"/>
      <c r="S480" s="444"/>
      <c r="T480" s="444"/>
      <c r="U480" s="444"/>
      <c r="V480" s="444"/>
      <c r="W480" s="444"/>
      <c r="X480" s="444"/>
    </row>
    <row r="481" spans="1:24" ht="15.6" x14ac:dyDescent="0.3">
      <c r="A481" s="438"/>
      <c r="B481" s="439"/>
      <c r="C481" s="440"/>
      <c r="D481" s="441"/>
      <c r="E481" s="441"/>
      <c r="F481" s="442"/>
      <c r="G481" s="443"/>
      <c r="H481" s="442"/>
      <c r="I481" s="455"/>
      <c r="J481" s="444"/>
      <c r="K481" s="652"/>
      <c r="L481" s="444"/>
      <c r="M481" s="444"/>
      <c r="N481" s="444"/>
      <c r="O481" s="444"/>
      <c r="P481" s="444"/>
      <c r="Q481" s="444"/>
      <c r="R481" s="444"/>
      <c r="S481" s="444"/>
      <c r="T481" s="444"/>
      <c r="U481" s="444"/>
      <c r="V481" s="444"/>
      <c r="W481" s="444"/>
      <c r="X481" s="444"/>
    </row>
    <row r="482" spans="1:24" ht="15.6" x14ac:dyDescent="0.3">
      <c r="A482" s="438"/>
      <c r="B482" s="439"/>
      <c r="C482" s="440"/>
      <c r="D482" s="441"/>
      <c r="E482" s="441"/>
      <c r="F482" s="442"/>
      <c r="G482" s="443"/>
      <c r="H482" s="442"/>
      <c r="I482" s="455"/>
      <c r="J482" s="444"/>
      <c r="K482" s="652"/>
      <c r="L482" s="444"/>
      <c r="M482" s="444"/>
      <c r="N482" s="444"/>
      <c r="O482" s="444"/>
      <c r="P482" s="444"/>
      <c r="Q482" s="444"/>
      <c r="R482" s="444"/>
      <c r="S482" s="444"/>
      <c r="T482" s="444"/>
      <c r="U482" s="444"/>
      <c r="V482" s="444"/>
      <c r="W482" s="444"/>
      <c r="X482" s="444"/>
    </row>
    <row r="483" spans="1:24" ht="15.6" x14ac:dyDescent="0.3">
      <c r="A483" s="438"/>
      <c r="B483" s="439"/>
      <c r="C483" s="440"/>
      <c r="D483" s="441"/>
      <c r="E483" s="441"/>
      <c r="F483" s="442"/>
      <c r="G483" s="443"/>
      <c r="H483" s="442"/>
      <c r="I483" s="455"/>
      <c r="J483" s="444"/>
      <c r="K483" s="652"/>
      <c r="L483" s="444"/>
      <c r="M483" s="444"/>
      <c r="N483" s="444"/>
      <c r="O483" s="444"/>
      <c r="P483" s="444"/>
      <c r="Q483" s="444"/>
      <c r="R483" s="444"/>
      <c r="S483" s="444"/>
      <c r="T483" s="444"/>
      <c r="U483" s="444"/>
      <c r="V483" s="444"/>
      <c r="W483" s="444"/>
      <c r="X483" s="444"/>
    </row>
    <row r="484" spans="1:24" ht="15.6" x14ac:dyDescent="0.3">
      <c r="A484" s="438"/>
      <c r="B484" s="439"/>
      <c r="C484" s="440"/>
      <c r="D484" s="441"/>
      <c r="E484" s="441"/>
      <c r="F484" s="442"/>
      <c r="G484" s="443"/>
      <c r="H484" s="442"/>
      <c r="I484" s="455"/>
      <c r="J484" s="444"/>
      <c r="K484" s="652"/>
      <c r="L484" s="444"/>
      <c r="M484" s="444"/>
      <c r="N484" s="444"/>
      <c r="O484" s="444"/>
      <c r="P484" s="444"/>
      <c r="Q484" s="444"/>
      <c r="R484" s="444"/>
      <c r="S484" s="444"/>
      <c r="T484" s="444"/>
      <c r="U484" s="444"/>
      <c r="V484" s="444"/>
      <c r="W484" s="444"/>
      <c r="X484" s="444"/>
    </row>
    <row r="485" spans="1:24" ht="15.6" x14ac:dyDescent="0.3">
      <c r="A485" s="438"/>
      <c r="B485" s="439"/>
      <c r="C485" s="440"/>
      <c r="D485" s="441"/>
      <c r="E485" s="441"/>
      <c r="F485" s="442"/>
      <c r="G485" s="443"/>
      <c r="H485" s="442"/>
      <c r="I485" s="455"/>
      <c r="J485" s="444"/>
      <c r="K485" s="652"/>
      <c r="L485" s="444"/>
      <c r="M485" s="444"/>
      <c r="N485" s="444"/>
      <c r="O485" s="444"/>
      <c r="P485" s="444"/>
      <c r="Q485" s="444"/>
      <c r="R485" s="444"/>
      <c r="S485" s="444"/>
      <c r="T485" s="444"/>
      <c r="U485" s="444"/>
      <c r="V485" s="444"/>
      <c r="W485" s="444"/>
      <c r="X485" s="444"/>
    </row>
    <row r="486" spans="1:24" ht="15.6" x14ac:dyDescent="0.3">
      <c r="A486" s="438"/>
      <c r="B486" s="439"/>
      <c r="C486" s="440"/>
      <c r="D486" s="441"/>
      <c r="E486" s="441"/>
      <c r="F486" s="442"/>
      <c r="G486" s="443"/>
      <c r="H486" s="442"/>
      <c r="I486" s="455"/>
      <c r="J486" s="444"/>
      <c r="K486" s="652"/>
      <c r="L486" s="444"/>
      <c r="M486" s="444"/>
      <c r="N486" s="444"/>
      <c r="O486" s="444"/>
      <c r="P486" s="444"/>
      <c r="Q486" s="444"/>
      <c r="R486" s="444"/>
      <c r="S486" s="444"/>
      <c r="T486" s="444"/>
      <c r="U486" s="444"/>
      <c r="V486" s="444"/>
      <c r="W486" s="444"/>
      <c r="X486" s="444"/>
    </row>
    <row r="487" spans="1:24" ht="15.6" x14ac:dyDescent="0.3">
      <c r="A487" s="438"/>
      <c r="B487" s="439"/>
      <c r="C487" s="440"/>
      <c r="D487" s="441"/>
      <c r="E487" s="441"/>
      <c r="F487" s="442"/>
      <c r="G487" s="443"/>
      <c r="H487" s="442"/>
      <c r="I487" s="455"/>
      <c r="J487" s="444"/>
      <c r="K487" s="652"/>
      <c r="L487" s="444"/>
      <c r="M487" s="444"/>
      <c r="N487" s="444"/>
      <c r="O487" s="444"/>
      <c r="P487" s="444"/>
      <c r="Q487" s="444"/>
      <c r="R487" s="444"/>
      <c r="S487" s="444"/>
      <c r="T487" s="444"/>
      <c r="U487" s="444"/>
      <c r="V487" s="444"/>
      <c r="W487" s="444"/>
      <c r="X487" s="444"/>
    </row>
    <row r="488" spans="1:24" ht="15.6" x14ac:dyDescent="0.3">
      <c r="A488" s="438"/>
      <c r="B488" s="439"/>
      <c r="C488" s="440"/>
      <c r="D488" s="441"/>
      <c r="E488" s="441"/>
      <c r="F488" s="442"/>
      <c r="G488" s="443"/>
      <c r="H488" s="442"/>
      <c r="I488" s="455"/>
      <c r="J488" s="444"/>
      <c r="K488" s="652"/>
      <c r="L488" s="444"/>
      <c r="M488" s="444"/>
      <c r="N488" s="444"/>
      <c r="O488" s="444"/>
      <c r="P488" s="444"/>
      <c r="Q488" s="444"/>
      <c r="R488" s="444"/>
      <c r="S488" s="444"/>
      <c r="T488" s="444"/>
      <c r="U488" s="444"/>
      <c r="V488" s="444"/>
      <c r="W488" s="444"/>
      <c r="X488" s="444"/>
    </row>
    <row r="489" spans="1:24" ht="15.6" x14ac:dyDescent="0.3">
      <c r="A489" s="438"/>
      <c r="B489" s="439"/>
      <c r="C489" s="440"/>
      <c r="D489" s="441"/>
      <c r="E489" s="441"/>
      <c r="F489" s="442"/>
      <c r="G489" s="443"/>
      <c r="H489" s="442"/>
      <c r="I489" s="455"/>
      <c r="J489" s="444"/>
      <c r="K489" s="652"/>
      <c r="L489" s="444"/>
      <c r="M489" s="444"/>
      <c r="N489" s="444"/>
      <c r="O489" s="444"/>
      <c r="P489" s="444"/>
      <c r="Q489" s="444"/>
      <c r="R489" s="444"/>
      <c r="S489" s="444"/>
      <c r="T489" s="444"/>
      <c r="U489" s="444"/>
      <c r="V489" s="444"/>
      <c r="W489" s="444"/>
      <c r="X489" s="444"/>
    </row>
    <row r="490" spans="1:24" ht="15.6" x14ac:dyDescent="0.3">
      <c r="A490" s="438"/>
      <c r="B490" s="439"/>
      <c r="C490" s="440"/>
      <c r="D490" s="441"/>
      <c r="E490" s="441"/>
      <c r="F490" s="442"/>
      <c r="G490" s="443"/>
      <c r="H490" s="442"/>
      <c r="I490" s="455"/>
      <c r="J490" s="444"/>
      <c r="K490" s="652"/>
      <c r="L490" s="444"/>
      <c r="M490" s="444"/>
      <c r="N490" s="444"/>
      <c r="O490" s="444"/>
      <c r="P490" s="444"/>
      <c r="Q490" s="444"/>
      <c r="R490" s="444"/>
      <c r="S490" s="444"/>
      <c r="T490" s="444"/>
      <c r="U490" s="444"/>
      <c r="V490" s="444"/>
      <c r="W490" s="444"/>
      <c r="X490" s="444"/>
    </row>
    <row r="491" spans="1:24" ht="15.6" x14ac:dyDescent="0.3">
      <c r="A491" s="438"/>
      <c r="B491" s="439"/>
      <c r="C491" s="440"/>
      <c r="D491" s="441"/>
      <c r="E491" s="441"/>
      <c r="F491" s="442"/>
      <c r="G491" s="443"/>
      <c r="H491" s="442"/>
      <c r="I491" s="455"/>
      <c r="J491" s="444"/>
      <c r="K491" s="652"/>
      <c r="L491" s="444"/>
      <c r="M491" s="444"/>
      <c r="N491" s="444"/>
      <c r="O491" s="444"/>
      <c r="P491" s="444"/>
      <c r="Q491" s="444"/>
      <c r="R491" s="444"/>
      <c r="S491" s="444"/>
      <c r="T491" s="444"/>
      <c r="U491" s="444"/>
      <c r="V491" s="444"/>
      <c r="W491" s="444"/>
      <c r="X491" s="444"/>
    </row>
    <row r="492" spans="1:24" ht="15.6" x14ac:dyDescent="0.3">
      <c r="A492" s="438"/>
      <c r="B492" s="439"/>
      <c r="C492" s="440"/>
      <c r="D492" s="441"/>
      <c r="E492" s="441"/>
      <c r="F492" s="442"/>
      <c r="G492" s="443"/>
      <c r="H492" s="442"/>
      <c r="I492" s="455"/>
      <c r="J492" s="444"/>
      <c r="K492" s="652"/>
      <c r="L492" s="444"/>
      <c r="M492" s="444"/>
      <c r="N492" s="444"/>
      <c r="O492" s="444"/>
      <c r="P492" s="444"/>
      <c r="Q492" s="444"/>
      <c r="R492" s="444"/>
      <c r="S492" s="444"/>
      <c r="T492" s="444"/>
      <c r="U492" s="444"/>
      <c r="V492" s="444"/>
      <c r="W492" s="444"/>
      <c r="X492" s="444"/>
    </row>
    <row r="493" spans="1:24" ht="15.6" x14ac:dyDescent="0.3">
      <c r="A493" s="438"/>
      <c r="B493" s="439"/>
      <c r="C493" s="440"/>
      <c r="D493" s="441"/>
      <c r="E493" s="441"/>
      <c r="F493" s="442"/>
      <c r="G493" s="443"/>
      <c r="H493" s="442"/>
      <c r="I493" s="455"/>
      <c r="J493" s="444"/>
      <c r="K493" s="652"/>
      <c r="L493" s="444"/>
      <c r="M493" s="444"/>
      <c r="N493" s="444"/>
      <c r="O493" s="444"/>
      <c r="P493" s="444"/>
      <c r="Q493" s="444"/>
      <c r="R493" s="444"/>
      <c r="S493" s="444"/>
      <c r="T493" s="444"/>
      <c r="U493" s="444"/>
      <c r="V493" s="444"/>
      <c r="W493" s="444"/>
      <c r="X493" s="444"/>
    </row>
    <row r="494" spans="1:24" ht="15.6" x14ac:dyDescent="0.3">
      <c r="A494" s="438"/>
      <c r="B494" s="439"/>
      <c r="C494" s="440"/>
      <c r="D494" s="441"/>
      <c r="E494" s="441"/>
      <c r="F494" s="442"/>
      <c r="G494" s="443"/>
      <c r="H494" s="442"/>
      <c r="I494" s="455"/>
      <c r="J494" s="444"/>
      <c r="K494" s="652"/>
      <c r="L494" s="444"/>
      <c r="M494" s="444"/>
      <c r="N494" s="444"/>
      <c r="O494" s="444"/>
      <c r="P494" s="444"/>
      <c r="Q494" s="444"/>
      <c r="R494" s="444"/>
      <c r="S494" s="444"/>
      <c r="T494" s="444"/>
      <c r="U494" s="444"/>
      <c r="V494" s="444"/>
      <c r="W494" s="444"/>
      <c r="X494" s="444"/>
    </row>
    <row r="495" spans="1:24" ht="15.6" x14ac:dyDescent="0.3">
      <c r="A495" s="438"/>
      <c r="B495" s="439"/>
      <c r="C495" s="440"/>
      <c r="D495" s="441"/>
      <c r="E495" s="441"/>
      <c r="F495" s="442"/>
      <c r="G495" s="443"/>
      <c r="H495" s="442"/>
      <c r="I495" s="455"/>
      <c r="J495" s="444"/>
      <c r="K495" s="652"/>
      <c r="L495" s="444"/>
      <c r="M495" s="444"/>
      <c r="N495" s="444"/>
      <c r="O495" s="444"/>
      <c r="P495" s="444"/>
      <c r="Q495" s="444"/>
      <c r="R495" s="444"/>
      <c r="S495" s="444"/>
      <c r="T495" s="444"/>
      <c r="U495" s="444"/>
      <c r="V495" s="444"/>
      <c r="W495" s="444"/>
      <c r="X495" s="444"/>
    </row>
    <row r="496" spans="1:24" ht="15.6" x14ac:dyDescent="0.3">
      <c r="A496" s="438"/>
      <c r="B496" s="439"/>
      <c r="C496" s="440"/>
      <c r="D496" s="441"/>
      <c r="E496" s="441"/>
      <c r="F496" s="442"/>
      <c r="G496" s="443"/>
      <c r="H496" s="442"/>
      <c r="I496" s="455"/>
      <c r="J496" s="444"/>
      <c r="K496" s="652"/>
      <c r="L496" s="444"/>
      <c r="M496" s="444"/>
      <c r="N496" s="444"/>
      <c r="O496" s="444"/>
      <c r="P496" s="444"/>
      <c r="Q496" s="444"/>
      <c r="R496" s="444"/>
      <c r="S496" s="444"/>
      <c r="T496" s="444"/>
      <c r="U496" s="444"/>
      <c r="V496" s="444"/>
      <c r="W496" s="444"/>
      <c r="X496" s="444"/>
    </row>
    <row r="497" spans="1:24" ht="15.6" x14ac:dyDescent="0.3">
      <c r="A497" s="438"/>
      <c r="B497" s="439"/>
      <c r="C497" s="440"/>
      <c r="D497" s="441"/>
      <c r="E497" s="441"/>
      <c r="F497" s="442"/>
      <c r="G497" s="443"/>
      <c r="H497" s="442"/>
      <c r="I497" s="455"/>
      <c r="J497" s="444"/>
      <c r="K497" s="652"/>
      <c r="L497" s="444"/>
      <c r="M497" s="444"/>
      <c r="N497" s="444"/>
      <c r="O497" s="444"/>
      <c r="P497" s="444"/>
      <c r="Q497" s="444"/>
      <c r="R497" s="444"/>
      <c r="S497" s="444"/>
      <c r="T497" s="444"/>
      <c r="U497" s="444"/>
      <c r="V497" s="444"/>
      <c r="W497" s="444"/>
      <c r="X497" s="444"/>
    </row>
    <row r="498" spans="1:24" ht="15.6" x14ac:dyDescent="0.3">
      <c r="A498" s="438"/>
      <c r="B498" s="439"/>
      <c r="C498" s="440"/>
      <c r="D498" s="441"/>
      <c r="E498" s="441"/>
      <c r="F498" s="442"/>
      <c r="G498" s="443"/>
      <c r="H498" s="442"/>
      <c r="I498" s="455"/>
      <c r="J498" s="444"/>
      <c r="K498" s="652"/>
      <c r="L498" s="444"/>
      <c r="M498" s="444"/>
      <c r="N498" s="444"/>
      <c r="O498" s="444"/>
      <c r="P498" s="444"/>
      <c r="Q498" s="444"/>
      <c r="R498" s="444"/>
      <c r="S498" s="444"/>
      <c r="T498" s="444"/>
      <c r="U498" s="444"/>
      <c r="V498" s="444"/>
      <c r="W498" s="444"/>
      <c r="X498" s="444"/>
    </row>
    <row r="499" spans="1:24" ht="15.6" x14ac:dyDescent="0.3">
      <c r="A499" s="438"/>
      <c r="B499" s="439"/>
      <c r="C499" s="440"/>
      <c r="D499" s="441"/>
      <c r="E499" s="441"/>
      <c r="F499" s="442"/>
      <c r="G499" s="443"/>
      <c r="H499" s="442"/>
      <c r="I499" s="455"/>
      <c r="J499" s="444"/>
      <c r="K499" s="652"/>
      <c r="L499" s="444"/>
      <c r="M499" s="444"/>
      <c r="N499" s="444"/>
      <c r="O499" s="444"/>
      <c r="P499" s="444"/>
      <c r="Q499" s="444"/>
      <c r="R499" s="444"/>
      <c r="S499" s="444"/>
      <c r="T499" s="444"/>
      <c r="U499" s="444"/>
      <c r="V499" s="444"/>
      <c r="W499" s="444"/>
      <c r="X499" s="444"/>
    </row>
    <row r="500" spans="1:24" ht="15.6" x14ac:dyDescent="0.3">
      <c r="A500" s="438"/>
      <c r="B500" s="439"/>
      <c r="C500" s="440"/>
      <c r="D500" s="441"/>
      <c r="E500" s="441"/>
      <c r="F500" s="442"/>
      <c r="G500" s="443"/>
      <c r="H500" s="442"/>
      <c r="I500" s="455"/>
      <c r="J500" s="444"/>
      <c r="K500" s="652"/>
      <c r="L500" s="444"/>
      <c r="M500" s="444"/>
      <c r="N500" s="444"/>
      <c r="O500" s="444"/>
      <c r="P500" s="444"/>
      <c r="Q500" s="444"/>
      <c r="R500" s="444"/>
      <c r="S500" s="444"/>
      <c r="T500" s="444"/>
      <c r="U500" s="444"/>
      <c r="V500" s="444"/>
      <c r="W500" s="444"/>
      <c r="X500" s="444"/>
    </row>
    <row r="501" spans="1:24" ht="15.6" x14ac:dyDescent="0.3">
      <c r="A501" s="438"/>
      <c r="B501" s="439"/>
      <c r="C501" s="440"/>
      <c r="D501" s="441"/>
      <c r="E501" s="441"/>
      <c r="F501" s="442"/>
      <c r="G501" s="443"/>
      <c r="H501" s="442"/>
      <c r="I501" s="455"/>
      <c r="J501" s="444"/>
      <c r="K501" s="652"/>
      <c r="L501" s="444"/>
      <c r="M501" s="444"/>
      <c r="N501" s="444"/>
      <c r="O501" s="444"/>
      <c r="P501" s="444"/>
      <c r="Q501" s="444"/>
      <c r="R501" s="444"/>
      <c r="S501" s="444"/>
      <c r="T501" s="444"/>
      <c r="U501" s="444"/>
      <c r="V501" s="444"/>
      <c r="W501" s="444"/>
      <c r="X501" s="444"/>
    </row>
    <row r="502" spans="1:24" ht="15.6" x14ac:dyDescent="0.3">
      <c r="A502" s="438"/>
      <c r="B502" s="439"/>
      <c r="C502" s="440"/>
      <c r="D502" s="441"/>
      <c r="E502" s="441"/>
      <c r="F502" s="442"/>
      <c r="G502" s="443"/>
      <c r="H502" s="442"/>
      <c r="I502" s="455"/>
      <c r="J502" s="444"/>
      <c r="K502" s="652"/>
      <c r="L502" s="444"/>
      <c r="M502" s="444"/>
      <c r="N502" s="444"/>
      <c r="O502" s="444"/>
      <c r="P502" s="444"/>
      <c r="Q502" s="444"/>
      <c r="R502" s="444"/>
      <c r="S502" s="444"/>
      <c r="T502" s="444"/>
      <c r="U502" s="444"/>
      <c r="V502" s="444"/>
      <c r="W502" s="444"/>
      <c r="X502" s="444"/>
    </row>
    <row r="503" spans="1:24" ht="15.6" x14ac:dyDescent="0.3">
      <c r="A503" s="438"/>
      <c r="B503" s="439"/>
      <c r="C503" s="440"/>
      <c r="D503" s="441"/>
      <c r="E503" s="441"/>
      <c r="F503" s="442"/>
      <c r="G503" s="443"/>
      <c r="H503" s="442"/>
      <c r="I503" s="455"/>
      <c r="J503" s="444"/>
      <c r="K503" s="652"/>
      <c r="L503" s="444"/>
      <c r="M503" s="444"/>
      <c r="N503" s="444"/>
      <c r="O503" s="444"/>
      <c r="P503" s="444"/>
      <c r="Q503" s="444"/>
      <c r="R503" s="444"/>
      <c r="S503" s="444"/>
      <c r="T503" s="444"/>
      <c r="U503" s="444"/>
      <c r="V503" s="444"/>
      <c r="W503" s="444"/>
      <c r="X503" s="444"/>
    </row>
    <row r="504" spans="1:24" ht="15.6" x14ac:dyDescent="0.3">
      <c r="A504" s="438"/>
      <c r="B504" s="439"/>
      <c r="C504" s="440"/>
      <c r="D504" s="441"/>
      <c r="E504" s="441"/>
      <c r="F504" s="442"/>
      <c r="G504" s="443"/>
      <c r="H504" s="442"/>
      <c r="I504" s="455"/>
      <c r="J504" s="444"/>
      <c r="K504" s="652"/>
      <c r="L504" s="444"/>
      <c r="M504" s="444"/>
      <c r="N504" s="444"/>
      <c r="O504" s="444"/>
      <c r="P504" s="444"/>
      <c r="Q504" s="444"/>
      <c r="R504" s="444"/>
      <c r="S504" s="444"/>
      <c r="T504" s="444"/>
      <c r="U504" s="444"/>
      <c r="V504" s="444"/>
      <c r="W504" s="444"/>
      <c r="X504" s="444"/>
    </row>
    <row r="505" spans="1:24" ht="15.6" x14ac:dyDescent="0.3">
      <c r="A505" s="438"/>
      <c r="B505" s="439"/>
      <c r="C505" s="440"/>
      <c r="D505" s="441"/>
      <c r="E505" s="441"/>
      <c r="F505" s="442"/>
      <c r="G505" s="443"/>
      <c r="H505" s="442"/>
      <c r="I505" s="455"/>
      <c r="J505" s="444"/>
      <c r="K505" s="652"/>
      <c r="L505" s="444"/>
      <c r="M505" s="444"/>
      <c r="N505" s="444"/>
      <c r="O505" s="444"/>
      <c r="P505" s="444"/>
      <c r="Q505" s="444"/>
      <c r="R505" s="444"/>
      <c r="S505" s="444"/>
      <c r="T505" s="444"/>
      <c r="U505" s="444"/>
      <c r="V505" s="444"/>
      <c r="W505" s="444"/>
      <c r="X505" s="444"/>
    </row>
    <row r="506" spans="1:24" ht="15.6" x14ac:dyDescent="0.3">
      <c r="A506" s="438"/>
      <c r="B506" s="439"/>
      <c r="C506" s="440"/>
      <c r="D506" s="441"/>
      <c r="E506" s="441"/>
      <c r="F506" s="442"/>
      <c r="G506" s="443"/>
      <c r="H506" s="442"/>
      <c r="I506" s="455"/>
      <c r="J506" s="444"/>
      <c r="K506" s="652"/>
      <c r="L506" s="444"/>
      <c r="M506" s="444"/>
      <c r="N506" s="444"/>
      <c r="O506" s="444"/>
      <c r="P506" s="444"/>
      <c r="Q506" s="444"/>
      <c r="R506" s="444"/>
      <c r="S506" s="444"/>
      <c r="T506" s="444"/>
      <c r="U506" s="444"/>
      <c r="V506" s="444"/>
      <c r="W506" s="444"/>
      <c r="X506" s="444"/>
    </row>
    <row r="507" spans="1:24" ht="15.6" x14ac:dyDescent="0.3">
      <c r="A507" s="438"/>
      <c r="B507" s="439"/>
      <c r="C507" s="440"/>
      <c r="D507" s="441"/>
      <c r="E507" s="441"/>
      <c r="F507" s="442"/>
      <c r="G507" s="443"/>
      <c r="H507" s="442"/>
      <c r="I507" s="455"/>
      <c r="J507" s="444"/>
      <c r="K507" s="652"/>
      <c r="L507" s="444"/>
      <c r="M507" s="444"/>
      <c r="N507" s="444"/>
      <c r="O507" s="444"/>
      <c r="P507" s="444"/>
      <c r="Q507" s="444"/>
      <c r="R507" s="444"/>
      <c r="S507" s="444"/>
      <c r="T507" s="444"/>
      <c r="U507" s="444"/>
      <c r="V507" s="444"/>
      <c r="W507" s="444"/>
      <c r="X507" s="444"/>
    </row>
    <row r="508" spans="1:24" ht="15.6" x14ac:dyDescent="0.3">
      <c r="A508" s="438"/>
      <c r="B508" s="439"/>
      <c r="C508" s="440"/>
      <c r="D508" s="441"/>
      <c r="E508" s="441"/>
      <c r="F508" s="442"/>
      <c r="G508" s="443"/>
      <c r="H508" s="442"/>
      <c r="I508" s="455"/>
      <c r="J508" s="444"/>
      <c r="K508" s="652"/>
      <c r="L508" s="444"/>
      <c r="M508" s="444"/>
      <c r="N508" s="444"/>
      <c r="O508" s="444"/>
      <c r="P508" s="444"/>
      <c r="Q508" s="444"/>
      <c r="R508" s="444"/>
      <c r="S508" s="444"/>
      <c r="T508" s="444"/>
      <c r="U508" s="444"/>
      <c r="V508" s="444"/>
      <c r="W508" s="444"/>
      <c r="X508" s="444"/>
    </row>
    <row r="509" spans="1:24" ht="15.6" x14ac:dyDescent="0.3">
      <c r="A509" s="438"/>
      <c r="B509" s="439"/>
      <c r="C509" s="440"/>
      <c r="D509" s="441"/>
      <c r="E509" s="441"/>
      <c r="F509" s="442"/>
      <c r="G509" s="443"/>
      <c r="H509" s="442"/>
      <c r="I509" s="455"/>
      <c r="J509" s="444"/>
      <c r="K509" s="652"/>
      <c r="L509" s="444"/>
      <c r="M509" s="444"/>
      <c r="N509" s="444"/>
      <c r="O509" s="444"/>
      <c r="P509" s="444"/>
      <c r="Q509" s="444"/>
      <c r="R509" s="444"/>
      <c r="S509" s="444"/>
      <c r="T509" s="444"/>
      <c r="U509" s="444"/>
      <c r="V509" s="444"/>
      <c r="W509" s="444"/>
      <c r="X509" s="444"/>
    </row>
    <row r="510" spans="1:24" ht="15.6" x14ac:dyDescent="0.3">
      <c r="A510" s="438"/>
      <c r="B510" s="439"/>
      <c r="C510" s="440"/>
      <c r="D510" s="441"/>
      <c r="E510" s="441"/>
      <c r="F510" s="442"/>
      <c r="G510" s="443"/>
      <c r="H510" s="442"/>
      <c r="I510" s="455"/>
      <c r="J510" s="444"/>
      <c r="K510" s="652"/>
      <c r="L510" s="444"/>
      <c r="M510" s="444"/>
      <c r="N510" s="444"/>
      <c r="O510" s="444"/>
      <c r="P510" s="444"/>
      <c r="Q510" s="444"/>
      <c r="R510" s="444"/>
      <c r="S510" s="444"/>
      <c r="T510" s="444"/>
      <c r="U510" s="444"/>
      <c r="V510" s="444"/>
      <c r="W510" s="444"/>
      <c r="X510" s="444"/>
    </row>
    <row r="511" spans="1:24" ht="15.6" x14ac:dyDescent="0.3">
      <c r="A511" s="438"/>
      <c r="B511" s="439"/>
      <c r="C511" s="440"/>
      <c r="D511" s="441"/>
      <c r="E511" s="441"/>
      <c r="F511" s="442"/>
      <c r="G511" s="443"/>
      <c r="H511" s="442"/>
      <c r="I511" s="455"/>
      <c r="J511" s="444"/>
      <c r="K511" s="652"/>
      <c r="L511" s="444"/>
      <c r="M511" s="444"/>
      <c r="N511" s="444"/>
      <c r="O511" s="444"/>
      <c r="P511" s="444"/>
      <c r="Q511" s="444"/>
      <c r="R511" s="444"/>
      <c r="S511" s="444"/>
      <c r="T511" s="444"/>
      <c r="U511" s="444"/>
      <c r="V511" s="444"/>
      <c r="W511" s="444"/>
      <c r="X511" s="444"/>
    </row>
    <row r="512" spans="1:24" ht="15.6" x14ac:dyDescent="0.3">
      <c r="A512" s="438"/>
      <c r="B512" s="439"/>
      <c r="C512" s="440"/>
      <c r="D512" s="441"/>
      <c r="E512" s="441"/>
      <c r="F512" s="442"/>
      <c r="G512" s="443"/>
      <c r="H512" s="442"/>
      <c r="I512" s="455"/>
      <c r="J512" s="444"/>
      <c r="K512" s="652"/>
      <c r="L512" s="444"/>
      <c r="M512" s="444"/>
      <c r="N512" s="444"/>
      <c r="O512" s="444"/>
      <c r="P512" s="444"/>
      <c r="Q512" s="444"/>
      <c r="R512" s="444"/>
      <c r="S512" s="444"/>
      <c r="T512" s="444"/>
      <c r="U512" s="444"/>
      <c r="V512" s="444"/>
      <c r="W512" s="444"/>
      <c r="X512" s="444"/>
    </row>
    <row r="513" spans="1:24" ht="15.6" x14ac:dyDescent="0.3">
      <c r="A513" s="438"/>
      <c r="B513" s="439"/>
      <c r="C513" s="440"/>
      <c r="D513" s="441"/>
      <c r="E513" s="441"/>
      <c r="F513" s="442"/>
      <c r="G513" s="443"/>
      <c r="H513" s="442"/>
      <c r="I513" s="455"/>
      <c r="J513" s="444"/>
      <c r="K513" s="652"/>
      <c r="L513" s="444"/>
      <c r="M513" s="444"/>
      <c r="N513" s="444"/>
      <c r="O513" s="444"/>
      <c r="P513" s="444"/>
      <c r="Q513" s="444"/>
      <c r="R513" s="444"/>
      <c r="S513" s="444"/>
      <c r="T513" s="444"/>
      <c r="U513" s="444"/>
      <c r="V513" s="444"/>
      <c r="W513" s="444"/>
      <c r="X513" s="444"/>
    </row>
    <row r="514" spans="1:24" ht="15.6" x14ac:dyDescent="0.3">
      <c r="A514" s="438"/>
      <c r="B514" s="439"/>
      <c r="C514" s="440"/>
      <c r="D514" s="441"/>
      <c r="E514" s="441"/>
      <c r="F514" s="442"/>
      <c r="G514" s="443"/>
      <c r="H514" s="442"/>
      <c r="I514" s="455"/>
      <c r="J514" s="444"/>
      <c r="K514" s="652"/>
      <c r="L514" s="444"/>
      <c r="M514" s="444"/>
      <c r="N514" s="444"/>
      <c r="O514" s="444"/>
      <c r="P514" s="444"/>
      <c r="Q514" s="444"/>
      <c r="R514" s="444"/>
      <c r="S514" s="444"/>
      <c r="T514" s="444"/>
      <c r="U514" s="444"/>
      <c r="V514" s="444"/>
      <c r="W514" s="444"/>
      <c r="X514" s="444"/>
    </row>
    <row r="515" spans="1:24" ht="15.6" x14ac:dyDescent="0.3">
      <c r="A515" s="438"/>
      <c r="B515" s="439"/>
      <c r="C515" s="440"/>
      <c r="D515" s="441"/>
      <c r="E515" s="441"/>
      <c r="F515" s="442"/>
      <c r="G515" s="443"/>
      <c r="H515" s="442"/>
      <c r="I515" s="455"/>
      <c r="J515" s="444"/>
      <c r="K515" s="652"/>
      <c r="L515" s="444"/>
      <c r="M515" s="444"/>
      <c r="N515" s="444"/>
      <c r="O515" s="444"/>
      <c r="P515" s="444"/>
      <c r="Q515" s="444"/>
      <c r="R515" s="444"/>
      <c r="S515" s="444"/>
      <c r="T515" s="444"/>
      <c r="U515" s="444"/>
      <c r="V515" s="444"/>
      <c r="W515" s="444"/>
      <c r="X515" s="444"/>
    </row>
    <row r="516" spans="1:24" ht="15.6" x14ac:dyDescent="0.3">
      <c r="A516" s="438"/>
      <c r="B516" s="439"/>
      <c r="C516" s="440"/>
      <c r="D516" s="441"/>
      <c r="E516" s="441"/>
      <c r="F516" s="442"/>
      <c r="G516" s="443"/>
      <c r="H516" s="442"/>
      <c r="I516" s="455"/>
      <c r="J516" s="444"/>
      <c r="K516" s="652"/>
      <c r="L516" s="444"/>
      <c r="M516" s="444"/>
      <c r="N516" s="444"/>
      <c r="O516" s="444"/>
      <c r="P516" s="444"/>
      <c r="Q516" s="444"/>
      <c r="R516" s="444"/>
      <c r="S516" s="444"/>
      <c r="T516" s="444"/>
      <c r="U516" s="444"/>
      <c r="V516" s="444"/>
      <c r="W516" s="444"/>
      <c r="X516" s="444"/>
    </row>
    <row r="517" spans="1:24" ht="15.6" x14ac:dyDescent="0.3">
      <c r="A517" s="438"/>
      <c r="B517" s="439"/>
      <c r="C517" s="440"/>
      <c r="D517" s="441"/>
      <c r="E517" s="441"/>
      <c r="F517" s="442"/>
      <c r="G517" s="443"/>
      <c r="H517" s="442"/>
      <c r="I517" s="455"/>
      <c r="J517" s="444"/>
      <c r="K517" s="652"/>
      <c r="L517" s="444"/>
      <c r="M517" s="444"/>
      <c r="N517" s="444"/>
      <c r="O517" s="444"/>
      <c r="P517" s="444"/>
      <c r="Q517" s="444"/>
      <c r="R517" s="444"/>
      <c r="S517" s="444"/>
      <c r="T517" s="444"/>
      <c r="U517" s="444"/>
      <c r="V517" s="444"/>
      <c r="W517" s="444"/>
      <c r="X517" s="444"/>
    </row>
    <row r="518" spans="1:24" ht="15.6" x14ac:dyDescent="0.3">
      <c r="A518" s="438"/>
      <c r="B518" s="439"/>
      <c r="C518" s="440"/>
      <c r="D518" s="441"/>
      <c r="E518" s="441"/>
      <c r="F518" s="442"/>
      <c r="G518" s="443"/>
      <c r="H518" s="442"/>
      <c r="I518" s="455"/>
      <c r="J518" s="444"/>
      <c r="K518" s="652"/>
      <c r="L518" s="444"/>
      <c r="M518" s="444"/>
      <c r="N518" s="444"/>
      <c r="O518" s="444"/>
      <c r="P518" s="444"/>
      <c r="Q518" s="444"/>
      <c r="R518" s="444"/>
      <c r="S518" s="444"/>
      <c r="T518" s="444"/>
      <c r="U518" s="444"/>
      <c r="V518" s="444"/>
      <c r="W518" s="444"/>
      <c r="X518" s="444"/>
    </row>
    <row r="519" spans="1:24" ht="15.6" x14ac:dyDescent="0.3">
      <c r="A519" s="438"/>
      <c r="B519" s="439"/>
      <c r="C519" s="440"/>
      <c r="D519" s="441"/>
      <c r="E519" s="441"/>
      <c r="F519" s="442"/>
      <c r="G519" s="443"/>
      <c r="H519" s="442"/>
      <c r="I519" s="455"/>
      <c r="J519" s="444"/>
      <c r="K519" s="652"/>
      <c r="L519" s="444"/>
      <c r="M519" s="444"/>
      <c r="N519" s="444"/>
      <c r="O519" s="444"/>
      <c r="P519" s="444"/>
      <c r="Q519" s="444"/>
      <c r="R519" s="444"/>
      <c r="S519" s="444"/>
      <c r="T519" s="444"/>
      <c r="U519" s="444"/>
      <c r="V519" s="444"/>
      <c r="W519" s="444"/>
      <c r="X519" s="444"/>
    </row>
    <row r="520" spans="1:24" ht="15.6" x14ac:dyDescent="0.3">
      <c r="A520" s="438"/>
      <c r="B520" s="439"/>
      <c r="C520" s="440"/>
      <c r="D520" s="441"/>
      <c r="E520" s="441"/>
      <c r="F520" s="442"/>
      <c r="G520" s="443"/>
      <c r="H520" s="442"/>
      <c r="I520" s="455"/>
      <c r="J520" s="444"/>
      <c r="K520" s="652"/>
      <c r="L520" s="444"/>
      <c r="M520" s="444"/>
      <c r="N520" s="444"/>
      <c r="O520" s="444"/>
      <c r="P520" s="444"/>
      <c r="Q520" s="444"/>
      <c r="R520" s="444"/>
      <c r="S520" s="444"/>
      <c r="T520" s="444"/>
      <c r="U520" s="444"/>
      <c r="V520" s="444"/>
      <c r="W520" s="444"/>
      <c r="X520" s="444"/>
    </row>
    <row r="521" spans="1:24" ht="15.6" x14ac:dyDescent="0.3">
      <c r="A521" s="438"/>
      <c r="B521" s="439"/>
      <c r="C521" s="440"/>
      <c r="D521" s="441"/>
      <c r="E521" s="441"/>
      <c r="F521" s="442"/>
      <c r="G521" s="443"/>
      <c r="H521" s="442"/>
      <c r="I521" s="455"/>
      <c r="J521" s="444"/>
      <c r="K521" s="652"/>
      <c r="L521" s="444"/>
      <c r="M521" s="444"/>
      <c r="N521" s="444"/>
      <c r="O521" s="444"/>
      <c r="P521" s="444"/>
      <c r="Q521" s="444"/>
      <c r="R521" s="444"/>
      <c r="S521" s="444"/>
      <c r="T521" s="444"/>
      <c r="U521" s="444"/>
      <c r="V521" s="444"/>
      <c r="W521" s="444"/>
      <c r="X521" s="444"/>
    </row>
    <row r="522" spans="1:24" ht="15.6" x14ac:dyDescent="0.3">
      <c r="A522" s="438"/>
      <c r="B522" s="439"/>
      <c r="C522" s="440"/>
      <c r="D522" s="441"/>
      <c r="E522" s="441"/>
      <c r="F522" s="442"/>
      <c r="G522" s="443"/>
      <c r="H522" s="442"/>
      <c r="I522" s="455"/>
      <c r="J522" s="444"/>
      <c r="K522" s="652"/>
      <c r="L522" s="444"/>
      <c r="M522" s="444"/>
      <c r="N522" s="444"/>
      <c r="O522" s="444"/>
      <c r="P522" s="444"/>
      <c r="Q522" s="444"/>
      <c r="R522" s="444"/>
      <c r="S522" s="444"/>
      <c r="T522" s="444"/>
      <c r="U522" s="444"/>
      <c r="V522" s="444"/>
      <c r="W522" s="444"/>
      <c r="X522" s="444"/>
    </row>
    <row r="523" spans="1:24" ht="15.6" x14ac:dyDescent="0.3">
      <c r="A523" s="438"/>
      <c r="B523" s="439"/>
      <c r="C523" s="440"/>
      <c r="D523" s="441"/>
      <c r="E523" s="441"/>
      <c r="F523" s="442"/>
      <c r="G523" s="443"/>
      <c r="H523" s="442"/>
      <c r="I523" s="455"/>
      <c r="J523" s="444"/>
      <c r="K523" s="652"/>
      <c r="L523" s="444"/>
      <c r="M523" s="444"/>
      <c r="N523" s="444"/>
      <c r="O523" s="444"/>
      <c r="P523" s="444"/>
      <c r="Q523" s="444"/>
      <c r="R523" s="444"/>
      <c r="S523" s="444"/>
      <c r="T523" s="444"/>
      <c r="U523" s="444"/>
      <c r="V523" s="444"/>
      <c r="W523" s="444"/>
      <c r="X523" s="444"/>
    </row>
    <row r="524" spans="1:24" ht="15.6" x14ac:dyDescent="0.3">
      <c r="A524" s="438"/>
      <c r="B524" s="439"/>
      <c r="C524" s="440"/>
      <c r="D524" s="441"/>
      <c r="E524" s="441"/>
      <c r="F524" s="442"/>
      <c r="G524" s="443"/>
      <c r="H524" s="442"/>
      <c r="I524" s="455"/>
      <c r="J524" s="444"/>
      <c r="K524" s="652"/>
      <c r="L524" s="444"/>
      <c r="M524" s="444"/>
      <c r="N524" s="444"/>
      <c r="O524" s="444"/>
      <c r="P524" s="444"/>
      <c r="Q524" s="444"/>
      <c r="R524" s="444"/>
      <c r="S524" s="444"/>
      <c r="T524" s="444"/>
      <c r="U524" s="444"/>
      <c r="V524" s="444"/>
      <c r="W524" s="444"/>
      <c r="X524" s="444"/>
    </row>
    <row r="525" spans="1:24" ht="15.6" x14ac:dyDescent="0.3">
      <c r="A525" s="438"/>
      <c r="B525" s="439"/>
      <c r="C525" s="440"/>
      <c r="D525" s="441"/>
      <c r="E525" s="441"/>
      <c r="F525" s="442"/>
      <c r="G525" s="443"/>
      <c r="H525" s="442"/>
      <c r="I525" s="455"/>
      <c r="J525" s="444"/>
      <c r="K525" s="652"/>
      <c r="L525" s="444"/>
      <c r="M525" s="444"/>
      <c r="N525" s="444"/>
      <c r="O525" s="444"/>
      <c r="P525" s="444"/>
      <c r="Q525" s="444"/>
      <c r="R525" s="444"/>
      <c r="S525" s="444"/>
      <c r="T525" s="444"/>
      <c r="U525" s="444"/>
      <c r="V525" s="444"/>
      <c r="W525" s="444"/>
      <c r="X525" s="444"/>
    </row>
    <row r="526" spans="1:24" ht="15.6" x14ac:dyDescent="0.3">
      <c r="A526" s="438"/>
      <c r="B526" s="439"/>
      <c r="C526" s="440"/>
      <c r="D526" s="441"/>
      <c r="E526" s="441"/>
      <c r="F526" s="442"/>
      <c r="G526" s="443"/>
      <c r="H526" s="442"/>
      <c r="I526" s="455"/>
      <c r="J526" s="444"/>
      <c r="K526" s="652"/>
      <c r="L526" s="444"/>
      <c r="M526" s="444"/>
      <c r="N526" s="444"/>
      <c r="O526" s="444"/>
      <c r="P526" s="444"/>
      <c r="Q526" s="444"/>
      <c r="R526" s="444"/>
      <c r="S526" s="444"/>
      <c r="T526" s="444"/>
      <c r="U526" s="444"/>
      <c r="V526" s="444"/>
      <c r="W526" s="444"/>
      <c r="X526" s="444"/>
    </row>
    <row r="527" spans="1:24" ht="15.6" x14ac:dyDescent="0.3">
      <c r="A527" s="438"/>
      <c r="B527" s="439"/>
      <c r="C527" s="440"/>
      <c r="D527" s="441"/>
      <c r="E527" s="441"/>
      <c r="F527" s="442"/>
      <c r="G527" s="443"/>
      <c r="H527" s="442"/>
      <c r="I527" s="455"/>
      <c r="J527" s="444"/>
      <c r="K527" s="652"/>
      <c r="L527" s="444"/>
      <c r="M527" s="444"/>
      <c r="N527" s="444"/>
      <c r="O527" s="444"/>
      <c r="P527" s="444"/>
      <c r="Q527" s="444"/>
      <c r="R527" s="444"/>
      <c r="S527" s="444"/>
      <c r="T527" s="444"/>
      <c r="U527" s="444"/>
      <c r="V527" s="444"/>
      <c r="W527" s="444"/>
      <c r="X527" s="444"/>
    </row>
    <row r="528" spans="1:24" ht="15.6" x14ac:dyDescent="0.3">
      <c r="A528" s="438"/>
      <c r="B528" s="439"/>
      <c r="C528" s="440"/>
      <c r="D528" s="441"/>
      <c r="E528" s="441"/>
      <c r="F528" s="442"/>
      <c r="G528" s="443"/>
      <c r="H528" s="442"/>
      <c r="I528" s="455"/>
      <c r="J528" s="444"/>
      <c r="K528" s="652"/>
      <c r="L528" s="444"/>
      <c r="M528" s="444"/>
      <c r="N528" s="444"/>
      <c r="O528" s="444"/>
      <c r="P528" s="444"/>
      <c r="Q528" s="444"/>
      <c r="R528" s="444"/>
      <c r="S528" s="444"/>
      <c r="T528" s="444"/>
      <c r="U528" s="444"/>
      <c r="V528" s="444"/>
      <c r="W528" s="444"/>
      <c r="X528" s="444"/>
    </row>
    <row r="529" spans="1:24" ht="15.6" x14ac:dyDescent="0.3">
      <c r="A529" s="438"/>
      <c r="B529" s="439"/>
      <c r="C529" s="440"/>
      <c r="D529" s="441"/>
      <c r="E529" s="441"/>
      <c r="F529" s="442"/>
      <c r="G529" s="443"/>
      <c r="H529" s="442"/>
      <c r="I529" s="455"/>
      <c r="J529" s="444"/>
      <c r="K529" s="652"/>
      <c r="L529" s="444"/>
      <c r="M529" s="444"/>
      <c r="N529" s="444"/>
      <c r="O529" s="444"/>
      <c r="P529" s="444"/>
      <c r="Q529" s="444"/>
      <c r="R529" s="444"/>
      <c r="S529" s="444"/>
      <c r="T529" s="444"/>
      <c r="U529" s="444"/>
      <c r="V529" s="444"/>
      <c r="W529" s="444"/>
      <c r="X529" s="444"/>
    </row>
    <row r="530" spans="1:24" ht="15.6" x14ac:dyDescent="0.3">
      <c r="A530" s="438"/>
      <c r="B530" s="439"/>
      <c r="C530" s="440"/>
      <c r="D530" s="441"/>
      <c r="E530" s="441"/>
      <c r="F530" s="442"/>
      <c r="G530" s="443"/>
      <c r="H530" s="442"/>
      <c r="I530" s="455"/>
      <c r="J530" s="444"/>
      <c r="K530" s="652"/>
      <c r="L530" s="444"/>
      <c r="M530" s="444"/>
      <c r="N530" s="444"/>
      <c r="O530" s="444"/>
      <c r="P530" s="444"/>
      <c r="Q530" s="444"/>
      <c r="R530" s="444"/>
      <c r="S530" s="444"/>
      <c r="T530" s="444"/>
      <c r="U530" s="444"/>
      <c r="V530" s="444"/>
      <c r="W530" s="444"/>
      <c r="X530" s="444"/>
    </row>
    <row r="531" spans="1:24" ht="15.6" x14ac:dyDescent="0.3">
      <c r="A531" s="438"/>
      <c r="B531" s="439"/>
      <c r="C531" s="440"/>
      <c r="D531" s="441"/>
      <c r="E531" s="441"/>
      <c r="F531" s="442"/>
      <c r="G531" s="443"/>
      <c r="H531" s="442"/>
      <c r="I531" s="455"/>
      <c r="J531" s="444"/>
      <c r="K531" s="652"/>
      <c r="L531" s="444"/>
      <c r="M531" s="444"/>
      <c r="N531" s="444"/>
      <c r="O531" s="444"/>
      <c r="P531" s="444"/>
      <c r="Q531" s="444"/>
      <c r="R531" s="444"/>
      <c r="S531" s="444"/>
      <c r="T531" s="444"/>
      <c r="U531" s="444"/>
      <c r="V531" s="444"/>
      <c r="W531" s="444"/>
      <c r="X531" s="444"/>
    </row>
    <row r="532" spans="1:24" ht="15.6" x14ac:dyDescent="0.3">
      <c r="A532" s="438"/>
      <c r="B532" s="439"/>
      <c r="C532" s="440"/>
      <c r="D532" s="441"/>
      <c r="E532" s="441"/>
      <c r="F532" s="442"/>
      <c r="G532" s="443"/>
      <c r="H532" s="442"/>
      <c r="I532" s="455"/>
      <c r="J532" s="444"/>
      <c r="K532" s="652"/>
      <c r="L532" s="444"/>
      <c r="M532" s="444"/>
      <c r="N532" s="444"/>
      <c r="O532" s="444"/>
      <c r="P532" s="444"/>
      <c r="Q532" s="444"/>
      <c r="R532" s="444"/>
      <c r="S532" s="444"/>
      <c r="T532" s="444"/>
      <c r="U532" s="444"/>
      <c r="V532" s="444"/>
      <c r="W532" s="444"/>
      <c r="X532" s="444"/>
    </row>
    <row r="533" spans="1:24" ht="15.6" x14ac:dyDescent="0.3">
      <c r="A533" s="438"/>
      <c r="B533" s="439"/>
      <c r="C533" s="440"/>
      <c r="D533" s="441"/>
      <c r="E533" s="441"/>
      <c r="F533" s="442"/>
      <c r="G533" s="443"/>
      <c r="H533" s="442"/>
      <c r="I533" s="455"/>
      <c r="J533" s="444"/>
      <c r="K533" s="652"/>
      <c r="L533" s="444"/>
      <c r="M533" s="444"/>
      <c r="N533" s="444"/>
      <c r="O533" s="444"/>
      <c r="P533" s="444"/>
      <c r="Q533" s="444"/>
      <c r="R533" s="444"/>
      <c r="S533" s="444"/>
      <c r="T533" s="444"/>
      <c r="U533" s="444"/>
      <c r="V533" s="444"/>
      <c r="W533" s="444"/>
      <c r="X533" s="444"/>
    </row>
    <row r="534" spans="1:24" ht="15.6" x14ac:dyDescent="0.3">
      <c r="A534" s="438"/>
      <c r="B534" s="439"/>
      <c r="C534" s="440"/>
      <c r="D534" s="441"/>
      <c r="E534" s="441"/>
      <c r="F534" s="442"/>
      <c r="G534" s="443"/>
      <c r="H534" s="442"/>
      <c r="I534" s="455"/>
      <c r="J534" s="444"/>
      <c r="K534" s="652"/>
      <c r="L534" s="444"/>
      <c r="M534" s="444"/>
      <c r="N534" s="444"/>
      <c r="O534" s="444"/>
      <c r="P534" s="444"/>
      <c r="Q534" s="444"/>
      <c r="R534" s="444"/>
      <c r="S534" s="444"/>
      <c r="T534" s="444"/>
      <c r="U534" s="444"/>
      <c r="V534" s="444"/>
      <c r="W534" s="444"/>
      <c r="X534" s="444"/>
    </row>
    <row r="535" spans="1:24" ht="15.6" x14ac:dyDescent="0.3">
      <c r="A535" s="438"/>
      <c r="B535" s="439"/>
      <c r="C535" s="440"/>
      <c r="D535" s="441"/>
      <c r="E535" s="441"/>
      <c r="F535" s="442"/>
      <c r="G535" s="443"/>
      <c r="H535" s="442"/>
      <c r="I535" s="455"/>
      <c r="J535" s="444"/>
      <c r="K535" s="652"/>
      <c r="L535" s="444"/>
      <c r="M535" s="444"/>
      <c r="N535" s="444"/>
      <c r="O535" s="444"/>
      <c r="P535" s="444"/>
      <c r="Q535" s="444"/>
      <c r="R535" s="444"/>
      <c r="S535" s="444"/>
      <c r="T535" s="444"/>
      <c r="U535" s="444"/>
      <c r="V535" s="444"/>
      <c r="W535" s="444"/>
      <c r="X535" s="444"/>
    </row>
    <row r="536" spans="1:24" ht="15.6" x14ac:dyDescent="0.3">
      <c r="A536" s="438"/>
      <c r="B536" s="439"/>
      <c r="C536" s="440"/>
      <c r="D536" s="441"/>
      <c r="E536" s="441"/>
      <c r="F536" s="442"/>
      <c r="G536" s="443"/>
      <c r="H536" s="442"/>
      <c r="I536" s="455"/>
      <c r="J536" s="444"/>
      <c r="K536" s="652"/>
      <c r="L536" s="444"/>
      <c r="M536" s="444"/>
      <c r="N536" s="444"/>
      <c r="O536" s="444"/>
      <c r="P536" s="444"/>
      <c r="Q536" s="444"/>
      <c r="R536" s="444"/>
      <c r="S536" s="444"/>
      <c r="T536" s="444"/>
      <c r="U536" s="444"/>
      <c r="V536" s="444"/>
      <c r="W536" s="444"/>
      <c r="X536" s="444"/>
    </row>
    <row r="537" spans="1:24" ht="15.6" x14ac:dyDescent="0.3">
      <c r="A537" s="438"/>
      <c r="B537" s="439"/>
      <c r="C537" s="440"/>
      <c r="D537" s="441"/>
      <c r="E537" s="441"/>
      <c r="F537" s="442"/>
      <c r="G537" s="443"/>
      <c r="H537" s="442"/>
      <c r="I537" s="455"/>
      <c r="J537" s="444"/>
      <c r="K537" s="652"/>
      <c r="L537" s="444"/>
      <c r="M537" s="444"/>
      <c r="N537" s="444"/>
      <c r="O537" s="444"/>
      <c r="P537" s="444"/>
      <c r="Q537" s="444"/>
      <c r="R537" s="444"/>
      <c r="S537" s="444"/>
      <c r="T537" s="444"/>
      <c r="U537" s="444"/>
      <c r="V537" s="444"/>
      <c r="W537" s="444"/>
      <c r="X537" s="444"/>
    </row>
    <row r="538" spans="1:24" ht="15.6" x14ac:dyDescent="0.3">
      <c r="A538" s="438"/>
      <c r="B538" s="439"/>
      <c r="C538" s="440"/>
      <c r="D538" s="441"/>
      <c r="E538" s="441"/>
      <c r="F538" s="442"/>
      <c r="G538" s="443"/>
      <c r="H538" s="442"/>
      <c r="I538" s="455"/>
      <c r="J538" s="444"/>
      <c r="K538" s="652"/>
      <c r="L538" s="444"/>
      <c r="M538" s="444"/>
      <c r="N538" s="444"/>
      <c r="O538" s="444"/>
      <c r="P538" s="444"/>
      <c r="Q538" s="444"/>
      <c r="R538" s="444"/>
      <c r="S538" s="444"/>
      <c r="T538" s="444"/>
      <c r="U538" s="444"/>
      <c r="V538" s="444"/>
      <c r="W538" s="444"/>
      <c r="X538" s="444"/>
    </row>
    <row r="539" spans="1:24" ht="15.6" x14ac:dyDescent="0.3">
      <c r="A539" s="438"/>
      <c r="B539" s="439"/>
      <c r="C539" s="440"/>
      <c r="D539" s="441"/>
      <c r="E539" s="441"/>
      <c r="F539" s="442"/>
      <c r="G539" s="443"/>
      <c r="H539" s="442"/>
      <c r="I539" s="455"/>
      <c r="J539" s="444"/>
      <c r="K539" s="652"/>
      <c r="L539" s="444"/>
      <c r="M539" s="444"/>
      <c r="N539" s="444"/>
      <c r="O539" s="444"/>
      <c r="P539" s="444"/>
      <c r="Q539" s="444"/>
      <c r="R539" s="444"/>
      <c r="S539" s="444"/>
      <c r="T539" s="444"/>
      <c r="U539" s="444"/>
      <c r="V539" s="444"/>
      <c r="W539" s="444"/>
      <c r="X539" s="444"/>
    </row>
    <row r="540" spans="1:24" ht="15.6" x14ac:dyDescent="0.3">
      <c r="A540" s="438"/>
      <c r="B540" s="439"/>
      <c r="C540" s="440"/>
      <c r="D540" s="441"/>
      <c r="E540" s="441"/>
      <c r="F540" s="442"/>
      <c r="G540" s="443"/>
      <c r="H540" s="442"/>
      <c r="I540" s="455"/>
      <c r="J540" s="444"/>
      <c r="K540" s="652"/>
      <c r="L540" s="444"/>
      <c r="M540" s="444"/>
      <c r="N540" s="444"/>
      <c r="O540" s="444"/>
      <c r="P540" s="444"/>
      <c r="Q540" s="444"/>
      <c r="R540" s="444"/>
      <c r="S540" s="444"/>
      <c r="T540" s="444"/>
      <c r="U540" s="444"/>
      <c r="V540" s="444"/>
      <c r="W540" s="444"/>
      <c r="X540" s="444"/>
    </row>
    <row r="541" spans="1:24" ht="15.6" x14ac:dyDescent="0.3">
      <c r="A541" s="438"/>
      <c r="B541" s="439"/>
      <c r="C541" s="440"/>
      <c r="D541" s="441"/>
      <c r="E541" s="441"/>
      <c r="F541" s="442"/>
      <c r="G541" s="443"/>
      <c r="H541" s="442"/>
      <c r="I541" s="455"/>
      <c r="J541" s="444"/>
      <c r="K541" s="652"/>
      <c r="L541" s="444"/>
      <c r="M541" s="444"/>
      <c r="N541" s="444"/>
      <c r="O541" s="444"/>
      <c r="P541" s="444"/>
      <c r="Q541" s="444"/>
      <c r="R541" s="444"/>
      <c r="S541" s="444"/>
      <c r="T541" s="444"/>
      <c r="U541" s="444"/>
      <c r="V541" s="444"/>
      <c r="W541" s="444"/>
      <c r="X541" s="444"/>
    </row>
    <row r="542" spans="1:24" ht="15.6" x14ac:dyDescent="0.3">
      <c r="A542" s="438"/>
      <c r="B542" s="439"/>
      <c r="C542" s="440"/>
      <c r="D542" s="441"/>
      <c r="E542" s="441"/>
      <c r="F542" s="442"/>
      <c r="G542" s="443"/>
      <c r="H542" s="442"/>
      <c r="I542" s="455"/>
      <c r="J542" s="444"/>
      <c r="K542" s="652"/>
      <c r="L542" s="444"/>
      <c r="M542" s="444"/>
      <c r="N542" s="444"/>
      <c r="O542" s="444"/>
      <c r="P542" s="444"/>
      <c r="Q542" s="444"/>
      <c r="R542" s="444"/>
      <c r="S542" s="444"/>
      <c r="T542" s="444"/>
      <c r="U542" s="444"/>
      <c r="V542" s="444"/>
      <c r="W542" s="444"/>
      <c r="X542" s="444"/>
    </row>
    <row r="543" spans="1:24" ht="15.6" x14ac:dyDescent="0.3">
      <c r="A543" s="438"/>
      <c r="B543" s="439"/>
      <c r="C543" s="440"/>
      <c r="D543" s="441"/>
      <c r="E543" s="441"/>
      <c r="F543" s="442"/>
      <c r="G543" s="443"/>
      <c r="H543" s="442"/>
      <c r="I543" s="455"/>
      <c r="J543" s="444"/>
      <c r="K543" s="652"/>
      <c r="L543" s="444"/>
      <c r="M543" s="444"/>
      <c r="N543" s="444"/>
      <c r="O543" s="444"/>
      <c r="P543" s="444"/>
      <c r="Q543" s="444"/>
      <c r="R543" s="444"/>
      <c r="S543" s="444"/>
      <c r="T543" s="444"/>
      <c r="U543" s="444"/>
      <c r="V543" s="444"/>
      <c r="W543" s="444"/>
      <c r="X543" s="444"/>
    </row>
    <row r="544" spans="1:24" ht="15.6" x14ac:dyDescent="0.3">
      <c r="A544" s="438"/>
      <c r="B544" s="439"/>
      <c r="C544" s="440"/>
      <c r="D544" s="441"/>
      <c r="E544" s="441"/>
      <c r="F544" s="442"/>
      <c r="G544" s="443"/>
      <c r="H544" s="442"/>
      <c r="I544" s="455"/>
      <c r="J544" s="444"/>
      <c r="K544" s="652"/>
      <c r="L544" s="444"/>
      <c r="M544" s="444"/>
      <c r="N544" s="444"/>
      <c r="O544" s="444"/>
      <c r="P544" s="444"/>
      <c r="Q544" s="444"/>
      <c r="R544" s="444"/>
      <c r="S544" s="444"/>
      <c r="T544" s="444"/>
      <c r="U544" s="444"/>
      <c r="V544" s="444"/>
      <c r="W544" s="444"/>
      <c r="X544" s="444"/>
    </row>
    <row r="545" spans="1:24" ht="15.6" x14ac:dyDescent="0.3">
      <c r="A545" s="438"/>
      <c r="B545" s="439"/>
      <c r="C545" s="440"/>
      <c r="D545" s="441"/>
      <c r="E545" s="441"/>
      <c r="F545" s="442"/>
      <c r="G545" s="443"/>
      <c r="H545" s="442"/>
      <c r="I545" s="455"/>
      <c r="J545" s="444"/>
      <c r="K545" s="652"/>
      <c r="L545" s="444"/>
      <c r="M545" s="444"/>
      <c r="N545" s="444"/>
      <c r="O545" s="444"/>
      <c r="P545" s="444"/>
      <c r="Q545" s="444"/>
      <c r="R545" s="444"/>
      <c r="S545" s="444"/>
      <c r="T545" s="444"/>
      <c r="U545" s="444"/>
      <c r="V545" s="444"/>
      <c r="W545" s="444"/>
      <c r="X545" s="444"/>
    </row>
    <row r="546" spans="1:24" ht="15.6" x14ac:dyDescent="0.3">
      <c r="A546" s="438"/>
      <c r="B546" s="439"/>
      <c r="C546" s="440"/>
      <c r="D546" s="441"/>
      <c r="E546" s="441"/>
      <c r="F546" s="442"/>
      <c r="G546" s="443"/>
      <c r="H546" s="442"/>
      <c r="I546" s="455"/>
      <c r="J546" s="444"/>
      <c r="K546" s="652"/>
      <c r="L546" s="444"/>
      <c r="M546" s="444"/>
      <c r="N546" s="444"/>
      <c r="O546" s="444"/>
      <c r="P546" s="444"/>
      <c r="Q546" s="444"/>
      <c r="R546" s="444"/>
      <c r="S546" s="444"/>
      <c r="T546" s="444"/>
      <c r="U546" s="444"/>
      <c r="V546" s="444"/>
      <c r="W546" s="444"/>
      <c r="X546" s="444"/>
    </row>
    <row r="547" spans="1:24" ht="15.6" x14ac:dyDescent="0.3">
      <c r="A547" s="438"/>
      <c r="B547" s="439"/>
      <c r="C547" s="440"/>
      <c r="D547" s="441"/>
      <c r="E547" s="441"/>
      <c r="F547" s="442"/>
      <c r="G547" s="443"/>
      <c r="H547" s="442"/>
      <c r="I547" s="455"/>
      <c r="J547" s="444"/>
      <c r="K547" s="652"/>
      <c r="L547" s="444"/>
      <c r="M547" s="444"/>
      <c r="N547" s="444"/>
      <c r="O547" s="444"/>
      <c r="P547" s="444"/>
      <c r="Q547" s="444"/>
      <c r="R547" s="444"/>
      <c r="S547" s="444"/>
      <c r="T547" s="444"/>
      <c r="U547" s="444"/>
      <c r="V547" s="444"/>
      <c r="W547" s="444"/>
      <c r="X547" s="444"/>
    </row>
    <row r="548" spans="1:24" ht="15.6" x14ac:dyDescent="0.3">
      <c r="A548" s="438"/>
      <c r="B548" s="439"/>
      <c r="C548" s="440"/>
      <c r="D548" s="441"/>
      <c r="E548" s="441"/>
      <c r="F548" s="442"/>
      <c r="G548" s="443"/>
      <c r="H548" s="442"/>
      <c r="I548" s="455"/>
      <c r="J548" s="444"/>
      <c r="K548" s="652"/>
      <c r="L548" s="444"/>
      <c r="M548" s="444"/>
      <c r="N548" s="444"/>
      <c r="O548" s="444"/>
      <c r="P548" s="444"/>
      <c r="Q548" s="444"/>
      <c r="R548" s="444"/>
      <c r="S548" s="444"/>
      <c r="T548" s="444"/>
      <c r="U548" s="444"/>
      <c r="V548" s="444"/>
      <c r="W548" s="444"/>
      <c r="X548" s="444"/>
    </row>
    <row r="549" spans="1:24" ht="15.6" x14ac:dyDescent="0.3">
      <c r="A549" s="438"/>
      <c r="B549" s="439"/>
      <c r="C549" s="440"/>
      <c r="D549" s="441"/>
      <c r="E549" s="441"/>
      <c r="F549" s="442"/>
      <c r="G549" s="443"/>
      <c r="H549" s="442"/>
      <c r="I549" s="455"/>
      <c r="J549" s="444"/>
      <c r="K549" s="652"/>
      <c r="L549" s="444"/>
      <c r="M549" s="444"/>
      <c r="N549" s="444"/>
      <c r="O549" s="444"/>
      <c r="P549" s="444"/>
      <c r="Q549" s="444"/>
      <c r="R549" s="444"/>
      <c r="S549" s="444"/>
      <c r="T549" s="444"/>
      <c r="U549" s="444"/>
      <c r="V549" s="444"/>
      <c r="W549" s="444"/>
      <c r="X549" s="444"/>
    </row>
    <row r="550" spans="1:24" ht="15.6" x14ac:dyDescent="0.3">
      <c r="A550" s="438"/>
      <c r="B550" s="439"/>
      <c r="C550" s="440"/>
      <c r="D550" s="441"/>
      <c r="E550" s="441"/>
      <c r="F550" s="442"/>
      <c r="G550" s="443"/>
      <c r="H550" s="442"/>
      <c r="I550" s="455"/>
      <c r="J550" s="444"/>
      <c r="K550" s="652"/>
      <c r="L550" s="444"/>
      <c r="M550" s="444"/>
      <c r="N550" s="444"/>
      <c r="O550" s="444"/>
      <c r="P550" s="444"/>
      <c r="Q550" s="444"/>
      <c r="R550" s="444"/>
      <c r="S550" s="444"/>
      <c r="T550" s="444"/>
      <c r="U550" s="444"/>
      <c r="V550" s="444"/>
      <c r="W550" s="444"/>
      <c r="X550" s="444"/>
    </row>
    <row r="551" spans="1:24" ht="15.6" x14ac:dyDescent="0.3">
      <c r="A551" s="438"/>
      <c r="B551" s="439"/>
      <c r="C551" s="440"/>
      <c r="D551" s="441"/>
      <c r="E551" s="441"/>
      <c r="F551" s="442"/>
      <c r="G551" s="443"/>
      <c r="H551" s="442"/>
      <c r="I551" s="455"/>
      <c r="J551" s="444"/>
      <c r="K551" s="652"/>
      <c r="L551" s="444"/>
      <c r="M551" s="444"/>
      <c r="N551" s="444"/>
      <c r="O551" s="444"/>
      <c r="P551" s="444"/>
      <c r="Q551" s="444"/>
      <c r="R551" s="444"/>
      <c r="S551" s="444"/>
      <c r="T551" s="444"/>
      <c r="U551" s="444"/>
      <c r="V551" s="444"/>
      <c r="W551" s="444"/>
      <c r="X551" s="444"/>
    </row>
    <row r="552" spans="1:24" ht="15.6" x14ac:dyDescent="0.3">
      <c r="A552" s="438"/>
      <c r="B552" s="439"/>
      <c r="C552" s="440"/>
      <c r="D552" s="441"/>
      <c r="E552" s="441"/>
      <c r="F552" s="442"/>
      <c r="G552" s="443"/>
      <c r="H552" s="442"/>
      <c r="I552" s="455"/>
      <c r="J552" s="444"/>
      <c r="K552" s="652"/>
      <c r="L552" s="444"/>
      <c r="M552" s="444"/>
      <c r="N552" s="444"/>
      <c r="O552" s="444"/>
      <c r="P552" s="444"/>
      <c r="Q552" s="444"/>
      <c r="R552" s="444"/>
      <c r="S552" s="444"/>
      <c r="T552" s="444"/>
      <c r="U552" s="444"/>
      <c r="V552" s="444"/>
      <c r="W552" s="444"/>
      <c r="X552" s="444"/>
    </row>
    <row r="553" spans="1:24" ht="15.6" x14ac:dyDescent="0.3">
      <c r="A553" s="438"/>
      <c r="B553" s="439"/>
      <c r="C553" s="440"/>
      <c r="D553" s="441"/>
      <c r="E553" s="441"/>
      <c r="F553" s="442"/>
      <c r="G553" s="443"/>
      <c r="H553" s="442"/>
      <c r="I553" s="455"/>
      <c r="J553" s="444"/>
      <c r="K553" s="652"/>
      <c r="L553" s="444"/>
      <c r="M553" s="444"/>
      <c r="N553" s="444"/>
      <c r="O553" s="444"/>
      <c r="P553" s="444"/>
      <c r="Q553" s="444"/>
      <c r="R553" s="444"/>
      <c r="S553" s="444"/>
      <c r="T553" s="444"/>
      <c r="U553" s="444"/>
      <c r="V553" s="444"/>
      <c r="W553" s="444"/>
      <c r="X553" s="444"/>
    </row>
    <row r="554" spans="1:24" ht="15.6" x14ac:dyDescent="0.3">
      <c r="A554" s="438"/>
      <c r="B554" s="439"/>
      <c r="C554" s="440"/>
      <c r="D554" s="441"/>
      <c r="E554" s="441"/>
      <c r="F554" s="442"/>
      <c r="G554" s="443"/>
      <c r="H554" s="442"/>
      <c r="I554" s="455"/>
      <c r="J554" s="444"/>
      <c r="K554" s="652"/>
      <c r="L554" s="444"/>
      <c r="M554" s="444"/>
      <c r="N554" s="444"/>
      <c r="O554" s="444"/>
      <c r="P554" s="444"/>
      <c r="Q554" s="444"/>
      <c r="R554" s="444"/>
      <c r="S554" s="444"/>
      <c r="T554" s="444"/>
      <c r="U554" s="444"/>
      <c r="V554" s="444"/>
      <c r="W554" s="444"/>
      <c r="X554" s="444"/>
    </row>
    <row r="555" spans="1:24" ht="15.6" x14ac:dyDescent="0.3">
      <c r="A555" s="438"/>
      <c r="B555" s="439"/>
      <c r="C555" s="440"/>
      <c r="D555" s="441"/>
      <c r="E555" s="441"/>
      <c r="F555" s="442"/>
      <c r="G555" s="443"/>
      <c r="H555" s="442"/>
      <c r="I555" s="455"/>
      <c r="J555" s="444"/>
      <c r="K555" s="652"/>
      <c r="L555" s="444"/>
      <c r="M555" s="444"/>
      <c r="N555" s="444"/>
      <c r="O555" s="444"/>
      <c r="P555" s="444"/>
      <c r="Q555" s="444"/>
      <c r="R555" s="444"/>
      <c r="S555" s="444"/>
      <c r="T555" s="444"/>
      <c r="U555" s="444"/>
      <c r="V555" s="444"/>
      <c r="W555" s="444"/>
      <c r="X555" s="444"/>
    </row>
    <row r="556" spans="1:24" ht="15.6" x14ac:dyDescent="0.3">
      <c r="A556" s="438"/>
      <c r="B556" s="439"/>
      <c r="C556" s="440"/>
      <c r="D556" s="441"/>
      <c r="E556" s="441"/>
      <c r="F556" s="442"/>
      <c r="G556" s="443"/>
      <c r="H556" s="442"/>
      <c r="I556" s="455"/>
      <c r="J556" s="444"/>
      <c r="K556" s="652"/>
      <c r="L556" s="444"/>
      <c r="M556" s="444"/>
      <c r="N556" s="444"/>
      <c r="O556" s="444"/>
      <c r="P556" s="444"/>
      <c r="Q556" s="444"/>
      <c r="R556" s="444"/>
      <c r="S556" s="444"/>
      <c r="T556" s="444"/>
      <c r="U556" s="444"/>
      <c r="V556" s="444"/>
      <c r="W556" s="444"/>
      <c r="X556" s="444"/>
    </row>
    <row r="557" spans="1:24" ht="15.6" x14ac:dyDescent="0.3">
      <c r="A557" s="438"/>
      <c r="B557" s="439"/>
      <c r="C557" s="440"/>
      <c r="D557" s="441"/>
      <c r="E557" s="441"/>
      <c r="F557" s="442"/>
      <c r="G557" s="443"/>
      <c r="H557" s="442"/>
      <c r="I557" s="455"/>
      <c r="J557" s="444"/>
      <c r="K557" s="652"/>
      <c r="L557" s="444"/>
      <c r="M557" s="444"/>
      <c r="N557" s="444"/>
      <c r="O557" s="444"/>
      <c r="P557" s="444"/>
      <c r="Q557" s="444"/>
      <c r="R557" s="444"/>
      <c r="S557" s="444"/>
      <c r="T557" s="444"/>
      <c r="U557" s="444"/>
      <c r="V557" s="444"/>
      <c r="W557" s="444"/>
      <c r="X557" s="444"/>
    </row>
    <row r="558" spans="1:24" ht="15.6" x14ac:dyDescent="0.3">
      <c r="A558" s="438"/>
      <c r="B558" s="439"/>
      <c r="C558" s="440"/>
      <c r="D558" s="441"/>
      <c r="E558" s="441"/>
      <c r="F558" s="442"/>
      <c r="G558" s="443"/>
      <c r="H558" s="442"/>
      <c r="I558" s="455"/>
      <c r="J558" s="444"/>
      <c r="K558" s="652"/>
      <c r="L558" s="444"/>
      <c r="M558" s="444"/>
      <c r="N558" s="444"/>
      <c r="O558" s="444"/>
      <c r="P558" s="444"/>
      <c r="Q558" s="444"/>
      <c r="R558" s="444"/>
      <c r="S558" s="444"/>
      <c r="T558" s="444"/>
      <c r="U558" s="444"/>
      <c r="V558" s="444"/>
      <c r="W558" s="444"/>
      <c r="X558" s="444"/>
    </row>
    <row r="559" spans="1:24" ht="15.6" x14ac:dyDescent="0.3">
      <c r="A559" s="438"/>
      <c r="B559" s="439"/>
      <c r="C559" s="440"/>
      <c r="D559" s="441"/>
      <c r="E559" s="441"/>
      <c r="F559" s="442"/>
      <c r="G559" s="443"/>
      <c r="H559" s="442"/>
      <c r="I559" s="455"/>
      <c r="J559" s="444"/>
      <c r="K559" s="652"/>
      <c r="L559" s="444"/>
      <c r="M559" s="444"/>
      <c r="N559" s="444"/>
      <c r="O559" s="444"/>
      <c r="P559" s="444"/>
      <c r="Q559" s="444"/>
      <c r="R559" s="444"/>
      <c r="S559" s="444"/>
      <c r="T559" s="444"/>
      <c r="U559" s="444"/>
      <c r="V559" s="444"/>
      <c r="W559" s="444"/>
      <c r="X559" s="444"/>
    </row>
    <row r="560" spans="1:24" ht="15.6" x14ac:dyDescent="0.3">
      <c r="A560" s="438"/>
      <c r="B560" s="439"/>
      <c r="C560" s="440"/>
      <c r="D560" s="441"/>
      <c r="E560" s="441"/>
      <c r="F560" s="442"/>
      <c r="G560" s="443"/>
      <c r="H560" s="442"/>
      <c r="I560" s="455"/>
      <c r="J560" s="444"/>
      <c r="K560" s="652"/>
      <c r="L560" s="444"/>
      <c r="M560" s="444"/>
      <c r="N560" s="444"/>
      <c r="O560" s="444"/>
      <c r="P560" s="444"/>
      <c r="Q560" s="444"/>
      <c r="R560" s="444"/>
      <c r="S560" s="444"/>
      <c r="T560" s="444"/>
      <c r="U560" s="444"/>
      <c r="V560" s="444"/>
      <c r="W560" s="444"/>
      <c r="X560" s="444"/>
    </row>
    <row r="561" spans="1:24" ht="15.6" x14ac:dyDescent="0.3">
      <c r="A561" s="438"/>
      <c r="B561" s="439"/>
      <c r="C561" s="440"/>
      <c r="D561" s="441"/>
      <c r="E561" s="441"/>
      <c r="F561" s="442"/>
      <c r="G561" s="443"/>
      <c r="H561" s="442"/>
      <c r="I561" s="455"/>
      <c r="J561" s="444"/>
      <c r="K561" s="652"/>
      <c r="L561" s="444"/>
      <c r="M561" s="444"/>
      <c r="N561" s="444"/>
      <c r="O561" s="444"/>
      <c r="P561" s="444"/>
      <c r="Q561" s="444"/>
      <c r="R561" s="444"/>
      <c r="S561" s="444"/>
      <c r="T561" s="444"/>
      <c r="U561" s="444"/>
      <c r="V561" s="444"/>
      <c r="W561" s="444"/>
      <c r="X561" s="444"/>
    </row>
    <row r="562" spans="1:24" ht="15.6" x14ac:dyDescent="0.3">
      <c r="A562" s="438"/>
      <c r="B562" s="439"/>
      <c r="C562" s="440"/>
      <c r="D562" s="441"/>
      <c r="E562" s="441"/>
      <c r="F562" s="442"/>
      <c r="G562" s="443"/>
      <c r="H562" s="442"/>
      <c r="I562" s="455"/>
      <c r="J562" s="444"/>
      <c r="K562" s="652"/>
      <c r="L562" s="444"/>
      <c r="M562" s="444"/>
      <c r="N562" s="444"/>
      <c r="O562" s="444"/>
      <c r="P562" s="444"/>
      <c r="Q562" s="444"/>
      <c r="R562" s="444"/>
      <c r="S562" s="444"/>
      <c r="T562" s="444"/>
      <c r="U562" s="444"/>
      <c r="V562" s="444"/>
      <c r="W562" s="444"/>
      <c r="X562" s="444"/>
    </row>
    <row r="563" spans="1:24" ht="15.6" x14ac:dyDescent="0.3">
      <c r="A563" s="438"/>
      <c r="B563" s="439"/>
      <c r="C563" s="440"/>
      <c r="D563" s="441"/>
      <c r="E563" s="441"/>
      <c r="F563" s="442"/>
      <c r="G563" s="443"/>
      <c r="H563" s="442"/>
      <c r="I563" s="455"/>
      <c r="J563" s="444"/>
      <c r="K563" s="652"/>
      <c r="L563" s="444"/>
      <c r="M563" s="444"/>
      <c r="N563" s="444"/>
      <c r="O563" s="444"/>
      <c r="P563" s="444"/>
      <c r="Q563" s="444"/>
      <c r="R563" s="444"/>
      <c r="S563" s="444"/>
      <c r="T563" s="444"/>
      <c r="U563" s="444"/>
      <c r="V563" s="444"/>
      <c r="W563" s="444"/>
      <c r="X563" s="444"/>
    </row>
    <row r="564" spans="1:24" ht="15.6" x14ac:dyDescent="0.3">
      <c r="A564" s="438"/>
      <c r="B564" s="439"/>
      <c r="C564" s="440"/>
      <c r="D564" s="441"/>
      <c r="E564" s="441"/>
      <c r="F564" s="442"/>
      <c r="G564" s="443"/>
      <c r="H564" s="442"/>
      <c r="I564" s="455"/>
      <c r="J564" s="444"/>
      <c r="K564" s="652"/>
      <c r="L564" s="444"/>
      <c r="M564" s="444"/>
      <c r="N564" s="444"/>
      <c r="O564" s="444"/>
      <c r="P564" s="444"/>
      <c r="Q564" s="444"/>
      <c r="R564" s="444"/>
      <c r="S564" s="444"/>
      <c r="T564" s="444"/>
      <c r="U564" s="444"/>
      <c r="V564" s="444"/>
      <c r="W564" s="444"/>
      <c r="X564" s="444"/>
    </row>
    <row r="565" spans="1:24" ht="15.6" x14ac:dyDescent="0.3">
      <c r="A565" s="438"/>
      <c r="B565" s="439"/>
      <c r="C565" s="440"/>
      <c r="D565" s="441"/>
      <c r="E565" s="441"/>
      <c r="F565" s="442"/>
      <c r="G565" s="443"/>
      <c r="H565" s="442"/>
      <c r="I565" s="455"/>
      <c r="J565" s="444"/>
      <c r="K565" s="652"/>
      <c r="L565" s="444"/>
      <c r="M565" s="444"/>
      <c r="N565" s="444"/>
      <c r="O565" s="444"/>
      <c r="P565" s="444"/>
      <c r="Q565" s="444"/>
      <c r="R565" s="444"/>
      <c r="S565" s="444"/>
      <c r="T565" s="444"/>
      <c r="U565" s="444"/>
      <c r="V565" s="444"/>
      <c r="W565" s="444"/>
      <c r="X565" s="444"/>
    </row>
    <row r="566" spans="1:24" ht="15.6" x14ac:dyDescent="0.3">
      <c r="A566" s="438"/>
      <c r="B566" s="439"/>
      <c r="C566" s="440"/>
      <c r="D566" s="441"/>
      <c r="E566" s="441"/>
      <c r="F566" s="442"/>
      <c r="G566" s="443"/>
      <c r="H566" s="442"/>
      <c r="I566" s="455"/>
      <c r="J566" s="444"/>
      <c r="K566" s="652"/>
      <c r="L566" s="444"/>
      <c r="M566" s="444"/>
      <c r="N566" s="444"/>
      <c r="O566" s="444"/>
      <c r="P566" s="444"/>
      <c r="Q566" s="444"/>
      <c r="R566" s="444"/>
      <c r="S566" s="444"/>
      <c r="T566" s="444"/>
      <c r="U566" s="444"/>
      <c r="V566" s="444"/>
      <c r="W566" s="444"/>
      <c r="X566" s="444"/>
    </row>
    <row r="567" spans="1:24" ht="15.6" x14ac:dyDescent="0.3">
      <c r="A567" s="438"/>
      <c r="B567" s="439"/>
      <c r="C567" s="440"/>
      <c r="D567" s="441"/>
      <c r="E567" s="441"/>
      <c r="F567" s="442"/>
      <c r="G567" s="443"/>
      <c r="H567" s="442"/>
      <c r="I567" s="455"/>
      <c r="J567" s="444"/>
      <c r="K567" s="652"/>
      <c r="L567" s="444"/>
      <c r="M567" s="444"/>
      <c r="N567" s="444"/>
      <c r="O567" s="444"/>
      <c r="P567" s="444"/>
      <c r="Q567" s="444"/>
      <c r="R567" s="444"/>
      <c r="S567" s="444"/>
      <c r="T567" s="444"/>
      <c r="U567" s="444"/>
      <c r="V567" s="444"/>
      <c r="W567" s="444"/>
      <c r="X567" s="444"/>
    </row>
    <row r="568" spans="1:24" ht="15.6" x14ac:dyDescent="0.3">
      <c r="A568" s="438"/>
      <c r="B568" s="439"/>
      <c r="C568" s="440"/>
      <c r="D568" s="441"/>
      <c r="E568" s="441"/>
      <c r="F568" s="442"/>
      <c r="G568" s="443"/>
      <c r="H568" s="442"/>
      <c r="I568" s="455"/>
      <c r="J568" s="444"/>
      <c r="K568" s="652"/>
      <c r="L568" s="444"/>
      <c r="M568" s="444"/>
      <c r="N568" s="444"/>
      <c r="O568" s="444"/>
      <c r="P568" s="444"/>
      <c r="Q568" s="444"/>
      <c r="R568" s="444"/>
      <c r="S568" s="444"/>
      <c r="T568" s="444"/>
      <c r="U568" s="444"/>
      <c r="V568" s="444"/>
      <c r="W568" s="444"/>
      <c r="X568" s="444"/>
    </row>
    <row r="569" spans="1:24" ht="15.6" x14ac:dyDescent="0.3">
      <c r="A569" s="438"/>
      <c r="B569" s="439"/>
      <c r="C569" s="440"/>
      <c r="D569" s="441"/>
      <c r="E569" s="441"/>
      <c r="F569" s="442"/>
      <c r="G569" s="443"/>
      <c r="H569" s="442"/>
      <c r="I569" s="455"/>
      <c r="J569" s="444"/>
      <c r="K569" s="652"/>
      <c r="L569" s="444"/>
      <c r="M569" s="444"/>
      <c r="N569" s="444"/>
      <c r="O569" s="444"/>
      <c r="P569" s="444"/>
      <c r="Q569" s="444"/>
      <c r="R569" s="444"/>
      <c r="S569" s="444"/>
      <c r="T569" s="444"/>
      <c r="U569" s="444"/>
      <c r="V569" s="444"/>
      <c r="W569" s="444"/>
      <c r="X569" s="444"/>
    </row>
    <row r="570" spans="1:24" ht="15.6" x14ac:dyDescent="0.3">
      <c r="A570" s="438"/>
      <c r="B570" s="439"/>
      <c r="C570" s="440"/>
      <c r="D570" s="441"/>
      <c r="E570" s="441"/>
      <c r="F570" s="442"/>
      <c r="G570" s="443"/>
      <c r="H570" s="442"/>
      <c r="I570" s="455"/>
      <c r="J570" s="444"/>
      <c r="K570" s="652"/>
      <c r="L570" s="444"/>
      <c r="M570" s="444"/>
      <c r="N570" s="444"/>
      <c r="O570" s="444"/>
      <c r="P570" s="444"/>
      <c r="Q570" s="444"/>
      <c r="R570" s="444"/>
      <c r="S570" s="444"/>
      <c r="T570" s="444"/>
      <c r="U570" s="444"/>
      <c r="V570" s="444"/>
      <c r="W570" s="444"/>
      <c r="X570" s="444"/>
    </row>
    <row r="571" spans="1:24" ht="15.6" x14ac:dyDescent="0.3">
      <c r="A571" s="438"/>
      <c r="B571" s="439"/>
      <c r="C571" s="440"/>
      <c r="D571" s="441"/>
      <c r="E571" s="441"/>
      <c r="F571" s="442"/>
      <c r="G571" s="443"/>
      <c r="H571" s="442"/>
      <c r="I571" s="455"/>
      <c r="J571" s="444"/>
      <c r="K571" s="652"/>
      <c r="L571" s="444"/>
      <c r="M571" s="444"/>
      <c r="N571" s="444"/>
      <c r="O571" s="444"/>
      <c r="P571" s="444"/>
      <c r="Q571" s="444"/>
      <c r="R571" s="444"/>
      <c r="S571" s="444"/>
      <c r="T571" s="444"/>
      <c r="U571" s="444"/>
      <c r="V571" s="444"/>
      <c r="W571" s="444"/>
      <c r="X571" s="444"/>
    </row>
    <row r="572" spans="1:24" ht="15.6" x14ac:dyDescent="0.3">
      <c r="A572" s="438"/>
      <c r="B572" s="439"/>
      <c r="C572" s="440"/>
      <c r="D572" s="441"/>
      <c r="E572" s="441"/>
      <c r="F572" s="442"/>
      <c r="G572" s="443"/>
      <c r="H572" s="442"/>
      <c r="I572" s="455"/>
      <c r="J572" s="444"/>
      <c r="K572" s="652"/>
      <c r="L572" s="444"/>
      <c r="M572" s="444"/>
      <c r="N572" s="444"/>
      <c r="O572" s="444"/>
      <c r="P572" s="444"/>
      <c r="Q572" s="444"/>
      <c r="R572" s="444"/>
      <c r="S572" s="444"/>
      <c r="T572" s="444"/>
      <c r="U572" s="444"/>
      <c r="V572" s="444"/>
      <c r="W572" s="444"/>
      <c r="X572" s="444"/>
    </row>
    <row r="573" spans="1:24" ht="15.6" x14ac:dyDescent="0.3">
      <c r="A573" s="438"/>
      <c r="B573" s="439"/>
      <c r="C573" s="440"/>
      <c r="D573" s="441"/>
      <c r="E573" s="441"/>
      <c r="F573" s="442"/>
      <c r="G573" s="443"/>
      <c r="H573" s="442"/>
      <c r="I573" s="455"/>
      <c r="J573" s="444"/>
      <c r="K573" s="652"/>
      <c r="L573" s="444"/>
      <c r="M573" s="444"/>
      <c r="N573" s="444"/>
      <c r="O573" s="444"/>
      <c r="P573" s="444"/>
      <c r="Q573" s="444"/>
      <c r="R573" s="444"/>
      <c r="S573" s="444"/>
      <c r="T573" s="444"/>
      <c r="U573" s="444"/>
      <c r="V573" s="444"/>
      <c r="W573" s="444"/>
      <c r="X573" s="444"/>
    </row>
    <row r="574" spans="1:24" ht="15.6" x14ac:dyDescent="0.3">
      <c r="A574" s="438"/>
      <c r="B574" s="439"/>
      <c r="C574" s="440"/>
      <c r="D574" s="441"/>
      <c r="E574" s="441"/>
      <c r="F574" s="442"/>
      <c r="G574" s="443"/>
      <c r="H574" s="442"/>
      <c r="I574" s="455"/>
      <c r="J574" s="444"/>
      <c r="K574" s="652"/>
      <c r="L574" s="444"/>
      <c r="M574" s="444"/>
      <c r="N574" s="444"/>
      <c r="O574" s="444"/>
      <c r="P574" s="444"/>
      <c r="Q574" s="444"/>
      <c r="R574" s="444"/>
      <c r="S574" s="444"/>
      <c r="T574" s="444"/>
      <c r="U574" s="444"/>
      <c r="V574" s="444"/>
      <c r="W574" s="444"/>
      <c r="X574" s="444"/>
    </row>
    <row r="575" spans="1:24" ht="15.6" x14ac:dyDescent="0.3">
      <c r="A575" s="438"/>
      <c r="B575" s="439"/>
      <c r="C575" s="440"/>
      <c r="D575" s="441"/>
      <c r="E575" s="441"/>
      <c r="F575" s="442"/>
      <c r="G575" s="443"/>
      <c r="H575" s="442"/>
      <c r="I575" s="455"/>
      <c r="J575" s="444"/>
      <c r="K575" s="652"/>
      <c r="L575" s="444"/>
      <c r="M575" s="444"/>
      <c r="N575" s="444"/>
      <c r="O575" s="444"/>
      <c r="P575" s="444"/>
      <c r="Q575" s="444"/>
      <c r="R575" s="444"/>
      <c r="S575" s="444"/>
      <c r="T575" s="444"/>
      <c r="U575" s="444"/>
      <c r="V575" s="444"/>
      <c r="W575" s="444"/>
      <c r="X575" s="444"/>
    </row>
    <row r="576" spans="1:24" ht="15.6" x14ac:dyDescent="0.3">
      <c r="A576" s="438"/>
      <c r="B576" s="439"/>
      <c r="C576" s="440"/>
      <c r="D576" s="441"/>
      <c r="E576" s="441"/>
      <c r="F576" s="442"/>
      <c r="G576" s="443"/>
      <c r="H576" s="442"/>
      <c r="I576" s="455"/>
      <c r="J576" s="444"/>
      <c r="K576" s="652"/>
      <c r="L576" s="444"/>
      <c r="M576" s="444"/>
      <c r="N576" s="444"/>
      <c r="O576" s="444"/>
      <c r="P576" s="444"/>
      <c r="Q576" s="444"/>
      <c r="R576" s="444"/>
      <c r="S576" s="444"/>
      <c r="T576" s="444"/>
      <c r="U576" s="444"/>
      <c r="V576" s="444"/>
      <c r="W576" s="444"/>
      <c r="X576" s="444"/>
    </row>
    <row r="577" spans="1:24" ht="15.6" x14ac:dyDescent="0.3">
      <c r="A577" s="438"/>
      <c r="B577" s="439"/>
      <c r="C577" s="440"/>
      <c r="D577" s="441"/>
      <c r="E577" s="441"/>
      <c r="F577" s="442"/>
      <c r="G577" s="443"/>
      <c r="H577" s="442"/>
      <c r="I577" s="455"/>
      <c r="J577" s="444"/>
      <c r="K577" s="652"/>
      <c r="L577" s="444"/>
      <c r="M577" s="444"/>
      <c r="N577" s="444"/>
      <c r="O577" s="444"/>
      <c r="P577" s="444"/>
      <c r="Q577" s="444"/>
      <c r="R577" s="444"/>
      <c r="S577" s="444"/>
      <c r="T577" s="444"/>
      <c r="U577" s="444"/>
      <c r="V577" s="444"/>
      <c r="W577" s="444"/>
      <c r="X577" s="444"/>
    </row>
    <row r="578" spans="1:24" ht="15.6" x14ac:dyDescent="0.3">
      <c r="A578" s="438"/>
      <c r="B578" s="439"/>
      <c r="C578" s="440"/>
      <c r="D578" s="441"/>
      <c r="E578" s="441"/>
      <c r="F578" s="442"/>
      <c r="G578" s="443"/>
      <c r="H578" s="442"/>
      <c r="I578" s="455"/>
      <c r="J578" s="444"/>
      <c r="K578" s="652"/>
      <c r="L578" s="444"/>
      <c r="M578" s="444"/>
      <c r="N578" s="444"/>
      <c r="O578" s="444"/>
      <c r="P578" s="444"/>
      <c r="Q578" s="444"/>
      <c r="R578" s="444"/>
      <c r="S578" s="444"/>
      <c r="T578" s="444"/>
      <c r="U578" s="444"/>
      <c r="V578" s="444"/>
      <c r="W578" s="444"/>
      <c r="X578" s="444"/>
    </row>
    <row r="579" spans="1:24" ht="15.6" x14ac:dyDescent="0.3">
      <c r="A579" s="438"/>
      <c r="B579" s="439"/>
      <c r="C579" s="440"/>
      <c r="D579" s="441"/>
      <c r="E579" s="441"/>
      <c r="F579" s="442"/>
      <c r="G579" s="443"/>
      <c r="H579" s="442"/>
      <c r="I579" s="455"/>
      <c r="J579" s="444"/>
      <c r="K579" s="652"/>
      <c r="L579" s="444"/>
      <c r="M579" s="444"/>
      <c r="N579" s="444"/>
      <c r="O579" s="444"/>
      <c r="P579" s="444"/>
      <c r="Q579" s="444"/>
      <c r="R579" s="444"/>
      <c r="S579" s="444"/>
      <c r="T579" s="444"/>
      <c r="U579" s="444"/>
      <c r="V579" s="444"/>
      <c r="W579" s="444"/>
      <c r="X579" s="444"/>
    </row>
    <row r="580" spans="1:24" ht="15.6" x14ac:dyDescent="0.3">
      <c r="A580" s="438"/>
      <c r="B580" s="439"/>
      <c r="C580" s="440"/>
      <c r="D580" s="441"/>
      <c r="E580" s="441"/>
      <c r="F580" s="442"/>
      <c r="G580" s="443"/>
      <c r="H580" s="442"/>
      <c r="I580" s="455"/>
      <c r="J580" s="444"/>
      <c r="K580" s="652"/>
      <c r="L580" s="444"/>
      <c r="M580" s="444"/>
      <c r="N580" s="444"/>
      <c r="O580" s="444"/>
      <c r="P580" s="444"/>
      <c r="Q580" s="444"/>
      <c r="R580" s="444"/>
      <c r="S580" s="444"/>
      <c r="T580" s="444"/>
      <c r="U580" s="444"/>
      <c r="V580" s="444"/>
      <c r="W580" s="444"/>
      <c r="X580" s="444"/>
    </row>
    <row r="581" spans="1:24" ht="15.6" x14ac:dyDescent="0.3">
      <c r="A581" s="438"/>
      <c r="B581" s="439"/>
      <c r="C581" s="440"/>
      <c r="D581" s="441"/>
      <c r="E581" s="441"/>
      <c r="F581" s="442"/>
      <c r="G581" s="443"/>
      <c r="H581" s="442"/>
      <c r="I581" s="455"/>
      <c r="J581" s="444"/>
      <c r="K581" s="652"/>
      <c r="L581" s="444"/>
      <c r="M581" s="444"/>
      <c r="N581" s="444"/>
      <c r="O581" s="444"/>
      <c r="P581" s="444"/>
      <c r="Q581" s="444"/>
      <c r="R581" s="444"/>
      <c r="S581" s="444"/>
      <c r="T581" s="444"/>
      <c r="U581" s="444"/>
      <c r="V581" s="444"/>
      <c r="W581" s="444"/>
      <c r="X581" s="444"/>
    </row>
    <row r="582" spans="1:24" ht="15.6" x14ac:dyDescent="0.3">
      <c r="A582" s="438"/>
      <c r="B582" s="439"/>
      <c r="C582" s="440"/>
      <c r="D582" s="441"/>
      <c r="E582" s="441"/>
      <c r="F582" s="442"/>
      <c r="G582" s="443"/>
      <c r="H582" s="442"/>
      <c r="I582" s="455"/>
      <c r="J582" s="444"/>
      <c r="K582" s="652"/>
      <c r="L582" s="444"/>
      <c r="M582" s="444"/>
      <c r="N582" s="444"/>
      <c r="O582" s="444"/>
      <c r="P582" s="444"/>
      <c r="Q582" s="444"/>
      <c r="R582" s="444"/>
      <c r="S582" s="444"/>
      <c r="T582" s="444"/>
      <c r="U582" s="444"/>
      <c r="V582" s="444"/>
      <c r="W582" s="444"/>
      <c r="X582" s="444"/>
    </row>
    <row r="583" spans="1:24" ht="15.6" x14ac:dyDescent="0.3">
      <c r="A583" s="438"/>
      <c r="B583" s="439"/>
      <c r="C583" s="440"/>
      <c r="D583" s="441"/>
      <c r="E583" s="441"/>
      <c r="F583" s="442"/>
      <c r="G583" s="443"/>
      <c r="H583" s="442"/>
      <c r="I583" s="455"/>
      <c r="J583" s="444"/>
      <c r="K583" s="652"/>
      <c r="L583" s="444"/>
      <c r="M583" s="444"/>
      <c r="N583" s="444"/>
      <c r="O583" s="444"/>
      <c r="P583" s="444"/>
      <c r="Q583" s="444"/>
      <c r="R583" s="444"/>
      <c r="S583" s="444"/>
      <c r="T583" s="444"/>
      <c r="U583" s="444"/>
      <c r="V583" s="444"/>
      <c r="W583" s="444"/>
      <c r="X583" s="444"/>
    </row>
    <row r="584" spans="1:24" ht="15.6" x14ac:dyDescent="0.3">
      <c r="A584" s="438"/>
      <c r="B584" s="439"/>
      <c r="C584" s="440"/>
      <c r="D584" s="441"/>
      <c r="E584" s="441"/>
      <c r="F584" s="442"/>
      <c r="G584" s="443"/>
      <c r="H584" s="442"/>
      <c r="I584" s="455"/>
      <c r="J584" s="444"/>
      <c r="K584" s="652"/>
      <c r="L584" s="444"/>
      <c r="M584" s="444"/>
      <c r="N584" s="444"/>
      <c r="O584" s="444"/>
      <c r="P584" s="444"/>
      <c r="Q584" s="444"/>
      <c r="R584" s="444"/>
      <c r="S584" s="444"/>
      <c r="T584" s="444"/>
      <c r="U584" s="444"/>
      <c r="V584" s="444"/>
      <c r="W584" s="444"/>
      <c r="X584" s="444"/>
    </row>
    <row r="585" spans="1:24" ht="15.6" x14ac:dyDescent="0.3">
      <c r="A585" s="438"/>
      <c r="B585" s="439"/>
      <c r="C585" s="440"/>
      <c r="D585" s="441"/>
      <c r="E585" s="441"/>
      <c r="F585" s="442"/>
      <c r="G585" s="443"/>
      <c r="H585" s="442"/>
      <c r="I585" s="455"/>
      <c r="J585" s="444"/>
      <c r="K585" s="652"/>
      <c r="L585" s="444"/>
      <c r="M585" s="444"/>
      <c r="N585" s="444"/>
      <c r="O585" s="444"/>
      <c r="P585" s="444"/>
      <c r="Q585" s="444"/>
      <c r="R585" s="444"/>
      <c r="S585" s="444"/>
      <c r="T585" s="444"/>
      <c r="U585" s="444"/>
      <c r="V585" s="444"/>
      <c r="W585" s="444"/>
      <c r="X585" s="444"/>
    </row>
    <row r="586" spans="1:24" ht="15.6" x14ac:dyDescent="0.3">
      <c r="A586" s="438"/>
      <c r="B586" s="439"/>
      <c r="C586" s="440"/>
      <c r="D586" s="441"/>
      <c r="E586" s="441"/>
      <c r="F586" s="442"/>
      <c r="G586" s="443"/>
      <c r="H586" s="442"/>
      <c r="I586" s="455"/>
      <c r="J586" s="444"/>
      <c r="K586" s="652"/>
      <c r="L586" s="444"/>
      <c r="M586" s="444"/>
      <c r="N586" s="444"/>
      <c r="O586" s="444"/>
      <c r="P586" s="444"/>
      <c r="Q586" s="444"/>
      <c r="R586" s="444"/>
      <c r="S586" s="444"/>
      <c r="T586" s="444"/>
      <c r="U586" s="444"/>
      <c r="V586" s="444"/>
      <c r="W586" s="444"/>
      <c r="X586" s="444"/>
    </row>
    <row r="587" spans="1:24" ht="15.6" x14ac:dyDescent="0.3">
      <c r="A587" s="438"/>
      <c r="B587" s="439"/>
      <c r="C587" s="440"/>
      <c r="D587" s="441"/>
      <c r="E587" s="441"/>
      <c r="F587" s="442"/>
      <c r="G587" s="443"/>
      <c r="H587" s="442"/>
      <c r="I587" s="455"/>
      <c r="J587" s="444"/>
      <c r="K587" s="652"/>
      <c r="L587" s="444"/>
      <c r="M587" s="444"/>
      <c r="N587" s="444"/>
      <c r="O587" s="444"/>
      <c r="P587" s="444"/>
      <c r="Q587" s="444"/>
      <c r="R587" s="444"/>
      <c r="S587" s="444"/>
      <c r="T587" s="444"/>
      <c r="U587" s="444"/>
      <c r="V587" s="444"/>
      <c r="W587" s="444"/>
      <c r="X587" s="444"/>
    </row>
    <row r="588" spans="1:24" ht="15.6" x14ac:dyDescent="0.3">
      <c r="A588" s="438"/>
      <c r="B588" s="439"/>
      <c r="C588" s="440"/>
      <c r="D588" s="441"/>
      <c r="E588" s="441"/>
      <c r="F588" s="442"/>
      <c r="G588" s="443"/>
      <c r="H588" s="442"/>
      <c r="I588" s="455"/>
      <c r="J588" s="444"/>
      <c r="K588" s="652"/>
      <c r="L588" s="444"/>
      <c r="M588" s="444"/>
      <c r="N588" s="444"/>
      <c r="O588" s="444"/>
      <c r="P588" s="444"/>
      <c r="Q588" s="444"/>
      <c r="R588" s="444"/>
      <c r="S588" s="444"/>
      <c r="T588" s="444"/>
      <c r="U588" s="444"/>
      <c r="V588" s="444"/>
      <c r="W588" s="444"/>
      <c r="X588" s="444"/>
    </row>
    <row r="589" spans="1:24" ht="15.6" x14ac:dyDescent="0.3">
      <c r="A589" s="438"/>
      <c r="B589" s="439"/>
      <c r="C589" s="440"/>
      <c r="D589" s="441"/>
      <c r="E589" s="441"/>
      <c r="F589" s="442"/>
      <c r="G589" s="443"/>
      <c r="H589" s="442"/>
      <c r="I589" s="455"/>
      <c r="J589" s="444"/>
      <c r="K589" s="652"/>
      <c r="L589" s="444"/>
      <c r="M589" s="444"/>
      <c r="N589" s="444"/>
      <c r="O589" s="444"/>
      <c r="P589" s="444"/>
      <c r="Q589" s="444"/>
      <c r="R589" s="444"/>
      <c r="S589" s="444"/>
      <c r="T589" s="444"/>
      <c r="U589" s="444"/>
      <c r="V589" s="444"/>
      <c r="W589" s="444"/>
      <c r="X589" s="444"/>
    </row>
    <row r="590" spans="1:24" ht="15.6" x14ac:dyDescent="0.3">
      <c r="A590" s="438"/>
      <c r="B590" s="439"/>
      <c r="C590" s="440"/>
      <c r="D590" s="441"/>
      <c r="E590" s="441"/>
      <c r="F590" s="442"/>
      <c r="G590" s="443"/>
      <c r="H590" s="442"/>
      <c r="I590" s="455"/>
      <c r="J590" s="444"/>
      <c r="K590" s="652"/>
      <c r="L590" s="444"/>
      <c r="M590" s="444"/>
      <c r="N590" s="444"/>
      <c r="O590" s="444"/>
      <c r="P590" s="444"/>
      <c r="Q590" s="444"/>
      <c r="R590" s="444"/>
      <c r="S590" s="444"/>
      <c r="T590" s="444"/>
      <c r="U590" s="444"/>
      <c r="V590" s="444"/>
      <c r="W590" s="444"/>
      <c r="X590" s="444"/>
    </row>
    <row r="591" spans="1:24" ht="15.6" x14ac:dyDescent="0.3">
      <c r="A591" s="438"/>
      <c r="B591" s="439"/>
      <c r="C591" s="440"/>
      <c r="D591" s="441"/>
      <c r="E591" s="441"/>
      <c r="F591" s="442"/>
      <c r="G591" s="443"/>
      <c r="H591" s="442"/>
      <c r="I591" s="455"/>
      <c r="J591" s="444"/>
      <c r="K591" s="652"/>
      <c r="L591" s="444"/>
      <c r="M591" s="444"/>
      <c r="N591" s="444"/>
      <c r="O591" s="444"/>
      <c r="P591" s="444"/>
      <c r="Q591" s="444"/>
      <c r="R591" s="444"/>
      <c r="S591" s="444"/>
      <c r="T591" s="444"/>
      <c r="U591" s="444"/>
      <c r="V591" s="444"/>
      <c r="W591" s="444"/>
      <c r="X591" s="444"/>
    </row>
    <row r="592" spans="1:24" ht="15.6" x14ac:dyDescent="0.3">
      <c r="A592" s="438"/>
      <c r="B592" s="439"/>
      <c r="C592" s="440"/>
      <c r="D592" s="441"/>
      <c r="E592" s="441"/>
      <c r="F592" s="442"/>
      <c r="G592" s="443"/>
      <c r="H592" s="442"/>
      <c r="I592" s="455"/>
      <c r="J592" s="444"/>
      <c r="K592" s="652"/>
      <c r="L592" s="444"/>
      <c r="M592" s="444"/>
      <c r="N592" s="444"/>
      <c r="O592" s="444"/>
      <c r="P592" s="444"/>
      <c r="Q592" s="444"/>
      <c r="R592" s="444"/>
      <c r="S592" s="444"/>
      <c r="T592" s="444"/>
      <c r="U592" s="444"/>
      <c r="V592" s="444"/>
      <c r="W592" s="444"/>
      <c r="X592" s="444"/>
    </row>
    <row r="593" spans="1:24" ht="15.6" x14ac:dyDescent="0.3">
      <c r="A593" s="438"/>
      <c r="B593" s="439"/>
      <c r="C593" s="440"/>
      <c r="D593" s="441"/>
      <c r="E593" s="441"/>
      <c r="F593" s="442"/>
      <c r="G593" s="443"/>
      <c r="H593" s="442"/>
      <c r="I593" s="455"/>
      <c r="J593" s="444"/>
      <c r="K593" s="652"/>
      <c r="L593" s="444"/>
      <c r="M593" s="444"/>
      <c r="N593" s="444"/>
      <c r="O593" s="444"/>
      <c r="P593" s="444"/>
      <c r="Q593" s="444"/>
      <c r="R593" s="444"/>
      <c r="S593" s="444"/>
      <c r="T593" s="444"/>
      <c r="U593" s="444"/>
      <c r="V593" s="444"/>
      <c r="W593" s="444"/>
      <c r="X593" s="444"/>
    </row>
    <row r="594" spans="1:24" ht="15.6" x14ac:dyDescent="0.3">
      <c r="A594" s="438"/>
      <c r="B594" s="439"/>
      <c r="C594" s="440"/>
      <c r="D594" s="441"/>
      <c r="E594" s="441"/>
      <c r="F594" s="442"/>
      <c r="G594" s="443"/>
      <c r="H594" s="442"/>
      <c r="I594" s="455"/>
      <c r="J594" s="444"/>
      <c r="K594" s="652"/>
      <c r="L594" s="444"/>
      <c r="M594" s="444"/>
      <c r="N594" s="444"/>
      <c r="O594" s="444"/>
      <c r="P594" s="444"/>
      <c r="Q594" s="444"/>
      <c r="R594" s="444"/>
      <c r="S594" s="444"/>
      <c r="T594" s="444"/>
      <c r="U594" s="444"/>
      <c r="V594" s="444"/>
      <c r="W594" s="444"/>
      <c r="X594" s="444"/>
    </row>
    <row r="595" spans="1:24" ht="15.6" x14ac:dyDescent="0.3">
      <c r="A595" s="438"/>
      <c r="B595" s="439"/>
      <c r="C595" s="440"/>
      <c r="D595" s="441"/>
      <c r="E595" s="441"/>
      <c r="F595" s="442"/>
      <c r="G595" s="443"/>
      <c r="H595" s="442"/>
      <c r="I595" s="455"/>
      <c r="J595" s="444"/>
      <c r="K595" s="652"/>
      <c r="L595" s="444"/>
      <c r="M595" s="444"/>
      <c r="N595" s="444"/>
      <c r="O595" s="444"/>
      <c r="P595" s="444"/>
      <c r="Q595" s="444"/>
      <c r="R595" s="444"/>
      <c r="S595" s="444"/>
      <c r="T595" s="444"/>
      <c r="U595" s="444"/>
      <c r="V595" s="444"/>
      <c r="W595" s="444"/>
      <c r="X595" s="444"/>
    </row>
    <row r="596" spans="1:24" ht="15.6" x14ac:dyDescent="0.3">
      <c r="A596" s="438"/>
      <c r="B596" s="439"/>
      <c r="C596" s="440"/>
      <c r="D596" s="441"/>
      <c r="E596" s="441"/>
      <c r="F596" s="442"/>
      <c r="G596" s="443"/>
      <c r="H596" s="442"/>
      <c r="I596" s="455"/>
      <c r="J596" s="444"/>
      <c r="K596" s="652"/>
      <c r="L596" s="444"/>
      <c r="M596" s="444"/>
      <c r="N596" s="444"/>
      <c r="O596" s="444"/>
      <c r="P596" s="444"/>
      <c r="Q596" s="444"/>
      <c r="R596" s="444"/>
      <c r="S596" s="444"/>
      <c r="T596" s="444"/>
      <c r="U596" s="444"/>
      <c r="V596" s="444"/>
      <c r="W596" s="444"/>
      <c r="X596" s="444"/>
    </row>
    <row r="597" spans="1:24" ht="15.6" x14ac:dyDescent="0.3">
      <c r="A597" s="438"/>
      <c r="B597" s="439"/>
      <c r="C597" s="440"/>
      <c r="D597" s="441"/>
      <c r="E597" s="441"/>
      <c r="F597" s="442"/>
      <c r="G597" s="443"/>
      <c r="H597" s="442"/>
      <c r="I597" s="455"/>
      <c r="J597" s="444"/>
      <c r="K597" s="652"/>
      <c r="L597" s="444"/>
      <c r="M597" s="444"/>
      <c r="N597" s="444"/>
      <c r="O597" s="444"/>
      <c r="P597" s="444"/>
      <c r="Q597" s="444"/>
      <c r="R597" s="444"/>
      <c r="S597" s="444"/>
      <c r="T597" s="444"/>
      <c r="U597" s="444"/>
      <c r="V597" s="444"/>
      <c r="W597" s="444"/>
      <c r="X597" s="444"/>
    </row>
    <row r="598" spans="1:24" ht="15.6" x14ac:dyDescent="0.3">
      <c r="A598" s="438"/>
      <c r="B598" s="439"/>
      <c r="C598" s="440"/>
      <c r="D598" s="441"/>
      <c r="E598" s="441"/>
      <c r="F598" s="442"/>
      <c r="G598" s="443"/>
      <c r="H598" s="442"/>
      <c r="I598" s="455"/>
      <c r="J598" s="444"/>
      <c r="K598" s="652"/>
      <c r="L598" s="444"/>
      <c r="M598" s="444"/>
      <c r="N598" s="444"/>
      <c r="O598" s="444"/>
      <c r="P598" s="444"/>
      <c r="Q598" s="444"/>
      <c r="R598" s="444"/>
      <c r="S598" s="444"/>
      <c r="T598" s="444"/>
      <c r="U598" s="444"/>
      <c r="V598" s="444"/>
      <c r="W598" s="444"/>
      <c r="X598" s="444"/>
    </row>
    <row r="599" spans="1:24" ht="15.6" x14ac:dyDescent="0.3">
      <c r="A599" s="438"/>
      <c r="B599" s="439"/>
      <c r="C599" s="440"/>
      <c r="D599" s="441"/>
      <c r="E599" s="441"/>
      <c r="F599" s="442"/>
      <c r="G599" s="443"/>
      <c r="H599" s="442"/>
      <c r="I599" s="455"/>
      <c r="J599" s="444"/>
      <c r="K599" s="652"/>
      <c r="L599" s="444"/>
      <c r="M599" s="444"/>
      <c r="N599" s="444"/>
      <c r="O599" s="444"/>
      <c r="P599" s="444"/>
      <c r="Q599" s="444"/>
      <c r="R599" s="444"/>
      <c r="S599" s="444"/>
      <c r="T599" s="444"/>
      <c r="U599" s="444"/>
      <c r="V599" s="444"/>
      <c r="W599" s="444"/>
      <c r="X599" s="444"/>
    </row>
    <row r="600" spans="1:24" ht="15.6" x14ac:dyDescent="0.3">
      <c r="A600" s="438"/>
      <c r="B600" s="439"/>
      <c r="C600" s="440"/>
      <c r="D600" s="441"/>
      <c r="E600" s="441"/>
      <c r="F600" s="442"/>
      <c r="G600" s="443"/>
      <c r="H600" s="442"/>
      <c r="I600" s="455"/>
      <c r="J600" s="444"/>
      <c r="K600" s="652"/>
      <c r="L600" s="444"/>
      <c r="M600" s="444"/>
      <c r="N600" s="444"/>
      <c r="O600" s="444"/>
      <c r="P600" s="444"/>
      <c r="Q600" s="444"/>
      <c r="R600" s="444"/>
      <c r="S600" s="444"/>
      <c r="T600" s="444"/>
      <c r="U600" s="444"/>
      <c r="V600" s="444"/>
      <c r="W600" s="444"/>
      <c r="X600" s="444"/>
    </row>
    <row r="601" spans="1:24" ht="15.6" x14ac:dyDescent="0.3">
      <c r="A601" s="438"/>
      <c r="B601" s="439"/>
      <c r="C601" s="440"/>
      <c r="D601" s="441"/>
      <c r="E601" s="441"/>
      <c r="F601" s="442"/>
      <c r="G601" s="443"/>
      <c r="H601" s="442"/>
      <c r="I601" s="455"/>
      <c r="J601" s="444"/>
      <c r="K601" s="652"/>
      <c r="L601" s="444"/>
      <c r="M601" s="444"/>
      <c r="N601" s="444"/>
      <c r="O601" s="444"/>
      <c r="P601" s="444"/>
      <c r="Q601" s="444"/>
      <c r="R601" s="444"/>
      <c r="S601" s="444"/>
      <c r="T601" s="444"/>
      <c r="U601" s="444"/>
      <c r="V601" s="444"/>
      <c r="W601" s="444"/>
      <c r="X601" s="444"/>
    </row>
    <row r="602" spans="1:24" ht="15.6" x14ac:dyDescent="0.3">
      <c r="A602" s="438"/>
      <c r="B602" s="439"/>
      <c r="C602" s="440"/>
      <c r="D602" s="441"/>
      <c r="E602" s="441"/>
      <c r="F602" s="442"/>
      <c r="G602" s="443"/>
      <c r="H602" s="442"/>
      <c r="I602" s="455"/>
      <c r="J602" s="444"/>
      <c r="K602" s="652"/>
      <c r="L602" s="444"/>
      <c r="M602" s="444"/>
      <c r="N602" s="444"/>
      <c r="O602" s="444"/>
      <c r="P602" s="444"/>
      <c r="Q602" s="444"/>
      <c r="R602" s="444"/>
      <c r="S602" s="444"/>
      <c r="T602" s="444"/>
      <c r="U602" s="444"/>
      <c r="V602" s="444"/>
      <c r="W602" s="444"/>
      <c r="X602" s="444"/>
    </row>
    <row r="603" spans="1:24" ht="15.6" x14ac:dyDescent="0.3">
      <c r="A603" s="438"/>
      <c r="B603" s="439"/>
      <c r="C603" s="440"/>
      <c r="D603" s="441"/>
      <c r="E603" s="441"/>
      <c r="F603" s="442"/>
      <c r="G603" s="443"/>
      <c r="H603" s="442"/>
      <c r="I603" s="455"/>
      <c r="J603" s="444"/>
      <c r="K603" s="652"/>
      <c r="L603" s="444"/>
      <c r="M603" s="444"/>
      <c r="N603" s="444"/>
      <c r="O603" s="444"/>
      <c r="P603" s="444"/>
      <c r="Q603" s="444"/>
      <c r="R603" s="444"/>
      <c r="S603" s="444"/>
      <c r="T603" s="444"/>
      <c r="U603" s="444"/>
      <c r="V603" s="444"/>
      <c r="W603" s="444"/>
      <c r="X603" s="444"/>
    </row>
    <row r="604" spans="1:24" ht="15.6" x14ac:dyDescent="0.3">
      <c r="A604" s="438"/>
      <c r="B604" s="439"/>
      <c r="C604" s="440"/>
      <c r="D604" s="441"/>
      <c r="E604" s="441"/>
      <c r="F604" s="442"/>
      <c r="G604" s="443"/>
      <c r="H604" s="442"/>
      <c r="I604" s="455"/>
      <c r="J604" s="444"/>
      <c r="K604" s="652"/>
      <c r="L604" s="444"/>
      <c r="M604" s="444"/>
      <c r="N604" s="444"/>
      <c r="O604" s="444"/>
      <c r="P604" s="444"/>
      <c r="Q604" s="444"/>
      <c r="R604" s="444"/>
      <c r="S604" s="444"/>
      <c r="T604" s="444"/>
      <c r="U604" s="444"/>
      <c r="V604" s="444"/>
      <c r="W604" s="444"/>
      <c r="X604" s="444"/>
    </row>
    <row r="605" spans="1:24" ht="15.6" x14ac:dyDescent="0.3">
      <c r="A605" s="438"/>
      <c r="B605" s="439"/>
      <c r="C605" s="440"/>
      <c r="D605" s="441"/>
      <c r="E605" s="441"/>
      <c r="F605" s="442"/>
      <c r="G605" s="443"/>
      <c r="H605" s="442"/>
      <c r="I605" s="455"/>
      <c r="J605" s="444"/>
      <c r="K605" s="652"/>
      <c r="L605" s="444"/>
      <c r="M605" s="444"/>
      <c r="N605" s="444"/>
      <c r="O605" s="444"/>
      <c r="P605" s="444"/>
      <c r="Q605" s="444"/>
      <c r="R605" s="444"/>
      <c r="S605" s="444"/>
      <c r="T605" s="444"/>
      <c r="U605" s="444"/>
      <c r="V605" s="444"/>
      <c r="W605" s="444"/>
      <c r="X605" s="444"/>
    </row>
    <row r="606" spans="1:24" ht="15.6" x14ac:dyDescent="0.3">
      <c r="A606" s="438"/>
      <c r="B606" s="439"/>
      <c r="C606" s="440"/>
      <c r="D606" s="441"/>
      <c r="E606" s="441"/>
      <c r="F606" s="442"/>
      <c r="G606" s="443"/>
      <c r="H606" s="442"/>
      <c r="I606" s="455"/>
      <c r="J606" s="444"/>
      <c r="K606" s="652"/>
      <c r="L606" s="444"/>
      <c r="M606" s="444"/>
      <c r="N606" s="444"/>
      <c r="O606" s="444"/>
      <c r="P606" s="444"/>
      <c r="Q606" s="444"/>
      <c r="R606" s="444"/>
      <c r="S606" s="444"/>
      <c r="T606" s="444"/>
      <c r="U606" s="444"/>
      <c r="V606" s="444"/>
      <c r="W606" s="444"/>
      <c r="X606" s="444"/>
    </row>
    <row r="607" spans="1:24" ht="15.6" x14ac:dyDescent="0.3">
      <c r="A607" s="438"/>
      <c r="B607" s="439"/>
      <c r="C607" s="440"/>
      <c r="D607" s="441"/>
      <c r="E607" s="441"/>
      <c r="F607" s="442"/>
      <c r="G607" s="443"/>
      <c r="H607" s="442"/>
      <c r="I607" s="455"/>
      <c r="J607" s="444"/>
      <c r="K607" s="652"/>
      <c r="L607" s="444"/>
      <c r="M607" s="444"/>
      <c r="N607" s="444"/>
      <c r="O607" s="444"/>
      <c r="P607" s="444"/>
      <c r="Q607" s="444"/>
      <c r="R607" s="444"/>
      <c r="S607" s="444"/>
      <c r="T607" s="444"/>
      <c r="U607" s="444"/>
      <c r="V607" s="444"/>
      <c r="W607" s="444"/>
      <c r="X607" s="444"/>
    </row>
    <row r="608" spans="1:24" ht="15.6" x14ac:dyDescent="0.3">
      <c r="A608" s="438"/>
      <c r="B608" s="439"/>
      <c r="C608" s="440"/>
      <c r="D608" s="441"/>
      <c r="E608" s="441"/>
      <c r="F608" s="442"/>
      <c r="G608" s="443"/>
      <c r="H608" s="442"/>
      <c r="I608" s="455"/>
      <c r="J608" s="444"/>
      <c r="K608" s="652"/>
      <c r="L608" s="444"/>
      <c r="M608" s="444"/>
      <c r="N608" s="444"/>
      <c r="O608" s="444"/>
      <c r="P608" s="444"/>
      <c r="Q608" s="444"/>
      <c r="R608" s="444"/>
      <c r="S608" s="444"/>
      <c r="T608" s="444"/>
      <c r="U608" s="444"/>
      <c r="V608" s="444"/>
      <c r="W608" s="444"/>
      <c r="X608" s="444"/>
    </row>
    <row r="609" spans="1:24" ht="15.6" x14ac:dyDescent="0.3">
      <c r="A609" s="438"/>
      <c r="B609" s="439"/>
      <c r="C609" s="440"/>
      <c r="D609" s="441"/>
      <c r="E609" s="441"/>
      <c r="F609" s="442"/>
      <c r="G609" s="443"/>
      <c r="H609" s="442"/>
      <c r="I609" s="455"/>
      <c r="J609" s="444"/>
      <c r="K609" s="652"/>
      <c r="L609" s="444"/>
      <c r="M609" s="444"/>
      <c r="N609" s="444"/>
      <c r="O609" s="444"/>
      <c r="P609" s="444"/>
      <c r="Q609" s="444"/>
      <c r="R609" s="444"/>
      <c r="S609" s="444"/>
      <c r="T609" s="444"/>
      <c r="U609" s="444"/>
      <c r="V609" s="444"/>
      <c r="W609" s="444"/>
      <c r="X609" s="444"/>
    </row>
    <row r="610" spans="1:24" ht="15.6" x14ac:dyDescent="0.3">
      <c r="A610" s="438"/>
      <c r="B610" s="439"/>
      <c r="C610" s="440"/>
      <c r="D610" s="441"/>
      <c r="E610" s="441"/>
      <c r="F610" s="442"/>
      <c r="G610" s="443"/>
      <c r="H610" s="442"/>
      <c r="I610" s="455"/>
      <c r="J610" s="444"/>
      <c r="K610" s="652"/>
      <c r="L610" s="444"/>
      <c r="M610" s="444"/>
      <c r="N610" s="444"/>
      <c r="O610" s="444"/>
      <c r="P610" s="444"/>
      <c r="Q610" s="444"/>
      <c r="R610" s="444"/>
      <c r="S610" s="444"/>
      <c r="T610" s="444"/>
      <c r="U610" s="444"/>
      <c r="V610" s="444"/>
      <c r="W610" s="444"/>
      <c r="X610" s="444"/>
    </row>
    <row r="611" spans="1:24" ht="15.6" x14ac:dyDescent="0.3">
      <c r="A611" s="438"/>
      <c r="B611" s="439"/>
      <c r="C611" s="440"/>
      <c r="D611" s="441"/>
      <c r="E611" s="441"/>
      <c r="F611" s="442"/>
      <c r="G611" s="443"/>
      <c r="H611" s="442"/>
      <c r="I611" s="455"/>
      <c r="J611" s="444"/>
      <c r="K611" s="652"/>
      <c r="L611" s="444"/>
      <c r="M611" s="444"/>
      <c r="N611" s="444"/>
      <c r="O611" s="444"/>
      <c r="P611" s="444"/>
      <c r="Q611" s="444"/>
      <c r="R611" s="444"/>
      <c r="S611" s="444"/>
      <c r="T611" s="444"/>
      <c r="U611" s="444"/>
      <c r="V611" s="444"/>
      <c r="W611" s="444"/>
      <c r="X611" s="444"/>
    </row>
    <row r="612" spans="1:24" ht="15.6" x14ac:dyDescent="0.3">
      <c r="A612" s="438"/>
      <c r="B612" s="439"/>
      <c r="C612" s="440"/>
      <c r="D612" s="441"/>
      <c r="E612" s="441"/>
      <c r="F612" s="442"/>
      <c r="G612" s="443"/>
      <c r="H612" s="442"/>
      <c r="I612" s="455"/>
      <c r="J612" s="444"/>
      <c r="K612" s="652"/>
      <c r="L612" s="444"/>
      <c r="M612" s="444"/>
      <c r="N612" s="444"/>
      <c r="O612" s="444"/>
      <c r="P612" s="444"/>
      <c r="Q612" s="444"/>
      <c r="R612" s="444"/>
      <c r="S612" s="444"/>
      <c r="T612" s="444"/>
      <c r="U612" s="444"/>
      <c r="V612" s="444"/>
      <c r="W612" s="444"/>
      <c r="X612" s="444"/>
    </row>
    <row r="613" spans="1:24" ht="15.6" x14ac:dyDescent="0.3">
      <c r="A613" s="438"/>
      <c r="B613" s="439"/>
      <c r="C613" s="440"/>
      <c r="D613" s="441"/>
      <c r="E613" s="441"/>
      <c r="F613" s="442"/>
      <c r="G613" s="443"/>
      <c r="H613" s="442"/>
      <c r="I613" s="455"/>
      <c r="J613" s="444"/>
      <c r="K613" s="652"/>
      <c r="L613" s="444"/>
      <c r="M613" s="444"/>
      <c r="N613" s="444"/>
      <c r="O613" s="444"/>
      <c r="P613" s="444"/>
      <c r="Q613" s="444"/>
      <c r="R613" s="444"/>
      <c r="S613" s="444"/>
      <c r="T613" s="444"/>
      <c r="U613" s="444"/>
      <c r="V613" s="444"/>
      <c r="W613" s="444"/>
      <c r="X613" s="444"/>
    </row>
    <row r="614" spans="1:24" ht="15.6" x14ac:dyDescent="0.3">
      <c r="A614" s="438"/>
      <c r="B614" s="439"/>
      <c r="C614" s="440"/>
      <c r="D614" s="441"/>
      <c r="E614" s="441"/>
      <c r="F614" s="442"/>
      <c r="G614" s="443"/>
      <c r="H614" s="442"/>
      <c r="I614" s="455"/>
      <c r="J614" s="444"/>
      <c r="K614" s="652"/>
      <c r="L614" s="444"/>
      <c r="M614" s="444"/>
      <c r="N614" s="444"/>
      <c r="O614" s="444"/>
      <c r="P614" s="444"/>
      <c r="Q614" s="444"/>
      <c r="R614" s="444"/>
      <c r="S614" s="444"/>
      <c r="T614" s="444"/>
      <c r="U614" s="444"/>
      <c r="V614" s="444"/>
      <c r="W614" s="444"/>
      <c r="X614" s="444"/>
    </row>
    <row r="615" spans="1:24" ht="15.6" x14ac:dyDescent="0.3">
      <c r="A615" s="438"/>
      <c r="B615" s="439"/>
      <c r="C615" s="440"/>
      <c r="D615" s="441"/>
      <c r="E615" s="441"/>
      <c r="F615" s="442"/>
      <c r="G615" s="443"/>
      <c r="H615" s="442"/>
      <c r="I615" s="455"/>
      <c r="J615" s="444"/>
      <c r="K615" s="652"/>
      <c r="L615" s="444"/>
      <c r="M615" s="444"/>
      <c r="N615" s="444"/>
      <c r="O615" s="444"/>
      <c r="P615" s="444"/>
      <c r="Q615" s="444"/>
      <c r="R615" s="444"/>
      <c r="S615" s="444"/>
      <c r="T615" s="444"/>
      <c r="U615" s="444"/>
      <c r="V615" s="444"/>
      <c r="W615" s="444"/>
      <c r="X615" s="444"/>
    </row>
    <row r="616" spans="1:24" ht="15.6" x14ac:dyDescent="0.3">
      <c r="A616" s="438"/>
      <c r="B616" s="439"/>
      <c r="C616" s="440"/>
      <c r="D616" s="441"/>
      <c r="E616" s="441"/>
      <c r="F616" s="442"/>
      <c r="G616" s="443"/>
      <c r="H616" s="442"/>
      <c r="I616" s="455"/>
      <c r="J616" s="444"/>
      <c r="K616" s="652"/>
      <c r="L616" s="444"/>
      <c r="M616" s="444"/>
      <c r="N616" s="444"/>
      <c r="O616" s="444"/>
      <c r="P616" s="444"/>
      <c r="Q616" s="444"/>
      <c r="R616" s="444"/>
      <c r="S616" s="444"/>
      <c r="T616" s="444"/>
      <c r="U616" s="444"/>
      <c r="V616" s="444"/>
      <c r="W616" s="444"/>
      <c r="X616" s="444"/>
    </row>
    <row r="617" spans="1:24" ht="15.6" x14ac:dyDescent="0.3">
      <c r="A617" s="438"/>
      <c r="B617" s="439"/>
      <c r="C617" s="440"/>
      <c r="D617" s="441"/>
      <c r="E617" s="441"/>
      <c r="F617" s="442"/>
      <c r="G617" s="443"/>
      <c r="H617" s="442"/>
      <c r="I617" s="455"/>
      <c r="J617" s="444"/>
      <c r="K617" s="652"/>
      <c r="L617" s="444"/>
      <c r="M617" s="444"/>
      <c r="N617" s="444"/>
      <c r="O617" s="444"/>
      <c r="P617" s="444"/>
      <c r="Q617" s="444"/>
      <c r="R617" s="444"/>
      <c r="S617" s="444"/>
      <c r="T617" s="444"/>
      <c r="U617" s="444"/>
      <c r="V617" s="444"/>
      <c r="W617" s="444"/>
      <c r="X617" s="444"/>
    </row>
    <row r="618" spans="1:24" ht="15.6" x14ac:dyDescent="0.3">
      <c r="A618" s="438"/>
      <c r="B618" s="439"/>
      <c r="C618" s="440"/>
      <c r="D618" s="441"/>
      <c r="E618" s="441"/>
      <c r="F618" s="442"/>
      <c r="G618" s="443"/>
      <c r="H618" s="442"/>
      <c r="I618" s="455"/>
      <c r="J618" s="444"/>
      <c r="K618" s="652"/>
      <c r="L618" s="444"/>
      <c r="M618" s="444"/>
      <c r="N618" s="444"/>
      <c r="O618" s="444"/>
      <c r="P618" s="444"/>
      <c r="Q618" s="444"/>
      <c r="R618" s="444"/>
      <c r="S618" s="444"/>
      <c r="T618" s="444"/>
      <c r="U618" s="444"/>
      <c r="V618" s="444"/>
      <c r="W618" s="444"/>
      <c r="X618" s="444"/>
    </row>
    <row r="619" spans="1:24" ht="15.6" x14ac:dyDescent="0.3">
      <c r="A619" s="438"/>
      <c r="B619" s="439"/>
      <c r="C619" s="440"/>
      <c r="D619" s="441"/>
      <c r="E619" s="441"/>
      <c r="F619" s="442"/>
      <c r="G619" s="443"/>
      <c r="H619" s="442"/>
      <c r="I619" s="455"/>
      <c r="J619" s="444"/>
      <c r="K619" s="652"/>
      <c r="L619" s="444"/>
      <c r="M619" s="444"/>
      <c r="N619" s="444"/>
      <c r="O619" s="444"/>
      <c r="P619" s="444"/>
      <c r="Q619" s="444"/>
      <c r="R619" s="444"/>
      <c r="S619" s="444"/>
      <c r="T619" s="444"/>
      <c r="U619" s="444"/>
      <c r="V619" s="444"/>
      <c r="W619" s="444"/>
      <c r="X619" s="444"/>
    </row>
    <row r="620" spans="1:24" ht="15.6" x14ac:dyDescent="0.3">
      <c r="A620" s="438"/>
      <c r="B620" s="439"/>
      <c r="C620" s="440"/>
      <c r="D620" s="441"/>
      <c r="E620" s="441"/>
      <c r="F620" s="442"/>
      <c r="G620" s="443"/>
      <c r="H620" s="442"/>
      <c r="I620" s="455"/>
      <c r="J620" s="444"/>
      <c r="K620" s="652"/>
      <c r="L620" s="444"/>
      <c r="M620" s="444"/>
      <c r="N620" s="444"/>
      <c r="O620" s="444"/>
      <c r="P620" s="444"/>
      <c r="Q620" s="444"/>
      <c r="R620" s="444"/>
      <c r="S620" s="444"/>
      <c r="T620" s="444"/>
      <c r="U620" s="444"/>
      <c r="V620" s="444"/>
      <c r="W620" s="444"/>
      <c r="X620" s="444"/>
    </row>
    <row r="621" spans="1:24" ht="15.6" x14ac:dyDescent="0.3">
      <c r="A621" s="438"/>
      <c r="B621" s="439"/>
      <c r="C621" s="440"/>
      <c r="D621" s="441"/>
      <c r="E621" s="441"/>
      <c r="F621" s="442"/>
      <c r="G621" s="443"/>
      <c r="H621" s="442"/>
      <c r="I621" s="455"/>
      <c r="J621" s="444"/>
      <c r="K621" s="652"/>
      <c r="L621" s="444"/>
      <c r="M621" s="444"/>
      <c r="N621" s="444"/>
      <c r="O621" s="444"/>
      <c r="P621" s="444"/>
      <c r="Q621" s="444"/>
      <c r="R621" s="444"/>
      <c r="S621" s="444"/>
      <c r="T621" s="444"/>
      <c r="U621" s="444"/>
      <c r="V621" s="444"/>
      <c r="W621" s="444"/>
      <c r="X621" s="444"/>
    </row>
    <row r="622" spans="1:24" ht="15.6" x14ac:dyDescent="0.3">
      <c r="A622" s="438"/>
      <c r="B622" s="439"/>
      <c r="C622" s="440"/>
      <c r="D622" s="441"/>
      <c r="E622" s="441"/>
      <c r="F622" s="442"/>
      <c r="G622" s="443"/>
      <c r="H622" s="442"/>
      <c r="I622" s="455"/>
      <c r="J622" s="444"/>
      <c r="K622" s="652"/>
      <c r="L622" s="444"/>
      <c r="M622" s="444"/>
      <c r="N622" s="444"/>
      <c r="O622" s="444"/>
      <c r="P622" s="444"/>
      <c r="Q622" s="444"/>
      <c r="R622" s="444"/>
      <c r="S622" s="444"/>
      <c r="T622" s="444"/>
      <c r="U622" s="444"/>
      <c r="V622" s="444"/>
      <c r="W622" s="444"/>
      <c r="X622" s="444"/>
    </row>
    <row r="623" spans="1:24" ht="15.6" x14ac:dyDescent="0.3">
      <c r="A623" s="438"/>
      <c r="B623" s="439"/>
      <c r="C623" s="440"/>
      <c r="D623" s="441"/>
      <c r="E623" s="441"/>
      <c r="F623" s="442"/>
      <c r="G623" s="443"/>
      <c r="H623" s="442"/>
      <c r="I623" s="455"/>
      <c r="J623" s="444"/>
      <c r="K623" s="652"/>
      <c r="L623" s="444"/>
      <c r="M623" s="444"/>
      <c r="N623" s="444"/>
      <c r="O623" s="444"/>
      <c r="P623" s="444"/>
      <c r="Q623" s="444"/>
      <c r="R623" s="444"/>
      <c r="S623" s="444"/>
      <c r="T623" s="444"/>
      <c r="U623" s="444"/>
      <c r="V623" s="444"/>
      <c r="W623" s="444"/>
      <c r="X623" s="444"/>
    </row>
    <row r="624" spans="1:24" ht="15.6" x14ac:dyDescent="0.3">
      <c r="A624" s="438"/>
      <c r="B624" s="439"/>
      <c r="C624" s="440"/>
      <c r="D624" s="441"/>
      <c r="E624" s="441"/>
      <c r="F624" s="442"/>
      <c r="G624" s="443"/>
      <c r="H624" s="442"/>
      <c r="I624" s="455"/>
      <c r="J624" s="444"/>
      <c r="K624" s="652"/>
      <c r="L624" s="444"/>
      <c r="M624" s="444"/>
      <c r="N624" s="444"/>
      <c r="O624" s="444"/>
      <c r="P624" s="444"/>
      <c r="Q624" s="444"/>
      <c r="R624" s="444"/>
      <c r="S624" s="444"/>
      <c r="T624" s="444"/>
      <c r="U624" s="444"/>
      <c r="V624" s="444"/>
      <c r="W624" s="444"/>
      <c r="X624" s="444"/>
    </row>
    <row r="625" spans="1:24" ht="15.6" x14ac:dyDescent="0.3">
      <c r="A625" s="438"/>
      <c r="B625" s="439"/>
      <c r="C625" s="440"/>
      <c r="D625" s="441"/>
      <c r="E625" s="441"/>
      <c r="F625" s="442"/>
      <c r="G625" s="443"/>
      <c r="H625" s="442"/>
      <c r="I625" s="455"/>
      <c r="J625" s="444"/>
      <c r="K625" s="652"/>
      <c r="L625" s="444"/>
      <c r="M625" s="444"/>
      <c r="N625" s="444"/>
      <c r="O625" s="444"/>
      <c r="P625" s="444"/>
      <c r="Q625" s="444"/>
      <c r="R625" s="444"/>
      <c r="S625" s="444"/>
      <c r="T625" s="444"/>
      <c r="U625" s="444"/>
      <c r="V625" s="444"/>
      <c r="W625" s="444"/>
      <c r="X625" s="444"/>
    </row>
    <row r="626" spans="1:24" ht="15.6" x14ac:dyDescent="0.3">
      <c r="A626" s="438"/>
      <c r="B626" s="439"/>
      <c r="C626" s="440"/>
      <c r="D626" s="441"/>
      <c r="E626" s="441"/>
      <c r="F626" s="442"/>
      <c r="G626" s="443"/>
      <c r="H626" s="442"/>
      <c r="I626" s="455"/>
      <c r="J626" s="444"/>
      <c r="K626" s="652"/>
      <c r="L626" s="444"/>
      <c r="M626" s="444"/>
      <c r="N626" s="444"/>
      <c r="O626" s="444"/>
      <c r="P626" s="444"/>
      <c r="Q626" s="444"/>
      <c r="R626" s="444"/>
      <c r="S626" s="444"/>
      <c r="T626" s="444"/>
      <c r="U626" s="444"/>
      <c r="V626" s="444"/>
      <c r="W626" s="444"/>
      <c r="X626" s="444"/>
    </row>
    <row r="627" spans="1:24" ht="15.6" x14ac:dyDescent="0.3">
      <c r="A627" s="438"/>
      <c r="B627" s="439"/>
      <c r="C627" s="440"/>
      <c r="D627" s="441"/>
      <c r="E627" s="441"/>
      <c r="F627" s="442"/>
      <c r="G627" s="443"/>
      <c r="H627" s="442"/>
      <c r="I627" s="455"/>
      <c r="J627" s="444"/>
      <c r="K627" s="652"/>
      <c r="L627" s="444"/>
      <c r="M627" s="444"/>
      <c r="N627" s="444"/>
      <c r="O627" s="444"/>
      <c r="P627" s="444"/>
      <c r="Q627" s="444"/>
      <c r="R627" s="444"/>
      <c r="S627" s="444"/>
      <c r="T627" s="444"/>
      <c r="U627" s="444"/>
      <c r="V627" s="444"/>
      <c r="W627" s="444"/>
      <c r="X627" s="444"/>
    </row>
    <row r="628" spans="1:24" ht="15.6" x14ac:dyDescent="0.3">
      <c r="A628" s="438"/>
      <c r="B628" s="439"/>
      <c r="C628" s="440"/>
      <c r="D628" s="441"/>
      <c r="E628" s="441"/>
      <c r="F628" s="442"/>
      <c r="G628" s="443"/>
      <c r="H628" s="442"/>
      <c r="I628" s="455"/>
      <c r="J628" s="444"/>
      <c r="K628" s="652"/>
      <c r="L628" s="444"/>
      <c r="M628" s="444"/>
      <c r="N628" s="444"/>
      <c r="O628" s="444"/>
      <c r="P628" s="444"/>
      <c r="Q628" s="444"/>
      <c r="R628" s="444"/>
      <c r="S628" s="444"/>
      <c r="T628" s="444"/>
      <c r="U628" s="444"/>
      <c r="V628" s="444"/>
      <c r="W628" s="444"/>
      <c r="X628" s="444"/>
    </row>
    <row r="629" spans="1:24" ht="15.6" x14ac:dyDescent="0.3">
      <c r="A629" s="438"/>
      <c r="B629" s="439"/>
      <c r="C629" s="440"/>
      <c r="D629" s="441"/>
      <c r="E629" s="441"/>
      <c r="F629" s="442"/>
      <c r="G629" s="443"/>
      <c r="H629" s="442"/>
      <c r="I629" s="455"/>
      <c r="J629" s="444"/>
      <c r="K629" s="652"/>
      <c r="L629" s="444"/>
      <c r="M629" s="444"/>
      <c r="N629" s="444"/>
      <c r="O629" s="444"/>
      <c r="P629" s="444"/>
      <c r="Q629" s="444"/>
      <c r="R629" s="444"/>
      <c r="S629" s="444"/>
      <c r="T629" s="444"/>
      <c r="U629" s="444"/>
      <c r="V629" s="444"/>
      <c r="W629" s="444"/>
      <c r="X629" s="444"/>
    </row>
    <row r="630" spans="1:24" ht="15.6" x14ac:dyDescent="0.3">
      <c r="A630" s="438"/>
      <c r="B630" s="439"/>
      <c r="C630" s="440"/>
      <c r="D630" s="441"/>
      <c r="E630" s="441"/>
      <c r="F630" s="442"/>
      <c r="G630" s="443"/>
      <c r="H630" s="442"/>
      <c r="I630" s="455"/>
      <c r="J630" s="444"/>
      <c r="K630" s="652"/>
      <c r="L630" s="444"/>
      <c r="M630" s="444"/>
      <c r="N630" s="444"/>
      <c r="O630" s="444"/>
      <c r="P630" s="444"/>
      <c r="Q630" s="444"/>
      <c r="R630" s="444"/>
      <c r="S630" s="444"/>
      <c r="T630" s="444"/>
      <c r="U630" s="444"/>
      <c r="V630" s="444"/>
      <c r="W630" s="444"/>
      <c r="X630" s="444"/>
    </row>
    <row r="631" spans="1:24" ht="15.6" x14ac:dyDescent="0.3">
      <c r="A631" s="438"/>
      <c r="B631" s="439"/>
      <c r="C631" s="440"/>
      <c r="D631" s="441"/>
      <c r="E631" s="441"/>
      <c r="F631" s="442"/>
      <c r="G631" s="443"/>
      <c r="H631" s="442"/>
      <c r="I631" s="455"/>
      <c r="J631" s="444"/>
      <c r="K631" s="652"/>
      <c r="L631" s="444"/>
      <c r="M631" s="444"/>
      <c r="N631" s="444"/>
      <c r="O631" s="444"/>
      <c r="P631" s="444"/>
      <c r="Q631" s="444"/>
      <c r="R631" s="444"/>
      <c r="S631" s="444"/>
      <c r="T631" s="444"/>
      <c r="U631" s="444"/>
      <c r="V631" s="444"/>
      <c r="W631" s="444"/>
      <c r="X631" s="444"/>
    </row>
    <row r="632" spans="1:24" ht="15.6" x14ac:dyDescent="0.3">
      <c r="A632" s="438"/>
      <c r="B632" s="439"/>
      <c r="C632" s="440"/>
      <c r="D632" s="441"/>
      <c r="E632" s="441"/>
      <c r="F632" s="442"/>
      <c r="G632" s="443"/>
      <c r="H632" s="442"/>
      <c r="I632" s="455"/>
      <c r="J632" s="444"/>
      <c r="K632" s="652"/>
      <c r="L632" s="444"/>
      <c r="M632" s="444"/>
      <c r="N632" s="444"/>
      <c r="O632" s="444"/>
      <c r="P632" s="444"/>
      <c r="Q632" s="444"/>
      <c r="R632" s="444"/>
      <c r="S632" s="444"/>
      <c r="T632" s="444"/>
      <c r="U632" s="444"/>
      <c r="V632" s="444"/>
      <c r="W632" s="444"/>
      <c r="X632" s="444"/>
    </row>
    <row r="633" spans="1:24" ht="15.6" x14ac:dyDescent="0.3">
      <c r="A633" s="438"/>
      <c r="B633" s="439"/>
      <c r="C633" s="440"/>
      <c r="D633" s="441"/>
      <c r="E633" s="441"/>
      <c r="F633" s="442"/>
      <c r="G633" s="443"/>
      <c r="H633" s="442"/>
      <c r="I633" s="455"/>
      <c r="J633" s="444"/>
      <c r="K633" s="652"/>
      <c r="L633" s="444"/>
      <c r="M633" s="444"/>
      <c r="N633" s="444"/>
      <c r="O633" s="444"/>
      <c r="P633" s="444"/>
      <c r="Q633" s="444"/>
      <c r="R633" s="444"/>
      <c r="S633" s="444"/>
      <c r="T633" s="444"/>
      <c r="U633" s="444"/>
      <c r="V633" s="444"/>
      <c r="W633" s="444"/>
      <c r="X633" s="444"/>
    </row>
    <row r="634" spans="1:24" ht="15.6" x14ac:dyDescent="0.3">
      <c r="A634" s="438"/>
      <c r="B634" s="439"/>
      <c r="C634" s="440"/>
      <c r="D634" s="441"/>
      <c r="E634" s="441"/>
      <c r="F634" s="442"/>
      <c r="G634" s="443"/>
      <c r="H634" s="442"/>
      <c r="I634" s="455"/>
      <c r="J634" s="444"/>
      <c r="K634" s="652"/>
      <c r="L634" s="444"/>
      <c r="M634" s="444"/>
      <c r="N634" s="444"/>
      <c r="O634" s="444"/>
      <c r="P634" s="444"/>
      <c r="Q634" s="444"/>
      <c r="R634" s="444"/>
      <c r="S634" s="444"/>
      <c r="T634" s="444"/>
      <c r="U634" s="444"/>
      <c r="V634" s="444"/>
      <c r="W634" s="444"/>
      <c r="X634" s="444"/>
    </row>
    <row r="635" spans="1:24" ht="15.6" x14ac:dyDescent="0.3">
      <c r="A635" s="438"/>
      <c r="B635" s="439"/>
      <c r="C635" s="440"/>
      <c r="D635" s="441"/>
      <c r="E635" s="441"/>
      <c r="F635" s="442"/>
      <c r="G635" s="443"/>
      <c r="H635" s="442"/>
      <c r="I635" s="455"/>
      <c r="J635" s="444"/>
      <c r="K635" s="652"/>
      <c r="L635" s="444"/>
      <c r="M635" s="444"/>
      <c r="N635" s="444"/>
      <c r="O635" s="444"/>
      <c r="P635" s="444"/>
      <c r="Q635" s="444"/>
      <c r="R635" s="444"/>
      <c r="S635" s="444"/>
      <c r="T635" s="444"/>
      <c r="U635" s="444"/>
      <c r="V635" s="444"/>
      <c r="W635" s="444"/>
      <c r="X635" s="444"/>
    </row>
    <row r="636" spans="1:24" ht="15.6" x14ac:dyDescent="0.3">
      <c r="A636" s="438"/>
      <c r="B636" s="439"/>
      <c r="C636" s="440"/>
      <c r="D636" s="441"/>
      <c r="E636" s="441"/>
      <c r="F636" s="442"/>
      <c r="G636" s="443"/>
      <c r="H636" s="442"/>
      <c r="I636" s="455"/>
      <c r="J636" s="444"/>
      <c r="K636" s="652"/>
      <c r="L636" s="444"/>
      <c r="M636" s="444"/>
      <c r="N636" s="444"/>
      <c r="O636" s="444"/>
      <c r="P636" s="444"/>
      <c r="Q636" s="444"/>
      <c r="R636" s="444"/>
      <c r="S636" s="444"/>
      <c r="T636" s="444"/>
      <c r="U636" s="444"/>
      <c r="V636" s="444"/>
      <c r="W636" s="444"/>
      <c r="X636" s="444"/>
    </row>
    <row r="637" spans="1:24" ht="15.6" x14ac:dyDescent="0.3">
      <c r="A637" s="438"/>
      <c r="B637" s="439"/>
      <c r="C637" s="440"/>
      <c r="D637" s="441"/>
      <c r="E637" s="441"/>
      <c r="F637" s="442"/>
      <c r="G637" s="443"/>
      <c r="H637" s="442"/>
      <c r="I637" s="455"/>
      <c r="J637" s="444"/>
      <c r="K637" s="652"/>
      <c r="L637" s="444"/>
      <c r="M637" s="444"/>
      <c r="N637" s="444"/>
      <c r="O637" s="444"/>
      <c r="P637" s="444"/>
      <c r="Q637" s="444"/>
      <c r="R637" s="444"/>
      <c r="S637" s="444"/>
      <c r="T637" s="444"/>
      <c r="U637" s="444"/>
      <c r="V637" s="444"/>
      <c r="W637" s="444"/>
      <c r="X637" s="444"/>
    </row>
    <row r="638" spans="1:24" ht="15.6" x14ac:dyDescent="0.3">
      <c r="A638" s="438"/>
      <c r="B638" s="439"/>
      <c r="C638" s="440"/>
      <c r="D638" s="441"/>
      <c r="E638" s="441"/>
      <c r="F638" s="442"/>
      <c r="G638" s="443"/>
      <c r="H638" s="442"/>
      <c r="I638" s="455"/>
      <c r="J638" s="444"/>
      <c r="K638" s="652"/>
      <c r="L638" s="444"/>
      <c r="M638" s="444"/>
      <c r="N638" s="444"/>
      <c r="O638" s="444"/>
      <c r="P638" s="444"/>
      <c r="Q638" s="444"/>
      <c r="R638" s="444"/>
      <c r="S638" s="444"/>
      <c r="T638" s="444"/>
      <c r="U638" s="444"/>
      <c r="V638" s="444"/>
      <c r="W638" s="444"/>
      <c r="X638" s="444"/>
    </row>
    <row r="639" spans="1:24" ht="15.6" x14ac:dyDescent="0.3">
      <c r="A639" s="438"/>
      <c r="B639" s="439"/>
      <c r="C639" s="440"/>
      <c r="D639" s="441"/>
      <c r="E639" s="441"/>
      <c r="F639" s="442"/>
      <c r="G639" s="443"/>
      <c r="H639" s="442"/>
      <c r="I639" s="455"/>
      <c r="J639" s="444"/>
      <c r="K639" s="652"/>
      <c r="L639" s="444"/>
      <c r="M639" s="444"/>
      <c r="N639" s="444"/>
      <c r="O639" s="444"/>
      <c r="P639" s="444"/>
      <c r="Q639" s="444"/>
      <c r="R639" s="444"/>
      <c r="S639" s="444"/>
      <c r="T639" s="444"/>
      <c r="U639" s="444"/>
      <c r="V639" s="444"/>
      <c r="W639" s="444"/>
      <c r="X639" s="444"/>
    </row>
    <row r="640" spans="1:24" ht="15.6" x14ac:dyDescent="0.3">
      <c r="A640" s="438"/>
      <c r="B640" s="439"/>
      <c r="C640" s="440"/>
      <c r="D640" s="441"/>
      <c r="E640" s="441"/>
      <c r="F640" s="442"/>
      <c r="G640" s="443"/>
      <c r="H640" s="442"/>
      <c r="I640" s="455"/>
      <c r="J640" s="444"/>
      <c r="K640" s="652"/>
      <c r="L640" s="444"/>
      <c r="M640" s="444"/>
      <c r="N640" s="444"/>
      <c r="O640" s="444"/>
      <c r="P640" s="444"/>
      <c r="Q640" s="444"/>
      <c r="R640" s="444"/>
      <c r="S640" s="444"/>
      <c r="T640" s="444"/>
      <c r="U640" s="444"/>
      <c r="V640" s="444"/>
      <c r="W640" s="444"/>
      <c r="X640" s="444"/>
    </row>
    <row r="641" spans="1:24" ht="15.6" x14ac:dyDescent="0.3">
      <c r="A641" s="438"/>
      <c r="B641" s="439"/>
      <c r="C641" s="440"/>
      <c r="D641" s="441"/>
      <c r="E641" s="441"/>
      <c r="F641" s="442"/>
      <c r="G641" s="443"/>
      <c r="H641" s="442"/>
      <c r="I641" s="455"/>
      <c r="J641" s="444"/>
      <c r="K641" s="652"/>
      <c r="L641" s="444"/>
      <c r="M641" s="444"/>
      <c r="N641" s="444"/>
      <c r="O641" s="444"/>
      <c r="P641" s="444"/>
      <c r="Q641" s="444"/>
      <c r="R641" s="444"/>
      <c r="S641" s="444"/>
      <c r="T641" s="444"/>
      <c r="U641" s="444"/>
      <c r="V641" s="444"/>
      <c r="W641" s="444"/>
      <c r="X641" s="444"/>
    </row>
    <row r="642" spans="1:24" ht="15.6" x14ac:dyDescent="0.3">
      <c r="A642" s="438"/>
      <c r="B642" s="439"/>
      <c r="C642" s="440"/>
      <c r="D642" s="441"/>
      <c r="E642" s="441"/>
      <c r="F642" s="442"/>
      <c r="G642" s="443"/>
      <c r="H642" s="442"/>
      <c r="I642" s="455"/>
      <c r="J642" s="444"/>
      <c r="K642" s="652"/>
      <c r="L642" s="444"/>
      <c r="M642" s="444"/>
      <c r="N642" s="444"/>
      <c r="O642" s="444"/>
      <c r="P642" s="444"/>
      <c r="Q642" s="444"/>
      <c r="R642" s="444"/>
      <c r="S642" s="444"/>
      <c r="T642" s="444"/>
      <c r="U642" s="444"/>
      <c r="V642" s="444"/>
      <c r="W642" s="444"/>
      <c r="X642" s="444"/>
    </row>
    <row r="643" spans="1:24" ht="15.6" x14ac:dyDescent="0.3">
      <c r="A643" s="438"/>
      <c r="B643" s="439"/>
      <c r="C643" s="440"/>
      <c r="D643" s="441"/>
      <c r="E643" s="441"/>
      <c r="F643" s="442"/>
      <c r="G643" s="443"/>
      <c r="H643" s="442"/>
      <c r="I643" s="455"/>
      <c r="J643" s="444"/>
      <c r="K643" s="652"/>
      <c r="L643" s="444"/>
      <c r="M643" s="444"/>
      <c r="N643" s="444"/>
      <c r="O643" s="444"/>
      <c r="P643" s="444"/>
      <c r="Q643" s="444"/>
      <c r="R643" s="444"/>
      <c r="S643" s="444"/>
      <c r="T643" s="444"/>
      <c r="U643" s="444"/>
      <c r="V643" s="444"/>
      <c r="W643" s="444"/>
      <c r="X643" s="444"/>
    </row>
    <row r="644" spans="1:24" ht="15.6" x14ac:dyDescent="0.3">
      <c r="A644" s="438"/>
      <c r="B644" s="439"/>
      <c r="C644" s="440"/>
      <c r="D644" s="441"/>
      <c r="E644" s="441"/>
      <c r="F644" s="442"/>
      <c r="G644" s="443"/>
      <c r="H644" s="442"/>
      <c r="I644" s="455"/>
      <c r="J644" s="444"/>
      <c r="K644" s="652"/>
      <c r="L644" s="444"/>
      <c r="M644" s="444"/>
      <c r="N644" s="444"/>
      <c r="O644" s="444"/>
      <c r="P644" s="444"/>
      <c r="Q644" s="444"/>
      <c r="R644" s="444"/>
      <c r="S644" s="444"/>
      <c r="T644" s="444"/>
      <c r="U644" s="444"/>
      <c r="V644" s="444"/>
      <c r="W644" s="444"/>
      <c r="X644" s="444"/>
    </row>
    <row r="645" spans="1:24" ht="15.6" x14ac:dyDescent="0.3">
      <c r="A645" s="438"/>
      <c r="B645" s="439"/>
      <c r="C645" s="440"/>
      <c r="D645" s="441"/>
      <c r="E645" s="441"/>
      <c r="F645" s="442"/>
      <c r="G645" s="443"/>
      <c r="H645" s="442"/>
      <c r="I645" s="455"/>
      <c r="J645" s="444"/>
      <c r="K645" s="652"/>
      <c r="L645" s="444"/>
      <c r="M645" s="444"/>
      <c r="N645" s="444"/>
      <c r="O645" s="444"/>
      <c r="P645" s="444"/>
      <c r="Q645" s="444"/>
      <c r="R645" s="444"/>
      <c r="S645" s="444"/>
      <c r="T645" s="444"/>
      <c r="U645" s="444"/>
      <c r="V645" s="444"/>
      <c r="W645" s="444"/>
      <c r="X645" s="444"/>
    </row>
    <row r="646" spans="1:24" ht="15.6" x14ac:dyDescent="0.3">
      <c r="A646" s="438"/>
      <c r="B646" s="439"/>
      <c r="C646" s="440"/>
      <c r="D646" s="441"/>
      <c r="E646" s="441"/>
      <c r="F646" s="442"/>
      <c r="G646" s="443"/>
      <c r="H646" s="442"/>
      <c r="I646" s="455"/>
      <c r="J646" s="444"/>
      <c r="K646" s="652"/>
      <c r="L646" s="444"/>
      <c r="M646" s="444"/>
      <c r="N646" s="444"/>
      <c r="O646" s="444"/>
      <c r="P646" s="444"/>
      <c r="Q646" s="444"/>
      <c r="R646" s="444"/>
      <c r="S646" s="444"/>
      <c r="T646" s="444"/>
      <c r="U646" s="444"/>
      <c r="V646" s="444"/>
      <c r="W646" s="444"/>
      <c r="X646" s="444"/>
    </row>
    <row r="647" spans="1:24" ht="15.6" x14ac:dyDescent="0.3">
      <c r="A647" s="438"/>
      <c r="B647" s="439"/>
      <c r="C647" s="440"/>
      <c r="D647" s="441"/>
      <c r="E647" s="441"/>
      <c r="F647" s="442"/>
      <c r="G647" s="443"/>
      <c r="H647" s="442"/>
      <c r="I647" s="455"/>
      <c r="J647" s="444"/>
      <c r="K647" s="652"/>
      <c r="L647" s="444"/>
      <c r="M647" s="444"/>
      <c r="N647" s="444"/>
      <c r="O647" s="444"/>
      <c r="P647" s="444"/>
      <c r="Q647" s="444"/>
      <c r="R647" s="444"/>
      <c r="S647" s="444"/>
      <c r="T647" s="444"/>
      <c r="U647" s="444"/>
      <c r="V647" s="444"/>
      <c r="W647" s="444"/>
      <c r="X647" s="444"/>
    </row>
    <row r="648" spans="1:24" ht="15.6" x14ac:dyDescent="0.3">
      <c r="A648" s="438"/>
      <c r="B648" s="439"/>
      <c r="C648" s="440"/>
      <c r="D648" s="441"/>
      <c r="E648" s="441"/>
      <c r="F648" s="442"/>
      <c r="G648" s="443"/>
      <c r="H648" s="442"/>
      <c r="I648" s="455"/>
      <c r="J648" s="444"/>
      <c r="K648" s="652"/>
      <c r="L648" s="444"/>
      <c r="M648" s="444"/>
      <c r="N648" s="444"/>
      <c r="O648" s="444"/>
      <c r="P648" s="444"/>
      <c r="Q648" s="444"/>
      <c r="R648" s="444"/>
      <c r="S648" s="444"/>
      <c r="T648" s="444"/>
      <c r="U648" s="444"/>
      <c r="V648" s="444"/>
      <c r="W648" s="444"/>
      <c r="X648" s="444"/>
    </row>
    <row r="649" spans="1:24" ht="15.6" x14ac:dyDescent="0.3">
      <c r="A649" s="438"/>
      <c r="B649" s="439"/>
      <c r="C649" s="440"/>
      <c r="D649" s="441"/>
      <c r="E649" s="441"/>
      <c r="F649" s="442"/>
      <c r="G649" s="443"/>
      <c r="H649" s="442"/>
      <c r="I649" s="455"/>
      <c r="J649" s="444"/>
      <c r="K649" s="652"/>
      <c r="L649" s="444"/>
      <c r="M649" s="444"/>
      <c r="N649" s="444"/>
      <c r="O649" s="444"/>
      <c r="P649" s="444"/>
      <c r="Q649" s="444"/>
      <c r="R649" s="444"/>
      <c r="S649" s="444"/>
      <c r="T649" s="444"/>
      <c r="U649" s="444"/>
      <c r="V649" s="444"/>
      <c r="W649" s="444"/>
      <c r="X649" s="444"/>
    </row>
    <row r="650" spans="1:24" ht="15.6" x14ac:dyDescent="0.3">
      <c r="A650" s="438"/>
      <c r="B650" s="439"/>
      <c r="C650" s="440"/>
      <c r="D650" s="441"/>
      <c r="E650" s="441"/>
      <c r="F650" s="442"/>
      <c r="G650" s="443"/>
      <c r="H650" s="442"/>
      <c r="I650" s="455"/>
      <c r="J650" s="444"/>
      <c r="K650" s="652"/>
      <c r="L650" s="444"/>
      <c r="M650" s="444"/>
      <c r="N650" s="444"/>
      <c r="O650" s="444"/>
      <c r="P650" s="444"/>
      <c r="Q650" s="444"/>
      <c r="R650" s="444"/>
      <c r="S650" s="444"/>
      <c r="T650" s="444"/>
      <c r="U650" s="444"/>
      <c r="V650" s="444"/>
      <c r="W650" s="444"/>
      <c r="X650" s="444"/>
    </row>
    <row r="651" spans="1:24" ht="15.6" x14ac:dyDescent="0.3">
      <c r="A651" s="438"/>
      <c r="B651" s="439"/>
      <c r="C651" s="440"/>
      <c r="D651" s="441"/>
      <c r="E651" s="441"/>
      <c r="F651" s="442"/>
      <c r="G651" s="443"/>
      <c r="H651" s="442"/>
      <c r="I651" s="455"/>
      <c r="J651" s="444"/>
      <c r="K651" s="652"/>
      <c r="L651" s="444"/>
      <c r="M651" s="444"/>
      <c r="N651" s="444"/>
      <c r="O651" s="444"/>
      <c r="P651" s="444"/>
      <c r="Q651" s="444"/>
      <c r="R651" s="444"/>
      <c r="S651" s="444"/>
      <c r="T651" s="444"/>
      <c r="U651" s="444"/>
      <c r="V651" s="444"/>
      <c r="W651" s="444"/>
      <c r="X651" s="444"/>
    </row>
    <row r="652" spans="1:24" ht="15.6" x14ac:dyDescent="0.3">
      <c r="A652" s="438"/>
      <c r="B652" s="439"/>
      <c r="C652" s="440"/>
      <c r="D652" s="441"/>
      <c r="E652" s="441"/>
      <c r="F652" s="442"/>
      <c r="G652" s="443"/>
      <c r="H652" s="442"/>
      <c r="I652" s="455"/>
      <c r="J652" s="444"/>
      <c r="K652" s="652"/>
      <c r="L652" s="444"/>
      <c r="M652" s="444"/>
      <c r="N652" s="444"/>
      <c r="O652" s="444"/>
      <c r="P652" s="444"/>
      <c r="Q652" s="444"/>
      <c r="R652" s="444"/>
      <c r="S652" s="444"/>
      <c r="T652" s="444"/>
      <c r="U652" s="444"/>
      <c r="V652" s="444"/>
      <c r="W652" s="444"/>
      <c r="X652" s="444"/>
    </row>
    <row r="653" spans="1:24" ht="15.6" x14ac:dyDescent="0.3">
      <c r="A653" s="438"/>
      <c r="B653" s="439"/>
      <c r="C653" s="440"/>
      <c r="D653" s="441"/>
      <c r="E653" s="441"/>
      <c r="F653" s="442"/>
      <c r="G653" s="443"/>
      <c r="H653" s="442"/>
      <c r="I653" s="455"/>
      <c r="J653" s="444"/>
      <c r="K653" s="652"/>
      <c r="L653" s="444"/>
      <c r="M653" s="444"/>
      <c r="N653" s="444"/>
      <c r="O653" s="444"/>
      <c r="P653" s="444"/>
      <c r="Q653" s="444"/>
      <c r="R653" s="444"/>
      <c r="S653" s="444"/>
      <c r="T653" s="444"/>
      <c r="U653" s="444"/>
      <c r="V653" s="444"/>
      <c r="W653" s="444"/>
      <c r="X653" s="444"/>
    </row>
    <row r="654" spans="1:24" ht="15.6" x14ac:dyDescent="0.3">
      <c r="A654" s="438"/>
      <c r="B654" s="439"/>
      <c r="C654" s="440"/>
      <c r="D654" s="441"/>
      <c r="E654" s="441"/>
      <c r="F654" s="442"/>
      <c r="G654" s="443"/>
      <c r="H654" s="442"/>
      <c r="I654" s="455"/>
      <c r="J654" s="444"/>
      <c r="K654" s="652"/>
      <c r="L654" s="444"/>
      <c r="M654" s="444"/>
      <c r="N654" s="444"/>
      <c r="O654" s="444"/>
      <c r="P654" s="444"/>
      <c r="Q654" s="444"/>
      <c r="R654" s="444"/>
      <c r="S654" s="444"/>
      <c r="T654" s="444"/>
      <c r="U654" s="444"/>
      <c r="V654" s="444"/>
      <c r="W654" s="444"/>
      <c r="X654" s="444"/>
    </row>
    <row r="655" spans="1:24" ht="15.6" x14ac:dyDescent="0.3">
      <c r="A655" s="438"/>
      <c r="B655" s="439"/>
      <c r="C655" s="440"/>
      <c r="D655" s="441"/>
      <c r="E655" s="441"/>
      <c r="F655" s="442"/>
      <c r="G655" s="443"/>
      <c r="H655" s="442"/>
      <c r="I655" s="455"/>
      <c r="J655" s="444"/>
      <c r="K655" s="652"/>
      <c r="L655" s="444"/>
      <c r="M655" s="444"/>
      <c r="N655" s="444"/>
      <c r="O655" s="444"/>
      <c r="P655" s="444"/>
      <c r="Q655" s="444"/>
      <c r="R655" s="444"/>
      <c r="S655" s="444"/>
      <c r="T655" s="444"/>
      <c r="U655" s="444"/>
      <c r="V655" s="444"/>
      <c r="W655" s="444"/>
      <c r="X655" s="444"/>
    </row>
    <row r="656" spans="1:24" ht="15.6" x14ac:dyDescent="0.3">
      <c r="A656" s="438"/>
      <c r="B656" s="439"/>
      <c r="C656" s="440"/>
      <c r="D656" s="441"/>
      <c r="E656" s="441"/>
      <c r="F656" s="442"/>
      <c r="G656" s="443"/>
      <c r="H656" s="442"/>
      <c r="I656" s="455"/>
      <c r="J656" s="444"/>
      <c r="K656" s="652"/>
      <c r="L656" s="444"/>
      <c r="M656" s="444"/>
      <c r="N656" s="444"/>
      <c r="O656" s="444"/>
      <c r="P656" s="444"/>
      <c r="Q656" s="444"/>
      <c r="R656" s="444"/>
      <c r="S656" s="444"/>
      <c r="T656" s="444"/>
      <c r="U656" s="444"/>
      <c r="V656" s="444"/>
      <c r="W656" s="444"/>
      <c r="X656" s="444"/>
    </row>
    <row r="657" spans="1:24" ht="15.6" x14ac:dyDescent="0.3">
      <c r="A657" s="438"/>
      <c r="B657" s="439"/>
      <c r="C657" s="440"/>
      <c r="D657" s="441"/>
      <c r="E657" s="441"/>
      <c r="F657" s="442"/>
      <c r="G657" s="443"/>
      <c r="H657" s="442"/>
      <c r="I657" s="455"/>
      <c r="J657" s="444"/>
      <c r="K657" s="652"/>
      <c r="L657" s="444"/>
      <c r="M657" s="444"/>
      <c r="N657" s="444"/>
      <c r="O657" s="444"/>
      <c r="P657" s="444"/>
      <c r="Q657" s="444"/>
      <c r="R657" s="444"/>
      <c r="S657" s="444"/>
      <c r="T657" s="444"/>
      <c r="U657" s="444"/>
      <c r="V657" s="444"/>
      <c r="W657" s="444"/>
      <c r="X657" s="444"/>
    </row>
    <row r="658" spans="1:24" ht="15.6" x14ac:dyDescent="0.3">
      <c r="A658" s="438"/>
      <c r="B658" s="439"/>
      <c r="C658" s="440"/>
      <c r="D658" s="441"/>
      <c r="E658" s="441"/>
      <c r="F658" s="442"/>
      <c r="G658" s="443"/>
      <c r="H658" s="442"/>
      <c r="I658" s="455"/>
      <c r="J658" s="444"/>
      <c r="K658" s="652"/>
      <c r="L658" s="444"/>
      <c r="M658" s="444"/>
      <c r="N658" s="444"/>
      <c r="O658" s="444"/>
      <c r="P658" s="444"/>
      <c r="Q658" s="444"/>
      <c r="R658" s="444"/>
      <c r="S658" s="444"/>
      <c r="T658" s="444"/>
      <c r="U658" s="444"/>
      <c r="V658" s="444"/>
      <c r="W658" s="444"/>
      <c r="X658" s="444"/>
    </row>
    <row r="659" spans="1:24" ht="15.6" x14ac:dyDescent="0.3">
      <c r="A659" s="438"/>
      <c r="B659" s="439"/>
      <c r="C659" s="440"/>
      <c r="D659" s="441"/>
      <c r="E659" s="441"/>
      <c r="F659" s="442"/>
      <c r="G659" s="443"/>
      <c r="H659" s="442"/>
      <c r="I659" s="455"/>
      <c r="J659" s="444"/>
      <c r="K659" s="652"/>
      <c r="L659" s="444"/>
      <c r="M659" s="444"/>
      <c r="N659" s="444"/>
      <c r="O659" s="444"/>
      <c r="P659" s="444"/>
      <c r="Q659" s="444"/>
      <c r="R659" s="444"/>
      <c r="S659" s="444"/>
      <c r="T659" s="444"/>
      <c r="U659" s="444"/>
      <c r="V659" s="444"/>
      <c r="W659" s="444"/>
      <c r="X659" s="444"/>
    </row>
    <row r="660" spans="1:24" ht="15.6" x14ac:dyDescent="0.3">
      <c r="A660" s="438"/>
      <c r="B660" s="439"/>
      <c r="C660" s="440"/>
      <c r="D660" s="441"/>
      <c r="E660" s="441"/>
      <c r="F660" s="442"/>
      <c r="G660" s="443"/>
      <c r="H660" s="442"/>
      <c r="I660" s="455"/>
      <c r="J660" s="444"/>
      <c r="K660" s="652"/>
      <c r="L660" s="444"/>
      <c r="M660" s="444"/>
      <c r="N660" s="444"/>
      <c r="O660" s="444"/>
      <c r="P660" s="444"/>
      <c r="Q660" s="444"/>
      <c r="R660" s="444"/>
      <c r="S660" s="444"/>
      <c r="T660" s="444"/>
      <c r="U660" s="444"/>
      <c r="V660" s="444"/>
      <c r="W660" s="444"/>
      <c r="X660" s="444"/>
    </row>
    <row r="661" spans="1:24" ht="15.6" x14ac:dyDescent="0.3">
      <c r="A661" s="438"/>
      <c r="B661" s="439"/>
      <c r="C661" s="440"/>
      <c r="D661" s="441"/>
      <c r="E661" s="441"/>
      <c r="F661" s="442"/>
      <c r="G661" s="443"/>
      <c r="H661" s="442"/>
      <c r="I661" s="455"/>
      <c r="J661" s="444"/>
      <c r="K661" s="652"/>
      <c r="L661" s="444"/>
      <c r="M661" s="444"/>
      <c r="N661" s="444"/>
      <c r="O661" s="444"/>
      <c r="P661" s="444"/>
      <c r="Q661" s="444"/>
      <c r="R661" s="444"/>
      <c r="S661" s="444"/>
      <c r="T661" s="444"/>
      <c r="U661" s="444"/>
      <c r="V661" s="444"/>
      <c r="W661" s="444"/>
      <c r="X661" s="444"/>
    </row>
    <row r="662" spans="1:24" ht="15.6" x14ac:dyDescent="0.3">
      <c r="A662" s="438"/>
      <c r="B662" s="439"/>
      <c r="C662" s="440"/>
      <c r="D662" s="441"/>
      <c r="E662" s="441"/>
      <c r="F662" s="442"/>
      <c r="G662" s="443"/>
      <c r="H662" s="442"/>
      <c r="I662" s="455"/>
      <c r="J662" s="444"/>
      <c r="K662" s="652"/>
      <c r="L662" s="444"/>
      <c r="M662" s="444"/>
      <c r="N662" s="444"/>
      <c r="O662" s="444"/>
      <c r="P662" s="444"/>
      <c r="Q662" s="444"/>
      <c r="R662" s="444"/>
      <c r="S662" s="444"/>
      <c r="T662" s="444"/>
      <c r="U662" s="444"/>
      <c r="V662" s="444"/>
      <c r="W662" s="444"/>
      <c r="X662" s="444"/>
    </row>
    <row r="663" spans="1:24" ht="15.6" x14ac:dyDescent="0.3">
      <c r="A663" s="438"/>
      <c r="B663" s="439"/>
      <c r="C663" s="440"/>
      <c r="D663" s="441"/>
      <c r="E663" s="441"/>
      <c r="F663" s="442"/>
      <c r="G663" s="443"/>
      <c r="H663" s="442"/>
      <c r="I663" s="455"/>
      <c r="J663" s="444"/>
      <c r="K663" s="652"/>
      <c r="L663" s="444"/>
      <c r="M663" s="444"/>
      <c r="N663" s="444"/>
      <c r="O663" s="444"/>
      <c r="P663" s="444"/>
      <c r="Q663" s="444"/>
      <c r="R663" s="444"/>
      <c r="S663" s="444"/>
      <c r="T663" s="444"/>
      <c r="U663" s="444"/>
      <c r="V663" s="444"/>
      <c r="W663" s="444"/>
      <c r="X663" s="444"/>
    </row>
    <row r="664" spans="1:24" ht="15.6" x14ac:dyDescent="0.3">
      <c r="A664" s="438"/>
      <c r="B664" s="439"/>
      <c r="C664" s="440"/>
      <c r="D664" s="441"/>
      <c r="E664" s="441"/>
      <c r="F664" s="442"/>
      <c r="G664" s="443"/>
      <c r="H664" s="442"/>
      <c r="I664" s="455"/>
      <c r="J664" s="444"/>
      <c r="K664" s="652"/>
      <c r="L664" s="444"/>
      <c r="M664" s="444"/>
      <c r="N664" s="444"/>
      <c r="O664" s="444"/>
      <c r="P664" s="444"/>
      <c r="Q664" s="444"/>
      <c r="R664" s="444"/>
      <c r="S664" s="444"/>
      <c r="T664" s="444"/>
      <c r="U664" s="444"/>
      <c r="V664" s="444"/>
      <c r="W664" s="444"/>
      <c r="X664" s="444"/>
    </row>
    <row r="665" spans="1:24" ht="15.6" x14ac:dyDescent="0.3">
      <c r="A665" s="438"/>
      <c r="B665" s="439"/>
      <c r="C665" s="440"/>
      <c r="D665" s="441"/>
      <c r="E665" s="441"/>
      <c r="F665" s="442"/>
      <c r="G665" s="443"/>
      <c r="H665" s="442"/>
      <c r="I665" s="455"/>
      <c r="J665" s="444"/>
      <c r="K665" s="652"/>
      <c r="L665" s="444"/>
      <c r="M665" s="444"/>
      <c r="N665" s="444"/>
      <c r="O665" s="444"/>
      <c r="P665" s="444"/>
      <c r="Q665" s="444"/>
      <c r="R665" s="444"/>
      <c r="S665" s="444"/>
      <c r="T665" s="444"/>
      <c r="U665" s="444"/>
      <c r="V665" s="444"/>
      <c r="W665" s="444"/>
      <c r="X665" s="444"/>
    </row>
    <row r="666" spans="1:24" ht="15.6" x14ac:dyDescent="0.3">
      <c r="A666" s="438"/>
      <c r="B666" s="439"/>
      <c r="C666" s="440"/>
      <c r="D666" s="441"/>
      <c r="E666" s="441"/>
      <c r="F666" s="442"/>
      <c r="G666" s="443"/>
      <c r="H666" s="442"/>
      <c r="I666" s="455"/>
      <c r="J666" s="444"/>
      <c r="K666" s="652"/>
      <c r="L666" s="444"/>
      <c r="M666" s="444"/>
      <c r="N666" s="444"/>
      <c r="O666" s="444"/>
      <c r="P666" s="444"/>
      <c r="Q666" s="444"/>
      <c r="R666" s="444"/>
      <c r="S666" s="444"/>
      <c r="T666" s="444"/>
      <c r="U666" s="444"/>
      <c r="V666" s="444"/>
      <c r="W666" s="444"/>
      <c r="X666" s="444"/>
    </row>
    <row r="667" spans="1:24" ht="15.6" x14ac:dyDescent="0.3">
      <c r="A667" s="438"/>
      <c r="B667" s="439"/>
      <c r="C667" s="440"/>
      <c r="D667" s="441"/>
      <c r="E667" s="441"/>
      <c r="F667" s="442"/>
      <c r="G667" s="443"/>
      <c r="H667" s="442"/>
      <c r="I667" s="455"/>
      <c r="J667" s="444"/>
      <c r="K667" s="652"/>
      <c r="L667" s="444"/>
      <c r="M667" s="444"/>
      <c r="N667" s="444"/>
      <c r="O667" s="444"/>
      <c r="P667" s="444"/>
      <c r="Q667" s="444"/>
      <c r="R667" s="444"/>
      <c r="S667" s="444"/>
      <c r="T667" s="444"/>
      <c r="U667" s="444"/>
      <c r="V667" s="444"/>
      <c r="W667" s="444"/>
      <c r="X667" s="444"/>
    </row>
    <row r="668" spans="1:24" ht="15.6" x14ac:dyDescent="0.3">
      <c r="A668" s="438"/>
      <c r="B668" s="439"/>
      <c r="C668" s="440"/>
      <c r="D668" s="441"/>
      <c r="E668" s="441"/>
      <c r="F668" s="442"/>
      <c r="G668" s="443"/>
      <c r="H668" s="442"/>
      <c r="I668" s="455"/>
      <c r="J668" s="444"/>
      <c r="K668" s="652"/>
      <c r="L668" s="444"/>
      <c r="M668" s="444"/>
      <c r="N668" s="444"/>
      <c r="O668" s="444"/>
      <c r="P668" s="444"/>
      <c r="Q668" s="444"/>
      <c r="R668" s="444"/>
      <c r="S668" s="444"/>
      <c r="T668" s="444"/>
      <c r="U668" s="444"/>
      <c r="V668" s="444"/>
      <c r="W668" s="444"/>
      <c r="X668" s="444"/>
    </row>
    <row r="669" spans="1:24" ht="15.6" x14ac:dyDescent="0.3">
      <c r="A669" s="438"/>
      <c r="B669" s="439"/>
      <c r="C669" s="440"/>
      <c r="D669" s="441"/>
      <c r="E669" s="441"/>
      <c r="F669" s="442"/>
      <c r="G669" s="443"/>
      <c r="H669" s="442"/>
      <c r="I669" s="455"/>
      <c r="J669" s="444"/>
      <c r="K669" s="652"/>
      <c r="L669" s="444"/>
      <c r="M669" s="444"/>
      <c r="N669" s="444"/>
      <c r="O669" s="444"/>
      <c r="P669" s="444"/>
      <c r="Q669" s="444"/>
      <c r="R669" s="444"/>
      <c r="S669" s="444"/>
      <c r="T669" s="444"/>
      <c r="U669" s="444"/>
      <c r="V669" s="444"/>
      <c r="W669" s="444"/>
      <c r="X669" s="444"/>
    </row>
    <row r="670" spans="1:24" ht="15.6" x14ac:dyDescent="0.3">
      <c r="A670" s="438"/>
      <c r="B670" s="439"/>
      <c r="C670" s="440"/>
      <c r="D670" s="441"/>
      <c r="E670" s="441"/>
      <c r="F670" s="442"/>
      <c r="G670" s="443"/>
      <c r="H670" s="442"/>
      <c r="I670" s="455"/>
      <c r="J670" s="444"/>
      <c r="K670" s="652"/>
      <c r="L670" s="444"/>
      <c r="M670" s="444"/>
      <c r="N670" s="444"/>
      <c r="O670" s="444"/>
      <c r="P670" s="444"/>
      <c r="Q670" s="444"/>
      <c r="R670" s="444"/>
      <c r="S670" s="444"/>
      <c r="T670" s="444"/>
      <c r="U670" s="444"/>
      <c r="V670" s="444"/>
      <c r="W670" s="444"/>
      <c r="X670" s="444"/>
    </row>
    <row r="671" spans="1:24" ht="15.6" x14ac:dyDescent="0.3">
      <c r="A671" s="438"/>
      <c r="B671" s="439"/>
      <c r="C671" s="440"/>
      <c r="D671" s="441"/>
      <c r="E671" s="441"/>
      <c r="F671" s="442"/>
      <c r="G671" s="443"/>
      <c r="H671" s="442"/>
      <c r="I671" s="455"/>
      <c r="J671" s="444"/>
      <c r="K671" s="652"/>
      <c r="L671" s="444"/>
      <c r="M671" s="444"/>
      <c r="N671" s="444"/>
      <c r="O671" s="444"/>
      <c r="P671" s="444"/>
      <c r="Q671" s="444"/>
      <c r="R671" s="444"/>
      <c r="S671" s="444"/>
      <c r="T671" s="444"/>
      <c r="U671" s="444"/>
      <c r="V671" s="444"/>
      <c r="W671" s="444"/>
      <c r="X671" s="444"/>
    </row>
    <row r="672" spans="1:24" ht="15.6" x14ac:dyDescent="0.3">
      <c r="A672" s="438"/>
      <c r="B672" s="439"/>
      <c r="C672" s="440"/>
      <c r="D672" s="441"/>
      <c r="E672" s="441"/>
      <c r="F672" s="442"/>
      <c r="G672" s="443"/>
      <c r="H672" s="442"/>
      <c r="I672" s="455"/>
      <c r="J672" s="444"/>
      <c r="K672" s="652"/>
      <c r="L672" s="444"/>
      <c r="M672" s="444"/>
      <c r="N672" s="444"/>
      <c r="O672" s="444"/>
      <c r="P672" s="444"/>
      <c r="Q672" s="444"/>
      <c r="R672" s="444"/>
      <c r="S672" s="444"/>
      <c r="T672" s="444"/>
      <c r="U672" s="444"/>
      <c r="V672" s="444"/>
      <c r="W672" s="444"/>
      <c r="X672" s="444"/>
    </row>
    <row r="673" spans="1:24" ht="15.6" x14ac:dyDescent="0.3">
      <c r="A673" s="438"/>
      <c r="B673" s="439"/>
      <c r="C673" s="440"/>
      <c r="D673" s="441"/>
      <c r="E673" s="441"/>
      <c r="F673" s="442"/>
      <c r="G673" s="443"/>
      <c r="H673" s="442"/>
      <c r="I673" s="455"/>
      <c r="J673" s="444"/>
      <c r="K673" s="652"/>
      <c r="L673" s="444"/>
      <c r="M673" s="444"/>
      <c r="N673" s="444"/>
      <c r="O673" s="444"/>
      <c r="P673" s="444"/>
      <c r="Q673" s="444"/>
      <c r="R673" s="444"/>
      <c r="S673" s="444"/>
      <c r="T673" s="444"/>
      <c r="U673" s="444"/>
      <c r="V673" s="444"/>
      <c r="W673" s="444"/>
      <c r="X673" s="444"/>
    </row>
    <row r="674" spans="1:24" ht="15.6" x14ac:dyDescent="0.3">
      <c r="A674" s="438"/>
      <c r="B674" s="439"/>
      <c r="C674" s="440"/>
      <c r="D674" s="441"/>
      <c r="E674" s="441"/>
      <c r="F674" s="442"/>
      <c r="G674" s="443"/>
      <c r="H674" s="442"/>
      <c r="I674" s="455"/>
      <c r="J674" s="444"/>
      <c r="K674" s="652"/>
      <c r="L674" s="444"/>
      <c r="M674" s="444"/>
      <c r="N674" s="444"/>
      <c r="O674" s="444"/>
      <c r="P674" s="444"/>
      <c r="Q674" s="444"/>
      <c r="R674" s="444"/>
      <c r="S674" s="444"/>
      <c r="T674" s="444"/>
      <c r="U674" s="444"/>
      <c r="V674" s="444"/>
      <c r="W674" s="444"/>
      <c r="X674" s="444"/>
    </row>
    <row r="675" spans="1:24" ht="15.6" x14ac:dyDescent="0.3">
      <c r="A675" s="438"/>
      <c r="B675" s="439"/>
      <c r="C675" s="440"/>
      <c r="D675" s="441"/>
      <c r="E675" s="441"/>
      <c r="F675" s="442"/>
      <c r="G675" s="443"/>
      <c r="H675" s="442"/>
      <c r="I675" s="455"/>
      <c r="J675" s="444"/>
      <c r="K675" s="652"/>
      <c r="L675" s="444"/>
      <c r="M675" s="444"/>
      <c r="N675" s="444"/>
      <c r="O675" s="444"/>
      <c r="P675" s="444"/>
      <c r="Q675" s="444"/>
      <c r="R675" s="444"/>
      <c r="S675" s="444"/>
      <c r="T675" s="444"/>
      <c r="U675" s="444"/>
      <c r="V675" s="444"/>
      <c r="W675" s="444"/>
      <c r="X675" s="444"/>
    </row>
    <row r="676" spans="1:24" ht="15.6" x14ac:dyDescent="0.3">
      <c r="A676" s="438"/>
      <c r="B676" s="439"/>
      <c r="C676" s="440"/>
      <c r="D676" s="441"/>
      <c r="E676" s="441"/>
      <c r="F676" s="442"/>
      <c r="G676" s="443"/>
      <c r="H676" s="442"/>
      <c r="I676" s="455"/>
      <c r="J676" s="444"/>
      <c r="K676" s="652"/>
      <c r="L676" s="444"/>
      <c r="M676" s="444"/>
      <c r="N676" s="444"/>
      <c r="O676" s="444"/>
      <c r="P676" s="444"/>
      <c r="Q676" s="444"/>
      <c r="R676" s="444"/>
      <c r="S676" s="444"/>
      <c r="T676" s="444"/>
      <c r="U676" s="444"/>
      <c r="V676" s="444"/>
      <c r="W676" s="444"/>
      <c r="X676" s="444"/>
    </row>
    <row r="677" spans="1:24" ht="15.6" x14ac:dyDescent="0.3">
      <c r="A677" s="438"/>
      <c r="B677" s="439"/>
      <c r="C677" s="440"/>
      <c r="D677" s="441"/>
      <c r="E677" s="441"/>
      <c r="F677" s="442"/>
      <c r="G677" s="443"/>
      <c r="H677" s="442"/>
      <c r="I677" s="455"/>
      <c r="J677" s="444"/>
      <c r="K677" s="652"/>
      <c r="L677" s="444"/>
      <c r="M677" s="444"/>
      <c r="N677" s="444"/>
      <c r="O677" s="444"/>
      <c r="P677" s="444"/>
      <c r="Q677" s="444"/>
      <c r="R677" s="444"/>
      <c r="S677" s="444"/>
      <c r="T677" s="444"/>
      <c r="U677" s="444"/>
      <c r="V677" s="444"/>
      <c r="W677" s="444"/>
      <c r="X677" s="444"/>
    </row>
    <row r="678" spans="1:24" ht="15.6" x14ac:dyDescent="0.3">
      <c r="A678" s="438"/>
      <c r="B678" s="439"/>
      <c r="C678" s="440"/>
      <c r="D678" s="441"/>
      <c r="E678" s="441"/>
      <c r="F678" s="442"/>
      <c r="G678" s="443"/>
      <c r="H678" s="442"/>
      <c r="I678" s="455"/>
      <c r="J678" s="444"/>
      <c r="K678" s="652"/>
      <c r="L678" s="444"/>
      <c r="M678" s="444"/>
      <c r="N678" s="444"/>
      <c r="O678" s="444"/>
      <c r="P678" s="444"/>
      <c r="Q678" s="444"/>
      <c r="R678" s="444"/>
      <c r="S678" s="444"/>
      <c r="T678" s="444"/>
      <c r="U678" s="444"/>
      <c r="V678" s="444"/>
      <c r="W678" s="444"/>
      <c r="X678" s="444"/>
    </row>
    <row r="679" spans="1:24" ht="15.6" x14ac:dyDescent="0.3">
      <c r="A679" s="438"/>
      <c r="B679" s="439"/>
      <c r="C679" s="440"/>
      <c r="D679" s="441"/>
      <c r="E679" s="441"/>
      <c r="F679" s="442"/>
      <c r="G679" s="443"/>
      <c r="H679" s="442"/>
      <c r="I679" s="455"/>
      <c r="J679" s="444"/>
      <c r="K679" s="652"/>
      <c r="L679" s="444"/>
      <c r="M679" s="444"/>
      <c r="N679" s="444"/>
      <c r="O679" s="444"/>
      <c r="P679" s="444"/>
      <c r="Q679" s="444"/>
      <c r="R679" s="444"/>
      <c r="S679" s="444"/>
      <c r="T679" s="444"/>
      <c r="U679" s="444"/>
      <c r="V679" s="444"/>
      <c r="W679" s="444"/>
      <c r="X679" s="444"/>
    </row>
    <row r="680" spans="1:24" ht="15.6" x14ac:dyDescent="0.3">
      <c r="A680" s="438"/>
      <c r="B680" s="439"/>
      <c r="C680" s="440"/>
      <c r="D680" s="441"/>
      <c r="E680" s="441"/>
      <c r="F680" s="442"/>
      <c r="G680" s="443"/>
      <c r="H680" s="442"/>
      <c r="I680" s="455"/>
      <c r="J680" s="444"/>
      <c r="K680" s="652"/>
      <c r="L680" s="444"/>
      <c r="M680" s="444"/>
      <c r="N680" s="444"/>
      <c r="O680" s="444"/>
      <c r="P680" s="444"/>
      <c r="Q680" s="444"/>
      <c r="R680" s="444"/>
      <c r="S680" s="444"/>
      <c r="T680" s="444"/>
      <c r="U680" s="444"/>
      <c r="V680" s="444"/>
      <c r="W680" s="444"/>
      <c r="X680" s="444"/>
    </row>
    <row r="681" spans="1:24" ht="15.6" x14ac:dyDescent="0.3">
      <c r="A681" s="438"/>
      <c r="B681" s="439"/>
      <c r="C681" s="440"/>
      <c r="D681" s="441"/>
      <c r="E681" s="441"/>
      <c r="F681" s="442"/>
      <c r="G681" s="443"/>
      <c r="H681" s="442"/>
      <c r="I681" s="455"/>
      <c r="J681" s="444"/>
      <c r="K681" s="652"/>
      <c r="L681" s="444"/>
      <c r="M681" s="444"/>
      <c r="N681" s="444"/>
      <c r="O681" s="444"/>
      <c r="P681" s="444"/>
      <c r="Q681" s="444"/>
      <c r="R681" s="444"/>
      <c r="S681" s="444"/>
      <c r="T681" s="444"/>
      <c r="U681" s="444"/>
      <c r="V681" s="444"/>
      <c r="W681" s="444"/>
      <c r="X681" s="444"/>
    </row>
    <row r="682" spans="1:24" ht="15.6" x14ac:dyDescent="0.3">
      <c r="A682" s="438"/>
      <c r="B682" s="439"/>
      <c r="C682" s="440"/>
      <c r="D682" s="441"/>
      <c r="E682" s="441"/>
      <c r="F682" s="442"/>
      <c r="G682" s="443"/>
      <c r="H682" s="442"/>
      <c r="I682" s="455"/>
      <c r="J682" s="444"/>
      <c r="K682" s="652"/>
      <c r="L682" s="444"/>
      <c r="M682" s="444"/>
      <c r="N682" s="444"/>
      <c r="O682" s="444"/>
      <c r="P682" s="444"/>
      <c r="Q682" s="444"/>
      <c r="R682" s="444"/>
      <c r="S682" s="444"/>
      <c r="T682" s="444"/>
      <c r="U682" s="444"/>
      <c r="V682" s="444"/>
      <c r="W682" s="444"/>
      <c r="X682" s="444"/>
    </row>
    <row r="683" spans="1:24" ht="15.6" x14ac:dyDescent="0.3">
      <c r="A683" s="438"/>
      <c r="B683" s="439"/>
      <c r="C683" s="440"/>
      <c r="D683" s="441"/>
      <c r="E683" s="441"/>
      <c r="F683" s="442"/>
      <c r="G683" s="443"/>
      <c r="H683" s="442"/>
      <c r="I683" s="455"/>
      <c r="J683" s="444"/>
      <c r="K683" s="652"/>
      <c r="L683" s="444"/>
      <c r="M683" s="444"/>
      <c r="N683" s="444"/>
      <c r="O683" s="444"/>
      <c r="P683" s="444"/>
      <c r="Q683" s="444"/>
      <c r="R683" s="444"/>
      <c r="S683" s="444"/>
      <c r="T683" s="444"/>
      <c r="U683" s="444"/>
      <c r="V683" s="444"/>
      <c r="W683" s="444"/>
      <c r="X683" s="444"/>
    </row>
    <row r="684" spans="1:24" ht="15.6" x14ac:dyDescent="0.3">
      <c r="A684" s="438"/>
      <c r="B684" s="439"/>
      <c r="C684" s="440"/>
      <c r="D684" s="441"/>
      <c r="E684" s="441"/>
      <c r="F684" s="442"/>
      <c r="G684" s="443"/>
      <c r="H684" s="442"/>
      <c r="I684" s="455"/>
      <c r="J684" s="444"/>
      <c r="K684" s="652"/>
      <c r="L684" s="444"/>
      <c r="M684" s="444"/>
      <c r="N684" s="444"/>
      <c r="O684" s="444"/>
      <c r="P684" s="444"/>
      <c r="Q684" s="444"/>
      <c r="R684" s="444"/>
      <c r="S684" s="444"/>
      <c r="T684" s="444"/>
      <c r="U684" s="444"/>
      <c r="V684" s="444"/>
      <c r="W684" s="444"/>
      <c r="X684" s="444"/>
    </row>
    <row r="685" spans="1:24" ht="15.6" x14ac:dyDescent="0.3">
      <c r="A685" s="438"/>
      <c r="B685" s="439"/>
      <c r="C685" s="440"/>
      <c r="D685" s="441"/>
      <c r="E685" s="441"/>
      <c r="F685" s="442"/>
      <c r="G685" s="443"/>
      <c r="H685" s="442"/>
      <c r="I685" s="455"/>
      <c r="J685" s="444"/>
      <c r="K685" s="652"/>
      <c r="L685" s="444"/>
      <c r="M685" s="444"/>
      <c r="N685" s="444"/>
      <c r="O685" s="444"/>
      <c r="P685" s="444"/>
      <c r="Q685" s="444"/>
      <c r="R685" s="444"/>
      <c r="S685" s="444"/>
      <c r="T685" s="444"/>
      <c r="U685" s="444"/>
      <c r="V685" s="444"/>
      <c r="W685" s="444"/>
      <c r="X685" s="444"/>
    </row>
    <row r="686" spans="1:24" ht="15.6" x14ac:dyDescent="0.3">
      <c r="A686" s="438"/>
      <c r="B686" s="439"/>
      <c r="C686" s="440"/>
      <c r="D686" s="441"/>
      <c r="E686" s="441"/>
      <c r="F686" s="442"/>
      <c r="G686" s="443"/>
      <c r="H686" s="442"/>
      <c r="I686" s="455"/>
      <c r="J686" s="444"/>
      <c r="K686" s="652"/>
      <c r="L686" s="444"/>
      <c r="M686" s="444"/>
      <c r="N686" s="444"/>
      <c r="O686" s="444"/>
      <c r="P686" s="444"/>
      <c r="Q686" s="444"/>
      <c r="R686" s="444"/>
      <c r="S686" s="444"/>
      <c r="T686" s="444"/>
      <c r="U686" s="444"/>
      <c r="V686" s="444"/>
      <c r="W686" s="444"/>
      <c r="X686" s="444"/>
    </row>
    <row r="687" spans="1:24" ht="15.6" x14ac:dyDescent="0.3">
      <c r="A687" s="438"/>
      <c r="B687" s="439"/>
      <c r="C687" s="440"/>
      <c r="D687" s="441"/>
      <c r="E687" s="441"/>
      <c r="F687" s="442"/>
      <c r="G687" s="443"/>
      <c r="H687" s="442"/>
      <c r="I687" s="455"/>
      <c r="J687" s="444"/>
      <c r="K687" s="652"/>
      <c r="L687" s="444"/>
      <c r="M687" s="444"/>
      <c r="N687" s="444"/>
      <c r="O687" s="444"/>
      <c r="P687" s="444"/>
      <c r="Q687" s="444"/>
      <c r="R687" s="444"/>
      <c r="S687" s="444"/>
      <c r="T687" s="444"/>
      <c r="U687" s="444"/>
      <c r="V687" s="444"/>
      <c r="W687" s="444"/>
      <c r="X687" s="444"/>
    </row>
    <row r="688" spans="1:24" ht="15.6" x14ac:dyDescent="0.3">
      <c r="A688" s="438"/>
      <c r="B688" s="439"/>
      <c r="C688" s="440"/>
      <c r="D688" s="441"/>
      <c r="E688" s="441"/>
      <c r="F688" s="442"/>
      <c r="G688" s="443"/>
      <c r="H688" s="442"/>
      <c r="I688" s="455"/>
      <c r="J688" s="444"/>
      <c r="K688" s="652"/>
      <c r="L688" s="444"/>
      <c r="M688" s="444"/>
      <c r="N688" s="444"/>
      <c r="O688" s="444"/>
      <c r="P688" s="444"/>
      <c r="Q688" s="444"/>
      <c r="R688" s="444"/>
      <c r="S688" s="444"/>
      <c r="T688" s="444"/>
      <c r="U688" s="444"/>
      <c r="V688" s="444"/>
      <c r="W688" s="444"/>
      <c r="X688" s="444"/>
    </row>
    <row r="689" spans="1:24" ht="15.6" x14ac:dyDescent="0.3">
      <c r="A689" s="438"/>
      <c r="B689" s="439"/>
      <c r="C689" s="440"/>
      <c r="D689" s="441"/>
      <c r="E689" s="441"/>
      <c r="F689" s="442"/>
      <c r="G689" s="443"/>
      <c r="H689" s="442"/>
      <c r="I689" s="455"/>
      <c r="J689" s="444"/>
      <c r="K689" s="652"/>
      <c r="L689" s="444"/>
      <c r="M689" s="444"/>
      <c r="N689" s="444"/>
      <c r="O689" s="444"/>
      <c r="P689" s="444"/>
      <c r="Q689" s="444"/>
      <c r="R689" s="444"/>
      <c r="S689" s="444"/>
      <c r="T689" s="444"/>
      <c r="U689" s="444"/>
      <c r="V689" s="444"/>
      <c r="W689" s="444"/>
      <c r="X689" s="444"/>
    </row>
    <row r="690" spans="1:24" ht="15.6" x14ac:dyDescent="0.3">
      <c r="A690" s="438"/>
      <c r="B690" s="439"/>
      <c r="C690" s="440"/>
      <c r="D690" s="441"/>
      <c r="E690" s="441"/>
      <c r="F690" s="442"/>
      <c r="G690" s="443"/>
      <c r="H690" s="442"/>
      <c r="I690" s="455"/>
      <c r="J690" s="444"/>
      <c r="K690" s="652"/>
      <c r="L690" s="444"/>
      <c r="M690" s="444"/>
      <c r="N690" s="444"/>
      <c r="O690" s="444"/>
      <c r="P690" s="444"/>
      <c r="Q690" s="444"/>
      <c r="R690" s="444"/>
      <c r="S690" s="444"/>
      <c r="T690" s="444"/>
      <c r="U690" s="444"/>
      <c r="V690" s="444"/>
      <c r="W690" s="444"/>
      <c r="X690" s="444"/>
    </row>
    <row r="691" spans="1:24" ht="15.6" x14ac:dyDescent="0.3">
      <c r="A691" s="438"/>
      <c r="B691" s="439"/>
      <c r="C691" s="440"/>
      <c r="D691" s="441"/>
      <c r="E691" s="441"/>
      <c r="F691" s="442"/>
      <c r="G691" s="443"/>
      <c r="H691" s="442"/>
      <c r="I691" s="455"/>
      <c r="J691" s="444"/>
      <c r="K691" s="652"/>
      <c r="L691" s="444"/>
      <c r="M691" s="444"/>
      <c r="N691" s="444"/>
      <c r="O691" s="444"/>
      <c r="P691" s="444"/>
      <c r="Q691" s="444"/>
      <c r="R691" s="444"/>
      <c r="S691" s="444"/>
      <c r="T691" s="444"/>
      <c r="U691" s="444"/>
      <c r="V691" s="444"/>
      <c r="W691" s="444"/>
      <c r="X691" s="444"/>
    </row>
    <row r="692" spans="1:24" ht="15.6" x14ac:dyDescent="0.3">
      <c r="A692" s="438"/>
      <c r="B692" s="439"/>
      <c r="C692" s="440"/>
      <c r="D692" s="441"/>
      <c r="E692" s="441"/>
      <c r="F692" s="442"/>
      <c r="G692" s="443"/>
      <c r="H692" s="442"/>
      <c r="I692" s="455"/>
      <c r="J692" s="444"/>
      <c r="K692" s="652"/>
      <c r="L692" s="444"/>
      <c r="M692" s="444"/>
      <c r="N692" s="444"/>
      <c r="O692" s="444"/>
      <c r="P692" s="444"/>
      <c r="Q692" s="444"/>
      <c r="R692" s="444"/>
      <c r="S692" s="444"/>
      <c r="T692" s="444"/>
      <c r="U692" s="444"/>
      <c r="V692" s="444"/>
      <c r="W692" s="444"/>
      <c r="X692" s="444"/>
    </row>
    <row r="693" spans="1:24" ht="15.6" x14ac:dyDescent="0.3">
      <c r="A693" s="438"/>
      <c r="B693" s="439"/>
      <c r="C693" s="440"/>
      <c r="D693" s="441"/>
      <c r="E693" s="441"/>
      <c r="F693" s="442"/>
      <c r="G693" s="443"/>
      <c r="H693" s="442"/>
      <c r="I693" s="455"/>
      <c r="J693" s="444"/>
      <c r="K693" s="652"/>
      <c r="L693" s="444"/>
      <c r="M693" s="444"/>
      <c r="N693" s="444"/>
      <c r="O693" s="444"/>
      <c r="P693" s="444"/>
      <c r="Q693" s="444"/>
      <c r="R693" s="444"/>
      <c r="S693" s="444"/>
      <c r="T693" s="444"/>
      <c r="U693" s="444"/>
      <c r="V693" s="444"/>
      <c r="W693" s="444"/>
      <c r="X693" s="444"/>
    </row>
    <row r="694" spans="1:24" ht="15.6" x14ac:dyDescent="0.3">
      <c r="A694" s="438"/>
      <c r="B694" s="439"/>
      <c r="C694" s="440"/>
      <c r="D694" s="441"/>
      <c r="E694" s="441"/>
      <c r="F694" s="442"/>
      <c r="G694" s="443"/>
      <c r="H694" s="442"/>
      <c r="I694" s="455"/>
      <c r="J694" s="444"/>
      <c r="K694" s="652"/>
      <c r="L694" s="444"/>
      <c r="M694" s="444"/>
      <c r="N694" s="444"/>
      <c r="O694" s="444"/>
      <c r="P694" s="444"/>
      <c r="Q694" s="444"/>
      <c r="R694" s="444"/>
      <c r="S694" s="444"/>
      <c r="T694" s="444"/>
      <c r="U694" s="444"/>
      <c r="V694" s="444"/>
      <c r="W694" s="444"/>
      <c r="X694" s="444"/>
    </row>
    <row r="695" spans="1:24" ht="15.6" x14ac:dyDescent="0.3">
      <c r="A695" s="438"/>
      <c r="B695" s="439"/>
      <c r="C695" s="440"/>
      <c r="D695" s="441"/>
      <c r="E695" s="441"/>
      <c r="F695" s="442"/>
      <c r="G695" s="443"/>
      <c r="H695" s="442"/>
      <c r="I695" s="455"/>
      <c r="J695" s="444"/>
      <c r="K695" s="652"/>
      <c r="L695" s="444"/>
      <c r="M695" s="444"/>
      <c r="N695" s="444"/>
      <c r="O695" s="444"/>
      <c r="P695" s="444"/>
      <c r="Q695" s="444"/>
      <c r="R695" s="444"/>
      <c r="S695" s="444"/>
      <c r="T695" s="444"/>
      <c r="U695" s="444"/>
      <c r="V695" s="444"/>
      <c r="W695" s="444"/>
      <c r="X695" s="444"/>
    </row>
    <row r="696" spans="1:24" ht="15.6" x14ac:dyDescent="0.3">
      <c r="A696" s="438"/>
      <c r="B696" s="439"/>
      <c r="C696" s="440"/>
      <c r="D696" s="441"/>
      <c r="E696" s="441"/>
      <c r="F696" s="442"/>
      <c r="G696" s="443"/>
      <c r="H696" s="442"/>
      <c r="I696" s="455"/>
      <c r="J696" s="444"/>
      <c r="K696" s="652"/>
      <c r="L696" s="444"/>
      <c r="M696" s="444"/>
      <c r="N696" s="444"/>
      <c r="O696" s="444"/>
      <c r="P696" s="444"/>
      <c r="Q696" s="444"/>
      <c r="R696" s="444"/>
      <c r="S696" s="444"/>
      <c r="T696" s="444"/>
      <c r="U696" s="444"/>
      <c r="V696" s="444"/>
      <c r="W696" s="444"/>
      <c r="X696" s="444"/>
    </row>
    <row r="697" spans="1:24" ht="15.6" x14ac:dyDescent="0.3">
      <c r="A697" s="438"/>
      <c r="B697" s="439"/>
      <c r="C697" s="440"/>
      <c r="D697" s="441"/>
      <c r="E697" s="441"/>
      <c r="F697" s="442"/>
      <c r="G697" s="443"/>
      <c r="H697" s="442"/>
      <c r="I697" s="455"/>
      <c r="J697" s="444"/>
      <c r="K697" s="652"/>
      <c r="L697" s="444"/>
      <c r="M697" s="444"/>
      <c r="N697" s="444"/>
      <c r="O697" s="444"/>
      <c r="P697" s="444"/>
      <c r="Q697" s="444"/>
      <c r="R697" s="444"/>
      <c r="S697" s="444"/>
      <c r="T697" s="444"/>
      <c r="U697" s="444"/>
      <c r="V697" s="444"/>
      <c r="W697" s="444"/>
      <c r="X697" s="444"/>
    </row>
    <row r="698" spans="1:24" ht="15.6" x14ac:dyDescent="0.3">
      <c r="A698" s="438"/>
      <c r="B698" s="439"/>
      <c r="C698" s="440"/>
      <c r="D698" s="441"/>
      <c r="E698" s="441"/>
      <c r="F698" s="442"/>
      <c r="G698" s="443"/>
      <c r="H698" s="442"/>
      <c r="I698" s="455"/>
      <c r="J698" s="444"/>
      <c r="K698" s="652"/>
      <c r="L698" s="444"/>
      <c r="M698" s="444"/>
      <c r="N698" s="444"/>
      <c r="O698" s="444"/>
      <c r="P698" s="444"/>
      <c r="Q698" s="444"/>
      <c r="R698" s="444"/>
      <c r="S698" s="444"/>
      <c r="T698" s="444"/>
      <c r="U698" s="444"/>
      <c r="V698" s="444"/>
      <c r="W698" s="444"/>
      <c r="X698" s="444"/>
    </row>
    <row r="699" spans="1:24" ht="15.6" x14ac:dyDescent="0.3">
      <c r="A699" s="438"/>
      <c r="B699" s="439"/>
      <c r="C699" s="440"/>
      <c r="D699" s="441"/>
      <c r="E699" s="441"/>
      <c r="F699" s="442"/>
      <c r="G699" s="443"/>
      <c r="H699" s="442"/>
      <c r="I699" s="455"/>
      <c r="J699" s="444"/>
      <c r="K699" s="652"/>
      <c r="L699" s="444"/>
      <c r="M699" s="444"/>
      <c r="N699" s="444"/>
      <c r="O699" s="444"/>
      <c r="P699" s="444"/>
      <c r="Q699" s="444"/>
      <c r="R699" s="444"/>
      <c r="S699" s="444"/>
      <c r="T699" s="444"/>
      <c r="U699" s="444"/>
      <c r="V699" s="444"/>
      <c r="W699" s="444"/>
      <c r="X699" s="444"/>
    </row>
    <row r="700" spans="1:24" ht="15.6" x14ac:dyDescent="0.3">
      <c r="A700" s="438"/>
      <c r="B700" s="439"/>
      <c r="C700" s="440"/>
      <c r="D700" s="441"/>
      <c r="E700" s="441"/>
      <c r="F700" s="442"/>
      <c r="G700" s="443"/>
      <c r="H700" s="442"/>
      <c r="I700" s="455"/>
      <c r="J700" s="444"/>
      <c r="K700" s="652"/>
      <c r="L700" s="444"/>
      <c r="M700" s="444"/>
      <c r="N700" s="444"/>
      <c r="O700" s="444"/>
      <c r="P700" s="444"/>
      <c r="Q700" s="444"/>
      <c r="R700" s="444"/>
      <c r="S700" s="444"/>
      <c r="T700" s="444"/>
      <c r="U700" s="444"/>
      <c r="V700" s="444"/>
      <c r="W700" s="444"/>
      <c r="X700" s="444"/>
    </row>
    <row r="701" spans="1:24" ht="15.6" x14ac:dyDescent="0.3">
      <c r="A701" s="438"/>
      <c r="B701" s="439"/>
      <c r="C701" s="440"/>
      <c r="D701" s="441"/>
      <c r="E701" s="441"/>
      <c r="F701" s="442"/>
      <c r="G701" s="443"/>
      <c r="H701" s="442"/>
      <c r="I701" s="455"/>
      <c r="J701" s="444"/>
      <c r="K701" s="652"/>
      <c r="L701" s="444"/>
      <c r="M701" s="444"/>
      <c r="N701" s="444"/>
      <c r="O701" s="444"/>
      <c r="P701" s="444"/>
      <c r="Q701" s="444"/>
      <c r="R701" s="444"/>
      <c r="S701" s="444"/>
      <c r="T701" s="444"/>
      <c r="U701" s="444"/>
      <c r="V701" s="444"/>
      <c r="W701" s="444"/>
      <c r="X701" s="444"/>
    </row>
    <row r="702" spans="1:24" ht="15.6" x14ac:dyDescent="0.3">
      <c r="A702" s="438"/>
      <c r="B702" s="439"/>
      <c r="C702" s="440"/>
      <c r="D702" s="441"/>
      <c r="E702" s="441"/>
      <c r="F702" s="442"/>
      <c r="G702" s="443"/>
      <c r="H702" s="442"/>
      <c r="I702" s="455"/>
      <c r="J702" s="444"/>
      <c r="K702" s="652"/>
      <c r="L702" s="444"/>
      <c r="M702" s="444"/>
      <c r="N702" s="444"/>
      <c r="O702" s="444"/>
      <c r="P702" s="444"/>
      <c r="Q702" s="444"/>
      <c r="R702" s="444"/>
      <c r="S702" s="444"/>
      <c r="T702" s="444"/>
      <c r="U702" s="444"/>
      <c r="V702" s="444"/>
      <c r="W702" s="444"/>
      <c r="X702" s="444"/>
    </row>
    <row r="703" spans="1:24" ht="15.6" x14ac:dyDescent="0.3">
      <c r="A703" s="438"/>
      <c r="B703" s="439"/>
      <c r="C703" s="440"/>
      <c r="D703" s="441"/>
      <c r="E703" s="441"/>
      <c r="F703" s="442"/>
      <c r="G703" s="443"/>
      <c r="H703" s="442"/>
      <c r="I703" s="455"/>
      <c r="J703" s="444"/>
      <c r="K703" s="652"/>
      <c r="L703" s="444"/>
      <c r="M703" s="444"/>
      <c r="N703" s="444"/>
      <c r="O703" s="444"/>
      <c r="P703" s="444"/>
      <c r="Q703" s="444"/>
      <c r="R703" s="444"/>
      <c r="S703" s="444"/>
      <c r="T703" s="444"/>
      <c r="U703" s="444"/>
      <c r="V703" s="444"/>
      <c r="W703" s="444"/>
      <c r="X703" s="444"/>
    </row>
    <row r="704" spans="1:24" ht="15.6" x14ac:dyDescent="0.3">
      <c r="A704" s="438"/>
      <c r="B704" s="439"/>
      <c r="C704" s="440"/>
      <c r="D704" s="441"/>
      <c r="E704" s="441"/>
      <c r="F704" s="442"/>
      <c r="G704" s="443"/>
      <c r="H704" s="442"/>
      <c r="I704" s="455"/>
      <c r="J704" s="444"/>
      <c r="K704" s="652"/>
      <c r="L704" s="444"/>
      <c r="M704" s="444"/>
      <c r="N704" s="444"/>
      <c r="O704" s="444"/>
      <c r="P704" s="444"/>
      <c r="Q704" s="444"/>
      <c r="R704" s="444"/>
      <c r="S704" s="444"/>
      <c r="T704" s="444"/>
      <c r="U704" s="444"/>
      <c r="V704" s="444"/>
      <c r="W704" s="444"/>
      <c r="X704" s="444"/>
    </row>
    <row r="705" spans="1:24" ht="15.6" x14ac:dyDescent="0.3">
      <c r="A705" s="438"/>
      <c r="B705" s="439"/>
      <c r="C705" s="440"/>
      <c r="D705" s="441"/>
      <c r="E705" s="441"/>
      <c r="F705" s="442"/>
      <c r="G705" s="443"/>
      <c r="H705" s="442"/>
      <c r="I705" s="455"/>
      <c r="J705" s="444"/>
      <c r="K705" s="652"/>
      <c r="L705" s="444"/>
      <c r="M705" s="444"/>
      <c r="N705" s="444"/>
      <c r="O705" s="444"/>
      <c r="P705" s="444"/>
      <c r="Q705" s="444"/>
      <c r="R705" s="444"/>
      <c r="S705" s="444"/>
      <c r="T705" s="444"/>
      <c r="U705" s="444"/>
      <c r="V705" s="444"/>
      <c r="W705" s="444"/>
      <c r="X705" s="444"/>
    </row>
    <row r="706" spans="1:24" ht="15.6" x14ac:dyDescent="0.3">
      <c r="A706" s="438"/>
      <c r="B706" s="439"/>
      <c r="C706" s="440"/>
      <c r="D706" s="441"/>
      <c r="E706" s="441"/>
      <c r="F706" s="442"/>
      <c r="G706" s="443"/>
      <c r="H706" s="442"/>
      <c r="I706" s="455"/>
      <c r="J706" s="444"/>
      <c r="K706" s="652"/>
      <c r="L706" s="444"/>
      <c r="M706" s="444"/>
      <c r="N706" s="444"/>
      <c r="O706" s="444"/>
      <c r="P706" s="444"/>
      <c r="Q706" s="444"/>
      <c r="R706" s="444"/>
      <c r="S706" s="444"/>
      <c r="T706" s="444"/>
      <c r="U706" s="444"/>
      <c r="V706" s="444"/>
      <c r="W706" s="444"/>
      <c r="X706" s="444"/>
    </row>
    <row r="707" spans="1:24" ht="15.6" x14ac:dyDescent="0.3">
      <c r="A707" s="438"/>
      <c r="B707" s="439"/>
      <c r="C707" s="440"/>
      <c r="D707" s="441"/>
      <c r="E707" s="441"/>
      <c r="F707" s="442"/>
      <c r="G707" s="443"/>
      <c r="H707" s="442"/>
      <c r="I707" s="455"/>
      <c r="J707" s="444"/>
      <c r="K707" s="652"/>
      <c r="L707" s="444"/>
      <c r="M707" s="444"/>
      <c r="N707" s="444"/>
      <c r="O707" s="444"/>
      <c r="P707" s="444"/>
      <c r="Q707" s="444"/>
      <c r="R707" s="444"/>
      <c r="S707" s="444"/>
      <c r="T707" s="444"/>
      <c r="U707" s="444"/>
      <c r="V707" s="444"/>
      <c r="W707" s="444"/>
      <c r="X707" s="444"/>
    </row>
    <row r="708" spans="1:24" ht="15.6" x14ac:dyDescent="0.3">
      <c r="A708" s="438"/>
      <c r="B708" s="439"/>
      <c r="C708" s="440"/>
      <c r="D708" s="441"/>
      <c r="E708" s="441"/>
      <c r="F708" s="442"/>
      <c r="G708" s="443"/>
      <c r="H708" s="442"/>
      <c r="I708" s="455"/>
      <c r="J708" s="444"/>
      <c r="K708" s="652"/>
      <c r="L708" s="444"/>
      <c r="M708" s="444"/>
      <c r="N708" s="444"/>
      <c r="O708" s="444"/>
      <c r="P708" s="444"/>
      <c r="Q708" s="444"/>
      <c r="R708" s="444"/>
      <c r="S708" s="444"/>
      <c r="T708" s="444"/>
      <c r="U708" s="444"/>
      <c r="V708" s="444"/>
      <c r="W708" s="444"/>
      <c r="X708" s="444"/>
    </row>
    <row r="709" spans="1:24" ht="15.6" x14ac:dyDescent="0.3">
      <c r="A709" s="438"/>
      <c r="B709" s="439"/>
      <c r="C709" s="440"/>
      <c r="D709" s="441"/>
      <c r="E709" s="441"/>
      <c r="F709" s="442"/>
      <c r="G709" s="443"/>
      <c r="H709" s="442"/>
      <c r="I709" s="455"/>
      <c r="J709" s="444"/>
      <c r="K709" s="652"/>
      <c r="L709" s="444"/>
      <c r="M709" s="444"/>
      <c r="N709" s="444"/>
      <c r="O709" s="444"/>
      <c r="P709" s="444"/>
      <c r="Q709" s="444"/>
      <c r="R709" s="444"/>
      <c r="S709" s="444"/>
      <c r="T709" s="444"/>
      <c r="U709" s="444"/>
      <c r="V709" s="444"/>
      <c r="W709" s="444"/>
      <c r="X709" s="444"/>
    </row>
    <row r="710" spans="1:24" ht="15.6" x14ac:dyDescent="0.3">
      <c r="A710" s="438"/>
      <c r="B710" s="439"/>
      <c r="C710" s="440"/>
      <c r="D710" s="441"/>
      <c r="E710" s="441"/>
      <c r="F710" s="442"/>
      <c r="G710" s="443"/>
      <c r="H710" s="442"/>
      <c r="I710" s="455"/>
      <c r="J710" s="444"/>
      <c r="K710" s="652"/>
      <c r="L710" s="444"/>
      <c r="M710" s="444"/>
      <c r="N710" s="444"/>
      <c r="O710" s="444"/>
      <c r="P710" s="444"/>
      <c r="Q710" s="444"/>
      <c r="R710" s="444"/>
      <c r="S710" s="444"/>
      <c r="T710" s="444"/>
      <c r="U710" s="444"/>
      <c r="V710" s="444"/>
      <c r="W710" s="444"/>
      <c r="X710" s="444"/>
    </row>
    <row r="711" spans="1:24" ht="15.6" x14ac:dyDescent="0.3">
      <c r="A711" s="438"/>
      <c r="B711" s="439"/>
      <c r="C711" s="440"/>
      <c r="D711" s="441"/>
      <c r="E711" s="441"/>
      <c r="F711" s="442"/>
      <c r="G711" s="443"/>
      <c r="H711" s="442"/>
      <c r="I711" s="455"/>
      <c r="J711" s="444"/>
      <c r="K711" s="652"/>
      <c r="L711" s="444"/>
      <c r="M711" s="444"/>
      <c r="N711" s="444"/>
      <c r="O711" s="444"/>
      <c r="P711" s="444"/>
      <c r="Q711" s="444"/>
      <c r="R711" s="444"/>
      <c r="S711" s="444"/>
      <c r="T711" s="444"/>
      <c r="U711" s="444"/>
      <c r="V711" s="444"/>
      <c r="W711" s="444"/>
      <c r="X711" s="444"/>
    </row>
    <row r="712" spans="1:24" ht="15.6" x14ac:dyDescent="0.3">
      <c r="A712" s="438"/>
      <c r="B712" s="439"/>
      <c r="C712" s="440"/>
      <c r="D712" s="441"/>
      <c r="E712" s="441"/>
      <c r="F712" s="442"/>
      <c r="G712" s="443"/>
      <c r="H712" s="442"/>
      <c r="I712" s="455"/>
      <c r="J712" s="444"/>
      <c r="K712" s="652"/>
      <c r="L712" s="444"/>
      <c r="M712" s="444"/>
      <c r="N712" s="444"/>
      <c r="O712" s="444"/>
      <c r="P712" s="444"/>
      <c r="Q712" s="444"/>
      <c r="R712" s="444"/>
      <c r="S712" s="444"/>
      <c r="T712" s="444"/>
      <c r="U712" s="444"/>
      <c r="V712" s="444"/>
      <c r="W712" s="444"/>
      <c r="X712" s="444"/>
    </row>
    <row r="713" spans="1:24" ht="15.6" x14ac:dyDescent="0.3">
      <c r="A713" s="438"/>
      <c r="B713" s="439"/>
      <c r="C713" s="440"/>
      <c r="D713" s="441"/>
      <c r="E713" s="441"/>
      <c r="F713" s="442"/>
      <c r="G713" s="443"/>
      <c r="H713" s="442"/>
      <c r="I713" s="455"/>
      <c r="J713" s="444"/>
      <c r="K713" s="652"/>
      <c r="L713" s="444"/>
      <c r="M713" s="444"/>
      <c r="N713" s="444"/>
      <c r="O713" s="444"/>
      <c r="P713" s="444"/>
      <c r="Q713" s="444"/>
      <c r="R713" s="444"/>
      <c r="S713" s="444"/>
      <c r="T713" s="444"/>
      <c r="U713" s="444"/>
      <c r="V713" s="444"/>
      <c r="W713" s="444"/>
      <c r="X713" s="444"/>
    </row>
    <row r="714" spans="1:24" ht="15.6" x14ac:dyDescent="0.3">
      <c r="A714" s="438"/>
      <c r="B714" s="439"/>
      <c r="C714" s="440"/>
      <c r="D714" s="441"/>
      <c r="E714" s="441"/>
      <c r="F714" s="442"/>
      <c r="G714" s="443"/>
      <c r="H714" s="442"/>
      <c r="I714" s="455"/>
      <c r="J714" s="444"/>
      <c r="K714" s="652"/>
      <c r="L714" s="444"/>
      <c r="M714" s="444"/>
      <c r="N714" s="444"/>
      <c r="O714" s="444"/>
      <c r="P714" s="444"/>
      <c r="Q714" s="444"/>
      <c r="R714" s="444"/>
      <c r="S714" s="444"/>
      <c r="T714" s="444"/>
      <c r="U714" s="444"/>
      <c r="V714" s="444"/>
      <c r="W714" s="444"/>
      <c r="X714" s="444"/>
    </row>
    <row r="715" spans="1:24" ht="15.6" x14ac:dyDescent="0.3">
      <c r="A715" s="438"/>
      <c r="B715" s="439"/>
      <c r="C715" s="440"/>
      <c r="D715" s="441"/>
      <c r="E715" s="441"/>
      <c r="F715" s="442"/>
      <c r="G715" s="443"/>
      <c r="H715" s="442"/>
      <c r="I715" s="455"/>
      <c r="J715" s="444"/>
      <c r="K715" s="652"/>
      <c r="L715" s="444"/>
      <c r="M715" s="444"/>
      <c r="N715" s="444"/>
      <c r="O715" s="444"/>
      <c r="P715" s="444"/>
      <c r="Q715" s="444"/>
      <c r="R715" s="444"/>
      <c r="S715" s="444"/>
      <c r="T715" s="444"/>
      <c r="U715" s="444"/>
      <c r="V715" s="444"/>
      <c r="W715" s="444"/>
      <c r="X715" s="444"/>
    </row>
    <row r="716" spans="1:24" ht="15.6" x14ac:dyDescent="0.3">
      <c r="A716" s="438"/>
      <c r="B716" s="439"/>
      <c r="C716" s="440"/>
      <c r="D716" s="441"/>
      <c r="E716" s="441"/>
      <c r="F716" s="442"/>
      <c r="G716" s="443"/>
      <c r="H716" s="442"/>
      <c r="I716" s="455"/>
      <c r="J716" s="444"/>
      <c r="K716" s="652"/>
      <c r="L716" s="444"/>
      <c r="M716" s="444"/>
      <c r="N716" s="444"/>
      <c r="O716" s="444"/>
      <c r="P716" s="444"/>
      <c r="Q716" s="444"/>
      <c r="R716" s="444"/>
      <c r="S716" s="444"/>
      <c r="T716" s="444"/>
      <c r="U716" s="444"/>
      <c r="V716" s="444"/>
      <c r="W716" s="444"/>
      <c r="X716" s="444"/>
    </row>
    <row r="717" spans="1:24" ht="15.6" x14ac:dyDescent="0.3">
      <c r="A717" s="438"/>
      <c r="B717" s="439"/>
      <c r="C717" s="440"/>
      <c r="D717" s="441"/>
      <c r="E717" s="441"/>
      <c r="F717" s="442"/>
      <c r="G717" s="443"/>
      <c r="H717" s="442"/>
      <c r="I717" s="455"/>
      <c r="J717" s="444"/>
      <c r="K717" s="652"/>
      <c r="L717" s="444"/>
      <c r="M717" s="444"/>
      <c r="N717" s="444"/>
      <c r="O717" s="444"/>
      <c r="P717" s="444"/>
      <c r="Q717" s="444"/>
      <c r="R717" s="444"/>
      <c r="S717" s="444"/>
      <c r="T717" s="444"/>
      <c r="U717" s="444"/>
      <c r="V717" s="444"/>
      <c r="W717" s="444"/>
      <c r="X717" s="444"/>
    </row>
    <row r="718" spans="1:24" ht="15.6" x14ac:dyDescent="0.3">
      <c r="A718" s="438"/>
      <c r="B718" s="439"/>
      <c r="C718" s="440"/>
      <c r="D718" s="441"/>
      <c r="E718" s="441"/>
      <c r="F718" s="442"/>
      <c r="G718" s="443"/>
      <c r="H718" s="442"/>
      <c r="I718" s="455"/>
      <c r="J718" s="444"/>
      <c r="K718" s="652"/>
      <c r="L718" s="444"/>
      <c r="M718" s="444"/>
      <c r="N718" s="444"/>
      <c r="O718" s="444"/>
      <c r="P718" s="444"/>
      <c r="Q718" s="444"/>
      <c r="R718" s="444"/>
      <c r="S718" s="444"/>
      <c r="T718" s="444"/>
      <c r="U718" s="444"/>
      <c r="V718" s="444"/>
      <c r="W718" s="444"/>
      <c r="X718" s="444"/>
    </row>
    <row r="719" spans="1:24" ht="15.6" x14ac:dyDescent="0.3">
      <c r="A719" s="438"/>
      <c r="B719" s="439"/>
      <c r="C719" s="440"/>
      <c r="D719" s="441"/>
      <c r="E719" s="441"/>
      <c r="F719" s="442"/>
      <c r="G719" s="443"/>
      <c r="H719" s="442"/>
      <c r="I719" s="455"/>
      <c r="J719" s="444"/>
      <c r="K719" s="652"/>
      <c r="L719" s="444"/>
      <c r="M719" s="444"/>
      <c r="N719" s="444"/>
      <c r="O719" s="444"/>
      <c r="P719" s="444"/>
      <c r="Q719" s="444"/>
      <c r="R719" s="444"/>
      <c r="S719" s="444"/>
      <c r="T719" s="444"/>
      <c r="U719" s="444"/>
      <c r="V719" s="444"/>
      <c r="W719" s="444"/>
      <c r="X719" s="444"/>
    </row>
    <row r="720" spans="1:24" ht="15.6" x14ac:dyDescent="0.3">
      <c r="A720" s="438"/>
      <c r="B720" s="439"/>
      <c r="C720" s="440"/>
      <c r="D720" s="441"/>
      <c r="E720" s="441"/>
      <c r="F720" s="442"/>
      <c r="G720" s="443"/>
      <c r="H720" s="442"/>
      <c r="I720" s="455"/>
      <c r="J720" s="444"/>
      <c r="K720" s="652"/>
      <c r="L720" s="444"/>
      <c r="M720" s="444"/>
      <c r="N720" s="444"/>
      <c r="O720" s="444"/>
      <c r="P720" s="444"/>
      <c r="Q720" s="444"/>
      <c r="R720" s="444"/>
      <c r="S720" s="444"/>
      <c r="T720" s="444"/>
      <c r="U720" s="444"/>
      <c r="V720" s="444"/>
      <c r="W720" s="444"/>
      <c r="X720" s="444"/>
    </row>
    <row r="721" spans="1:24" ht="15.6" x14ac:dyDescent="0.3">
      <c r="A721" s="438"/>
      <c r="B721" s="439"/>
      <c r="C721" s="440"/>
      <c r="D721" s="441"/>
      <c r="E721" s="441"/>
      <c r="F721" s="442"/>
      <c r="G721" s="443"/>
      <c r="H721" s="442"/>
      <c r="I721" s="455"/>
      <c r="J721" s="444"/>
      <c r="K721" s="652"/>
      <c r="L721" s="444"/>
      <c r="M721" s="444"/>
      <c r="N721" s="444"/>
      <c r="O721" s="444"/>
      <c r="P721" s="444"/>
      <c r="Q721" s="444"/>
      <c r="R721" s="444"/>
      <c r="S721" s="444"/>
      <c r="T721" s="444"/>
      <c r="U721" s="444"/>
      <c r="V721" s="444"/>
      <c r="W721" s="444"/>
      <c r="X721" s="444"/>
    </row>
    <row r="722" spans="1:24" ht="15.6" x14ac:dyDescent="0.3">
      <c r="A722" s="438"/>
      <c r="B722" s="439"/>
      <c r="C722" s="440"/>
      <c r="D722" s="441"/>
      <c r="E722" s="441"/>
      <c r="F722" s="442"/>
      <c r="G722" s="443"/>
      <c r="H722" s="442"/>
      <c r="I722" s="455"/>
      <c r="J722" s="444"/>
      <c r="K722" s="652"/>
      <c r="L722" s="444"/>
      <c r="M722" s="444"/>
      <c r="N722" s="444"/>
      <c r="O722" s="444"/>
      <c r="P722" s="444"/>
      <c r="Q722" s="444"/>
      <c r="R722" s="444"/>
      <c r="S722" s="444"/>
      <c r="T722" s="444"/>
      <c r="U722" s="444"/>
      <c r="V722" s="444"/>
      <c r="W722" s="444"/>
      <c r="X722" s="444"/>
    </row>
    <row r="723" spans="1:24" ht="15.6" x14ac:dyDescent="0.3">
      <c r="A723" s="438"/>
      <c r="B723" s="439"/>
      <c r="C723" s="440"/>
      <c r="D723" s="441"/>
      <c r="E723" s="441"/>
      <c r="F723" s="442"/>
      <c r="G723" s="443"/>
      <c r="H723" s="442"/>
      <c r="I723" s="455"/>
      <c r="J723" s="444"/>
      <c r="K723" s="652"/>
      <c r="L723" s="444"/>
      <c r="M723" s="444"/>
      <c r="N723" s="444"/>
      <c r="O723" s="444"/>
      <c r="P723" s="444"/>
      <c r="Q723" s="444"/>
      <c r="R723" s="444"/>
      <c r="S723" s="444"/>
      <c r="T723" s="444"/>
      <c r="U723" s="444"/>
      <c r="V723" s="444"/>
      <c r="W723" s="444"/>
      <c r="X723" s="444"/>
    </row>
    <row r="724" spans="1:24" ht="15.6" x14ac:dyDescent="0.3">
      <c r="A724" s="438"/>
      <c r="B724" s="439"/>
      <c r="C724" s="440"/>
      <c r="D724" s="441"/>
      <c r="E724" s="441"/>
      <c r="F724" s="442"/>
      <c r="G724" s="443"/>
      <c r="H724" s="442"/>
      <c r="I724" s="455"/>
      <c r="J724" s="444"/>
      <c r="K724" s="652"/>
      <c r="L724" s="444"/>
      <c r="M724" s="444"/>
      <c r="N724" s="444"/>
      <c r="O724" s="444"/>
      <c r="P724" s="444"/>
      <c r="Q724" s="444"/>
      <c r="R724" s="444"/>
      <c r="S724" s="444"/>
      <c r="T724" s="444"/>
      <c r="U724" s="444"/>
      <c r="V724" s="444"/>
      <c r="W724" s="444"/>
      <c r="X724" s="444"/>
    </row>
    <row r="725" spans="1:24" ht="15.6" x14ac:dyDescent="0.3">
      <c r="A725" s="438"/>
      <c r="B725" s="439"/>
      <c r="C725" s="440"/>
      <c r="D725" s="441"/>
      <c r="E725" s="441"/>
      <c r="F725" s="442"/>
      <c r="G725" s="443"/>
      <c r="H725" s="442"/>
      <c r="I725" s="455"/>
      <c r="J725" s="444"/>
      <c r="K725" s="652"/>
      <c r="L725" s="444"/>
      <c r="M725" s="444"/>
      <c r="N725" s="444"/>
      <c r="O725" s="444"/>
      <c r="P725" s="444"/>
      <c r="Q725" s="444"/>
      <c r="R725" s="444"/>
      <c r="S725" s="444"/>
      <c r="T725" s="444"/>
      <c r="U725" s="444"/>
      <c r="V725" s="444"/>
      <c r="W725" s="444"/>
      <c r="X725" s="444"/>
    </row>
    <row r="726" spans="1:24" ht="15.6" x14ac:dyDescent="0.3">
      <c r="A726" s="438"/>
      <c r="B726" s="439"/>
      <c r="C726" s="440"/>
      <c r="D726" s="441"/>
      <c r="E726" s="441"/>
      <c r="F726" s="442"/>
      <c r="G726" s="443"/>
      <c r="H726" s="442"/>
      <c r="I726" s="455"/>
      <c r="J726" s="444"/>
      <c r="K726" s="652"/>
      <c r="L726" s="444"/>
      <c r="M726" s="444"/>
      <c r="N726" s="444"/>
      <c r="O726" s="444"/>
      <c r="P726" s="444"/>
      <c r="Q726" s="444"/>
      <c r="R726" s="444"/>
      <c r="S726" s="444"/>
      <c r="T726" s="444"/>
      <c r="U726" s="444"/>
      <c r="V726" s="444"/>
      <c r="W726" s="444"/>
      <c r="X726" s="444"/>
    </row>
    <row r="727" spans="1:24" ht="15.6" x14ac:dyDescent="0.3">
      <c r="A727" s="438"/>
      <c r="B727" s="439"/>
      <c r="C727" s="440"/>
      <c r="D727" s="441"/>
      <c r="E727" s="441"/>
      <c r="F727" s="442"/>
      <c r="G727" s="443"/>
      <c r="H727" s="442"/>
      <c r="I727" s="455"/>
      <c r="J727" s="444"/>
      <c r="K727" s="652"/>
      <c r="L727" s="444"/>
      <c r="M727" s="444"/>
      <c r="N727" s="444"/>
      <c r="O727" s="444"/>
      <c r="P727" s="444"/>
      <c r="Q727" s="444"/>
      <c r="R727" s="444"/>
      <c r="S727" s="444"/>
      <c r="T727" s="444"/>
      <c r="U727" s="444"/>
      <c r="V727" s="444"/>
      <c r="W727" s="444"/>
      <c r="X727" s="444"/>
    </row>
    <row r="728" spans="1:24" ht="15.6" x14ac:dyDescent="0.3">
      <c r="A728" s="438"/>
      <c r="B728" s="439"/>
      <c r="C728" s="440"/>
      <c r="D728" s="441"/>
      <c r="E728" s="441"/>
      <c r="F728" s="442"/>
      <c r="G728" s="443"/>
      <c r="H728" s="442"/>
      <c r="I728" s="455"/>
      <c r="J728" s="444"/>
      <c r="K728" s="652"/>
      <c r="L728" s="444"/>
      <c r="M728" s="444"/>
      <c r="N728" s="444"/>
      <c r="O728" s="444"/>
      <c r="P728" s="444"/>
      <c r="Q728" s="444"/>
      <c r="R728" s="444"/>
      <c r="S728" s="444"/>
      <c r="T728" s="444"/>
      <c r="U728" s="444"/>
      <c r="V728" s="444"/>
      <c r="W728" s="444"/>
      <c r="X728" s="444"/>
    </row>
    <row r="729" spans="1:24" ht="15.6" x14ac:dyDescent="0.3">
      <c r="A729" s="438"/>
      <c r="B729" s="439"/>
      <c r="C729" s="440"/>
      <c r="D729" s="441"/>
      <c r="E729" s="441"/>
      <c r="F729" s="442"/>
      <c r="G729" s="443"/>
      <c r="H729" s="442"/>
      <c r="I729" s="455"/>
      <c r="J729" s="444"/>
      <c r="K729" s="652"/>
      <c r="L729" s="444"/>
      <c r="M729" s="444"/>
      <c r="N729" s="444"/>
      <c r="O729" s="444"/>
      <c r="P729" s="444"/>
      <c r="Q729" s="444"/>
      <c r="R729" s="444"/>
      <c r="S729" s="444"/>
      <c r="T729" s="444"/>
      <c r="U729" s="444"/>
      <c r="V729" s="444"/>
      <c r="W729" s="444"/>
      <c r="X729" s="444"/>
    </row>
    <row r="730" spans="1:24" ht="15.6" x14ac:dyDescent="0.3">
      <c r="A730" s="438"/>
      <c r="B730" s="439"/>
      <c r="C730" s="440"/>
      <c r="D730" s="441"/>
      <c r="E730" s="441"/>
      <c r="F730" s="442"/>
      <c r="G730" s="443"/>
      <c r="H730" s="442"/>
      <c r="I730" s="455"/>
      <c r="J730" s="444"/>
      <c r="K730" s="652"/>
      <c r="L730" s="444"/>
      <c r="M730" s="444"/>
      <c r="N730" s="444"/>
      <c r="O730" s="444"/>
      <c r="P730" s="444"/>
      <c r="Q730" s="444"/>
      <c r="R730" s="444"/>
      <c r="S730" s="444"/>
      <c r="T730" s="444"/>
      <c r="U730" s="444"/>
      <c r="V730" s="444"/>
      <c r="W730" s="444"/>
      <c r="X730" s="444"/>
    </row>
    <row r="731" spans="1:24" ht="15.6" x14ac:dyDescent="0.3">
      <c r="A731" s="438"/>
      <c r="B731" s="439"/>
      <c r="C731" s="440"/>
      <c r="D731" s="441"/>
      <c r="E731" s="441"/>
      <c r="F731" s="442"/>
      <c r="G731" s="443"/>
      <c r="H731" s="442"/>
      <c r="I731" s="455"/>
      <c r="J731" s="444"/>
      <c r="K731" s="652"/>
      <c r="L731" s="444"/>
      <c r="M731" s="444"/>
      <c r="N731" s="444"/>
      <c r="O731" s="444"/>
      <c r="P731" s="444"/>
      <c r="Q731" s="444"/>
      <c r="R731" s="444"/>
      <c r="S731" s="444"/>
      <c r="T731" s="444"/>
      <c r="U731" s="444"/>
      <c r="V731" s="444"/>
      <c r="W731" s="444"/>
      <c r="X731" s="444"/>
    </row>
    <row r="732" spans="1:24" ht="15.6" x14ac:dyDescent="0.3">
      <c r="A732" s="438"/>
      <c r="B732" s="439"/>
      <c r="C732" s="440"/>
      <c r="D732" s="441"/>
      <c r="E732" s="441"/>
      <c r="F732" s="442"/>
      <c r="G732" s="443"/>
      <c r="H732" s="442"/>
      <c r="I732" s="455"/>
      <c r="J732" s="444"/>
      <c r="K732" s="652"/>
      <c r="L732" s="444"/>
      <c r="M732" s="444"/>
      <c r="N732" s="444"/>
      <c r="O732" s="444"/>
      <c r="P732" s="444"/>
      <c r="Q732" s="444"/>
      <c r="R732" s="444"/>
      <c r="S732" s="444"/>
      <c r="T732" s="444"/>
      <c r="U732" s="444"/>
      <c r="V732" s="444"/>
      <c r="W732" s="444"/>
      <c r="X732" s="444"/>
    </row>
    <row r="733" spans="1:24" ht="15.6" x14ac:dyDescent="0.3">
      <c r="A733" s="438"/>
      <c r="B733" s="439"/>
      <c r="C733" s="440"/>
      <c r="D733" s="441"/>
      <c r="E733" s="441"/>
      <c r="F733" s="442"/>
      <c r="G733" s="443"/>
      <c r="H733" s="442"/>
      <c r="I733" s="455"/>
      <c r="J733" s="444"/>
      <c r="K733" s="652"/>
      <c r="L733" s="444"/>
      <c r="M733" s="444"/>
      <c r="N733" s="444"/>
      <c r="O733" s="444"/>
      <c r="P733" s="444"/>
      <c r="Q733" s="444"/>
      <c r="R733" s="444"/>
      <c r="S733" s="444"/>
      <c r="T733" s="444"/>
      <c r="U733" s="444"/>
      <c r="V733" s="444"/>
      <c r="W733" s="444"/>
      <c r="X733" s="444"/>
    </row>
    <row r="734" spans="1:24" ht="15.6" x14ac:dyDescent="0.3">
      <c r="A734" s="438"/>
      <c r="B734" s="439"/>
      <c r="C734" s="440"/>
      <c r="D734" s="441"/>
      <c r="E734" s="441"/>
      <c r="F734" s="442"/>
      <c r="G734" s="443"/>
      <c r="H734" s="442"/>
      <c r="I734" s="455"/>
      <c r="J734" s="444"/>
      <c r="K734" s="652"/>
      <c r="L734" s="444"/>
      <c r="M734" s="444"/>
      <c r="N734" s="444"/>
      <c r="O734" s="444"/>
      <c r="P734" s="444"/>
      <c r="Q734" s="444"/>
      <c r="R734" s="444"/>
      <c r="S734" s="444"/>
      <c r="T734" s="444"/>
      <c r="U734" s="444"/>
      <c r="V734" s="444"/>
      <c r="W734" s="444"/>
      <c r="X734" s="444"/>
    </row>
    <row r="735" spans="1:24" ht="15.6" x14ac:dyDescent="0.3">
      <c r="A735" s="438"/>
      <c r="B735" s="439"/>
      <c r="C735" s="440"/>
      <c r="D735" s="441"/>
      <c r="E735" s="441"/>
      <c r="F735" s="442"/>
      <c r="G735" s="443"/>
      <c r="H735" s="442"/>
      <c r="I735" s="455"/>
      <c r="J735" s="444"/>
      <c r="K735" s="652"/>
      <c r="L735" s="444"/>
      <c r="M735" s="444"/>
      <c r="N735" s="444"/>
      <c r="O735" s="444"/>
      <c r="P735" s="444"/>
      <c r="Q735" s="444"/>
      <c r="R735" s="444"/>
      <c r="S735" s="444"/>
      <c r="T735" s="444"/>
      <c r="U735" s="444"/>
      <c r="V735" s="444"/>
      <c r="W735" s="444"/>
      <c r="X735" s="444"/>
    </row>
    <row r="736" spans="1:24" ht="15.6" x14ac:dyDescent="0.3">
      <c r="A736" s="438"/>
      <c r="B736" s="439"/>
      <c r="C736" s="440"/>
      <c r="D736" s="441"/>
      <c r="E736" s="441"/>
      <c r="F736" s="442"/>
      <c r="G736" s="443"/>
      <c r="H736" s="442"/>
      <c r="I736" s="455"/>
      <c r="J736" s="444"/>
      <c r="K736" s="652"/>
      <c r="L736" s="444"/>
      <c r="M736" s="444"/>
      <c r="N736" s="444"/>
      <c r="O736" s="444"/>
      <c r="P736" s="444"/>
      <c r="Q736" s="444"/>
      <c r="R736" s="444"/>
      <c r="S736" s="444"/>
      <c r="T736" s="444"/>
      <c r="U736" s="444"/>
      <c r="V736" s="444"/>
      <c r="W736" s="444"/>
      <c r="X736" s="444"/>
    </row>
    <row r="737" spans="1:24" ht="15.6" x14ac:dyDescent="0.3">
      <c r="A737" s="438"/>
      <c r="B737" s="439"/>
      <c r="C737" s="440"/>
      <c r="D737" s="441"/>
      <c r="E737" s="441"/>
      <c r="F737" s="442"/>
      <c r="G737" s="443"/>
      <c r="H737" s="442"/>
      <c r="I737" s="455"/>
      <c r="J737" s="444"/>
      <c r="K737" s="652"/>
      <c r="L737" s="444"/>
      <c r="M737" s="444"/>
      <c r="N737" s="444"/>
      <c r="O737" s="444"/>
      <c r="P737" s="444"/>
      <c r="Q737" s="444"/>
      <c r="R737" s="444"/>
      <c r="S737" s="444"/>
      <c r="T737" s="444"/>
      <c r="U737" s="444"/>
      <c r="V737" s="444"/>
      <c r="W737" s="444"/>
      <c r="X737" s="444"/>
    </row>
    <row r="738" spans="1:24" ht="15.6" x14ac:dyDescent="0.3">
      <c r="A738" s="438"/>
      <c r="B738" s="439"/>
      <c r="C738" s="440"/>
      <c r="D738" s="441"/>
      <c r="E738" s="441"/>
      <c r="F738" s="442"/>
      <c r="G738" s="443"/>
      <c r="H738" s="442"/>
      <c r="I738" s="455"/>
      <c r="J738" s="444"/>
      <c r="K738" s="652"/>
      <c r="L738" s="444"/>
      <c r="M738" s="444"/>
      <c r="N738" s="444"/>
      <c r="O738" s="444"/>
      <c r="P738" s="444"/>
      <c r="Q738" s="444"/>
      <c r="R738" s="444"/>
      <c r="S738" s="444"/>
      <c r="T738" s="444"/>
      <c r="U738" s="444"/>
      <c r="V738" s="444"/>
      <c r="W738" s="444"/>
      <c r="X738" s="444"/>
    </row>
    <row r="739" spans="1:24" ht="15.6" x14ac:dyDescent="0.3">
      <c r="A739" s="438"/>
      <c r="B739" s="439"/>
      <c r="C739" s="440"/>
      <c r="D739" s="441"/>
      <c r="E739" s="441"/>
      <c r="F739" s="442"/>
      <c r="G739" s="443"/>
      <c r="H739" s="442"/>
      <c r="I739" s="455"/>
      <c r="J739" s="444"/>
      <c r="K739" s="652"/>
      <c r="L739" s="444"/>
      <c r="M739" s="444"/>
      <c r="N739" s="444"/>
      <c r="O739" s="444"/>
      <c r="P739" s="444"/>
      <c r="Q739" s="444"/>
      <c r="R739" s="444"/>
      <c r="S739" s="444"/>
      <c r="T739" s="444"/>
      <c r="U739" s="444"/>
      <c r="V739" s="444"/>
      <c r="W739" s="444"/>
      <c r="X739" s="444"/>
    </row>
    <row r="740" spans="1:24" ht="15.6" x14ac:dyDescent="0.3">
      <c r="A740" s="438"/>
      <c r="B740" s="439"/>
      <c r="C740" s="440"/>
      <c r="D740" s="441"/>
      <c r="E740" s="441"/>
      <c r="F740" s="442"/>
      <c r="G740" s="443"/>
      <c r="H740" s="442"/>
      <c r="I740" s="455"/>
      <c r="J740" s="444"/>
      <c r="K740" s="652"/>
      <c r="L740" s="444"/>
      <c r="M740" s="444"/>
      <c r="N740" s="444"/>
      <c r="O740" s="444"/>
      <c r="P740" s="444"/>
      <c r="Q740" s="444"/>
      <c r="R740" s="444"/>
      <c r="S740" s="444"/>
      <c r="T740" s="444"/>
      <c r="U740" s="444"/>
      <c r="V740" s="444"/>
      <c r="W740" s="444"/>
      <c r="X740" s="444"/>
    </row>
    <row r="741" spans="1:24" ht="15.6" x14ac:dyDescent="0.3">
      <c r="A741" s="438"/>
      <c r="B741" s="439"/>
      <c r="C741" s="440"/>
      <c r="D741" s="441"/>
      <c r="E741" s="441"/>
      <c r="F741" s="442"/>
      <c r="G741" s="443"/>
      <c r="H741" s="442"/>
      <c r="I741" s="455"/>
      <c r="J741" s="444"/>
      <c r="K741" s="652"/>
      <c r="L741" s="444"/>
      <c r="M741" s="444"/>
      <c r="N741" s="444"/>
      <c r="O741" s="444"/>
      <c r="P741" s="444"/>
      <c r="Q741" s="444"/>
      <c r="R741" s="444"/>
      <c r="S741" s="444"/>
      <c r="T741" s="444"/>
      <c r="U741" s="444"/>
      <c r="V741" s="444"/>
      <c r="W741" s="444"/>
      <c r="X741" s="444"/>
    </row>
    <row r="742" spans="1:24" ht="15.6" x14ac:dyDescent="0.3">
      <c r="A742" s="438"/>
      <c r="B742" s="439"/>
      <c r="C742" s="440"/>
      <c r="D742" s="441"/>
      <c r="E742" s="441"/>
      <c r="F742" s="442"/>
      <c r="G742" s="443"/>
      <c r="H742" s="442"/>
      <c r="I742" s="455"/>
      <c r="J742" s="444"/>
      <c r="K742" s="652"/>
      <c r="L742" s="444"/>
      <c r="M742" s="444"/>
      <c r="N742" s="444"/>
      <c r="O742" s="444"/>
      <c r="P742" s="444"/>
      <c r="Q742" s="444"/>
      <c r="R742" s="444"/>
      <c r="S742" s="444"/>
      <c r="T742" s="444"/>
      <c r="U742" s="444"/>
      <c r="V742" s="444"/>
      <c r="W742" s="444"/>
      <c r="X742" s="444"/>
    </row>
    <row r="743" spans="1:24" ht="15.6" x14ac:dyDescent="0.3">
      <c r="A743" s="438"/>
      <c r="B743" s="439"/>
      <c r="C743" s="440"/>
      <c r="D743" s="441"/>
      <c r="E743" s="441"/>
      <c r="F743" s="442"/>
      <c r="G743" s="443"/>
      <c r="H743" s="442"/>
      <c r="I743" s="455"/>
      <c r="J743" s="444"/>
      <c r="K743" s="652"/>
      <c r="L743" s="444"/>
      <c r="M743" s="444"/>
      <c r="N743" s="444"/>
      <c r="O743" s="444"/>
      <c r="P743" s="444"/>
      <c r="Q743" s="444"/>
      <c r="R743" s="444"/>
      <c r="S743" s="444"/>
      <c r="T743" s="444"/>
      <c r="U743" s="444"/>
      <c r="V743" s="444"/>
      <c r="W743" s="444"/>
      <c r="X743" s="444"/>
    </row>
    <row r="744" spans="1:24" ht="15.6" x14ac:dyDescent="0.3">
      <c r="A744" s="438"/>
      <c r="B744" s="439"/>
      <c r="C744" s="440"/>
      <c r="D744" s="441"/>
      <c r="E744" s="441"/>
      <c r="F744" s="442"/>
      <c r="G744" s="443"/>
      <c r="H744" s="442"/>
      <c r="I744" s="455"/>
      <c r="J744" s="444"/>
      <c r="K744" s="652"/>
      <c r="L744" s="444"/>
      <c r="M744" s="444"/>
      <c r="N744" s="444"/>
      <c r="O744" s="444"/>
      <c r="P744" s="444"/>
      <c r="Q744" s="444"/>
      <c r="R744" s="444"/>
      <c r="S744" s="444"/>
      <c r="T744" s="444"/>
      <c r="U744" s="444"/>
      <c r="V744" s="444"/>
      <c r="W744" s="444"/>
      <c r="X744" s="444"/>
    </row>
    <row r="745" spans="1:24" ht="15.6" x14ac:dyDescent="0.3">
      <c r="A745" s="438"/>
      <c r="B745" s="439"/>
      <c r="C745" s="440"/>
      <c r="D745" s="441"/>
      <c r="E745" s="441"/>
      <c r="F745" s="442"/>
      <c r="G745" s="443"/>
      <c r="H745" s="442"/>
      <c r="I745" s="455"/>
      <c r="J745" s="444"/>
      <c r="K745" s="652"/>
      <c r="L745" s="444"/>
      <c r="M745" s="444"/>
      <c r="N745" s="444"/>
      <c r="O745" s="444"/>
      <c r="P745" s="444"/>
      <c r="Q745" s="444"/>
      <c r="R745" s="444"/>
      <c r="S745" s="444"/>
      <c r="T745" s="444"/>
      <c r="U745" s="444"/>
      <c r="V745" s="444"/>
      <c r="W745" s="444"/>
      <c r="X745" s="444"/>
    </row>
    <row r="746" spans="1:24" ht="15.6" x14ac:dyDescent="0.3">
      <c r="A746" s="438"/>
      <c r="B746" s="439"/>
      <c r="C746" s="440"/>
      <c r="D746" s="441"/>
      <c r="E746" s="441"/>
      <c r="F746" s="442"/>
      <c r="G746" s="443"/>
      <c r="H746" s="442"/>
      <c r="I746" s="455"/>
      <c r="J746" s="444"/>
      <c r="K746" s="652"/>
      <c r="L746" s="444"/>
      <c r="M746" s="444"/>
      <c r="N746" s="444"/>
      <c r="O746" s="444"/>
      <c r="P746" s="444"/>
      <c r="Q746" s="444"/>
      <c r="R746" s="444"/>
      <c r="S746" s="444"/>
      <c r="T746" s="444"/>
      <c r="U746" s="444"/>
      <c r="V746" s="444"/>
      <c r="W746" s="444"/>
      <c r="X746" s="444"/>
    </row>
    <row r="747" spans="1:24" ht="15.6" x14ac:dyDescent="0.3">
      <c r="A747" s="438"/>
      <c r="B747" s="439"/>
      <c r="C747" s="440"/>
      <c r="D747" s="441"/>
      <c r="E747" s="441"/>
      <c r="F747" s="442"/>
      <c r="G747" s="443"/>
      <c r="H747" s="442"/>
      <c r="I747" s="455"/>
      <c r="J747" s="444"/>
      <c r="K747" s="652"/>
      <c r="L747" s="444"/>
      <c r="M747" s="444"/>
      <c r="N747" s="444"/>
      <c r="O747" s="444"/>
      <c r="P747" s="444"/>
      <c r="Q747" s="444"/>
      <c r="R747" s="444"/>
      <c r="S747" s="444"/>
      <c r="T747" s="444"/>
      <c r="U747" s="444"/>
      <c r="V747" s="444"/>
      <c r="W747" s="444"/>
      <c r="X747" s="444"/>
    </row>
    <row r="748" spans="1:24" ht="15.6" x14ac:dyDescent="0.3">
      <c r="A748" s="438"/>
      <c r="B748" s="439"/>
      <c r="C748" s="440"/>
      <c r="D748" s="441"/>
      <c r="E748" s="441"/>
      <c r="F748" s="442"/>
      <c r="G748" s="443"/>
      <c r="H748" s="442"/>
      <c r="I748" s="455"/>
      <c r="J748" s="444"/>
      <c r="K748" s="652"/>
      <c r="L748" s="444"/>
      <c r="M748" s="444"/>
      <c r="N748" s="444"/>
      <c r="O748" s="444"/>
      <c r="P748" s="444"/>
      <c r="Q748" s="444"/>
      <c r="R748" s="444"/>
      <c r="S748" s="444"/>
      <c r="T748" s="444"/>
      <c r="U748" s="444"/>
      <c r="V748" s="444"/>
      <c r="W748" s="444"/>
      <c r="X748" s="444"/>
    </row>
    <row r="749" spans="1:24" ht="15.6" x14ac:dyDescent="0.3">
      <c r="A749" s="438"/>
      <c r="B749" s="439"/>
      <c r="C749" s="440"/>
      <c r="D749" s="441"/>
      <c r="E749" s="441"/>
      <c r="F749" s="442"/>
      <c r="G749" s="443"/>
      <c r="H749" s="442"/>
      <c r="I749" s="455"/>
      <c r="J749" s="444"/>
      <c r="K749" s="652"/>
      <c r="L749" s="444"/>
      <c r="M749" s="444"/>
      <c r="N749" s="444"/>
      <c r="O749" s="444"/>
      <c r="P749" s="444"/>
      <c r="Q749" s="444"/>
      <c r="R749" s="444"/>
      <c r="S749" s="444"/>
      <c r="T749" s="444"/>
      <c r="U749" s="444"/>
      <c r="V749" s="444"/>
      <c r="W749" s="444"/>
      <c r="X749" s="444"/>
    </row>
    <row r="750" spans="1:24" ht="15.6" x14ac:dyDescent="0.3">
      <c r="A750" s="438"/>
      <c r="B750" s="439"/>
      <c r="C750" s="440"/>
      <c r="D750" s="441"/>
      <c r="E750" s="441"/>
      <c r="F750" s="442"/>
      <c r="G750" s="443"/>
      <c r="H750" s="442"/>
      <c r="I750" s="455"/>
      <c r="J750" s="444"/>
      <c r="K750" s="652"/>
      <c r="L750" s="444"/>
      <c r="M750" s="444"/>
      <c r="N750" s="444"/>
      <c r="O750" s="444"/>
      <c r="P750" s="444"/>
      <c r="Q750" s="444"/>
      <c r="R750" s="444"/>
      <c r="S750" s="444"/>
      <c r="T750" s="444"/>
      <c r="U750" s="444"/>
      <c r="V750" s="444"/>
      <c r="W750" s="444"/>
      <c r="X750" s="444"/>
    </row>
    <row r="751" spans="1:24" ht="15.6" x14ac:dyDescent="0.3">
      <c r="A751" s="438"/>
      <c r="B751" s="439"/>
      <c r="C751" s="440"/>
      <c r="D751" s="441"/>
      <c r="E751" s="441"/>
      <c r="F751" s="442"/>
      <c r="G751" s="443"/>
      <c r="H751" s="442"/>
      <c r="I751" s="455"/>
      <c r="J751" s="444"/>
      <c r="K751" s="652"/>
      <c r="L751" s="444"/>
      <c r="M751" s="444"/>
      <c r="N751" s="444"/>
      <c r="O751" s="444"/>
      <c r="P751" s="444"/>
      <c r="Q751" s="444"/>
      <c r="R751" s="444"/>
      <c r="S751" s="444"/>
      <c r="T751" s="444"/>
      <c r="U751" s="444"/>
      <c r="V751" s="444"/>
      <c r="W751" s="444"/>
      <c r="X751" s="444"/>
    </row>
    <row r="752" spans="1:24" ht="15.6" x14ac:dyDescent="0.3">
      <c r="A752" s="438"/>
      <c r="B752" s="439"/>
      <c r="C752" s="440"/>
      <c r="D752" s="441"/>
      <c r="E752" s="441"/>
      <c r="F752" s="442"/>
      <c r="G752" s="443"/>
      <c r="H752" s="442"/>
      <c r="I752" s="455"/>
      <c r="J752" s="444"/>
      <c r="K752" s="652"/>
      <c r="L752" s="444"/>
      <c r="M752" s="444"/>
      <c r="N752" s="444"/>
      <c r="O752" s="444"/>
      <c r="P752" s="444"/>
      <c r="Q752" s="444"/>
      <c r="R752" s="444"/>
      <c r="S752" s="444"/>
      <c r="T752" s="444"/>
      <c r="U752" s="444"/>
      <c r="V752" s="444"/>
      <c r="W752" s="444"/>
      <c r="X752" s="444"/>
    </row>
    <row r="753" spans="1:24" ht="15.6" x14ac:dyDescent="0.3">
      <c r="A753" s="438"/>
      <c r="B753" s="439"/>
      <c r="C753" s="440"/>
      <c r="D753" s="441"/>
      <c r="E753" s="441"/>
      <c r="F753" s="442"/>
      <c r="G753" s="443"/>
      <c r="H753" s="442"/>
      <c r="I753" s="455"/>
      <c r="J753" s="444"/>
      <c r="K753" s="652"/>
      <c r="L753" s="444"/>
      <c r="M753" s="444"/>
      <c r="N753" s="444"/>
      <c r="O753" s="444"/>
      <c r="P753" s="444"/>
      <c r="Q753" s="444"/>
      <c r="R753" s="444"/>
      <c r="S753" s="444"/>
      <c r="T753" s="444"/>
      <c r="U753" s="444"/>
      <c r="V753" s="444"/>
      <c r="W753" s="444"/>
      <c r="X753" s="444"/>
    </row>
    <row r="754" spans="1:24" ht="15.6" x14ac:dyDescent="0.3">
      <c r="A754" s="438"/>
      <c r="B754" s="439"/>
      <c r="C754" s="440"/>
      <c r="D754" s="441"/>
      <c r="E754" s="441"/>
      <c r="F754" s="442"/>
      <c r="G754" s="443"/>
      <c r="H754" s="442"/>
      <c r="I754" s="455"/>
      <c r="J754" s="444"/>
      <c r="K754" s="652"/>
      <c r="L754" s="444"/>
      <c r="M754" s="444"/>
      <c r="N754" s="444"/>
      <c r="O754" s="444"/>
      <c r="P754" s="444"/>
      <c r="Q754" s="444"/>
      <c r="R754" s="444"/>
      <c r="S754" s="444"/>
      <c r="T754" s="444"/>
      <c r="U754" s="444"/>
      <c r="V754" s="444"/>
      <c r="W754" s="444"/>
      <c r="X754" s="444"/>
    </row>
    <row r="755" spans="1:24" ht="15.6" x14ac:dyDescent="0.3">
      <c r="A755" s="438"/>
      <c r="B755" s="439"/>
      <c r="C755" s="440"/>
      <c r="D755" s="441"/>
      <c r="E755" s="441"/>
      <c r="F755" s="442"/>
      <c r="G755" s="443"/>
      <c r="H755" s="442"/>
      <c r="I755" s="455"/>
      <c r="J755" s="444"/>
      <c r="K755" s="652"/>
      <c r="L755" s="444"/>
      <c r="M755" s="444"/>
      <c r="N755" s="444"/>
      <c r="O755" s="444"/>
      <c r="P755" s="444"/>
      <c r="Q755" s="444"/>
      <c r="R755" s="444"/>
      <c r="S755" s="444"/>
      <c r="T755" s="444"/>
      <c r="U755" s="444"/>
      <c r="V755" s="444"/>
      <c r="W755" s="444"/>
      <c r="X755" s="444"/>
    </row>
    <row r="756" spans="1:24" ht="15.6" x14ac:dyDescent="0.3">
      <c r="A756" s="438"/>
      <c r="B756" s="439"/>
      <c r="C756" s="440"/>
      <c r="D756" s="441"/>
      <c r="E756" s="441"/>
      <c r="F756" s="442"/>
      <c r="G756" s="443"/>
      <c r="H756" s="442"/>
      <c r="I756" s="455"/>
      <c r="J756" s="444"/>
      <c r="K756" s="652"/>
      <c r="L756" s="444"/>
      <c r="M756" s="444"/>
      <c r="N756" s="444"/>
      <c r="O756" s="444"/>
      <c r="P756" s="444"/>
      <c r="Q756" s="444"/>
      <c r="R756" s="444"/>
      <c r="S756" s="444"/>
      <c r="T756" s="444"/>
      <c r="U756" s="444"/>
      <c r="V756" s="444"/>
      <c r="W756" s="444"/>
      <c r="X756" s="444"/>
    </row>
    <row r="757" spans="1:24" ht="15.6" x14ac:dyDescent="0.3">
      <c r="A757" s="438"/>
      <c r="B757" s="439"/>
      <c r="C757" s="440"/>
      <c r="D757" s="441"/>
      <c r="E757" s="441"/>
      <c r="F757" s="442"/>
      <c r="G757" s="443"/>
      <c r="H757" s="442"/>
      <c r="I757" s="455"/>
      <c r="J757" s="444"/>
      <c r="K757" s="652"/>
      <c r="L757" s="444"/>
      <c r="M757" s="444"/>
      <c r="N757" s="444"/>
      <c r="O757" s="444"/>
      <c r="P757" s="444"/>
      <c r="Q757" s="444"/>
      <c r="R757" s="444"/>
      <c r="S757" s="444"/>
      <c r="T757" s="444"/>
      <c r="U757" s="444"/>
      <c r="V757" s="444"/>
      <c r="W757" s="444"/>
      <c r="X757" s="444"/>
    </row>
    <row r="758" spans="1:24" ht="15.6" x14ac:dyDescent="0.3">
      <c r="A758" s="438"/>
      <c r="B758" s="439"/>
      <c r="C758" s="440"/>
      <c r="D758" s="441"/>
      <c r="E758" s="441"/>
      <c r="F758" s="442"/>
      <c r="G758" s="443"/>
      <c r="H758" s="442"/>
      <c r="I758" s="455"/>
      <c r="J758" s="444"/>
      <c r="K758" s="652"/>
      <c r="L758" s="444"/>
      <c r="M758" s="444"/>
      <c r="N758" s="444"/>
      <c r="O758" s="444"/>
      <c r="P758" s="444"/>
      <c r="Q758" s="444"/>
      <c r="R758" s="444"/>
      <c r="S758" s="444"/>
      <c r="T758" s="444"/>
      <c r="U758" s="444"/>
      <c r="V758" s="444"/>
      <c r="W758" s="444"/>
      <c r="X758" s="444"/>
    </row>
    <row r="759" spans="1:24" ht="15.6" x14ac:dyDescent="0.3">
      <c r="A759" s="438"/>
      <c r="B759" s="439"/>
      <c r="C759" s="440"/>
      <c r="D759" s="441"/>
      <c r="E759" s="441"/>
      <c r="F759" s="442"/>
      <c r="G759" s="443"/>
      <c r="H759" s="442"/>
      <c r="I759" s="455"/>
      <c r="J759" s="444"/>
      <c r="K759" s="652"/>
      <c r="L759" s="444"/>
      <c r="M759" s="444"/>
      <c r="N759" s="444"/>
      <c r="O759" s="444"/>
      <c r="P759" s="444"/>
      <c r="Q759" s="444"/>
      <c r="R759" s="444"/>
      <c r="S759" s="444"/>
      <c r="T759" s="444"/>
      <c r="U759" s="444"/>
      <c r="V759" s="444"/>
      <c r="W759" s="444"/>
      <c r="X759" s="444"/>
    </row>
    <row r="760" spans="1:24" ht="15.6" x14ac:dyDescent="0.3">
      <c r="A760" s="438"/>
      <c r="B760" s="439"/>
      <c r="C760" s="440"/>
      <c r="D760" s="441"/>
      <c r="E760" s="441"/>
      <c r="F760" s="442"/>
      <c r="G760" s="443"/>
      <c r="H760" s="442"/>
      <c r="I760" s="455"/>
      <c r="J760" s="444"/>
      <c r="K760" s="652"/>
      <c r="L760" s="444"/>
      <c r="M760" s="444"/>
      <c r="N760" s="444"/>
      <c r="O760" s="444"/>
      <c r="P760" s="444"/>
      <c r="Q760" s="444"/>
      <c r="R760" s="444"/>
      <c r="S760" s="444"/>
      <c r="T760" s="444"/>
      <c r="U760" s="444"/>
      <c r="V760" s="444"/>
      <c r="W760" s="444"/>
      <c r="X760" s="444"/>
    </row>
    <row r="761" spans="1:24" ht="15.6" x14ac:dyDescent="0.3">
      <c r="A761" s="438"/>
      <c r="B761" s="439"/>
      <c r="C761" s="440"/>
      <c r="D761" s="441"/>
      <c r="E761" s="441"/>
      <c r="F761" s="442"/>
      <c r="G761" s="443"/>
      <c r="H761" s="442"/>
      <c r="I761" s="455"/>
      <c r="J761" s="444"/>
      <c r="K761" s="652"/>
      <c r="L761" s="444"/>
      <c r="M761" s="444"/>
      <c r="N761" s="444"/>
      <c r="O761" s="444"/>
      <c r="P761" s="444"/>
      <c r="Q761" s="444"/>
      <c r="R761" s="444"/>
      <c r="S761" s="444"/>
      <c r="T761" s="444"/>
      <c r="U761" s="444"/>
      <c r="V761" s="444"/>
      <c r="W761" s="444"/>
      <c r="X761" s="444"/>
    </row>
    <row r="762" spans="1:24" ht="15.6" x14ac:dyDescent="0.3">
      <c r="A762" s="438"/>
      <c r="B762" s="439"/>
      <c r="C762" s="440"/>
      <c r="D762" s="441"/>
      <c r="E762" s="441"/>
      <c r="F762" s="442"/>
      <c r="G762" s="443"/>
      <c r="H762" s="442"/>
      <c r="I762" s="455"/>
      <c r="J762" s="444"/>
      <c r="K762" s="652"/>
      <c r="L762" s="444"/>
      <c r="M762" s="444"/>
      <c r="N762" s="444"/>
      <c r="O762" s="444"/>
      <c r="P762" s="444"/>
      <c r="Q762" s="444"/>
      <c r="R762" s="444"/>
      <c r="S762" s="444"/>
      <c r="T762" s="444"/>
      <c r="U762" s="444"/>
      <c r="V762" s="444"/>
      <c r="W762" s="444"/>
      <c r="X762" s="444"/>
    </row>
    <row r="763" spans="1:24" ht="15.6" x14ac:dyDescent="0.3">
      <c r="A763" s="438"/>
      <c r="B763" s="439"/>
      <c r="C763" s="440"/>
      <c r="D763" s="441"/>
      <c r="E763" s="441"/>
      <c r="F763" s="442"/>
      <c r="G763" s="443"/>
      <c r="H763" s="442"/>
      <c r="I763" s="455"/>
      <c r="J763" s="444"/>
      <c r="K763" s="652"/>
      <c r="L763" s="444"/>
      <c r="M763" s="444"/>
      <c r="N763" s="444"/>
      <c r="O763" s="444"/>
      <c r="P763" s="444"/>
      <c r="Q763" s="444"/>
      <c r="R763" s="444"/>
      <c r="S763" s="444"/>
      <c r="T763" s="444"/>
      <c r="U763" s="444"/>
      <c r="V763" s="444"/>
      <c r="W763" s="444"/>
      <c r="X763" s="444"/>
    </row>
    <row r="764" spans="1:24" ht="15.6" x14ac:dyDescent="0.3">
      <c r="A764" s="438"/>
      <c r="B764" s="439"/>
      <c r="C764" s="440"/>
      <c r="D764" s="441"/>
      <c r="E764" s="441"/>
      <c r="F764" s="442"/>
      <c r="G764" s="443"/>
      <c r="H764" s="442"/>
      <c r="I764" s="455"/>
      <c r="J764" s="444"/>
      <c r="K764" s="652"/>
      <c r="L764" s="444"/>
      <c r="M764" s="444"/>
      <c r="N764" s="444"/>
      <c r="O764" s="444"/>
      <c r="P764" s="444"/>
      <c r="Q764" s="444"/>
      <c r="R764" s="444"/>
      <c r="S764" s="444"/>
      <c r="T764" s="444"/>
      <c r="U764" s="444"/>
      <c r="V764" s="444"/>
      <c r="W764" s="444"/>
      <c r="X764" s="444"/>
    </row>
    <row r="765" spans="1:24" ht="15.6" x14ac:dyDescent="0.3">
      <c r="A765" s="438"/>
      <c r="B765" s="439"/>
      <c r="C765" s="440"/>
      <c r="D765" s="441"/>
      <c r="E765" s="441"/>
      <c r="F765" s="442"/>
      <c r="G765" s="443"/>
      <c r="H765" s="442"/>
      <c r="I765" s="455"/>
      <c r="J765" s="444"/>
      <c r="K765" s="652"/>
      <c r="L765" s="444"/>
      <c r="M765" s="444"/>
      <c r="N765" s="444"/>
      <c r="O765" s="444"/>
      <c r="P765" s="444"/>
      <c r="Q765" s="444"/>
      <c r="R765" s="444"/>
      <c r="S765" s="444"/>
      <c r="T765" s="444"/>
      <c r="U765" s="444"/>
      <c r="V765" s="444"/>
      <c r="W765" s="444"/>
      <c r="X765" s="444"/>
    </row>
    <row r="766" spans="1:24" ht="15.6" x14ac:dyDescent="0.3">
      <c r="A766" s="438"/>
      <c r="B766" s="439"/>
      <c r="C766" s="440"/>
      <c r="D766" s="441"/>
      <c r="E766" s="441"/>
      <c r="F766" s="442"/>
      <c r="G766" s="443"/>
      <c r="H766" s="442"/>
      <c r="I766" s="455"/>
      <c r="J766" s="444"/>
      <c r="K766" s="652"/>
      <c r="L766" s="444"/>
      <c r="M766" s="444"/>
      <c r="N766" s="444"/>
      <c r="O766" s="444"/>
      <c r="P766" s="444"/>
      <c r="Q766" s="444"/>
      <c r="R766" s="444"/>
      <c r="S766" s="444"/>
      <c r="T766" s="444"/>
      <c r="U766" s="444"/>
      <c r="V766" s="444"/>
      <c r="W766" s="444"/>
      <c r="X766" s="444"/>
    </row>
    <row r="767" spans="1:24" ht="15.6" x14ac:dyDescent="0.3">
      <c r="A767" s="438"/>
      <c r="B767" s="439"/>
      <c r="C767" s="440"/>
      <c r="D767" s="441"/>
      <c r="E767" s="441"/>
      <c r="F767" s="442"/>
      <c r="G767" s="443"/>
      <c r="H767" s="442"/>
      <c r="I767" s="455"/>
      <c r="J767" s="444"/>
      <c r="K767" s="652"/>
      <c r="L767" s="444"/>
      <c r="M767" s="444"/>
      <c r="N767" s="444"/>
      <c r="O767" s="444"/>
      <c r="P767" s="444"/>
      <c r="Q767" s="444"/>
      <c r="R767" s="444"/>
      <c r="S767" s="444"/>
      <c r="T767" s="444"/>
      <c r="U767" s="444"/>
      <c r="V767" s="444"/>
      <c r="W767" s="444"/>
      <c r="X767" s="444"/>
    </row>
    <row r="768" spans="1:24" ht="15.6" x14ac:dyDescent="0.3">
      <c r="A768" s="438"/>
      <c r="B768" s="439"/>
      <c r="C768" s="440"/>
      <c r="D768" s="441"/>
      <c r="E768" s="441"/>
      <c r="F768" s="442"/>
      <c r="G768" s="443"/>
      <c r="H768" s="442"/>
      <c r="I768" s="455"/>
      <c r="J768" s="444"/>
      <c r="K768" s="652"/>
      <c r="L768" s="444"/>
      <c r="M768" s="444"/>
      <c r="N768" s="444"/>
      <c r="O768" s="444"/>
      <c r="P768" s="444"/>
      <c r="Q768" s="444"/>
      <c r="R768" s="444"/>
      <c r="S768" s="444"/>
      <c r="T768" s="444"/>
      <c r="U768" s="444"/>
      <c r="V768" s="444"/>
      <c r="W768" s="444"/>
      <c r="X768" s="444"/>
    </row>
    <row r="769" spans="1:24" ht="15.6" x14ac:dyDescent="0.3">
      <c r="A769" s="438"/>
      <c r="B769" s="439"/>
      <c r="C769" s="440"/>
      <c r="D769" s="441"/>
      <c r="E769" s="441"/>
      <c r="F769" s="442"/>
      <c r="G769" s="443"/>
      <c r="H769" s="442"/>
      <c r="I769" s="455"/>
      <c r="J769" s="444"/>
      <c r="K769" s="652"/>
      <c r="L769" s="444"/>
      <c r="M769" s="444"/>
      <c r="N769" s="444"/>
      <c r="O769" s="444"/>
      <c r="P769" s="444"/>
      <c r="Q769" s="444"/>
      <c r="R769" s="444"/>
      <c r="S769" s="444"/>
      <c r="T769" s="444"/>
      <c r="U769" s="444"/>
      <c r="V769" s="444"/>
      <c r="W769" s="444"/>
      <c r="X769" s="444"/>
    </row>
    <row r="770" spans="1:24" ht="15.6" x14ac:dyDescent="0.3">
      <c r="A770" s="438"/>
      <c r="B770" s="439"/>
      <c r="C770" s="440"/>
      <c r="D770" s="441"/>
      <c r="E770" s="441"/>
      <c r="F770" s="442"/>
      <c r="G770" s="443"/>
      <c r="H770" s="442"/>
      <c r="I770" s="455"/>
      <c r="J770" s="444"/>
      <c r="K770" s="652"/>
      <c r="L770" s="444"/>
      <c r="M770" s="444"/>
      <c r="N770" s="444"/>
      <c r="O770" s="444"/>
      <c r="P770" s="444"/>
      <c r="Q770" s="444"/>
      <c r="R770" s="444"/>
      <c r="S770" s="444"/>
      <c r="T770" s="444"/>
      <c r="U770" s="444"/>
      <c r="V770" s="444"/>
      <c r="W770" s="444"/>
      <c r="X770" s="444"/>
    </row>
    <row r="771" spans="1:24" ht="15.6" x14ac:dyDescent="0.3">
      <c r="A771" s="438"/>
      <c r="B771" s="439"/>
      <c r="C771" s="440"/>
      <c r="D771" s="441"/>
      <c r="E771" s="441"/>
      <c r="F771" s="442"/>
      <c r="G771" s="443"/>
      <c r="H771" s="442"/>
      <c r="I771" s="455"/>
      <c r="J771" s="444"/>
      <c r="K771" s="652"/>
      <c r="L771" s="444"/>
      <c r="M771" s="444"/>
      <c r="N771" s="444"/>
      <c r="O771" s="444"/>
      <c r="P771" s="444"/>
      <c r="Q771" s="444"/>
      <c r="R771" s="444"/>
      <c r="S771" s="444"/>
      <c r="T771" s="444"/>
      <c r="U771" s="444"/>
      <c r="V771" s="444"/>
      <c r="W771" s="444"/>
      <c r="X771" s="444"/>
    </row>
    <row r="772" spans="1:24" ht="15.6" x14ac:dyDescent="0.3">
      <c r="A772" s="438"/>
      <c r="B772" s="439"/>
      <c r="C772" s="440"/>
      <c r="D772" s="441"/>
      <c r="E772" s="441"/>
      <c r="F772" s="442"/>
      <c r="G772" s="443"/>
      <c r="H772" s="442"/>
      <c r="I772" s="455"/>
      <c r="J772" s="444"/>
      <c r="K772" s="652"/>
      <c r="L772" s="444"/>
      <c r="M772" s="444"/>
      <c r="N772" s="444"/>
      <c r="O772" s="444"/>
      <c r="P772" s="444"/>
      <c r="Q772" s="444"/>
      <c r="R772" s="444"/>
      <c r="S772" s="444"/>
      <c r="T772" s="444"/>
      <c r="U772" s="444"/>
      <c r="V772" s="444"/>
      <c r="W772" s="444"/>
      <c r="X772" s="444"/>
    </row>
    <row r="773" spans="1:24" ht="15.6" x14ac:dyDescent="0.3">
      <c r="A773" s="438"/>
      <c r="B773" s="439"/>
      <c r="C773" s="440"/>
      <c r="D773" s="441"/>
      <c r="E773" s="441"/>
      <c r="F773" s="442"/>
      <c r="G773" s="443"/>
      <c r="H773" s="442"/>
      <c r="I773" s="455"/>
      <c r="J773" s="444"/>
      <c r="K773" s="652"/>
      <c r="L773" s="444"/>
      <c r="M773" s="444"/>
      <c r="N773" s="444"/>
      <c r="O773" s="444"/>
      <c r="P773" s="444"/>
      <c r="Q773" s="444"/>
      <c r="R773" s="444"/>
      <c r="S773" s="444"/>
      <c r="T773" s="444"/>
      <c r="U773" s="444"/>
      <c r="V773" s="444"/>
      <c r="W773" s="444"/>
      <c r="X773" s="444"/>
    </row>
    <row r="774" spans="1:24" ht="15.6" x14ac:dyDescent="0.3">
      <c r="A774" s="438"/>
      <c r="B774" s="439"/>
      <c r="C774" s="440"/>
      <c r="D774" s="441"/>
      <c r="E774" s="441"/>
      <c r="F774" s="442"/>
      <c r="G774" s="443"/>
      <c r="H774" s="442"/>
      <c r="I774" s="455"/>
      <c r="J774" s="444"/>
      <c r="K774" s="652"/>
      <c r="L774" s="444"/>
      <c r="M774" s="444"/>
      <c r="N774" s="444"/>
      <c r="O774" s="444"/>
      <c r="P774" s="444"/>
      <c r="Q774" s="444"/>
      <c r="R774" s="444"/>
      <c r="S774" s="444"/>
      <c r="T774" s="444"/>
      <c r="U774" s="444"/>
      <c r="V774" s="444"/>
      <c r="W774" s="444"/>
      <c r="X774" s="444"/>
    </row>
    <row r="775" spans="1:24" ht="15.6" x14ac:dyDescent="0.3">
      <c r="A775" s="438"/>
      <c r="B775" s="439"/>
      <c r="C775" s="440"/>
      <c r="D775" s="441"/>
      <c r="E775" s="441"/>
      <c r="F775" s="442"/>
      <c r="G775" s="443"/>
      <c r="H775" s="442"/>
      <c r="I775" s="455"/>
      <c r="J775" s="444"/>
      <c r="K775" s="652"/>
      <c r="L775" s="444"/>
      <c r="M775" s="444"/>
      <c r="N775" s="444"/>
      <c r="O775" s="444"/>
      <c r="P775" s="444"/>
      <c r="Q775" s="444"/>
      <c r="R775" s="444"/>
      <c r="S775" s="444"/>
      <c r="T775" s="444"/>
      <c r="U775" s="444"/>
      <c r="V775" s="444"/>
      <c r="W775" s="444"/>
      <c r="X775" s="444"/>
    </row>
    <row r="776" spans="1:24" ht="15.6" x14ac:dyDescent="0.3">
      <c r="A776" s="438"/>
      <c r="B776" s="439"/>
      <c r="C776" s="440"/>
      <c r="D776" s="441"/>
      <c r="E776" s="441"/>
      <c r="F776" s="442"/>
      <c r="G776" s="443"/>
      <c r="H776" s="442"/>
      <c r="I776" s="455"/>
      <c r="J776" s="444"/>
      <c r="K776" s="652"/>
      <c r="L776" s="444"/>
      <c r="M776" s="444"/>
      <c r="N776" s="444"/>
      <c r="O776" s="444"/>
      <c r="P776" s="444"/>
      <c r="Q776" s="444"/>
      <c r="R776" s="444"/>
      <c r="S776" s="444"/>
      <c r="T776" s="444"/>
      <c r="U776" s="444"/>
      <c r="V776" s="444"/>
      <c r="W776" s="444"/>
      <c r="X776" s="444"/>
    </row>
    <row r="777" spans="1:24" ht="15.6" x14ac:dyDescent="0.3">
      <c r="A777" s="438"/>
      <c r="B777" s="439"/>
      <c r="C777" s="440"/>
      <c r="D777" s="441"/>
      <c r="E777" s="441"/>
      <c r="F777" s="442"/>
      <c r="G777" s="443"/>
      <c r="H777" s="442"/>
      <c r="I777" s="455"/>
      <c r="J777" s="444"/>
      <c r="K777" s="652"/>
      <c r="L777" s="444"/>
      <c r="M777" s="444"/>
      <c r="N777" s="444"/>
      <c r="O777" s="444"/>
      <c r="P777" s="444"/>
      <c r="Q777" s="444"/>
      <c r="R777" s="444"/>
      <c r="S777" s="444"/>
      <c r="T777" s="444"/>
      <c r="U777" s="444"/>
      <c r="V777" s="444"/>
      <c r="W777" s="444"/>
      <c r="X777" s="444"/>
    </row>
    <row r="778" spans="1:24" ht="15.6" x14ac:dyDescent="0.3">
      <c r="A778" s="438"/>
      <c r="B778" s="439"/>
      <c r="C778" s="440"/>
      <c r="D778" s="441"/>
      <c r="E778" s="441"/>
      <c r="F778" s="442"/>
      <c r="G778" s="443"/>
      <c r="H778" s="442"/>
      <c r="I778" s="455"/>
      <c r="J778" s="444"/>
      <c r="K778" s="652"/>
      <c r="L778" s="444"/>
      <c r="M778" s="444"/>
      <c r="N778" s="444"/>
      <c r="O778" s="444"/>
      <c r="P778" s="444"/>
      <c r="Q778" s="444"/>
      <c r="R778" s="444"/>
      <c r="S778" s="444"/>
      <c r="T778" s="444"/>
      <c r="U778" s="444"/>
      <c r="V778" s="444"/>
      <c r="W778" s="444"/>
      <c r="X778" s="444"/>
    </row>
    <row r="779" spans="1:24" ht="15.6" x14ac:dyDescent="0.3">
      <c r="A779" s="438"/>
      <c r="B779" s="439"/>
      <c r="C779" s="440"/>
      <c r="D779" s="441"/>
      <c r="E779" s="441"/>
      <c r="F779" s="442"/>
      <c r="G779" s="443"/>
      <c r="H779" s="442"/>
      <c r="I779" s="455"/>
      <c r="J779" s="444"/>
      <c r="K779" s="652"/>
      <c r="L779" s="444"/>
      <c r="M779" s="444"/>
      <c r="N779" s="444"/>
      <c r="O779" s="444"/>
      <c r="P779" s="444"/>
      <c r="Q779" s="444"/>
      <c r="R779" s="444"/>
      <c r="S779" s="444"/>
      <c r="T779" s="444"/>
      <c r="U779" s="444"/>
      <c r="V779" s="444"/>
      <c r="W779" s="444"/>
      <c r="X779" s="444"/>
    </row>
    <row r="780" spans="1:24" ht="15.6" x14ac:dyDescent="0.3">
      <c r="A780" s="438"/>
      <c r="B780" s="439"/>
      <c r="C780" s="440"/>
      <c r="D780" s="441"/>
      <c r="E780" s="441"/>
      <c r="F780" s="442"/>
      <c r="G780" s="443"/>
      <c r="H780" s="442"/>
      <c r="I780" s="455"/>
      <c r="J780" s="444"/>
      <c r="K780" s="652"/>
      <c r="L780" s="444"/>
      <c r="M780" s="444"/>
      <c r="N780" s="444"/>
      <c r="O780" s="444"/>
      <c r="P780" s="444"/>
      <c r="Q780" s="444"/>
      <c r="R780" s="444"/>
      <c r="S780" s="444"/>
      <c r="T780" s="444"/>
      <c r="U780" s="444"/>
      <c r="V780" s="444"/>
      <c r="W780" s="444"/>
      <c r="X780" s="444"/>
    </row>
    <row r="781" spans="1:24" ht="15.6" x14ac:dyDescent="0.3">
      <c r="A781" s="438"/>
      <c r="B781" s="439"/>
      <c r="C781" s="440"/>
      <c r="D781" s="441"/>
      <c r="E781" s="441"/>
      <c r="F781" s="442"/>
      <c r="G781" s="443"/>
      <c r="H781" s="442"/>
      <c r="I781" s="455"/>
      <c r="J781" s="444"/>
      <c r="K781" s="652"/>
      <c r="L781" s="444"/>
      <c r="M781" s="444"/>
      <c r="N781" s="444"/>
      <c r="O781" s="444"/>
      <c r="P781" s="444"/>
      <c r="Q781" s="444"/>
      <c r="R781" s="444"/>
      <c r="S781" s="444"/>
      <c r="T781" s="444"/>
      <c r="U781" s="444"/>
      <c r="V781" s="444"/>
      <c r="W781" s="444"/>
      <c r="X781" s="444"/>
    </row>
    <row r="782" spans="1:24" ht="15.6" x14ac:dyDescent="0.3">
      <c r="A782" s="438"/>
      <c r="B782" s="439"/>
      <c r="C782" s="440"/>
      <c r="D782" s="441"/>
      <c r="E782" s="441"/>
      <c r="F782" s="442"/>
      <c r="G782" s="443"/>
      <c r="H782" s="442"/>
      <c r="I782" s="455"/>
      <c r="J782" s="444"/>
      <c r="K782" s="652"/>
      <c r="L782" s="444"/>
      <c r="M782" s="444"/>
      <c r="N782" s="444"/>
      <c r="O782" s="444"/>
      <c r="P782" s="444"/>
      <c r="Q782" s="444"/>
      <c r="R782" s="444"/>
      <c r="S782" s="444"/>
      <c r="T782" s="444"/>
      <c r="U782" s="444"/>
      <c r="V782" s="444"/>
      <c r="W782" s="444"/>
      <c r="X782" s="444"/>
    </row>
    <row r="783" spans="1:24" ht="15.6" x14ac:dyDescent="0.3">
      <c r="A783" s="438"/>
      <c r="B783" s="439"/>
      <c r="C783" s="440"/>
      <c r="D783" s="441"/>
      <c r="E783" s="441"/>
      <c r="F783" s="442"/>
      <c r="G783" s="443"/>
      <c r="H783" s="442"/>
      <c r="I783" s="455"/>
      <c r="J783" s="444"/>
      <c r="K783" s="652"/>
      <c r="L783" s="444"/>
      <c r="M783" s="444"/>
      <c r="N783" s="444"/>
      <c r="O783" s="444"/>
      <c r="P783" s="444"/>
      <c r="Q783" s="444"/>
      <c r="R783" s="444"/>
      <c r="S783" s="444"/>
      <c r="T783" s="444"/>
      <c r="U783" s="444"/>
      <c r="V783" s="444"/>
      <c r="W783" s="444"/>
      <c r="X783" s="444"/>
    </row>
    <row r="784" spans="1:24" ht="15.6" x14ac:dyDescent="0.3">
      <c r="A784" s="438"/>
      <c r="B784" s="439"/>
      <c r="C784" s="440"/>
      <c r="D784" s="441"/>
      <c r="E784" s="441"/>
      <c r="F784" s="442"/>
      <c r="G784" s="443"/>
      <c r="H784" s="442"/>
      <c r="I784" s="455"/>
      <c r="J784" s="444"/>
      <c r="K784" s="652"/>
      <c r="L784" s="444"/>
      <c r="M784" s="444"/>
      <c r="N784" s="444"/>
      <c r="O784" s="444"/>
      <c r="P784" s="444"/>
      <c r="Q784" s="444"/>
      <c r="R784" s="444"/>
      <c r="S784" s="444"/>
      <c r="T784" s="444"/>
      <c r="U784" s="444"/>
      <c r="V784" s="444"/>
      <c r="W784" s="444"/>
      <c r="X784" s="444"/>
    </row>
    <row r="785" spans="1:24" ht="15.6" x14ac:dyDescent="0.3">
      <c r="A785" s="438"/>
      <c r="B785" s="439"/>
      <c r="C785" s="440"/>
      <c r="D785" s="441"/>
      <c r="E785" s="441"/>
      <c r="F785" s="442"/>
      <c r="G785" s="443"/>
      <c r="H785" s="442"/>
      <c r="I785" s="455"/>
      <c r="J785" s="444"/>
      <c r="K785" s="652"/>
      <c r="L785" s="444"/>
      <c r="M785" s="444"/>
      <c r="N785" s="444"/>
      <c r="O785" s="444"/>
      <c r="P785" s="444"/>
      <c r="Q785" s="444"/>
      <c r="R785" s="444"/>
      <c r="S785" s="444"/>
      <c r="T785" s="444"/>
      <c r="U785" s="444"/>
      <c r="V785" s="444"/>
      <c r="W785" s="444"/>
      <c r="X785" s="444"/>
    </row>
    <row r="786" spans="1:24" ht="15.6" x14ac:dyDescent="0.3">
      <c r="A786" s="438"/>
      <c r="B786" s="439"/>
      <c r="C786" s="440"/>
      <c r="D786" s="441"/>
      <c r="E786" s="441"/>
      <c r="F786" s="442"/>
      <c r="G786" s="443"/>
      <c r="H786" s="442"/>
      <c r="I786" s="455"/>
      <c r="J786" s="444"/>
      <c r="K786" s="652"/>
      <c r="L786" s="444"/>
      <c r="M786" s="444"/>
      <c r="N786" s="444"/>
      <c r="O786" s="444"/>
      <c r="P786" s="444"/>
      <c r="Q786" s="444"/>
      <c r="R786" s="444"/>
      <c r="S786" s="444"/>
      <c r="T786" s="444"/>
      <c r="U786" s="444"/>
      <c r="V786" s="444"/>
      <c r="W786" s="444"/>
      <c r="X786" s="444"/>
    </row>
    <row r="787" spans="1:24" ht="15.6" x14ac:dyDescent="0.3">
      <c r="A787" s="438"/>
      <c r="B787" s="439"/>
      <c r="C787" s="440"/>
      <c r="D787" s="441"/>
      <c r="E787" s="441"/>
      <c r="F787" s="442"/>
      <c r="G787" s="443"/>
      <c r="H787" s="442"/>
      <c r="I787" s="455"/>
      <c r="J787" s="444"/>
      <c r="K787" s="652"/>
      <c r="L787" s="444"/>
      <c r="M787" s="444"/>
      <c r="N787" s="444"/>
      <c r="O787" s="444"/>
      <c r="P787" s="444"/>
      <c r="Q787" s="444"/>
      <c r="R787" s="444"/>
      <c r="S787" s="444"/>
      <c r="T787" s="444"/>
      <c r="U787" s="444"/>
      <c r="V787" s="444"/>
      <c r="W787" s="444"/>
      <c r="X787" s="444"/>
    </row>
    <row r="788" spans="1:24" ht="15.6" x14ac:dyDescent="0.3">
      <c r="A788" s="438"/>
      <c r="B788" s="439"/>
      <c r="C788" s="440"/>
      <c r="D788" s="441"/>
      <c r="E788" s="441"/>
      <c r="F788" s="442"/>
      <c r="G788" s="443"/>
      <c r="H788" s="442"/>
      <c r="I788" s="455"/>
      <c r="J788" s="444"/>
      <c r="K788" s="652"/>
      <c r="L788" s="444"/>
      <c r="M788" s="444"/>
      <c r="N788" s="444"/>
      <c r="O788" s="444"/>
      <c r="P788" s="444"/>
      <c r="Q788" s="444"/>
      <c r="R788" s="444"/>
      <c r="S788" s="444"/>
      <c r="T788" s="444"/>
      <c r="U788" s="444"/>
      <c r="V788" s="444"/>
      <c r="W788" s="444"/>
      <c r="X788" s="444"/>
    </row>
    <row r="789" spans="1:24" ht="15.6" x14ac:dyDescent="0.3">
      <c r="A789" s="438"/>
      <c r="B789" s="439"/>
      <c r="C789" s="440"/>
      <c r="D789" s="441"/>
      <c r="E789" s="441"/>
      <c r="F789" s="442"/>
      <c r="G789" s="443"/>
      <c r="H789" s="442"/>
      <c r="I789" s="455"/>
      <c r="J789" s="444"/>
      <c r="K789" s="652"/>
      <c r="L789" s="444"/>
      <c r="M789" s="444"/>
      <c r="N789" s="444"/>
      <c r="O789" s="444"/>
      <c r="P789" s="444"/>
      <c r="Q789" s="444"/>
      <c r="R789" s="444"/>
      <c r="S789" s="444"/>
      <c r="T789" s="444"/>
      <c r="U789" s="444"/>
      <c r="V789" s="444"/>
      <c r="W789" s="444"/>
      <c r="X789" s="444"/>
    </row>
    <row r="790" spans="1:24" ht="15.6" x14ac:dyDescent="0.3">
      <c r="A790" s="438"/>
      <c r="B790" s="439"/>
      <c r="C790" s="440"/>
      <c r="D790" s="441"/>
      <c r="E790" s="441"/>
      <c r="F790" s="442"/>
      <c r="G790" s="443"/>
      <c r="H790" s="442"/>
      <c r="I790" s="455"/>
      <c r="J790" s="444"/>
      <c r="K790" s="652"/>
      <c r="L790" s="444"/>
      <c r="M790" s="444"/>
      <c r="N790" s="444"/>
      <c r="O790" s="444"/>
      <c r="P790" s="444"/>
      <c r="Q790" s="444"/>
      <c r="R790" s="444"/>
      <c r="S790" s="444"/>
      <c r="T790" s="444"/>
      <c r="U790" s="444"/>
      <c r="V790" s="444"/>
      <c r="W790" s="444"/>
      <c r="X790" s="444"/>
    </row>
    <row r="791" spans="1:24" ht="15.6" x14ac:dyDescent="0.3">
      <c r="A791" s="438"/>
      <c r="B791" s="439"/>
      <c r="C791" s="440"/>
      <c r="D791" s="441"/>
      <c r="E791" s="441"/>
      <c r="F791" s="442"/>
      <c r="G791" s="443"/>
      <c r="H791" s="442"/>
      <c r="I791" s="455"/>
      <c r="J791" s="444"/>
      <c r="K791" s="652"/>
      <c r="L791" s="444"/>
      <c r="M791" s="444"/>
      <c r="N791" s="444"/>
      <c r="O791" s="444"/>
      <c r="P791" s="444"/>
      <c r="Q791" s="444"/>
      <c r="R791" s="444"/>
      <c r="S791" s="444"/>
      <c r="T791" s="444"/>
      <c r="U791" s="444"/>
      <c r="V791" s="444"/>
      <c r="W791" s="444"/>
      <c r="X791" s="444"/>
    </row>
    <row r="792" spans="1:24" ht="15.6" x14ac:dyDescent="0.3">
      <c r="A792" s="438"/>
      <c r="B792" s="439"/>
      <c r="C792" s="440"/>
      <c r="D792" s="441"/>
      <c r="E792" s="441"/>
      <c r="F792" s="442"/>
      <c r="G792" s="443"/>
      <c r="H792" s="442"/>
      <c r="I792" s="455"/>
      <c r="J792" s="444"/>
      <c r="K792" s="652"/>
      <c r="L792" s="444"/>
      <c r="M792" s="444"/>
      <c r="N792" s="444"/>
      <c r="O792" s="444"/>
      <c r="P792" s="444"/>
      <c r="Q792" s="444"/>
      <c r="R792" s="444"/>
      <c r="S792" s="444"/>
      <c r="T792" s="444"/>
      <c r="U792" s="444"/>
      <c r="V792" s="444"/>
      <c r="W792" s="444"/>
      <c r="X792" s="444"/>
    </row>
    <row r="793" spans="1:24" ht="15.6" x14ac:dyDescent="0.3">
      <c r="A793" s="438"/>
      <c r="B793" s="439"/>
      <c r="C793" s="440"/>
      <c r="D793" s="441"/>
      <c r="E793" s="441"/>
      <c r="F793" s="442"/>
      <c r="G793" s="443"/>
      <c r="H793" s="442"/>
      <c r="I793" s="455"/>
      <c r="J793" s="444"/>
      <c r="K793" s="652"/>
      <c r="L793" s="444"/>
      <c r="M793" s="444"/>
      <c r="N793" s="444"/>
      <c r="O793" s="444"/>
      <c r="P793" s="444"/>
      <c r="Q793" s="444"/>
      <c r="R793" s="444"/>
      <c r="S793" s="444"/>
      <c r="T793" s="444"/>
      <c r="U793" s="444"/>
      <c r="V793" s="444"/>
      <c r="W793" s="444"/>
      <c r="X793" s="444"/>
    </row>
    <row r="794" spans="1:24" ht="15.6" x14ac:dyDescent="0.3">
      <c r="A794" s="438"/>
      <c r="B794" s="439"/>
      <c r="C794" s="440"/>
      <c r="D794" s="441"/>
      <c r="E794" s="441"/>
      <c r="F794" s="442"/>
      <c r="G794" s="443"/>
      <c r="H794" s="442"/>
      <c r="I794" s="455"/>
      <c r="J794" s="444"/>
      <c r="K794" s="652"/>
      <c r="L794" s="444"/>
      <c r="M794" s="444"/>
      <c r="N794" s="444"/>
      <c r="O794" s="444"/>
      <c r="P794" s="444"/>
      <c r="Q794" s="444"/>
      <c r="R794" s="444"/>
      <c r="S794" s="444"/>
      <c r="T794" s="444"/>
      <c r="U794" s="444"/>
      <c r="V794" s="444"/>
      <c r="W794" s="444"/>
      <c r="X794" s="444"/>
    </row>
    <row r="795" spans="1:24" ht="15.6" x14ac:dyDescent="0.3">
      <c r="A795" s="438"/>
      <c r="B795" s="439"/>
      <c r="C795" s="440"/>
      <c r="D795" s="441"/>
      <c r="E795" s="441"/>
      <c r="F795" s="442"/>
      <c r="G795" s="443"/>
      <c r="H795" s="442"/>
      <c r="I795" s="455"/>
      <c r="J795" s="444"/>
      <c r="K795" s="652"/>
      <c r="L795" s="444"/>
      <c r="M795" s="444"/>
      <c r="N795" s="444"/>
      <c r="O795" s="444"/>
      <c r="P795" s="444"/>
      <c r="Q795" s="444"/>
      <c r="R795" s="444"/>
      <c r="S795" s="444"/>
      <c r="T795" s="444"/>
      <c r="U795" s="444"/>
      <c r="V795" s="444"/>
      <c r="W795" s="444"/>
      <c r="X795" s="444"/>
    </row>
    <row r="796" spans="1:24" ht="15.6" x14ac:dyDescent="0.3">
      <c r="A796" s="438"/>
      <c r="B796" s="439"/>
      <c r="C796" s="440"/>
      <c r="D796" s="441"/>
      <c r="E796" s="441"/>
      <c r="F796" s="442"/>
      <c r="G796" s="443"/>
      <c r="H796" s="442"/>
      <c r="I796" s="455"/>
      <c r="J796" s="444"/>
      <c r="K796" s="652"/>
      <c r="L796" s="444"/>
      <c r="M796" s="444"/>
      <c r="N796" s="444"/>
      <c r="O796" s="444"/>
      <c r="P796" s="444"/>
      <c r="Q796" s="444"/>
      <c r="R796" s="444"/>
      <c r="S796" s="444"/>
      <c r="T796" s="444"/>
      <c r="U796" s="444"/>
      <c r="V796" s="444"/>
      <c r="W796" s="444"/>
      <c r="X796" s="444"/>
    </row>
    <row r="797" spans="1:24" ht="15.6" x14ac:dyDescent="0.3">
      <c r="A797" s="438"/>
      <c r="B797" s="439"/>
      <c r="C797" s="440"/>
      <c r="D797" s="441"/>
      <c r="E797" s="441"/>
      <c r="F797" s="442"/>
      <c r="G797" s="443"/>
      <c r="H797" s="442"/>
      <c r="I797" s="455"/>
      <c r="J797" s="444"/>
      <c r="K797" s="652"/>
      <c r="L797" s="444"/>
      <c r="M797" s="444"/>
      <c r="N797" s="444"/>
      <c r="O797" s="444"/>
      <c r="P797" s="444"/>
      <c r="Q797" s="444"/>
      <c r="R797" s="444"/>
      <c r="S797" s="444"/>
      <c r="T797" s="444"/>
      <c r="U797" s="444"/>
      <c r="V797" s="444"/>
      <c r="W797" s="444"/>
      <c r="X797" s="444"/>
    </row>
    <row r="798" spans="1:24" ht="15.6" x14ac:dyDescent="0.3">
      <c r="A798" s="438"/>
      <c r="B798" s="439"/>
      <c r="C798" s="440"/>
      <c r="D798" s="441"/>
      <c r="E798" s="441"/>
      <c r="F798" s="442"/>
      <c r="G798" s="443"/>
      <c r="H798" s="442"/>
      <c r="I798" s="455"/>
      <c r="J798" s="444"/>
      <c r="K798" s="652"/>
      <c r="L798" s="444"/>
      <c r="M798" s="444"/>
      <c r="N798" s="444"/>
      <c r="O798" s="444"/>
      <c r="P798" s="444"/>
      <c r="Q798" s="444"/>
      <c r="R798" s="444"/>
      <c r="S798" s="444"/>
      <c r="T798" s="444"/>
      <c r="U798" s="444"/>
      <c r="V798" s="444"/>
      <c r="W798" s="444"/>
      <c r="X798" s="444"/>
    </row>
    <row r="799" spans="1:24" ht="15.6" x14ac:dyDescent="0.3">
      <c r="A799" s="438"/>
      <c r="B799" s="439"/>
      <c r="C799" s="440"/>
      <c r="D799" s="441"/>
      <c r="E799" s="441"/>
      <c r="F799" s="442"/>
      <c r="G799" s="443"/>
      <c r="H799" s="442"/>
      <c r="I799" s="455"/>
      <c r="J799" s="444"/>
      <c r="K799" s="652"/>
      <c r="L799" s="444"/>
      <c r="M799" s="444"/>
      <c r="N799" s="444"/>
      <c r="O799" s="444"/>
      <c r="P799" s="444"/>
      <c r="Q799" s="444"/>
      <c r="R799" s="444"/>
      <c r="S799" s="444"/>
      <c r="T799" s="444"/>
      <c r="U799" s="444"/>
      <c r="V799" s="444"/>
      <c r="W799" s="444"/>
      <c r="X799" s="444"/>
    </row>
    <row r="800" spans="1:24" ht="15.6" x14ac:dyDescent="0.3">
      <c r="A800" s="438"/>
      <c r="B800" s="439"/>
      <c r="C800" s="440"/>
      <c r="D800" s="441"/>
      <c r="E800" s="441"/>
      <c r="F800" s="442"/>
      <c r="G800" s="443"/>
      <c r="H800" s="442"/>
      <c r="I800" s="455"/>
      <c r="J800" s="444"/>
      <c r="K800" s="652"/>
      <c r="L800" s="444"/>
      <c r="M800" s="444"/>
      <c r="N800" s="444"/>
      <c r="O800" s="444"/>
      <c r="P800" s="444"/>
      <c r="Q800" s="444"/>
      <c r="R800" s="444"/>
      <c r="S800" s="444"/>
      <c r="T800" s="444"/>
      <c r="U800" s="444"/>
      <c r="V800" s="444"/>
      <c r="W800" s="444"/>
      <c r="X800" s="444"/>
    </row>
    <row r="801" spans="1:24" ht="15.6" x14ac:dyDescent="0.3">
      <c r="A801" s="438"/>
      <c r="B801" s="439"/>
      <c r="C801" s="440"/>
      <c r="D801" s="441"/>
      <c r="E801" s="441"/>
      <c r="F801" s="442"/>
      <c r="G801" s="443"/>
      <c r="H801" s="442"/>
      <c r="I801" s="455"/>
      <c r="J801" s="444"/>
      <c r="K801" s="652"/>
      <c r="L801" s="444"/>
      <c r="M801" s="444"/>
      <c r="N801" s="444"/>
      <c r="O801" s="444"/>
      <c r="P801" s="444"/>
      <c r="Q801" s="444"/>
      <c r="R801" s="444"/>
      <c r="S801" s="444"/>
      <c r="T801" s="444"/>
      <c r="U801" s="444"/>
      <c r="V801" s="444"/>
      <c r="W801" s="444"/>
      <c r="X801" s="444"/>
    </row>
    <row r="802" spans="1:24" ht="15.6" x14ac:dyDescent="0.3">
      <c r="A802" s="438"/>
      <c r="B802" s="439"/>
      <c r="C802" s="440"/>
      <c r="D802" s="441"/>
      <c r="E802" s="441"/>
      <c r="F802" s="442"/>
      <c r="G802" s="443"/>
      <c r="H802" s="442"/>
      <c r="I802" s="455"/>
      <c r="J802" s="444"/>
      <c r="K802" s="652"/>
      <c r="L802" s="444"/>
      <c r="M802" s="444"/>
      <c r="N802" s="444"/>
      <c r="O802" s="444"/>
      <c r="P802" s="444"/>
      <c r="Q802" s="444"/>
      <c r="R802" s="444"/>
      <c r="S802" s="444"/>
      <c r="T802" s="444"/>
      <c r="U802" s="444"/>
      <c r="V802" s="444"/>
      <c r="W802" s="444"/>
      <c r="X802" s="444"/>
    </row>
    <row r="803" spans="1:24" ht="15.6" x14ac:dyDescent="0.3">
      <c r="A803" s="438"/>
      <c r="B803" s="439"/>
      <c r="C803" s="440"/>
      <c r="D803" s="441"/>
      <c r="E803" s="441"/>
      <c r="F803" s="442"/>
      <c r="G803" s="443"/>
      <c r="H803" s="442"/>
      <c r="I803" s="455"/>
      <c r="J803" s="444"/>
      <c r="K803" s="652"/>
      <c r="L803" s="444"/>
      <c r="M803" s="444"/>
      <c r="N803" s="444"/>
      <c r="O803" s="444"/>
      <c r="P803" s="444"/>
      <c r="Q803" s="444"/>
      <c r="R803" s="444"/>
      <c r="S803" s="444"/>
      <c r="T803" s="444"/>
      <c r="U803" s="444"/>
      <c r="V803" s="444"/>
      <c r="W803" s="444"/>
      <c r="X803" s="444"/>
    </row>
    <row r="804" spans="1:24" ht="15.6" x14ac:dyDescent="0.3">
      <c r="A804" s="438"/>
      <c r="B804" s="439"/>
      <c r="C804" s="440"/>
      <c r="D804" s="441"/>
      <c r="E804" s="441"/>
      <c r="F804" s="442"/>
      <c r="G804" s="443"/>
      <c r="H804" s="442"/>
      <c r="I804" s="455"/>
      <c r="J804" s="444"/>
      <c r="K804" s="652"/>
      <c r="L804" s="444"/>
      <c r="M804" s="444"/>
      <c r="N804" s="444"/>
      <c r="O804" s="444"/>
      <c r="P804" s="444"/>
      <c r="Q804" s="444"/>
      <c r="R804" s="444"/>
      <c r="S804" s="444"/>
      <c r="T804" s="444"/>
      <c r="U804" s="444"/>
      <c r="V804" s="444"/>
      <c r="W804" s="444"/>
      <c r="X804" s="444"/>
    </row>
    <row r="805" spans="1:24" ht="15.6" x14ac:dyDescent="0.3">
      <c r="A805" s="438"/>
      <c r="B805" s="439"/>
      <c r="C805" s="440"/>
      <c r="D805" s="441"/>
      <c r="E805" s="441"/>
      <c r="F805" s="442"/>
      <c r="G805" s="443"/>
      <c r="H805" s="442"/>
      <c r="I805" s="455"/>
      <c r="J805" s="444"/>
      <c r="K805" s="652"/>
      <c r="L805" s="444"/>
      <c r="M805" s="444"/>
      <c r="N805" s="444"/>
      <c r="O805" s="444"/>
      <c r="P805" s="444"/>
      <c r="Q805" s="444"/>
      <c r="R805" s="444"/>
      <c r="S805" s="444"/>
      <c r="T805" s="444"/>
      <c r="U805" s="444"/>
      <c r="V805" s="444"/>
      <c r="W805" s="444"/>
      <c r="X805" s="444"/>
    </row>
    <row r="806" spans="1:24" ht="15.6" x14ac:dyDescent="0.3">
      <c r="A806" s="438"/>
      <c r="B806" s="439"/>
      <c r="C806" s="440"/>
      <c r="D806" s="441"/>
      <c r="E806" s="441"/>
      <c r="F806" s="442"/>
      <c r="G806" s="443"/>
      <c r="H806" s="442"/>
      <c r="I806" s="455"/>
      <c r="J806" s="444"/>
      <c r="K806" s="652"/>
      <c r="L806" s="444"/>
      <c r="M806" s="444"/>
      <c r="N806" s="444"/>
      <c r="O806" s="444"/>
      <c r="P806" s="444"/>
      <c r="Q806" s="444"/>
      <c r="R806" s="444"/>
      <c r="S806" s="444"/>
      <c r="T806" s="444"/>
      <c r="U806" s="444"/>
      <c r="V806" s="444"/>
      <c r="W806" s="444"/>
      <c r="X806" s="444"/>
    </row>
    <row r="807" spans="1:24" ht="15.6" x14ac:dyDescent="0.3">
      <c r="A807" s="438"/>
      <c r="B807" s="439"/>
      <c r="C807" s="440"/>
      <c r="D807" s="441"/>
      <c r="E807" s="441"/>
      <c r="F807" s="442"/>
      <c r="G807" s="443"/>
      <c r="H807" s="442"/>
      <c r="I807" s="455"/>
      <c r="J807" s="444"/>
      <c r="K807" s="652"/>
      <c r="L807" s="444"/>
      <c r="M807" s="444"/>
      <c r="N807" s="444"/>
      <c r="O807" s="444"/>
      <c r="P807" s="444"/>
      <c r="Q807" s="444"/>
      <c r="R807" s="444"/>
      <c r="S807" s="444"/>
      <c r="T807" s="444"/>
      <c r="U807" s="444"/>
      <c r="V807" s="444"/>
      <c r="W807" s="444"/>
      <c r="X807" s="444"/>
    </row>
    <row r="808" spans="1:24" ht="15.6" x14ac:dyDescent="0.3">
      <c r="A808" s="438"/>
      <c r="B808" s="439"/>
      <c r="C808" s="440"/>
      <c r="D808" s="441"/>
      <c r="E808" s="441"/>
      <c r="F808" s="442"/>
      <c r="G808" s="443"/>
      <c r="H808" s="442"/>
      <c r="I808" s="455"/>
      <c r="J808" s="444"/>
      <c r="K808" s="652"/>
      <c r="L808" s="444"/>
      <c r="M808" s="444"/>
      <c r="N808" s="444"/>
      <c r="O808" s="444"/>
      <c r="P808" s="444"/>
      <c r="Q808" s="444"/>
      <c r="R808" s="444"/>
      <c r="S808" s="444"/>
      <c r="T808" s="444"/>
      <c r="U808" s="444"/>
      <c r="V808" s="444"/>
      <c r="W808" s="444"/>
      <c r="X808" s="444"/>
    </row>
    <row r="809" spans="1:24" ht="15.6" x14ac:dyDescent="0.3">
      <c r="A809" s="438"/>
      <c r="B809" s="439"/>
      <c r="C809" s="440"/>
      <c r="D809" s="441"/>
      <c r="E809" s="441"/>
      <c r="F809" s="442"/>
      <c r="G809" s="443"/>
      <c r="H809" s="442"/>
      <c r="I809" s="455"/>
      <c r="J809" s="444"/>
      <c r="K809" s="652"/>
      <c r="L809" s="444"/>
      <c r="M809" s="444"/>
      <c r="N809" s="444"/>
      <c r="O809" s="444"/>
      <c r="P809" s="444"/>
      <c r="Q809" s="444"/>
      <c r="R809" s="444"/>
      <c r="S809" s="444"/>
      <c r="T809" s="444"/>
      <c r="U809" s="444"/>
      <c r="V809" s="444"/>
      <c r="W809" s="444"/>
      <c r="X809" s="444"/>
    </row>
    <row r="810" spans="1:24" ht="15.6" x14ac:dyDescent="0.3">
      <c r="A810" s="438"/>
      <c r="B810" s="439"/>
      <c r="C810" s="440"/>
      <c r="D810" s="441"/>
      <c r="E810" s="441"/>
      <c r="F810" s="442"/>
      <c r="G810" s="443"/>
      <c r="H810" s="442"/>
      <c r="I810" s="455"/>
      <c r="J810" s="444"/>
      <c r="K810" s="652"/>
      <c r="L810" s="444"/>
      <c r="M810" s="444"/>
      <c r="N810" s="444"/>
      <c r="O810" s="444"/>
      <c r="P810" s="444"/>
      <c r="Q810" s="444"/>
      <c r="R810" s="444"/>
      <c r="S810" s="444"/>
      <c r="T810" s="444"/>
      <c r="U810" s="444"/>
      <c r="V810" s="444"/>
      <c r="W810" s="444"/>
      <c r="X810" s="444"/>
    </row>
    <row r="811" spans="1:24" ht="15.6" x14ac:dyDescent="0.3">
      <c r="A811" s="438"/>
      <c r="B811" s="439"/>
      <c r="C811" s="440"/>
      <c r="D811" s="441"/>
      <c r="E811" s="441"/>
      <c r="F811" s="442"/>
      <c r="G811" s="443"/>
      <c r="H811" s="442"/>
      <c r="I811" s="455"/>
      <c r="J811" s="444"/>
      <c r="K811" s="652"/>
      <c r="L811" s="444"/>
      <c r="M811" s="444"/>
      <c r="N811" s="444"/>
      <c r="O811" s="444"/>
      <c r="P811" s="444"/>
      <c r="Q811" s="444"/>
      <c r="R811" s="444"/>
      <c r="S811" s="444"/>
      <c r="T811" s="444"/>
      <c r="U811" s="444"/>
      <c r="V811" s="444"/>
      <c r="W811" s="444"/>
      <c r="X811" s="444"/>
    </row>
    <row r="812" spans="1:24" ht="15.6" x14ac:dyDescent="0.3">
      <c r="A812" s="438"/>
      <c r="B812" s="439"/>
      <c r="C812" s="440"/>
      <c r="D812" s="441"/>
      <c r="E812" s="441"/>
      <c r="F812" s="442"/>
      <c r="G812" s="443"/>
      <c r="H812" s="442"/>
      <c r="I812" s="455"/>
      <c r="J812" s="444"/>
      <c r="K812" s="652"/>
      <c r="L812" s="444"/>
      <c r="M812" s="444"/>
      <c r="N812" s="444"/>
      <c r="O812" s="444"/>
      <c r="P812" s="444"/>
      <c r="Q812" s="444"/>
      <c r="R812" s="444"/>
      <c r="S812" s="444"/>
      <c r="T812" s="444"/>
      <c r="U812" s="444"/>
      <c r="V812" s="444"/>
      <c r="W812" s="444"/>
      <c r="X812" s="444"/>
    </row>
    <row r="813" spans="1:24" ht="15.6" x14ac:dyDescent="0.3">
      <c r="A813" s="438"/>
      <c r="B813" s="439"/>
      <c r="C813" s="440"/>
      <c r="D813" s="441"/>
      <c r="E813" s="441"/>
      <c r="F813" s="442"/>
      <c r="G813" s="443"/>
      <c r="H813" s="442"/>
      <c r="I813" s="455"/>
      <c r="J813" s="444"/>
      <c r="K813" s="652"/>
      <c r="L813" s="444"/>
      <c r="M813" s="444"/>
      <c r="N813" s="444"/>
      <c r="O813" s="444"/>
      <c r="P813" s="444"/>
      <c r="Q813" s="444"/>
      <c r="R813" s="444"/>
      <c r="S813" s="444"/>
      <c r="T813" s="444"/>
      <c r="U813" s="444"/>
      <c r="V813" s="444"/>
      <c r="W813" s="444"/>
      <c r="X813" s="444"/>
    </row>
    <row r="814" spans="1:24" ht="15.6" x14ac:dyDescent="0.3">
      <c r="A814" s="438"/>
      <c r="B814" s="439"/>
      <c r="C814" s="440"/>
      <c r="D814" s="441"/>
      <c r="E814" s="441"/>
      <c r="F814" s="442"/>
      <c r="G814" s="443"/>
      <c r="H814" s="442"/>
      <c r="I814" s="455"/>
      <c r="J814" s="444"/>
      <c r="K814" s="652"/>
      <c r="L814" s="444"/>
      <c r="M814" s="444"/>
      <c r="N814" s="444"/>
      <c r="O814" s="444"/>
      <c r="P814" s="444"/>
      <c r="Q814" s="444"/>
      <c r="R814" s="444"/>
      <c r="S814" s="444"/>
      <c r="T814" s="444"/>
      <c r="U814" s="444"/>
      <c r="V814" s="444"/>
      <c r="W814" s="444"/>
      <c r="X814" s="444"/>
    </row>
    <row r="815" spans="1:24" ht="15.6" x14ac:dyDescent="0.3">
      <c r="A815" s="438"/>
      <c r="B815" s="439"/>
      <c r="C815" s="440"/>
      <c r="D815" s="441"/>
      <c r="E815" s="441"/>
      <c r="F815" s="442"/>
      <c r="G815" s="443"/>
      <c r="H815" s="442"/>
      <c r="I815" s="455"/>
      <c r="J815" s="444"/>
      <c r="K815" s="652"/>
      <c r="L815" s="444"/>
      <c r="M815" s="444"/>
      <c r="N815" s="444"/>
      <c r="O815" s="444"/>
      <c r="P815" s="444"/>
      <c r="Q815" s="444"/>
      <c r="R815" s="444"/>
      <c r="S815" s="444"/>
      <c r="T815" s="444"/>
      <c r="U815" s="444"/>
      <c r="V815" s="444"/>
      <c r="W815" s="444"/>
      <c r="X815" s="444"/>
    </row>
    <row r="816" spans="1:24" ht="15.6" x14ac:dyDescent="0.3">
      <c r="A816" s="438"/>
      <c r="B816" s="439"/>
      <c r="C816" s="440"/>
      <c r="D816" s="441"/>
      <c r="E816" s="441"/>
      <c r="F816" s="442"/>
      <c r="G816" s="443"/>
      <c r="H816" s="442"/>
      <c r="I816" s="455"/>
      <c r="J816" s="444"/>
      <c r="K816" s="652"/>
      <c r="L816" s="444"/>
      <c r="M816" s="444"/>
      <c r="N816" s="444"/>
      <c r="O816" s="444"/>
      <c r="P816" s="444"/>
      <c r="Q816" s="444"/>
      <c r="R816" s="444"/>
      <c r="S816" s="444"/>
      <c r="T816" s="444"/>
      <c r="U816" s="444"/>
      <c r="V816" s="444"/>
      <c r="W816" s="444"/>
      <c r="X816" s="444"/>
    </row>
    <row r="817" spans="1:24" ht="15.6" x14ac:dyDescent="0.3">
      <c r="A817" s="438"/>
      <c r="B817" s="439"/>
      <c r="C817" s="440"/>
      <c r="D817" s="441"/>
      <c r="E817" s="441"/>
      <c r="F817" s="442"/>
      <c r="G817" s="443"/>
      <c r="H817" s="442"/>
      <c r="I817" s="455"/>
      <c r="J817" s="444"/>
      <c r="K817" s="652"/>
      <c r="L817" s="444"/>
      <c r="M817" s="444"/>
      <c r="N817" s="444"/>
      <c r="O817" s="444"/>
      <c r="P817" s="444"/>
      <c r="Q817" s="444"/>
      <c r="R817" s="444"/>
      <c r="S817" s="444"/>
      <c r="T817" s="444"/>
      <c r="U817" s="444"/>
      <c r="V817" s="444"/>
      <c r="W817" s="444"/>
      <c r="X817" s="444"/>
    </row>
    <row r="818" spans="1:24" ht="15.6" x14ac:dyDescent="0.3">
      <c r="A818" s="438"/>
      <c r="B818" s="439"/>
      <c r="C818" s="440"/>
      <c r="D818" s="441"/>
      <c r="E818" s="441"/>
      <c r="F818" s="442"/>
      <c r="G818" s="443"/>
      <c r="H818" s="442"/>
      <c r="I818" s="455"/>
      <c r="J818" s="444"/>
      <c r="K818" s="652"/>
      <c r="L818" s="444"/>
      <c r="M818" s="444"/>
      <c r="N818" s="444"/>
      <c r="O818" s="444"/>
      <c r="P818" s="444"/>
      <c r="Q818" s="444"/>
      <c r="R818" s="444"/>
      <c r="S818" s="444"/>
      <c r="T818" s="444"/>
      <c r="U818" s="444"/>
      <c r="V818" s="444"/>
      <c r="W818" s="444"/>
      <c r="X818" s="444"/>
    </row>
    <row r="819" spans="1:24" ht="15.6" x14ac:dyDescent="0.3">
      <c r="A819" s="438"/>
      <c r="B819" s="439"/>
      <c r="C819" s="440"/>
      <c r="D819" s="441"/>
      <c r="E819" s="441"/>
      <c r="F819" s="442"/>
      <c r="G819" s="443"/>
      <c r="H819" s="442"/>
      <c r="I819" s="455"/>
      <c r="J819" s="444"/>
      <c r="K819" s="652"/>
      <c r="L819" s="444"/>
      <c r="M819" s="444"/>
      <c r="N819" s="444"/>
      <c r="O819" s="444"/>
      <c r="P819" s="444"/>
      <c r="Q819" s="444"/>
      <c r="R819" s="444"/>
      <c r="S819" s="444"/>
      <c r="T819" s="444"/>
      <c r="U819" s="444"/>
      <c r="V819" s="444"/>
      <c r="W819" s="444"/>
      <c r="X819" s="444"/>
    </row>
    <row r="820" spans="1:24" ht="15.6" x14ac:dyDescent="0.3">
      <c r="A820" s="438"/>
      <c r="B820" s="439"/>
      <c r="C820" s="440"/>
      <c r="D820" s="441"/>
      <c r="E820" s="441"/>
      <c r="F820" s="442"/>
      <c r="G820" s="443"/>
      <c r="H820" s="442"/>
      <c r="I820" s="455"/>
      <c r="J820" s="444"/>
      <c r="K820" s="652"/>
      <c r="L820" s="444"/>
      <c r="M820" s="444"/>
      <c r="N820" s="444"/>
      <c r="O820" s="444"/>
      <c r="P820" s="444"/>
      <c r="Q820" s="444"/>
      <c r="R820" s="444"/>
      <c r="S820" s="444"/>
      <c r="T820" s="444"/>
      <c r="U820" s="444"/>
      <c r="V820" s="444"/>
      <c r="W820" s="444"/>
      <c r="X820" s="444"/>
    </row>
    <row r="821" spans="1:24" ht="15.6" x14ac:dyDescent="0.3">
      <c r="A821" s="438"/>
      <c r="B821" s="439"/>
      <c r="C821" s="440"/>
      <c r="D821" s="441"/>
      <c r="E821" s="441"/>
      <c r="F821" s="442"/>
      <c r="G821" s="443"/>
      <c r="H821" s="442"/>
      <c r="I821" s="455"/>
      <c r="J821" s="444"/>
      <c r="K821" s="652"/>
      <c r="L821" s="444"/>
      <c r="M821" s="444"/>
      <c r="N821" s="444"/>
      <c r="O821" s="444"/>
      <c r="P821" s="444"/>
      <c r="Q821" s="444"/>
      <c r="R821" s="444"/>
      <c r="S821" s="444"/>
      <c r="T821" s="444"/>
      <c r="U821" s="444"/>
      <c r="V821" s="444"/>
      <c r="W821" s="444"/>
      <c r="X821" s="444"/>
    </row>
    <row r="822" spans="1:24" ht="15.6" x14ac:dyDescent="0.3">
      <c r="A822" s="438"/>
      <c r="B822" s="439"/>
      <c r="C822" s="440"/>
      <c r="D822" s="441"/>
      <c r="E822" s="441"/>
      <c r="F822" s="442"/>
      <c r="G822" s="443"/>
      <c r="H822" s="442"/>
      <c r="I822" s="455"/>
      <c r="J822" s="444"/>
      <c r="K822" s="652"/>
      <c r="L822" s="444"/>
      <c r="M822" s="444"/>
      <c r="N822" s="444"/>
      <c r="O822" s="444"/>
      <c r="P822" s="444"/>
      <c r="Q822" s="444"/>
      <c r="R822" s="444"/>
      <c r="S822" s="444"/>
      <c r="T822" s="444"/>
      <c r="U822" s="444"/>
      <c r="V822" s="444"/>
      <c r="W822" s="444"/>
      <c r="X822" s="444"/>
    </row>
    <row r="823" spans="1:24" ht="15.6" x14ac:dyDescent="0.3">
      <c r="A823" s="438"/>
      <c r="B823" s="439"/>
      <c r="C823" s="440"/>
      <c r="D823" s="441"/>
      <c r="E823" s="441"/>
      <c r="F823" s="442"/>
      <c r="G823" s="443"/>
      <c r="H823" s="442"/>
      <c r="I823" s="455"/>
      <c r="J823" s="444"/>
      <c r="K823" s="652"/>
      <c r="L823" s="444"/>
      <c r="M823" s="444"/>
      <c r="N823" s="444"/>
      <c r="O823" s="444"/>
      <c r="P823" s="444"/>
      <c r="Q823" s="444"/>
      <c r="R823" s="444"/>
      <c r="S823" s="444"/>
      <c r="T823" s="444"/>
      <c r="U823" s="444"/>
      <c r="V823" s="444"/>
      <c r="W823" s="444"/>
      <c r="X823" s="444"/>
    </row>
    <row r="824" spans="1:24" ht="15.6" x14ac:dyDescent="0.3">
      <c r="A824" s="438"/>
      <c r="B824" s="439"/>
      <c r="C824" s="440"/>
      <c r="D824" s="441"/>
      <c r="E824" s="441"/>
      <c r="F824" s="442"/>
      <c r="G824" s="443"/>
      <c r="H824" s="442"/>
      <c r="I824" s="455"/>
      <c r="J824" s="444"/>
      <c r="K824" s="652"/>
      <c r="L824" s="444"/>
      <c r="M824" s="444"/>
      <c r="N824" s="444"/>
      <c r="O824" s="444"/>
      <c r="P824" s="444"/>
      <c r="Q824" s="444"/>
      <c r="R824" s="444"/>
      <c r="S824" s="444"/>
      <c r="T824" s="444"/>
      <c r="U824" s="444"/>
      <c r="V824" s="444"/>
      <c r="W824" s="444"/>
      <c r="X824" s="444"/>
    </row>
    <row r="825" spans="1:24" ht="15.6" x14ac:dyDescent="0.3">
      <c r="A825" s="438"/>
      <c r="B825" s="439"/>
      <c r="C825" s="440"/>
      <c r="D825" s="441"/>
      <c r="E825" s="441"/>
      <c r="F825" s="442"/>
      <c r="G825" s="443"/>
      <c r="H825" s="442"/>
      <c r="I825" s="455"/>
      <c r="J825" s="444"/>
      <c r="K825" s="652"/>
      <c r="L825" s="444"/>
      <c r="M825" s="444"/>
      <c r="N825" s="444"/>
      <c r="O825" s="444"/>
      <c r="P825" s="444"/>
      <c r="Q825" s="444"/>
      <c r="R825" s="444"/>
      <c r="S825" s="444"/>
      <c r="T825" s="444"/>
      <c r="U825" s="444"/>
      <c r="V825" s="444"/>
      <c r="W825" s="444"/>
      <c r="X825" s="444"/>
    </row>
    <row r="826" spans="1:24" ht="15.6" x14ac:dyDescent="0.3">
      <c r="A826" s="438"/>
      <c r="B826" s="439"/>
      <c r="C826" s="440"/>
      <c r="D826" s="441"/>
      <c r="E826" s="441"/>
      <c r="F826" s="442"/>
      <c r="G826" s="443"/>
      <c r="H826" s="442"/>
      <c r="I826" s="455"/>
      <c r="J826" s="444"/>
      <c r="K826" s="652"/>
      <c r="L826" s="444"/>
      <c r="M826" s="444"/>
      <c r="N826" s="444"/>
      <c r="O826" s="444"/>
      <c r="P826" s="444"/>
      <c r="Q826" s="444"/>
      <c r="R826" s="444"/>
      <c r="S826" s="444"/>
      <c r="T826" s="444"/>
      <c r="U826" s="444"/>
      <c r="V826" s="444"/>
      <c r="W826" s="444"/>
      <c r="X826" s="444"/>
    </row>
    <row r="827" spans="1:24" ht="15.6" x14ac:dyDescent="0.3">
      <c r="A827" s="438"/>
      <c r="B827" s="439"/>
      <c r="C827" s="440"/>
      <c r="D827" s="441"/>
      <c r="E827" s="441"/>
      <c r="F827" s="442"/>
      <c r="G827" s="443"/>
      <c r="H827" s="442"/>
      <c r="I827" s="455"/>
      <c r="J827" s="444"/>
      <c r="K827" s="652"/>
      <c r="L827" s="444"/>
      <c r="M827" s="444"/>
      <c r="N827" s="444"/>
      <c r="O827" s="444"/>
      <c r="P827" s="444"/>
      <c r="Q827" s="444"/>
      <c r="R827" s="444"/>
      <c r="S827" s="444"/>
      <c r="T827" s="444"/>
      <c r="U827" s="444"/>
      <c r="V827" s="444"/>
      <c r="W827" s="444"/>
      <c r="X827" s="444"/>
    </row>
    <row r="828" spans="1:24" ht="15.6" x14ac:dyDescent="0.3">
      <c r="A828" s="438"/>
      <c r="B828" s="439"/>
      <c r="C828" s="440"/>
      <c r="D828" s="441"/>
      <c r="E828" s="441"/>
      <c r="F828" s="442"/>
      <c r="G828" s="443"/>
      <c r="H828" s="442"/>
      <c r="I828" s="455"/>
      <c r="J828" s="444"/>
      <c r="K828" s="652"/>
      <c r="L828" s="444"/>
      <c r="M828" s="444"/>
      <c r="N828" s="444"/>
      <c r="O828" s="444"/>
      <c r="P828" s="444"/>
      <c r="Q828" s="444"/>
      <c r="R828" s="444"/>
      <c r="S828" s="444"/>
      <c r="T828" s="444"/>
      <c r="U828" s="444"/>
      <c r="V828" s="444"/>
      <c r="W828" s="444"/>
      <c r="X828" s="444"/>
    </row>
    <row r="829" spans="1:24" ht="15.6" x14ac:dyDescent="0.3">
      <c r="A829" s="438"/>
      <c r="B829" s="439"/>
      <c r="C829" s="440"/>
      <c r="D829" s="441"/>
      <c r="E829" s="441"/>
      <c r="F829" s="442"/>
      <c r="G829" s="443"/>
      <c r="H829" s="442"/>
      <c r="I829" s="455"/>
      <c r="J829" s="444"/>
      <c r="K829" s="652"/>
      <c r="L829" s="444"/>
      <c r="M829" s="444"/>
      <c r="N829" s="444"/>
      <c r="O829" s="444"/>
      <c r="P829" s="444"/>
      <c r="Q829" s="444"/>
      <c r="R829" s="444"/>
      <c r="S829" s="444"/>
      <c r="T829" s="444"/>
      <c r="U829" s="444"/>
      <c r="V829" s="444"/>
      <c r="W829" s="444"/>
      <c r="X829" s="444"/>
    </row>
    <row r="830" spans="1:24" ht="15.6" x14ac:dyDescent="0.3">
      <c r="A830" s="438"/>
      <c r="B830" s="439"/>
      <c r="C830" s="440"/>
      <c r="D830" s="441"/>
      <c r="E830" s="441"/>
      <c r="F830" s="442"/>
      <c r="G830" s="443"/>
      <c r="H830" s="442"/>
      <c r="I830" s="455"/>
      <c r="J830" s="444"/>
      <c r="K830" s="652"/>
      <c r="L830" s="444"/>
      <c r="M830" s="444"/>
      <c r="N830" s="444"/>
      <c r="O830" s="444"/>
      <c r="P830" s="444"/>
      <c r="Q830" s="444"/>
      <c r="R830" s="444"/>
      <c r="S830" s="444"/>
      <c r="T830" s="444"/>
      <c r="U830" s="444"/>
      <c r="V830" s="444"/>
      <c r="W830" s="444"/>
      <c r="X830" s="444"/>
    </row>
    <row r="831" spans="1:24" ht="15.6" x14ac:dyDescent="0.3">
      <c r="A831" s="438"/>
      <c r="B831" s="439"/>
      <c r="C831" s="440"/>
      <c r="D831" s="441"/>
      <c r="E831" s="441"/>
      <c r="F831" s="442"/>
      <c r="G831" s="443"/>
      <c r="H831" s="442"/>
      <c r="I831" s="455"/>
      <c r="J831" s="444"/>
      <c r="K831" s="652"/>
      <c r="L831" s="444"/>
      <c r="M831" s="444"/>
      <c r="N831" s="444"/>
      <c r="O831" s="444"/>
      <c r="P831" s="444"/>
      <c r="Q831" s="444"/>
      <c r="R831" s="444"/>
      <c r="S831" s="444"/>
      <c r="T831" s="444"/>
      <c r="U831" s="444"/>
      <c r="V831" s="444"/>
      <c r="W831" s="444"/>
      <c r="X831" s="444"/>
    </row>
    <row r="832" spans="1:24" ht="15.6" x14ac:dyDescent="0.3">
      <c r="A832" s="438"/>
      <c r="B832" s="439"/>
      <c r="C832" s="440"/>
      <c r="D832" s="441"/>
      <c r="E832" s="441"/>
      <c r="F832" s="442"/>
      <c r="G832" s="443"/>
      <c r="H832" s="442"/>
      <c r="I832" s="455"/>
      <c r="J832" s="444"/>
      <c r="K832" s="652"/>
      <c r="L832" s="444"/>
      <c r="M832" s="444"/>
      <c r="N832" s="444"/>
      <c r="O832" s="444"/>
      <c r="P832" s="444"/>
      <c r="Q832" s="444"/>
      <c r="R832" s="444"/>
      <c r="S832" s="444"/>
      <c r="T832" s="444"/>
      <c r="U832" s="444"/>
      <c r="V832" s="444"/>
      <c r="W832" s="444"/>
      <c r="X832" s="444"/>
    </row>
    <row r="833" spans="1:24" ht="15.6" x14ac:dyDescent="0.3">
      <c r="A833" s="438"/>
      <c r="B833" s="439"/>
      <c r="C833" s="440"/>
      <c r="D833" s="441"/>
      <c r="E833" s="441"/>
      <c r="F833" s="442"/>
      <c r="G833" s="443"/>
      <c r="H833" s="442"/>
      <c r="I833" s="455"/>
      <c r="J833" s="444"/>
      <c r="K833" s="652"/>
      <c r="L833" s="444"/>
      <c r="M833" s="444"/>
      <c r="N833" s="444"/>
      <c r="O833" s="444"/>
      <c r="P833" s="444"/>
      <c r="Q833" s="444"/>
      <c r="R833" s="444"/>
      <c r="S833" s="444"/>
      <c r="T833" s="444"/>
      <c r="U833" s="444"/>
      <c r="V833" s="444"/>
      <c r="W833" s="444"/>
      <c r="X833" s="444"/>
    </row>
    <row r="834" spans="1:24" ht="15.6" x14ac:dyDescent="0.3">
      <c r="A834" s="438"/>
      <c r="B834" s="439"/>
      <c r="C834" s="440"/>
      <c r="D834" s="441"/>
      <c r="E834" s="441"/>
      <c r="F834" s="442"/>
      <c r="G834" s="443"/>
      <c r="H834" s="442"/>
      <c r="I834" s="455"/>
      <c r="J834" s="444"/>
      <c r="K834" s="652"/>
      <c r="L834" s="444"/>
      <c r="M834" s="444"/>
      <c r="N834" s="444"/>
      <c r="O834" s="444"/>
      <c r="P834" s="444"/>
      <c r="Q834" s="444"/>
      <c r="R834" s="444"/>
      <c r="S834" s="444"/>
      <c r="T834" s="444"/>
      <c r="U834" s="444"/>
      <c r="V834" s="444"/>
      <c r="W834" s="444"/>
      <c r="X834" s="444"/>
    </row>
    <row r="835" spans="1:24" ht="15.6" x14ac:dyDescent="0.3">
      <c r="A835" s="438"/>
      <c r="B835" s="439"/>
      <c r="C835" s="440"/>
      <c r="D835" s="441"/>
      <c r="E835" s="441"/>
      <c r="F835" s="442"/>
      <c r="G835" s="443"/>
      <c r="H835" s="442"/>
      <c r="I835" s="455"/>
      <c r="J835" s="444"/>
      <c r="K835" s="652"/>
      <c r="L835" s="444"/>
      <c r="M835" s="444"/>
      <c r="N835" s="444"/>
      <c r="O835" s="444"/>
      <c r="P835" s="444"/>
      <c r="Q835" s="444"/>
      <c r="R835" s="444"/>
      <c r="S835" s="444"/>
      <c r="T835" s="444"/>
      <c r="U835" s="444"/>
      <c r="V835" s="444"/>
      <c r="W835" s="444"/>
      <c r="X835" s="444"/>
    </row>
    <row r="836" spans="1:24" ht="15.6" x14ac:dyDescent="0.3">
      <c r="A836" s="438"/>
      <c r="B836" s="439"/>
      <c r="C836" s="440"/>
      <c r="D836" s="441"/>
      <c r="E836" s="441"/>
      <c r="F836" s="442"/>
      <c r="G836" s="443"/>
      <c r="H836" s="442"/>
      <c r="I836" s="455"/>
      <c r="J836" s="444"/>
      <c r="K836" s="652"/>
      <c r="L836" s="444"/>
      <c r="M836" s="444"/>
      <c r="N836" s="444"/>
      <c r="O836" s="444"/>
      <c r="P836" s="444"/>
      <c r="Q836" s="444"/>
      <c r="R836" s="444"/>
      <c r="S836" s="444"/>
      <c r="T836" s="444"/>
      <c r="U836" s="444"/>
      <c r="V836" s="444"/>
      <c r="W836" s="444"/>
      <c r="X836" s="444"/>
    </row>
    <row r="837" spans="1:24" ht="15.6" x14ac:dyDescent="0.3">
      <c r="A837" s="438"/>
      <c r="B837" s="439"/>
      <c r="C837" s="440"/>
      <c r="D837" s="441"/>
      <c r="E837" s="441"/>
      <c r="F837" s="442"/>
      <c r="G837" s="443"/>
      <c r="H837" s="442"/>
      <c r="I837" s="455"/>
      <c r="J837" s="444"/>
      <c r="K837" s="652"/>
      <c r="L837" s="444"/>
      <c r="M837" s="444"/>
      <c r="N837" s="444"/>
      <c r="O837" s="444"/>
      <c r="P837" s="444"/>
      <c r="Q837" s="444"/>
      <c r="R837" s="444"/>
      <c r="S837" s="444"/>
      <c r="T837" s="444"/>
      <c r="U837" s="444"/>
      <c r="V837" s="444"/>
      <c r="W837" s="444"/>
      <c r="X837" s="444"/>
    </row>
    <row r="838" spans="1:24" ht="15.6" x14ac:dyDescent="0.3">
      <c r="A838" s="438"/>
      <c r="B838" s="439"/>
      <c r="C838" s="440"/>
      <c r="D838" s="441"/>
      <c r="E838" s="441"/>
      <c r="F838" s="442"/>
      <c r="G838" s="443"/>
      <c r="H838" s="442"/>
      <c r="I838" s="455"/>
      <c r="J838" s="444"/>
      <c r="K838" s="652"/>
      <c r="L838" s="444"/>
      <c r="M838" s="444"/>
      <c r="N838" s="444"/>
      <c r="O838" s="444"/>
      <c r="P838" s="444"/>
      <c r="Q838" s="444"/>
      <c r="R838" s="444"/>
      <c r="S838" s="444"/>
      <c r="T838" s="444"/>
      <c r="U838" s="444"/>
      <c r="V838" s="444"/>
      <c r="W838" s="444"/>
      <c r="X838" s="444"/>
    </row>
    <row r="839" spans="1:24" ht="15.6" x14ac:dyDescent="0.3">
      <c r="A839" s="438"/>
      <c r="B839" s="439"/>
      <c r="C839" s="440"/>
      <c r="D839" s="441"/>
      <c r="E839" s="441"/>
      <c r="F839" s="442"/>
      <c r="G839" s="443"/>
      <c r="H839" s="442"/>
      <c r="I839" s="455"/>
      <c r="J839" s="444"/>
      <c r="K839" s="652"/>
      <c r="L839" s="444"/>
      <c r="M839" s="444"/>
      <c r="N839" s="444"/>
      <c r="O839" s="444"/>
      <c r="P839" s="444"/>
      <c r="Q839" s="444"/>
      <c r="R839" s="444"/>
      <c r="S839" s="444"/>
      <c r="T839" s="444"/>
      <c r="U839" s="444"/>
      <c r="V839" s="444"/>
      <c r="W839" s="444"/>
      <c r="X839" s="444"/>
    </row>
    <row r="840" spans="1:24" ht="15.6" x14ac:dyDescent="0.3">
      <c r="A840" s="438"/>
      <c r="B840" s="439"/>
      <c r="C840" s="440"/>
      <c r="D840" s="441"/>
      <c r="E840" s="441"/>
      <c r="F840" s="442"/>
      <c r="G840" s="443"/>
      <c r="H840" s="442"/>
      <c r="I840" s="455"/>
      <c r="J840" s="444"/>
      <c r="K840" s="652"/>
      <c r="L840" s="444"/>
      <c r="M840" s="444"/>
      <c r="N840" s="444"/>
      <c r="O840" s="444"/>
      <c r="P840" s="444"/>
      <c r="Q840" s="444"/>
      <c r="R840" s="444"/>
      <c r="S840" s="444"/>
      <c r="T840" s="444"/>
      <c r="U840" s="444"/>
      <c r="V840" s="444"/>
      <c r="W840" s="444"/>
      <c r="X840" s="444"/>
    </row>
    <row r="841" spans="1:24" ht="15.6" x14ac:dyDescent="0.3">
      <c r="A841" s="438"/>
      <c r="B841" s="439"/>
      <c r="C841" s="440"/>
      <c r="D841" s="441"/>
      <c r="E841" s="441"/>
      <c r="F841" s="442"/>
      <c r="G841" s="443"/>
      <c r="H841" s="442"/>
      <c r="I841" s="455"/>
      <c r="J841" s="444"/>
      <c r="K841" s="652"/>
      <c r="L841" s="444"/>
      <c r="M841" s="444"/>
      <c r="N841" s="444"/>
      <c r="O841" s="444"/>
      <c r="P841" s="444"/>
      <c r="Q841" s="444"/>
      <c r="R841" s="444"/>
      <c r="S841" s="444"/>
      <c r="T841" s="444"/>
      <c r="U841" s="444"/>
      <c r="V841" s="444"/>
      <c r="W841" s="444"/>
      <c r="X841" s="444"/>
    </row>
    <row r="842" spans="1:24" ht="15.6" x14ac:dyDescent="0.3">
      <c r="A842" s="438"/>
      <c r="B842" s="439"/>
      <c r="C842" s="440"/>
      <c r="D842" s="441"/>
      <c r="E842" s="441"/>
      <c r="F842" s="442"/>
      <c r="G842" s="443"/>
      <c r="H842" s="442"/>
      <c r="I842" s="455"/>
      <c r="J842" s="444"/>
      <c r="K842" s="652"/>
      <c r="L842" s="444"/>
      <c r="M842" s="444"/>
      <c r="N842" s="444"/>
      <c r="O842" s="444"/>
      <c r="P842" s="444"/>
      <c r="Q842" s="444"/>
      <c r="R842" s="444"/>
      <c r="S842" s="444"/>
      <c r="T842" s="444"/>
      <c r="U842" s="444"/>
      <c r="V842" s="444"/>
      <c r="W842" s="444"/>
      <c r="X842" s="444"/>
    </row>
    <row r="843" spans="1:24" ht="15.6" x14ac:dyDescent="0.3">
      <c r="A843" s="438"/>
      <c r="B843" s="439"/>
      <c r="C843" s="440"/>
      <c r="D843" s="441"/>
      <c r="E843" s="441"/>
      <c r="F843" s="442"/>
      <c r="G843" s="443"/>
      <c r="H843" s="442"/>
      <c r="I843" s="455"/>
      <c r="J843" s="444"/>
      <c r="K843" s="652"/>
      <c r="L843" s="444"/>
      <c r="M843" s="444"/>
      <c r="N843" s="444"/>
      <c r="O843" s="444"/>
      <c r="P843" s="444"/>
      <c r="Q843" s="444"/>
      <c r="R843" s="444"/>
      <c r="S843" s="444"/>
      <c r="T843" s="444"/>
      <c r="U843" s="444"/>
      <c r="V843" s="444"/>
      <c r="W843" s="444"/>
      <c r="X843" s="444"/>
    </row>
    <row r="844" spans="1:24" ht="15.6" x14ac:dyDescent="0.3">
      <c r="A844" s="438"/>
      <c r="B844" s="439"/>
      <c r="C844" s="440"/>
      <c r="D844" s="441"/>
      <c r="E844" s="441"/>
      <c r="F844" s="442"/>
      <c r="G844" s="443"/>
      <c r="H844" s="442"/>
      <c r="I844" s="455"/>
      <c r="J844" s="444"/>
      <c r="K844" s="652"/>
      <c r="L844" s="444"/>
      <c r="M844" s="444"/>
      <c r="N844" s="444"/>
      <c r="O844" s="444"/>
      <c r="P844" s="444"/>
      <c r="Q844" s="444"/>
      <c r="R844" s="444"/>
      <c r="S844" s="444"/>
      <c r="T844" s="444"/>
      <c r="U844" s="444"/>
      <c r="V844" s="444"/>
      <c r="W844" s="444"/>
      <c r="X844" s="444"/>
    </row>
    <row r="845" spans="1:24" ht="15.6" x14ac:dyDescent="0.3">
      <c r="A845" s="438"/>
      <c r="B845" s="439"/>
      <c r="C845" s="440"/>
      <c r="D845" s="441"/>
      <c r="E845" s="441"/>
      <c r="F845" s="442"/>
      <c r="G845" s="443"/>
      <c r="H845" s="442"/>
      <c r="I845" s="455"/>
      <c r="J845" s="444"/>
      <c r="K845" s="652"/>
      <c r="L845" s="444"/>
      <c r="M845" s="444"/>
      <c r="N845" s="444"/>
      <c r="O845" s="444"/>
      <c r="P845" s="444"/>
      <c r="Q845" s="444"/>
      <c r="R845" s="444"/>
      <c r="S845" s="444"/>
      <c r="T845" s="444"/>
      <c r="U845" s="444"/>
      <c r="V845" s="444"/>
      <c r="W845" s="444"/>
      <c r="X845" s="444"/>
    </row>
    <row r="846" spans="1:24" ht="15.6" x14ac:dyDescent="0.3">
      <c r="A846" s="438"/>
      <c r="B846" s="439"/>
      <c r="C846" s="440"/>
      <c r="D846" s="441"/>
      <c r="E846" s="441"/>
      <c r="F846" s="442"/>
      <c r="G846" s="443"/>
      <c r="H846" s="442"/>
      <c r="I846" s="455"/>
      <c r="J846" s="444"/>
      <c r="K846" s="652"/>
      <c r="L846" s="444"/>
      <c r="M846" s="444"/>
      <c r="N846" s="444"/>
      <c r="O846" s="444"/>
      <c r="P846" s="444"/>
      <c r="Q846" s="444"/>
      <c r="R846" s="444"/>
      <c r="S846" s="444"/>
      <c r="T846" s="444"/>
      <c r="U846" s="444"/>
      <c r="V846" s="444"/>
      <c r="W846" s="444"/>
      <c r="X846" s="444"/>
    </row>
    <row r="847" spans="1:24" ht="15.6" x14ac:dyDescent="0.3">
      <c r="A847" s="438"/>
      <c r="B847" s="439"/>
      <c r="C847" s="440"/>
      <c r="D847" s="441"/>
      <c r="E847" s="441"/>
      <c r="F847" s="442"/>
      <c r="G847" s="443"/>
      <c r="H847" s="442"/>
      <c r="I847" s="455"/>
      <c r="J847" s="444"/>
      <c r="K847" s="652"/>
      <c r="L847" s="444"/>
      <c r="M847" s="444"/>
      <c r="N847" s="444"/>
      <c r="O847" s="444"/>
      <c r="P847" s="444"/>
      <c r="Q847" s="444"/>
      <c r="R847" s="444"/>
      <c r="S847" s="444"/>
      <c r="T847" s="444"/>
      <c r="U847" s="444"/>
      <c r="V847" s="444"/>
      <c r="W847" s="444"/>
      <c r="X847" s="444"/>
    </row>
    <row r="848" spans="1:24" ht="15.6" x14ac:dyDescent="0.3">
      <c r="A848" s="438"/>
      <c r="B848" s="439"/>
      <c r="C848" s="440"/>
      <c r="D848" s="441"/>
      <c r="E848" s="441"/>
      <c r="F848" s="442"/>
      <c r="G848" s="443"/>
      <c r="H848" s="442"/>
      <c r="I848" s="455"/>
      <c r="J848" s="444"/>
      <c r="K848" s="652"/>
      <c r="L848" s="444"/>
      <c r="M848" s="444"/>
      <c r="N848" s="444"/>
      <c r="O848" s="444"/>
      <c r="P848" s="444"/>
      <c r="Q848" s="444"/>
      <c r="R848" s="444"/>
      <c r="S848" s="444"/>
      <c r="T848" s="444"/>
      <c r="U848" s="444"/>
      <c r="V848" s="444"/>
      <c r="W848" s="444"/>
      <c r="X848" s="444"/>
    </row>
    <row r="849" spans="1:24" ht="15.6" x14ac:dyDescent="0.3">
      <c r="A849" s="438"/>
      <c r="B849" s="439"/>
      <c r="C849" s="440"/>
      <c r="D849" s="441"/>
      <c r="E849" s="441"/>
      <c r="F849" s="442"/>
      <c r="G849" s="443"/>
      <c r="H849" s="442"/>
      <c r="I849" s="455"/>
      <c r="J849" s="444"/>
      <c r="K849" s="652"/>
      <c r="L849" s="444"/>
      <c r="M849" s="444"/>
      <c r="N849" s="444"/>
      <c r="O849" s="444"/>
      <c r="P849" s="444"/>
      <c r="Q849" s="444"/>
      <c r="R849" s="444"/>
      <c r="S849" s="444"/>
      <c r="T849" s="444"/>
      <c r="U849" s="444"/>
      <c r="V849" s="444"/>
      <c r="W849" s="444"/>
      <c r="X849" s="444"/>
    </row>
    <row r="850" spans="1:24" ht="15.6" x14ac:dyDescent="0.3">
      <c r="A850" s="438"/>
      <c r="B850" s="439"/>
      <c r="C850" s="440"/>
      <c r="D850" s="441"/>
      <c r="E850" s="441"/>
      <c r="F850" s="442"/>
      <c r="G850" s="443"/>
      <c r="H850" s="442"/>
      <c r="I850" s="455"/>
      <c r="J850" s="444"/>
      <c r="K850" s="652"/>
      <c r="L850" s="444"/>
      <c r="M850" s="444"/>
      <c r="N850" s="444"/>
      <c r="O850" s="444"/>
      <c r="P850" s="444"/>
      <c r="Q850" s="444"/>
      <c r="R850" s="444"/>
      <c r="S850" s="444"/>
      <c r="T850" s="444"/>
      <c r="U850" s="444"/>
      <c r="V850" s="444"/>
      <c r="W850" s="444"/>
      <c r="X850" s="444"/>
    </row>
    <row r="851" spans="1:24" ht="15.6" x14ac:dyDescent="0.3">
      <c r="A851" s="438"/>
      <c r="B851" s="439"/>
      <c r="C851" s="440"/>
      <c r="D851" s="441"/>
      <c r="E851" s="441"/>
      <c r="F851" s="442"/>
      <c r="G851" s="443"/>
      <c r="H851" s="442"/>
      <c r="I851" s="455"/>
      <c r="J851" s="444"/>
      <c r="K851" s="652"/>
      <c r="L851" s="444"/>
      <c r="M851" s="444"/>
      <c r="N851" s="444"/>
      <c r="O851" s="444"/>
      <c r="P851" s="444"/>
      <c r="Q851" s="444"/>
      <c r="R851" s="444"/>
      <c r="S851" s="444"/>
      <c r="T851" s="444"/>
      <c r="U851" s="444"/>
      <c r="V851" s="444"/>
      <c r="W851" s="444"/>
      <c r="X851" s="444"/>
    </row>
    <row r="852" spans="1:24" ht="15.6" x14ac:dyDescent="0.3">
      <c r="A852" s="438"/>
      <c r="B852" s="439"/>
      <c r="C852" s="440"/>
      <c r="D852" s="441"/>
      <c r="E852" s="441"/>
      <c r="F852" s="442"/>
      <c r="G852" s="443"/>
      <c r="H852" s="442"/>
      <c r="I852" s="455"/>
      <c r="J852" s="444"/>
      <c r="K852" s="652"/>
      <c r="L852" s="444"/>
      <c r="M852" s="444"/>
      <c r="N852" s="444"/>
      <c r="O852" s="444"/>
      <c r="P852" s="444"/>
      <c r="Q852" s="444"/>
      <c r="R852" s="444"/>
      <c r="S852" s="444"/>
      <c r="T852" s="444"/>
      <c r="U852" s="444"/>
      <c r="V852" s="444"/>
      <c r="W852" s="444"/>
      <c r="X852" s="444"/>
    </row>
    <row r="853" spans="1:24" ht="15.6" x14ac:dyDescent="0.3">
      <c r="A853" s="438"/>
      <c r="B853" s="439"/>
      <c r="C853" s="440"/>
      <c r="D853" s="441"/>
      <c r="E853" s="441"/>
      <c r="F853" s="442"/>
      <c r="G853" s="443"/>
      <c r="H853" s="442"/>
      <c r="I853" s="455"/>
      <c r="J853" s="444"/>
      <c r="K853" s="652"/>
      <c r="L853" s="444"/>
      <c r="M853" s="444"/>
      <c r="N853" s="444"/>
      <c r="O853" s="444"/>
      <c r="P853" s="444"/>
      <c r="Q853" s="444"/>
      <c r="R853" s="444"/>
      <c r="S853" s="444"/>
      <c r="T853" s="444"/>
      <c r="U853" s="444"/>
      <c r="V853" s="444"/>
      <c r="W853" s="444"/>
      <c r="X853" s="444"/>
    </row>
    <row r="854" spans="1:24" ht="15.6" x14ac:dyDescent="0.3">
      <c r="A854" s="438"/>
      <c r="B854" s="439"/>
      <c r="C854" s="440"/>
      <c r="D854" s="441"/>
      <c r="E854" s="441"/>
      <c r="F854" s="442"/>
      <c r="G854" s="443"/>
      <c r="H854" s="442"/>
      <c r="I854" s="455"/>
      <c r="J854" s="444"/>
      <c r="K854" s="652"/>
      <c r="L854" s="444"/>
      <c r="M854" s="444"/>
      <c r="N854" s="444"/>
      <c r="O854" s="444"/>
      <c r="P854" s="444"/>
      <c r="Q854" s="444"/>
      <c r="R854" s="444"/>
      <c r="S854" s="444"/>
      <c r="T854" s="444"/>
      <c r="U854" s="444"/>
      <c r="V854" s="444"/>
      <c r="W854" s="444"/>
      <c r="X854" s="444"/>
    </row>
    <row r="855" spans="1:24" ht="15.6" x14ac:dyDescent="0.3">
      <c r="A855" s="438"/>
      <c r="B855" s="439"/>
      <c r="C855" s="440"/>
      <c r="D855" s="441"/>
      <c r="E855" s="441"/>
      <c r="F855" s="442"/>
      <c r="G855" s="443"/>
      <c r="H855" s="442"/>
      <c r="I855" s="455"/>
      <c r="J855" s="444"/>
      <c r="K855" s="652"/>
      <c r="L855" s="444"/>
      <c r="M855" s="444"/>
      <c r="N855" s="444"/>
      <c r="O855" s="444"/>
      <c r="P855" s="444"/>
      <c r="Q855" s="444"/>
      <c r="R855" s="444"/>
      <c r="S855" s="444"/>
      <c r="T855" s="444"/>
      <c r="U855" s="444"/>
      <c r="V855" s="444"/>
      <c r="W855" s="444"/>
      <c r="X855" s="444"/>
    </row>
    <row r="856" spans="1:24" ht="15.6" x14ac:dyDescent="0.3">
      <c r="A856" s="438"/>
      <c r="B856" s="439"/>
      <c r="C856" s="440"/>
      <c r="D856" s="441"/>
      <c r="E856" s="441"/>
      <c r="F856" s="442"/>
      <c r="G856" s="443"/>
      <c r="H856" s="442"/>
      <c r="I856" s="455"/>
      <c r="J856" s="444"/>
      <c r="K856" s="652"/>
      <c r="L856" s="444"/>
      <c r="M856" s="444"/>
      <c r="N856" s="444"/>
      <c r="O856" s="444"/>
      <c r="P856" s="444"/>
      <c r="Q856" s="444"/>
      <c r="R856" s="444"/>
      <c r="S856" s="444"/>
      <c r="T856" s="444"/>
      <c r="U856" s="444"/>
      <c r="V856" s="444"/>
      <c r="W856" s="444"/>
      <c r="X856" s="444"/>
    </row>
    <row r="857" spans="1:24" ht="15.6" x14ac:dyDescent="0.3">
      <c r="A857" s="438"/>
      <c r="B857" s="439"/>
      <c r="C857" s="440"/>
      <c r="D857" s="441"/>
      <c r="E857" s="441"/>
      <c r="F857" s="442"/>
      <c r="G857" s="443"/>
      <c r="H857" s="442"/>
      <c r="I857" s="455"/>
      <c r="J857" s="444"/>
      <c r="K857" s="652"/>
      <c r="L857" s="444"/>
      <c r="M857" s="444"/>
      <c r="N857" s="444"/>
      <c r="O857" s="444"/>
      <c r="P857" s="444"/>
      <c r="Q857" s="444"/>
      <c r="R857" s="444"/>
      <c r="S857" s="444"/>
      <c r="T857" s="444"/>
      <c r="U857" s="444"/>
      <c r="V857" s="444"/>
      <c r="W857" s="444"/>
      <c r="X857" s="444"/>
    </row>
    <row r="858" spans="1:24" ht="15.6" x14ac:dyDescent="0.3">
      <c r="A858" s="438"/>
      <c r="B858" s="439"/>
      <c r="C858" s="440"/>
      <c r="D858" s="441"/>
      <c r="E858" s="441"/>
      <c r="F858" s="442"/>
      <c r="G858" s="443"/>
      <c r="H858" s="442"/>
      <c r="I858" s="455"/>
      <c r="J858" s="444"/>
      <c r="K858" s="652"/>
      <c r="L858" s="444"/>
      <c r="M858" s="444"/>
      <c r="N858" s="444"/>
      <c r="O858" s="444"/>
      <c r="P858" s="444"/>
      <c r="Q858" s="444"/>
      <c r="R858" s="444"/>
      <c r="S858" s="444"/>
      <c r="T858" s="444"/>
      <c r="U858" s="444"/>
      <c r="V858" s="444"/>
      <c r="W858" s="444"/>
      <c r="X858" s="444"/>
    </row>
    <row r="859" spans="1:24" ht="15.6" x14ac:dyDescent="0.3">
      <c r="A859" s="438"/>
      <c r="B859" s="439"/>
      <c r="C859" s="440"/>
      <c r="D859" s="441"/>
      <c r="E859" s="441"/>
      <c r="F859" s="442"/>
      <c r="G859" s="443"/>
      <c r="H859" s="442"/>
      <c r="I859" s="455"/>
      <c r="J859" s="444"/>
      <c r="K859" s="652"/>
      <c r="L859" s="444"/>
      <c r="M859" s="444"/>
      <c r="N859" s="444"/>
      <c r="O859" s="444"/>
      <c r="P859" s="444"/>
      <c r="Q859" s="444"/>
      <c r="R859" s="444"/>
      <c r="S859" s="444"/>
      <c r="T859" s="444"/>
      <c r="U859" s="444"/>
      <c r="V859" s="444"/>
      <c r="W859" s="444"/>
      <c r="X859" s="444"/>
    </row>
    <row r="860" spans="1:24" ht="15.6" x14ac:dyDescent="0.3">
      <c r="A860" s="438"/>
      <c r="B860" s="439"/>
      <c r="C860" s="440"/>
      <c r="D860" s="441"/>
      <c r="E860" s="441"/>
      <c r="F860" s="442"/>
      <c r="G860" s="443"/>
      <c r="H860" s="442"/>
      <c r="I860" s="455"/>
      <c r="J860" s="444"/>
      <c r="K860" s="652"/>
      <c r="L860" s="444"/>
      <c r="M860" s="444"/>
      <c r="N860" s="444"/>
      <c r="O860" s="444"/>
      <c r="P860" s="444"/>
      <c r="Q860" s="444"/>
      <c r="R860" s="444"/>
      <c r="S860" s="444"/>
      <c r="T860" s="444"/>
      <c r="U860" s="444"/>
      <c r="V860" s="444"/>
      <c r="W860" s="444"/>
      <c r="X860" s="444"/>
    </row>
    <row r="861" spans="1:24" ht="15.6" x14ac:dyDescent="0.3">
      <c r="A861" s="438"/>
      <c r="B861" s="439"/>
      <c r="C861" s="440"/>
      <c r="D861" s="441"/>
      <c r="E861" s="441"/>
      <c r="F861" s="442"/>
      <c r="G861" s="443"/>
      <c r="H861" s="442"/>
      <c r="I861" s="455"/>
      <c r="J861" s="444"/>
      <c r="K861" s="652"/>
      <c r="L861" s="444"/>
      <c r="M861" s="444"/>
      <c r="N861" s="444"/>
      <c r="O861" s="444"/>
      <c r="P861" s="444"/>
      <c r="Q861" s="444"/>
      <c r="R861" s="444"/>
      <c r="S861" s="444"/>
      <c r="T861" s="444"/>
      <c r="U861" s="444"/>
      <c r="V861" s="444"/>
      <c r="W861" s="444"/>
      <c r="X861" s="444"/>
    </row>
    <row r="862" spans="1:24" ht="15.6" x14ac:dyDescent="0.3">
      <c r="A862" s="438"/>
      <c r="B862" s="439"/>
      <c r="C862" s="440"/>
      <c r="D862" s="441"/>
      <c r="E862" s="441"/>
      <c r="F862" s="442"/>
      <c r="G862" s="443"/>
      <c r="H862" s="442"/>
      <c r="I862" s="455"/>
      <c r="J862" s="444"/>
      <c r="K862" s="652"/>
      <c r="L862" s="444"/>
      <c r="M862" s="444"/>
      <c r="N862" s="444"/>
      <c r="O862" s="444"/>
      <c r="P862" s="444"/>
      <c r="Q862" s="444"/>
      <c r="R862" s="444"/>
      <c r="S862" s="444"/>
      <c r="T862" s="444"/>
      <c r="U862" s="444"/>
      <c r="V862" s="444"/>
      <c r="W862" s="444"/>
      <c r="X862" s="444"/>
    </row>
    <row r="863" spans="1:24" ht="15.6" x14ac:dyDescent="0.3">
      <c r="A863" s="438"/>
      <c r="B863" s="439"/>
      <c r="C863" s="440"/>
      <c r="D863" s="441"/>
      <c r="E863" s="441"/>
      <c r="F863" s="442"/>
      <c r="G863" s="443"/>
      <c r="H863" s="442"/>
      <c r="I863" s="455"/>
      <c r="J863" s="444"/>
      <c r="K863" s="652"/>
      <c r="L863" s="444"/>
      <c r="M863" s="444"/>
      <c r="N863" s="444"/>
      <c r="O863" s="444"/>
      <c r="P863" s="444"/>
      <c r="Q863" s="444"/>
      <c r="R863" s="444"/>
      <c r="S863" s="444"/>
      <c r="T863" s="444"/>
      <c r="U863" s="444"/>
      <c r="V863" s="444"/>
      <c r="W863" s="444"/>
      <c r="X863" s="444"/>
    </row>
    <row r="864" spans="1:24" ht="15.6" x14ac:dyDescent="0.3">
      <c r="A864" s="438"/>
      <c r="B864" s="439"/>
      <c r="C864" s="440"/>
      <c r="D864" s="441"/>
      <c r="E864" s="441"/>
      <c r="F864" s="442"/>
      <c r="G864" s="443"/>
      <c r="H864" s="442"/>
      <c r="I864" s="455"/>
      <c r="J864" s="444"/>
      <c r="K864" s="652"/>
      <c r="L864" s="444"/>
      <c r="M864" s="444"/>
      <c r="N864" s="444"/>
      <c r="O864" s="444"/>
      <c r="P864" s="444"/>
      <c r="Q864" s="444"/>
      <c r="R864" s="444"/>
      <c r="S864" s="444"/>
      <c r="T864" s="444"/>
      <c r="U864" s="444"/>
      <c r="V864" s="444"/>
      <c r="W864" s="444"/>
      <c r="X864" s="444"/>
    </row>
    <row r="865" spans="1:24" ht="15.6" x14ac:dyDescent="0.3">
      <c r="A865" s="438"/>
      <c r="B865" s="439"/>
      <c r="C865" s="440"/>
      <c r="D865" s="441"/>
      <c r="E865" s="441"/>
      <c r="F865" s="442"/>
      <c r="G865" s="443"/>
      <c r="H865" s="442"/>
      <c r="I865" s="455"/>
      <c r="J865" s="444"/>
      <c r="K865" s="652"/>
      <c r="L865" s="444"/>
      <c r="M865" s="444"/>
      <c r="N865" s="444"/>
      <c r="O865" s="444"/>
      <c r="P865" s="444"/>
      <c r="Q865" s="444"/>
      <c r="R865" s="444"/>
      <c r="S865" s="444"/>
      <c r="T865" s="444"/>
      <c r="U865" s="444"/>
      <c r="V865" s="444"/>
      <c r="W865" s="444"/>
      <c r="X865" s="444"/>
    </row>
    <row r="866" spans="1:24" ht="15.6" x14ac:dyDescent="0.3">
      <c r="A866" s="438"/>
      <c r="B866" s="439"/>
      <c r="C866" s="440"/>
      <c r="D866" s="441"/>
      <c r="E866" s="441"/>
      <c r="F866" s="442"/>
      <c r="G866" s="443"/>
      <c r="H866" s="442"/>
      <c r="I866" s="455"/>
      <c r="J866" s="444"/>
      <c r="K866" s="652"/>
      <c r="L866" s="444"/>
      <c r="M866" s="444"/>
      <c r="N866" s="444"/>
      <c r="O866" s="444"/>
      <c r="P866" s="444"/>
      <c r="Q866" s="444"/>
      <c r="R866" s="444"/>
      <c r="S866" s="444"/>
      <c r="T866" s="444"/>
      <c r="U866" s="444"/>
      <c r="V866" s="444"/>
      <c r="W866" s="444"/>
      <c r="X866" s="444"/>
    </row>
    <row r="867" spans="1:24" ht="15.6" x14ac:dyDescent="0.3">
      <c r="A867" s="438"/>
      <c r="B867" s="439"/>
      <c r="C867" s="440"/>
      <c r="D867" s="441"/>
      <c r="E867" s="441"/>
      <c r="F867" s="442"/>
      <c r="G867" s="443"/>
      <c r="H867" s="442"/>
      <c r="I867" s="455"/>
      <c r="J867" s="444"/>
      <c r="K867" s="652"/>
      <c r="L867" s="444"/>
      <c r="M867" s="444"/>
      <c r="N867" s="444"/>
      <c r="O867" s="444"/>
      <c r="P867" s="444"/>
      <c r="Q867" s="444"/>
      <c r="R867" s="444"/>
      <c r="S867" s="444"/>
      <c r="T867" s="444"/>
      <c r="U867" s="444"/>
      <c r="V867" s="444"/>
      <c r="W867" s="444"/>
      <c r="X867" s="444"/>
    </row>
    <row r="868" spans="1:24" ht="15.6" x14ac:dyDescent="0.3">
      <c r="A868" s="438"/>
      <c r="B868" s="439"/>
      <c r="C868" s="440"/>
      <c r="D868" s="441"/>
      <c r="E868" s="441"/>
      <c r="F868" s="442"/>
      <c r="G868" s="443"/>
      <c r="H868" s="442"/>
      <c r="I868" s="455"/>
      <c r="J868" s="444"/>
      <c r="K868" s="652"/>
      <c r="L868" s="444"/>
      <c r="M868" s="444"/>
      <c r="N868" s="444"/>
      <c r="O868" s="444"/>
      <c r="P868" s="444"/>
      <c r="Q868" s="444"/>
      <c r="R868" s="444"/>
      <c r="S868" s="444"/>
      <c r="T868" s="444"/>
      <c r="U868" s="444"/>
      <c r="V868" s="444"/>
      <c r="W868" s="444"/>
      <c r="X868" s="444"/>
    </row>
    <row r="869" spans="1:24" ht="15.6" x14ac:dyDescent="0.3">
      <c r="A869" s="438"/>
      <c r="B869" s="439"/>
      <c r="C869" s="440"/>
      <c r="D869" s="441"/>
      <c r="E869" s="441"/>
      <c r="F869" s="442"/>
      <c r="G869" s="443"/>
      <c r="H869" s="442"/>
      <c r="I869" s="455"/>
      <c r="J869" s="444"/>
      <c r="K869" s="652"/>
      <c r="L869" s="444"/>
      <c r="M869" s="444"/>
      <c r="N869" s="444"/>
      <c r="O869" s="444"/>
      <c r="P869" s="444"/>
      <c r="Q869" s="444"/>
      <c r="R869" s="444"/>
      <c r="S869" s="444"/>
      <c r="T869" s="444"/>
      <c r="U869" s="444"/>
      <c r="V869" s="444"/>
      <c r="W869" s="444"/>
      <c r="X869" s="444"/>
    </row>
    <row r="870" spans="1:24" ht="15.6" x14ac:dyDescent="0.3">
      <c r="A870" s="438"/>
      <c r="B870" s="439"/>
      <c r="C870" s="440"/>
      <c r="D870" s="441"/>
      <c r="E870" s="441"/>
      <c r="F870" s="442"/>
      <c r="G870" s="443"/>
      <c r="H870" s="442"/>
      <c r="I870" s="455"/>
      <c r="J870" s="444"/>
      <c r="K870" s="652"/>
      <c r="L870" s="444"/>
      <c r="M870" s="444"/>
      <c r="N870" s="444"/>
      <c r="O870" s="444"/>
      <c r="P870" s="444"/>
      <c r="Q870" s="444"/>
      <c r="R870" s="444"/>
      <c r="S870" s="444"/>
      <c r="T870" s="444"/>
      <c r="U870" s="444"/>
      <c r="V870" s="444"/>
      <c r="W870" s="444"/>
      <c r="X870" s="444"/>
    </row>
    <row r="871" spans="1:24" ht="15.6" x14ac:dyDescent="0.3">
      <c r="A871" s="438"/>
      <c r="B871" s="439"/>
      <c r="C871" s="440"/>
      <c r="D871" s="441"/>
      <c r="E871" s="441"/>
      <c r="F871" s="442"/>
      <c r="G871" s="443"/>
      <c r="H871" s="442"/>
      <c r="I871" s="455"/>
      <c r="J871" s="444"/>
      <c r="K871" s="652"/>
      <c r="L871" s="444"/>
      <c r="M871" s="444"/>
      <c r="N871" s="444"/>
      <c r="O871" s="444"/>
      <c r="P871" s="444"/>
      <c r="Q871" s="444"/>
      <c r="R871" s="444"/>
      <c r="S871" s="444"/>
      <c r="T871" s="444"/>
      <c r="U871" s="444"/>
      <c r="V871" s="444"/>
      <c r="W871" s="444"/>
      <c r="X871" s="444"/>
    </row>
    <row r="872" spans="1:24" ht="15.6" x14ac:dyDescent="0.3">
      <c r="A872" s="438"/>
      <c r="B872" s="439"/>
      <c r="C872" s="440"/>
      <c r="D872" s="441"/>
      <c r="E872" s="441"/>
      <c r="F872" s="442"/>
      <c r="G872" s="443"/>
      <c r="H872" s="442"/>
      <c r="I872" s="455"/>
      <c r="J872" s="444"/>
      <c r="K872" s="652"/>
      <c r="L872" s="444"/>
      <c r="M872" s="444"/>
      <c r="N872" s="444"/>
      <c r="O872" s="444"/>
      <c r="P872" s="444"/>
      <c r="Q872" s="444"/>
      <c r="R872" s="444"/>
      <c r="S872" s="444"/>
      <c r="T872" s="444"/>
      <c r="U872" s="444"/>
      <c r="V872" s="444"/>
      <c r="W872" s="444"/>
      <c r="X872" s="444"/>
    </row>
    <row r="873" spans="1:24" ht="15.6" x14ac:dyDescent="0.3">
      <c r="A873" s="438"/>
      <c r="B873" s="439"/>
      <c r="C873" s="440"/>
      <c r="D873" s="441"/>
      <c r="E873" s="441"/>
      <c r="F873" s="442"/>
      <c r="G873" s="443"/>
      <c r="H873" s="442"/>
      <c r="I873" s="455"/>
      <c r="J873" s="444"/>
      <c r="K873" s="652"/>
      <c r="L873" s="444"/>
      <c r="M873" s="444"/>
      <c r="N873" s="444"/>
      <c r="O873" s="444"/>
      <c r="P873" s="444"/>
      <c r="Q873" s="444"/>
      <c r="R873" s="444"/>
      <c r="S873" s="444"/>
      <c r="T873" s="444"/>
      <c r="U873" s="444"/>
      <c r="V873" s="444"/>
      <c r="W873" s="444"/>
      <c r="X873" s="444"/>
    </row>
    <row r="874" spans="1:24" ht="15.6" x14ac:dyDescent="0.3">
      <c r="A874" s="438"/>
      <c r="B874" s="439"/>
      <c r="C874" s="440"/>
      <c r="D874" s="441"/>
      <c r="E874" s="441"/>
      <c r="F874" s="442"/>
      <c r="G874" s="443"/>
      <c r="H874" s="442"/>
      <c r="I874" s="455"/>
      <c r="J874" s="444"/>
      <c r="K874" s="652"/>
      <c r="L874" s="444"/>
      <c r="M874" s="444"/>
      <c r="N874" s="444"/>
      <c r="O874" s="444"/>
      <c r="P874" s="444"/>
      <c r="Q874" s="444"/>
      <c r="R874" s="444"/>
      <c r="S874" s="444"/>
      <c r="T874" s="444"/>
      <c r="U874" s="444"/>
      <c r="V874" s="444"/>
      <c r="W874" s="444"/>
      <c r="X874" s="444"/>
    </row>
    <row r="875" spans="1:24" ht="15.6" x14ac:dyDescent="0.3">
      <c r="A875" s="438"/>
      <c r="B875" s="439"/>
      <c r="C875" s="440"/>
      <c r="D875" s="441"/>
      <c r="E875" s="441"/>
      <c r="F875" s="442"/>
      <c r="G875" s="443"/>
      <c r="H875" s="442"/>
      <c r="I875" s="455"/>
      <c r="J875" s="444"/>
      <c r="K875" s="652"/>
      <c r="L875" s="444"/>
      <c r="M875" s="444"/>
      <c r="N875" s="444"/>
      <c r="O875" s="444"/>
      <c r="P875" s="444"/>
      <c r="Q875" s="444"/>
      <c r="R875" s="444"/>
      <c r="S875" s="444"/>
      <c r="T875" s="444"/>
      <c r="U875" s="444"/>
      <c r="V875" s="444"/>
      <c r="W875" s="444"/>
      <c r="X875" s="444"/>
    </row>
    <row r="876" spans="1:24" ht="15.6" x14ac:dyDescent="0.3">
      <c r="A876" s="438"/>
      <c r="B876" s="439"/>
      <c r="C876" s="440"/>
      <c r="D876" s="441"/>
      <c r="E876" s="441"/>
      <c r="F876" s="442"/>
      <c r="G876" s="443"/>
      <c r="H876" s="442"/>
      <c r="I876" s="455"/>
      <c r="J876" s="444"/>
      <c r="K876" s="652"/>
      <c r="L876" s="444"/>
      <c r="M876" s="444"/>
      <c r="N876" s="444"/>
      <c r="O876" s="444"/>
      <c r="P876" s="444"/>
      <c r="Q876" s="444"/>
      <c r="R876" s="444"/>
      <c r="S876" s="444"/>
      <c r="T876" s="444"/>
      <c r="U876" s="444"/>
      <c r="V876" s="444"/>
      <c r="W876" s="444"/>
      <c r="X876" s="444"/>
    </row>
    <row r="877" spans="1:24" ht="15.6" x14ac:dyDescent="0.3">
      <c r="A877" s="438"/>
      <c r="B877" s="439"/>
      <c r="C877" s="440"/>
      <c r="D877" s="441"/>
      <c r="E877" s="441"/>
      <c r="F877" s="442"/>
      <c r="G877" s="443"/>
      <c r="H877" s="442"/>
      <c r="I877" s="455"/>
      <c r="J877" s="444"/>
      <c r="K877" s="652"/>
      <c r="L877" s="444"/>
      <c r="M877" s="444"/>
      <c r="N877" s="444"/>
      <c r="O877" s="444"/>
      <c r="P877" s="444"/>
      <c r="Q877" s="444"/>
      <c r="R877" s="444"/>
      <c r="S877" s="444"/>
      <c r="T877" s="444"/>
      <c r="U877" s="444"/>
      <c r="V877" s="444"/>
      <c r="W877" s="444"/>
      <c r="X877" s="444"/>
    </row>
    <row r="878" spans="1:24" ht="15.6" x14ac:dyDescent="0.3">
      <c r="A878" s="438"/>
      <c r="B878" s="439"/>
      <c r="C878" s="440"/>
      <c r="D878" s="441"/>
      <c r="E878" s="441"/>
      <c r="F878" s="442"/>
      <c r="G878" s="443"/>
      <c r="H878" s="442"/>
      <c r="I878" s="455"/>
      <c r="J878" s="444"/>
      <c r="K878" s="652"/>
      <c r="L878" s="444"/>
      <c r="M878" s="444"/>
      <c r="N878" s="444"/>
      <c r="O878" s="444"/>
      <c r="P878" s="444"/>
      <c r="Q878" s="444"/>
      <c r="R878" s="444"/>
      <c r="S878" s="444"/>
      <c r="T878" s="444"/>
      <c r="U878" s="444"/>
      <c r="V878" s="444"/>
      <c r="W878" s="444"/>
      <c r="X878" s="444"/>
    </row>
    <row r="879" spans="1:24" ht="15.6" x14ac:dyDescent="0.3">
      <c r="A879" s="438"/>
      <c r="B879" s="439"/>
      <c r="C879" s="440"/>
      <c r="D879" s="441"/>
      <c r="E879" s="441"/>
      <c r="F879" s="442"/>
      <c r="G879" s="443"/>
      <c r="H879" s="442"/>
      <c r="I879" s="455"/>
      <c r="J879" s="444"/>
      <c r="K879" s="652"/>
      <c r="L879" s="444"/>
      <c r="M879" s="444"/>
      <c r="N879" s="444"/>
      <c r="O879" s="444"/>
      <c r="P879" s="444"/>
      <c r="Q879" s="444"/>
      <c r="R879" s="444"/>
      <c r="S879" s="444"/>
      <c r="T879" s="444"/>
      <c r="U879" s="444"/>
      <c r="V879" s="444"/>
      <c r="W879" s="444"/>
      <c r="X879" s="444"/>
    </row>
    <row r="880" spans="1:24" ht="15.6" x14ac:dyDescent="0.3">
      <c r="A880" s="438"/>
      <c r="B880" s="439"/>
      <c r="C880" s="440"/>
      <c r="D880" s="441"/>
      <c r="E880" s="441"/>
      <c r="F880" s="442"/>
      <c r="G880" s="443"/>
      <c r="H880" s="442"/>
      <c r="I880" s="455"/>
      <c r="J880" s="444"/>
      <c r="K880" s="652"/>
      <c r="L880" s="444"/>
      <c r="M880" s="444"/>
      <c r="N880" s="444"/>
      <c r="O880" s="444"/>
      <c r="P880" s="444"/>
      <c r="Q880" s="444"/>
      <c r="R880" s="444"/>
      <c r="S880" s="444"/>
      <c r="T880" s="444"/>
      <c r="U880" s="444"/>
      <c r="V880" s="444"/>
      <c r="W880" s="444"/>
      <c r="X880" s="444"/>
    </row>
    <row r="881" spans="1:24" ht="15.6" x14ac:dyDescent="0.3">
      <c r="A881" s="438"/>
      <c r="B881" s="439"/>
      <c r="C881" s="440"/>
      <c r="D881" s="441"/>
      <c r="E881" s="441"/>
      <c r="F881" s="442"/>
      <c r="G881" s="443"/>
      <c r="H881" s="442"/>
      <c r="I881" s="455"/>
      <c r="J881" s="444"/>
      <c r="K881" s="652"/>
      <c r="L881" s="444"/>
      <c r="M881" s="444"/>
      <c r="N881" s="444"/>
      <c r="O881" s="444"/>
      <c r="P881" s="444"/>
      <c r="Q881" s="444"/>
      <c r="R881" s="444"/>
      <c r="S881" s="444"/>
      <c r="T881" s="444"/>
      <c r="U881" s="444"/>
      <c r="V881" s="444"/>
      <c r="W881" s="444"/>
      <c r="X881" s="444"/>
    </row>
    <row r="882" spans="1:24" ht="15.6" x14ac:dyDescent="0.3">
      <c r="A882" s="438"/>
      <c r="B882" s="439"/>
      <c r="C882" s="440"/>
      <c r="D882" s="441"/>
      <c r="E882" s="441"/>
      <c r="F882" s="442"/>
      <c r="G882" s="443"/>
      <c r="H882" s="442"/>
      <c r="I882" s="455"/>
      <c r="J882" s="444"/>
      <c r="K882" s="652"/>
      <c r="L882" s="444"/>
      <c r="M882" s="444"/>
      <c r="N882" s="444"/>
      <c r="O882" s="444"/>
      <c r="P882" s="444"/>
      <c r="Q882" s="444"/>
      <c r="R882" s="444"/>
      <c r="S882" s="444"/>
      <c r="T882" s="444"/>
      <c r="U882" s="444"/>
      <c r="V882" s="444"/>
      <c r="W882" s="444"/>
      <c r="X882" s="444"/>
    </row>
    <row r="883" spans="1:24" ht="15.6" x14ac:dyDescent="0.3">
      <c r="A883" s="438"/>
      <c r="B883" s="439"/>
      <c r="C883" s="440"/>
      <c r="D883" s="441"/>
      <c r="E883" s="441"/>
      <c r="F883" s="442"/>
      <c r="G883" s="443"/>
      <c r="H883" s="442"/>
      <c r="I883" s="455"/>
      <c r="J883" s="444"/>
      <c r="K883" s="652"/>
      <c r="L883" s="444"/>
      <c r="M883" s="444"/>
      <c r="N883" s="444"/>
      <c r="O883" s="444"/>
      <c r="P883" s="444"/>
      <c r="Q883" s="444"/>
      <c r="R883" s="444"/>
      <c r="S883" s="444"/>
      <c r="T883" s="444"/>
      <c r="U883" s="444"/>
      <c r="V883" s="444"/>
      <c r="W883" s="444"/>
      <c r="X883" s="444"/>
    </row>
    <row r="884" spans="1:24" ht="15.6" x14ac:dyDescent="0.3">
      <c r="A884" s="438"/>
      <c r="B884" s="439"/>
      <c r="C884" s="440"/>
      <c r="D884" s="441"/>
      <c r="E884" s="441"/>
      <c r="F884" s="442"/>
      <c r="G884" s="443"/>
      <c r="H884" s="442"/>
      <c r="I884" s="455"/>
      <c r="J884" s="444"/>
      <c r="K884" s="652"/>
      <c r="L884" s="444"/>
      <c r="M884" s="444"/>
      <c r="N884" s="444"/>
      <c r="O884" s="444"/>
      <c r="P884" s="444"/>
      <c r="Q884" s="444"/>
      <c r="R884" s="444"/>
      <c r="S884" s="444"/>
      <c r="T884" s="444"/>
      <c r="U884" s="444"/>
      <c r="V884" s="444"/>
      <c r="W884" s="444"/>
      <c r="X884" s="444"/>
    </row>
    <row r="885" spans="1:24" ht="15.6" x14ac:dyDescent="0.3">
      <c r="A885" s="438"/>
      <c r="B885" s="439"/>
      <c r="C885" s="440"/>
      <c r="D885" s="441"/>
      <c r="E885" s="441"/>
      <c r="F885" s="442"/>
      <c r="G885" s="443"/>
      <c r="H885" s="442"/>
      <c r="I885" s="455"/>
      <c r="J885" s="444"/>
      <c r="K885" s="652"/>
      <c r="L885" s="444"/>
      <c r="M885" s="444"/>
      <c r="N885" s="444"/>
      <c r="O885" s="444"/>
      <c r="P885" s="444"/>
      <c r="Q885" s="444"/>
      <c r="R885" s="444"/>
      <c r="S885" s="444"/>
      <c r="T885" s="444"/>
      <c r="U885" s="444"/>
      <c r="V885" s="444"/>
      <c r="W885" s="444"/>
      <c r="X885" s="444"/>
    </row>
    <row r="886" spans="1:24" ht="15.6" x14ac:dyDescent="0.3">
      <c r="A886" s="438"/>
      <c r="B886" s="439"/>
      <c r="C886" s="440"/>
      <c r="D886" s="441"/>
      <c r="E886" s="441"/>
      <c r="F886" s="442"/>
      <c r="G886" s="443"/>
      <c r="H886" s="442"/>
      <c r="I886" s="455"/>
      <c r="J886" s="444"/>
      <c r="K886" s="652"/>
      <c r="L886" s="444"/>
      <c r="M886" s="444"/>
      <c r="N886" s="444"/>
      <c r="O886" s="444"/>
      <c r="P886" s="444"/>
      <c r="Q886" s="444"/>
      <c r="R886" s="444"/>
      <c r="S886" s="444"/>
      <c r="T886" s="444"/>
      <c r="U886" s="444"/>
      <c r="V886" s="444"/>
      <c r="W886" s="444"/>
      <c r="X886" s="444"/>
    </row>
    <row r="887" spans="1:24" ht="15.6" x14ac:dyDescent="0.3">
      <c r="A887" s="438"/>
      <c r="B887" s="439"/>
      <c r="C887" s="440"/>
      <c r="D887" s="441"/>
      <c r="E887" s="441"/>
      <c r="F887" s="442"/>
      <c r="G887" s="443"/>
      <c r="H887" s="442"/>
      <c r="I887" s="455"/>
      <c r="J887" s="444"/>
      <c r="K887" s="652"/>
      <c r="L887" s="444"/>
      <c r="M887" s="444"/>
      <c r="N887" s="444"/>
      <c r="O887" s="444"/>
      <c r="P887" s="444"/>
      <c r="Q887" s="444"/>
      <c r="R887" s="444"/>
      <c r="S887" s="444"/>
      <c r="T887" s="444"/>
      <c r="U887" s="444"/>
      <c r="V887" s="444"/>
      <c r="W887" s="444"/>
      <c r="X887" s="444"/>
    </row>
    <row r="888" spans="1:24" ht="15.6" x14ac:dyDescent="0.3">
      <c r="A888" s="438"/>
      <c r="B888" s="439"/>
      <c r="C888" s="440"/>
      <c r="D888" s="441"/>
      <c r="E888" s="441"/>
      <c r="F888" s="442"/>
      <c r="G888" s="443"/>
      <c r="H888" s="442"/>
      <c r="I888" s="455"/>
      <c r="J888" s="444"/>
      <c r="K888" s="652"/>
      <c r="L888" s="444"/>
      <c r="M888" s="444"/>
      <c r="N888" s="444"/>
      <c r="O888" s="444"/>
      <c r="P888" s="444"/>
      <c r="Q888" s="444"/>
      <c r="R888" s="444"/>
      <c r="S888" s="444"/>
      <c r="T888" s="444"/>
      <c r="U888" s="444"/>
      <c r="V888" s="444"/>
      <c r="W888" s="444"/>
      <c r="X888" s="444"/>
    </row>
    <row r="889" spans="1:24" ht="15.6" x14ac:dyDescent="0.3">
      <c r="A889" s="438"/>
      <c r="B889" s="439"/>
      <c r="C889" s="440"/>
      <c r="D889" s="441"/>
      <c r="E889" s="441"/>
      <c r="F889" s="442"/>
      <c r="G889" s="443"/>
      <c r="H889" s="442"/>
      <c r="I889" s="455"/>
      <c r="J889" s="444"/>
      <c r="K889" s="652"/>
      <c r="L889" s="444"/>
      <c r="M889" s="444"/>
      <c r="N889" s="444"/>
      <c r="O889" s="444"/>
      <c r="P889" s="444"/>
      <c r="Q889" s="444"/>
      <c r="R889" s="444"/>
      <c r="S889" s="444"/>
      <c r="T889" s="444"/>
      <c r="U889" s="444"/>
      <c r="V889" s="444"/>
      <c r="W889" s="444"/>
      <c r="X889" s="444"/>
    </row>
    <row r="890" spans="1:24" ht="15.6" x14ac:dyDescent="0.3">
      <c r="A890" s="438"/>
      <c r="B890" s="439"/>
      <c r="C890" s="440"/>
      <c r="D890" s="441"/>
      <c r="E890" s="441"/>
      <c r="F890" s="442"/>
      <c r="G890" s="443"/>
      <c r="H890" s="442"/>
      <c r="I890" s="455"/>
      <c r="J890" s="444"/>
      <c r="K890" s="652"/>
      <c r="L890" s="444"/>
      <c r="M890" s="444"/>
      <c r="N890" s="444"/>
      <c r="O890" s="444"/>
      <c r="P890" s="444"/>
      <c r="Q890" s="444"/>
      <c r="R890" s="444"/>
      <c r="S890" s="444"/>
      <c r="T890" s="444"/>
      <c r="U890" s="444"/>
      <c r="V890" s="444"/>
      <c r="W890" s="444"/>
      <c r="X890" s="444"/>
    </row>
    <row r="891" spans="1:24" ht="15.6" x14ac:dyDescent="0.3">
      <c r="A891" s="438"/>
      <c r="B891" s="439"/>
      <c r="C891" s="440"/>
      <c r="D891" s="441"/>
      <c r="E891" s="441"/>
      <c r="F891" s="442"/>
      <c r="G891" s="443"/>
      <c r="H891" s="442"/>
      <c r="I891" s="455"/>
      <c r="J891" s="444"/>
      <c r="K891" s="652"/>
      <c r="L891" s="444"/>
      <c r="M891" s="444"/>
      <c r="N891" s="444"/>
      <c r="O891" s="444"/>
      <c r="P891" s="444"/>
      <c r="Q891" s="444"/>
      <c r="R891" s="444"/>
      <c r="S891" s="444"/>
      <c r="T891" s="444"/>
      <c r="U891" s="444"/>
      <c r="V891" s="444"/>
      <c r="W891" s="444"/>
      <c r="X891" s="444"/>
    </row>
    <row r="892" spans="1:24" ht="15.6" x14ac:dyDescent="0.3">
      <c r="A892" s="438"/>
      <c r="B892" s="439"/>
      <c r="C892" s="440"/>
      <c r="D892" s="441"/>
      <c r="E892" s="441"/>
      <c r="F892" s="442"/>
      <c r="G892" s="443"/>
      <c r="H892" s="442"/>
      <c r="I892" s="455"/>
      <c r="J892" s="444"/>
      <c r="K892" s="652"/>
      <c r="L892" s="444"/>
      <c r="M892" s="444"/>
      <c r="N892" s="444"/>
      <c r="O892" s="444"/>
      <c r="P892" s="444"/>
      <c r="Q892" s="444"/>
      <c r="R892" s="444"/>
      <c r="S892" s="444"/>
      <c r="T892" s="444"/>
      <c r="U892" s="444"/>
      <c r="V892" s="444"/>
      <c r="W892" s="444"/>
      <c r="X892" s="444"/>
    </row>
    <row r="893" spans="1:24" ht="15.6" x14ac:dyDescent="0.3">
      <c r="A893" s="438"/>
      <c r="B893" s="439"/>
      <c r="C893" s="440"/>
      <c r="D893" s="441"/>
      <c r="E893" s="441"/>
      <c r="F893" s="442"/>
      <c r="G893" s="443"/>
      <c r="H893" s="442"/>
      <c r="I893" s="455"/>
      <c r="J893" s="444"/>
      <c r="K893" s="652"/>
      <c r="L893" s="444"/>
      <c r="M893" s="444"/>
      <c r="N893" s="444"/>
      <c r="O893" s="444"/>
      <c r="P893" s="444"/>
      <c r="Q893" s="444"/>
      <c r="R893" s="444"/>
      <c r="S893" s="444"/>
      <c r="T893" s="444"/>
      <c r="U893" s="444"/>
      <c r="V893" s="444"/>
      <c r="W893" s="444"/>
      <c r="X893" s="444"/>
    </row>
    <row r="894" spans="1:24" ht="15.6" x14ac:dyDescent="0.3">
      <c r="A894" s="438"/>
      <c r="B894" s="439"/>
      <c r="C894" s="440"/>
      <c r="D894" s="441"/>
      <c r="E894" s="441"/>
      <c r="F894" s="442"/>
      <c r="G894" s="443"/>
      <c r="H894" s="442"/>
      <c r="I894" s="455"/>
      <c r="J894" s="444"/>
      <c r="K894" s="652"/>
      <c r="L894" s="444"/>
      <c r="M894" s="444"/>
      <c r="N894" s="444"/>
      <c r="O894" s="444"/>
      <c r="P894" s="444"/>
      <c r="Q894" s="444"/>
      <c r="R894" s="444"/>
      <c r="S894" s="444"/>
      <c r="T894" s="444"/>
      <c r="U894" s="444"/>
      <c r="V894" s="444"/>
      <c r="W894" s="444"/>
      <c r="X894" s="444"/>
    </row>
    <row r="895" spans="1:24" ht="15.6" x14ac:dyDescent="0.3">
      <c r="A895" s="438"/>
      <c r="B895" s="439"/>
      <c r="C895" s="440"/>
      <c r="D895" s="441"/>
      <c r="E895" s="441"/>
      <c r="F895" s="442"/>
      <c r="G895" s="443"/>
      <c r="H895" s="442"/>
      <c r="I895" s="455"/>
      <c r="J895" s="444"/>
      <c r="K895" s="652"/>
      <c r="L895" s="444"/>
      <c r="M895" s="444"/>
      <c r="N895" s="444"/>
      <c r="O895" s="444"/>
      <c r="P895" s="444"/>
      <c r="Q895" s="444"/>
      <c r="R895" s="444"/>
      <c r="S895" s="444"/>
      <c r="T895" s="444"/>
      <c r="U895" s="444"/>
      <c r="V895" s="444"/>
      <c r="W895" s="444"/>
      <c r="X895" s="444"/>
    </row>
    <row r="896" spans="1:24" ht="15.6" x14ac:dyDescent="0.3">
      <c r="A896" s="438"/>
      <c r="B896" s="439"/>
      <c r="C896" s="440"/>
      <c r="D896" s="441"/>
      <c r="E896" s="441"/>
      <c r="F896" s="442"/>
      <c r="G896" s="443"/>
      <c r="H896" s="442"/>
      <c r="I896" s="455"/>
      <c r="J896" s="444"/>
      <c r="K896" s="652"/>
      <c r="L896" s="444"/>
      <c r="M896" s="444"/>
      <c r="N896" s="444"/>
      <c r="O896" s="444"/>
      <c r="P896" s="444"/>
      <c r="Q896" s="444"/>
      <c r="R896" s="444"/>
      <c r="S896" s="444"/>
      <c r="T896" s="444"/>
      <c r="U896" s="444"/>
      <c r="V896" s="444"/>
      <c r="W896" s="444"/>
      <c r="X896" s="444"/>
    </row>
    <row r="897" spans="1:24" ht="15.6" x14ac:dyDescent="0.3">
      <c r="A897" s="438"/>
      <c r="B897" s="439"/>
      <c r="C897" s="440"/>
      <c r="D897" s="441"/>
      <c r="E897" s="441"/>
      <c r="F897" s="442"/>
      <c r="G897" s="443"/>
      <c r="H897" s="442"/>
      <c r="I897" s="455"/>
      <c r="J897" s="444"/>
      <c r="K897" s="652"/>
      <c r="L897" s="444"/>
      <c r="M897" s="444"/>
      <c r="N897" s="444"/>
      <c r="O897" s="444"/>
      <c r="P897" s="444"/>
      <c r="Q897" s="444"/>
      <c r="R897" s="444"/>
      <c r="S897" s="444"/>
      <c r="T897" s="444"/>
      <c r="U897" s="444"/>
      <c r="V897" s="444"/>
      <c r="W897" s="444"/>
      <c r="X897" s="444"/>
    </row>
    <row r="898" spans="1:24" ht="15.6" x14ac:dyDescent="0.3">
      <c r="A898" s="438"/>
      <c r="B898" s="439"/>
      <c r="C898" s="440"/>
      <c r="D898" s="441"/>
      <c r="E898" s="441"/>
      <c r="F898" s="442"/>
      <c r="G898" s="443"/>
      <c r="H898" s="442"/>
      <c r="I898" s="455"/>
      <c r="J898" s="444"/>
      <c r="K898" s="652"/>
      <c r="L898" s="444"/>
      <c r="M898" s="444"/>
      <c r="N898" s="444"/>
      <c r="O898" s="444"/>
      <c r="P898" s="444"/>
      <c r="Q898" s="444"/>
      <c r="R898" s="444"/>
      <c r="S898" s="444"/>
      <c r="T898" s="444"/>
      <c r="U898" s="444"/>
      <c r="V898" s="444"/>
      <c r="W898" s="444"/>
      <c r="X898" s="444"/>
    </row>
    <row r="899" spans="1:24" ht="15.6" x14ac:dyDescent="0.3">
      <c r="A899" s="438"/>
      <c r="B899" s="439"/>
      <c r="C899" s="440"/>
      <c r="D899" s="441"/>
      <c r="E899" s="441"/>
      <c r="F899" s="442"/>
      <c r="G899" s="443"/>
      <c r="H899" s="442"/>
      <c r="I899" s="455"/>
      <c r="J899" s="444"/>
      <c r="K899" s="652"/>
      <c r="L899" s="444"/>
      <c r="M899" s="444"/>
      <c r="N899" s="444"/>
      <c r="O899" s="444"/>
      <c r="P899" s="444"/>
      <c r="Q899" s="444"/>
      <c r="R899" s="444"/>
      <c r="S899" s="444"/>
      <c r="T899" s="444"/>
      <c r="U899" s="444"/>
      <c r="V899" s="444"/>
      <c r="W899" s="444"/>
      <c r="X899" s="444"/>
    </row>
    <row r="900" spans="1:24" ht="15.6" x14ac:dyDescent="0.3">
      <c r="A900" s="438"/>
      <c r="B900" s="439"/>
      <c r="C900" s="440"/>
      <c r="D900" s="441"/>
      <c r="E900" s="441"/>
      <c r="F900" s="442"/>
      <c r="G900" s="443"/>
      <c r="H900" s="442"/>
      <c r="I900" s="455"/>
      <c r="J900" s="444"/>
      <c r="K900" s="652"/>
      <c r="L900" s="444"/>
      <c r="M900" s="444"/>
      <c r="N900" s="444"/>
      <c r="O900" s="444"/>
      <c r="P900" s="444"/>
      <c r="Q900" s="444"/>
      <c r="R900" s="444"/>
      <c r="S900" s="444"/>
      <c r="T900" s="444"/>
      <c r="U900" s="444"/>
      <c r="V900" s="444"/>
      <c r="W900" s="444"/>
      <c r="X900" s="444"/>
    </row>
    <row r="901" spans="1:24" ht="15.6" x14ac:dyDescent="0.3">
      <c r="A901" s="438"/>
      <c r="B901" s="439"/>
      <c r="C901" s="440"/>
      <c r="D901" s="441"/>
      <c r="E901" s="441"/>
      <c r="F901" s="442"/>
      <c r="G901" s="443"/>
      <c r="H901" s="442"/>
      <c r="I901" s="455"/>
      <c r="J901" s="444"/>
      <c r="K901" s="652"/>
      <c r="L901" s="444"/>
      <c r="M901" s="444"/>
      <c r="N901" s="444"/>
      <c r="O901" s="444"/>
      <c r="P901" s="444"/>
      <c r="Q901" s="444"/>
      <c r="R901" s="444"/>
      <c r="S901" s="444"/>
      <c r="T901" s="444"/>
      <c r="U901" s="444"/>
      <c r="V901" s="444"/>
      <c r="W901" s="444"/>
      <c r="X901" s="444"/>
    </row>
    <row r="902" spans="1:24" ht="15.6" x14ac:dyDescent="0.3">
      <c r="A902" s="438"/>
      <c r="B902" s="439"/>
      <c r="C902" s="440"/>
      <c r="D902" s="441"/>
      <c r="E902" s="441"/>
      <c r="F902" s="442"/>
      <c r="G902" s="443"/>
      <c r="H902" s="442"/>
      <c r="I902" s="455"/>
      <c r="J902" s="444"/>
      <c r="K902" s="652"/>
      <c r="L902" s="444"/>
      <c r="M902" s="444"/>
      <c r="N902" s="444"/>
      <c r="O902" s="444"/>
      <c r="P902" s="444"/>
      <c r="Q902" s="444"/>
      <c r="R902" s="444"/>
      <c r="S902" s="444"/>
      <c r="T902" s="444"/>
      <c r="U902" s="444"/>
      <c r="V902" s="444"/>
      <c r="W902" s="444"/>
      <c r="X902" s="444"/>
    </row>
    <row r="903" spans="1:24" ht="15.6" x14ac:dyDescent="0.3">
      <c r="A903" s="438"/>
      <c r="B903" s="439"/>
      <c r="C903" s="440"/>
      <c r="D903" s="441"/>
      <c r="E903" s="441"/>
      <c r="F903" s="442"/>
      <c r="G903" s="443"/>
      <c r="H903" s="442"/>
      <c r="I903" s="455"/>
      <c r="J903" s="444"/>
      <c r="K903" s="652"/>
      <c r="L903" s="444"/>
      <c r="M903" s="444"/>
      <c r="N903" s="444"/>
      <c r="O903" s="444"/>
      <c r="P903" s="444"/>
      <c r="Q903" s="444"/>
      <c r="R903" s="444"/>
      <c r="S903" s="444"/>
      <c r="T903" s="444"/>
      <c r="U903" s="444"/>
      <c r="V903" s="444"/>
      <c r="W903" s="444"/>
      <c r="X903" s="444"/>
    </row>
    <row r="904" spans="1:24" ht="15.6" x14ac:dyDescent="0.3">
      <c r="A904" s="438"/>
      <c r="B904" s="439"/>
      <c r="C904" s="440"/>
      <c r="D904" s="441"/>
      <c r="E904" s="441"/>
      <c r="F904" s="442"/>
      <c r="G904" s="443"/>
      <c r="H904" s="442"/>
      <c r="I904" s="455"/>
      <c r="J904" s="444"/>
      <c r="K904" s="652"/>
      <c r="L904" s="444"/>
      <c r="M904" s="444"/>
      <c r="N904" s="444"/>
      <c r="O904" s="444"/>
      <c r="P904" s="444"/>
      <c r="Q904" s="444"/>
      <c r="R904" s="444"/>
      <c r="S904" s="444"/>
      <c r="T904" s="444"/>
      <c r="U904" s="444"/>
      <c r="V904" s="444"/>
      <c r="W904" s="444"/>
      <c r="X904" s="444"/>
    </row>
    <row r="905" spans="1:24" ht="15.6" x14ac:dyDescent="0.3">
      <c r="A905" s="438"/>
      <c r="B905" s="439"/>
      <c r="C905" s="440"/>
      <c r="D905" s="441"/>
      <c r="E905" s="441"/>
      <c r="F905" s="442"/>
      <c r="G905" s="443"/>
      <c r="H905" s="442"/>
      <c r="I905" s="455"/>
      <c r="J905" s="444"/>
      <c r="K905" s="652"/>
      <c r="L905" s="444"/>
      <c r="M905" s="444"/>
      <c r="N905" s="444"/>
      <c r="O905" s="444"/>
      <c r="P905" s="444"/>
      <c r="Q905" s="444"/>
      <c r="R905" s="444"/>
      <c r="S905" s="444"/>
      <c r="T905" s="444"/>
      <c r="U905" s="444"/>
      <c r="V905" s="444"/>
      <c r="W905" s="444"/>
      <c r="X905" s="444"/>
    </row>
    <row r="906" spans="1:24" ht="15.6" x14ac:dyDescent="0.3">
      <c r="A906" s="438"/>
      <c r="B906" s="439"/>
      <c r="C906" s="440"/>
      <c r="D906" s="441"/>
      <c r="E906" s="441"/>
      <c r="F906" s="442"/>
      <c r="G906" s="443"/>
      <c r="H906" s="442"/>
      <c r="I906" s="455"/>
      <c r="J906" s="444"/>
      <c r="K906" s="652"/>
      <c r="L906" s="444"/>
      <c r="M906" s="444"/>
      <c r="N906" s="444"/>
      <c r="O906" s="444"/>
      <c r="P906" s="444"/>
      <c r="Q906" s="444"/>
      <c r="R906" s="444"/>
      <c r="S906" s="444"/>
      <c r="T906" s="444"/>
      <c r="U906" s="444"/>
      <c r="V906" s="444"/>
      <c r="W906" s="444"/>
      <c r="X906" s="444"/>
    </row>
    <row r="907" spans="1:24" ht="15.6" x14ac:dyDescent="0.3">
      <c r="A907" s="438"/>
      <c r="B907" s="439"/>
      <c r="C907" s="440"/>
      <c r="D907" s="441"/>
      <c r="E907" s="441"/>
      <c r="F907" s="442"/>
      <c r="G907" s="443"/>
      <c r="H907" s="442"/>
      <c r="I907" s="455"/>
      <c r="J907" s="444"/>
      <c r="K907" s="652"/>
      <c r="L907" s="444"/>
      <c r="M907" s="444"/>
      <c r="N907" s="444"/>
      <c r="O907" s="444"/>
      <c r="P907" s="444"/>
      <c r="Q907" s="444"/>
      <c r="R907" s="444"/>
      <c r="S907" s="444"/>
      <c r="T907" s="444"/>
      <c r="U907" s="444"/>
      <c r="V907" s="444"/>
      <c r="W907" s="444"/>
      <c r="X907" s="444"/>
    </row>
    <row r="908" spans="1:24" ht="15.6" x14ac:dyDescent="0.3">
      <c r="A908" s="438"/>
      <c r="B908" s="439"/>
      <c r="C908" s="440"/>
      <c r="D908" s="441"/>
      <c r="E908" s="441"/>
      <c r="F908" s="442"/>
      <c r="G908" s="443"/>
      <c r="H908" s="442"/>
      <c r="I908" s="455"/>
      <c r="J908" s="444"/>
      <c r="K908" s="652"/>
      <c r="L908" s="444"/>
      <c r="M908" s="444"/>
      <c r="N908" s="444"/>
      <c r="O908" s="444"/>
      <c r="P908" s="444"/>
      <c r="Q908" s="444"/>
      <c r="R908" s="444"/>
      <c r="S908" s="444"/>
      <c r="T908" s="444"/>
      <c r="U908" s="444"/>
      <c r="V908" s="444"/>
      <c r="W908" s="444"/>
      <c r="X908" s="444"/>
    </row>
    <row r="909" spans="1:24" ht="15.6" x14ac:dyDescent="0.3">
      <c r="A909" s="438"/>
      <c r="B909" s="439"/>
      <c r="C909" s="440"/>
      <c r="D909" s="441"/>
      <c r="E909" s="441"/>
      <c r="F909" s="442"/>
      <c r="G909" s="443"/>
      <c r="H909" s="442"/>
      <c r="I909" s="455"/>
      <c r="J909" s="444"/>
      <c r="K909" s="652"/>
      <c r="L909" s="444"/>
      <c r="M909" s="444"/>
      <c r="N909" s="444"/>
      <c r="O909" s="444"/>
      <c r="P909" s="444"/>
      <c r="Q909" s="444"/>
      <c r="R909" s="444"/>
      <c r="S909" s="444"/>
      <c r="T909" s="444"/>
      <c r="U909" s="444"/>
      <c r="V909" s="444"/>
      <c r="W909" s="444"/>
      <c r="X909" s="444"/>
    </row>
    <row r="910" spans="1:24" ht="15.6" x14ac:dyDescent="0.3">
      <c r="A910" s="438"/>
      <c r="B910" s="439"/>
      <c r="C910" s="440"/>
      <c r="D910" s="441"/>
      <c r="E910" s="441"/>
      <c r="F910" s="442"/>
      <c r="G910" s="443"/>
      <c r="H910" s="442"/>
      <c r="I910" s="455"/>
      <c r="J910" s="444"/>
      <c r="K910" s="652"/>
      <c r="L910" s="444"/>
      <c r="M910" s="444"/>
      <c r="N910" s="444"/>
      <c r="O910" s="444"/>
      <c r="P910" s="444"/>
      <c r="Q910" s="444"/>
      <c r="R910" s="444"/>
      <c r="S910" s="444"/>
      <c r="T910" s="444"/>
      <c r="U910" s="444"/>
      <c r="V910" s="444"/>
      <c r="W910" s="444"/>
      <c r="X910" s="444"/>
    </row>
    <row r="911" spans="1:24" ht="15.6" x14ac:dyDescent="0.3">
      <c r="A911" s="438"/>
      <c r="B911" s="439"/>
      <c r="C911" s="440"/>
      <c r="D911" s="441"/>
      <c r="E911" s="441"/>
      <c r="F911" s="442"/>
      <c r="G911" s="443"/>
      <c r="H911" s="442"/>
      <c r="I911" s="455"/>
      <c r="J911" s="444"/>
      <c r="K911" s="652"/>
      <c r="L911" s="444"/>
      <c r="M911" s="444"/>
      <c r="N911" s="444"/>
      <c r="O911" s="444"/>
      <c r="P911" s="444"/>
      <c r="Q911" s="444"/>
      <c r="R911" s="444"/>
      <c r="S911" s="444"/>
      <c r="T911" s="444"/>
      <c r="U911" s="444"/>
      <c r="V911" s="444"/>
      <c r="W911" s="444"/>
      <c r="X911" s="444"/>
    </row>
    <row r="912" spans="1:24" ht="15.6" x14ac:dyDescent="0.3">
      <c r="A912" s="438"/>
      <c r="B912" s="439"/>
      <c r="C912" s="440"/>
      <c r="D912" s="441"/>
      <c r="E912" s="441"/>
      <c r="F912" s="442"/>
      <c r="G912" s="443"/>
      <c r="H912" s="442"/>
      <c r="I912" s="455"/>
      <c r="J912" s="444"/>
      <c r="K912" s="652"/>
      <c r="L912" s="444"/>
      <c r="M912" s="444"/>
      <c r="N912" s="444"/>
      <c r="O912" s="444"/>
      <c r="P912" s="444"/>
      <c r="Q912" s="444"/>
      <c r="R912" s="444"/>
      <c r="S912" s="444"/>
      <c r="T912" s="444"/>
      <c r="U912" s="444"/>
      <c r="V912" s="444"/>
      <c r="W912" s="444"/>
      <c r="X912" s="444"/>
    </row>
    <row r="913" spans="1:24" ht="15.6" x14ac:dyDescent="0.3">
      <c r="A913" s="438"/>
      <c r="B913" s="439"/>
      <c r="C913" s="440"/>
      <c r="D913" s="441"/>
      <c r="E913" s="441"/>
      <c r="F913" s="442"/>
      <c r="G913" s="443"/>
      <c r="H913" s="442"/>
      <c r="I913" s="455"/>
      <c r="J913" s="444"/>
      <c r="K913" s="652"/>
      <c r="L913" s="444"/>
      <c r="M913" s="444"/>
      <c r="N913" s="444"/>
      <c r="O913" s="444"/>
      <c r="P913" s="444"/>
      <c r="Q913" s="444"/>
      <c r="R913" s="444"/>
      <c r="S913" s="444"/>
      <c r="T913" s="444"/>
      <c r="U913" s="444"/>
      <c r="V913" s="444"/>
      <c r="W913" s="444"/>
      <c r="X913" s="444"/>
    </row>
    <row r="914" spans="1:24" ht="15.6" x14ac:dyDescent="0.3">
      <c r="A914" s="438"/>
      <c r="B914" s="439"/>
      <c r="C914" s="440"/>
      <c r="D914" s="441"/>
      <c r="E914" s="441"/>
      <c r="F914" s="442"/>
      <c r="G914" s="443"/>
      <c r="H914" s="442"/>
      <c r="I914" s="455"/>
      <c r="J914" s="444"/>
      <c r="K914" s="652"/>
      <c r="L914" s="444"/>
      <c r="M914" s="444"/>
      <c r="N914" s="444"/>
      <c r="O914" s="444"/>
      <c r="P914" s="444"/>
      <c r="Q914" s="444"/>
      <c r="R914" s="444"/>
      <c r="S914" s="444"/>
      <c r="T914" s="444"/>
      <c r="U914" s="444"/>
      <c r="V914" s="444"/>
      <c r="W914" s="444"/>
      <c r="X914" s="444"/>
    </row>
    <row r="915" spans="1:24" ht="15.6" x14ac:dyDescent="0.3">
      <c r="A915" s="438"/>
      <c r="B915" s="439"/>
      <c r="C915" s="440"/>
      <c r="D915" s="441"/>
      <c r="E915" s="441"/>
      <c r="F915" s="442"/>
      <c r="G915" s="443"/>
      <c r="H915" s="442"/>
      <c r="I915" s="455"/>
      <c r="J915" s="444"/>
      <c r="K915" s="652"/>
      <c r="L915" s="444"/>
      <c r="M915" s="444"/>
      <c r="N915" s="444"/>
      <c r="O915" s="444"/>
      <c r="P915" s="444"/>
      <c r="Q915" s="444"/>
      <c r="R915" s="444"/>
      <c r="S915" s="444"/>
      <c r="T915" s="444"/>
      <c r="U915" s="444"/>
      <c r="V915" s="444"/>
      <c r="W915" s="444"/>
      <c r="X915" s="444"/>
    </row>
    <row r="916" spans="1:24" ht="15.6" x14ac:dyDescent="0.3">
      <c r="A916" s="438"/>
      <c r="B916" s="439"/>
      <c r="C916" s="440"/>
      <c r="D916" s="441"/>
      <c r="E916" s="441"/>
      <c r="F916" s="442"/>
      <c r="G916" s="443"/>
      <c r="H916" s="442"/>
      <c r="I916" s="455"/>
      <c r="J916" s="444"/>
      <c r="K916" s="652"/>
      <c r="L916" s="444"/>
      <c r="M916" s="444"/>
      <c r="N916" s="444"/>
      <c r="O916" s="444"/>
      <c r="P916" s="444"/>
      <c r="Q916" s="444"/>
      <c r="R916" s="444"/>
      <c r="S916" s="444"/>
      <c r="T916" s="444"/>
      <c r="U916" s="444"/>
      <c r="V916" s="444"/>
      <c r="W916" s="444"/>
      <c r="X916" s="444"/>
    </row>
    <row r="917" spans="1:24" ht="15.6" x14ac:dyDescent="0.3">
      <c r="A917" s="438"/>
      <c r="B917" s="439"/>
      <c r="C917" s="440"/>
      <c r="D917" s="441"/>
      <c r="E917" s="441"/>
      <c r="F917" s="442"/>
      <c r="G917" s="443"/>
      <c r="H917" s="442"/>
      <c r="I917" s="455"/>
      <c r="J917" s="444"/>
      <c r="K917" s="652"/>
      <c r="L917" s="444"/>
      <c r="M917" s="444"/>
      <c r="N917" s="444"/>
      <c r="O917" s="444"/>
      <c r="P917" s="444"/>
      <c r="Q917" s="444"/>
      <c r="R917" s="444"/>
      <c r="S917" s="444"/>
      <c r="T917" s="444"/>
      <c r="U917" s="444"/>
      <c r="V917" s="444"/>
      <c r="W917" s="444"/>
      <c r="X917" s="444"/>
    </row>
    <row r="918" spans="1:24" ht="15.6" x14ac:dyDescent="0.3">
      <c r="A918" s="438"/>
      <c r="B918" s="439"/>
      <c r="C918" s="440"/>
      <c r="D918" s="441"/>
      <c r="E918" s="441"/>
      <c r="F918" s="442"/>
      <c r="G918" s="443"/>
      <c r="H918" s="442"/>
      <c r="I918" s="455"/>
      <c r="J918" s="444"/>
      <c r="K918" s="652"/>
      <c r="L918" s="444"/>
      <c r="M918" s="444"/>
      <c r="N918" s="444"/>
      <c r="O918" s="444"/>
      <c r="P918" s="444"/>
      <c r="Q918" s="444"/>
      <c r="R918" s="444"/>
      <c r="S918" s="444"/>
      <c r="T918" s="444"/>
      <c r="U918" s="444"/>
      <c r="V918" s="444"/>
      <c r="W918" s="444"/>
      <c r="X918" s="444"/>
    </row>
    <row r="919" spans="1:24" ht="15.6" x14ac:dyDescent="0.3">
      <c r="A919" s="438"/>
      <c r="B919" s="439"/>
      <c r="C919" s="440"/>
      <c r="D919" s="441"/>
      <c r="E919" s="441"/>
      <c r="F919" s="442"/>
      <c r="G919" s="443"/>
      <c r="H919" s="442"/>
      <c r="I919" s="455"/>
      <c r="J919" s="444"/>
      <c r="K919" s="652"/>
      <c r="L919" s="444"/>
      <c r="M919" s="444"/>
      <c r="N919" s="444"/>
      <c r="O919" s="444"/>
      <c r="P919" s="444"/>
      <c r="Q919" s="444"/>
      <c r="R919" s="444"/>
      <c r="S919" s="444"/>
      <c r="T919" s="444"/>
      <c r="U919" s="444"/>
      <c r="V919" s="444"/>
      <c r="W919" s="444"/>
      <c r="X919" s="444"/>
    </row>
    <row r="920" spans="1:24" ht="15.6" x14ac:dyDescent="0.3">
      <c r="A920" s="438"/>
      <c r="B920" s="439"/>
      <c r="C920" s="440"/>
      <c r="D920" s="441"/>
      <c r="E920" s="441"/>
      <c r="F920" s="442"/>
      <c r="G920" s="443"/>
      <c r="H920" s="442"/>
      <c r="I920" s="455"/>
      <c r="J920" s="444"/>
      <c r="K920" s="652"/>
      <c r="L920" s="444"/>
      <c r="M920" s="444"/>
      <c r="N920" s="444"/>
      <c r="O920" s="444"/>
      <c r="P920" s="444"/>
      <c r="Q920" s="444"/>
      <c r="R920" s="444"/>
      <c r="S920" s="444"/>
      <c r="T920" s="444"/>
      <c r="U920" s="444"/>
      <c r="V920" s="444"/>
      <c r="W920" s="444"/>
      <c r="X920" s="444"/>
    </row>
    <row r="921" spans="1:24" ht="15.6" x14ac:dyDescent="0.3">
      <c r="A921" s="438"/>
      <c r="B921" s="439"/>
      <c r="C921" s="440"/>
      <c r="D921" s="441"/>
      <c r="E921" s="441"/>
      <c r="F921" s="442"/>
      <c r="G921" s="443"/>
      <c r="H921" s="442"/>
      <c r="I921" s="455"/>
      <c r="J921" s="444"/>
      <c r="K921" s="652"/>
      <c r="L921" s="444"/>
      <c r="M921" s="444"/>
      <c r="N921" s="444"/>
      <c r="O921" s="444"/>
      <c r="P921" s="444"/>
      <c r="Q921" s="444"/>
      <c r="R921" s="444"/>
      <c r="S921" s="444"/>
      <c r="T921" s="444"/>
      <c r="U921" s="444"/>
      <c r="V921" s="444"/>
      <c r="W921" s="444"/>
      <c r="X921" s="444"/>
    </row>
    <row r="922" spans="1:24" ht="15.6" x14ac:dyDescent="0.3">
      <c r="A922" s="438"/>
      <c r="B922" s="439"/>
      <c r="C922" s="440"/>
      <c r="D922" s="441"/>
      <c r="E922" s="441"/>
      <c r="F922" s="442"/>
      <c r="G922" s="443"/>
      <c r="H922" s="442"/>
      <c r="I922" s="455"/>
      <c r="J922" s="444"/>
      <c r="K922" s="652"/>
      <c r="L922" s="444"/>
      <c r="M922" s="444"/>
      <c r="N922" s="444"/>
      <c r="O922" s="444"/>
      <c r="P922" s="444"/>
      <c r="Q922" s="444"/>
      <c r="R922" s="444"/>
      <c r="S922" s="444"/>
      <c r="T922" s="444"/>
      <c r="U922" s="444"/>
      <c r="V922" s="444"/>
      <c r="W922" s="444"/>
      <c r="X922" s="444"/>
    </row>
    <row r="923" spans="1:24" ht="15.6" x14ac:dyDescent="0.3">
      <c r="A923" s="438"/>
      <c r="B923" s="439"/>
      <c r="C923" s="440"/>
      <c r="D923" s="441"/>
      <c r="E923" s="441"/>
      <c r="F923" s="442"/>
      <c r="G923" s="443"/>
      <c r="H923" s="442"/>
      <c r="I923" s="455"/>
      <c r="J923" s="444"/>
      <c r="K923" s="652"/>
      <c r="L923" s="444"/>
      <c r="M923" s="444"/>
      <c r="N923" s="444"/>
      <c r="O923" s="444"/>
      <c r="P923" s="444"/>
      <c r="Q923" s="444"/>
      <c r="R923" s="444"/>
      <c r="S923" s="444"/>
      <c r="T923" s="444"/>
      <c r="U923" s="444"/>
      <c r="V923" s="444"/>
      <c r="W923" s="444"/>
      <c r="X923" s="444"/>
    </row>
    <row r="924" spans="1:24" ht="15.6" x14ac:dyDescent="0.3">
      <c r="A924" s="438"/>
      <c r="B924" s="439"/>
      <c r="C924" s="440"/>
      <c r="D924" s="441"/>
      <c r="E924" s="441"/>
      <c r="F924" s="442"/>
      <c r="G924" s="443"/>
      <c r="H924" s="442"/>
      <c r="I924" s="455"/>
      <c r="J924" s="444"/>
      <c r="K924" s="652"/>
      <c r="L924" s="444"/>
      <c r="M924" s="444"/>
      <c r="N924" s="444"/>
      <c r="O924" s="444"/>
      <c r="P924" s="444"/>
      <c r="Q924" s="444"/>
      <c r="R924" s="444"/>
      <c r="S924" s="444"/>
      <c r="T924" s="444"/>
      <c r="U924" s="444"/>
      <c r="V924" s="444"/>
      <c r="W924" s="444"/>
      <c r="X924" s="444"/>
    </row>
    <row r="925" spans="1:24" ht="15.6" x14ac:dyDescent="0.3">
      <c r="A925" s="438"/>
      <c r="B925" s="439"/>
      <c r="C925" s="440"/>
      <c r="D925" s="441"/>
      <c r="E925" s="441"/>
      <c r="F925" s="442"/>
      <c r="G925" s="443"/>
      <c r="H925" s="442"/>
      <c r="I925" s="455"/>
      <c r="J925" s="444"/>
      <c r="K925" s="652"/>
      <c r="L925" s="444"/>
      <c r="M925" s="444"/>
      <c r="N925" s="444"/>
      <c r="O925" s="444"/>
      <c r="P925" s="444"/>
      <c r="Q925" s="444"/>
      <c r="R925" s="444"/>
      <c r="S925" s="444"/>
      <c r="T925" s="444"/>
      <c r="U925" s="444"/>
      <c r="V925" s="444"/>
      <c r="W925" s="444"/>
      <c r="X925" s="444"/>
    </row>
    <row r="926" spans="1:24" ht="15.6" x14ac:dyDescent="0.3">
      <c r="A926" s="438"/>
      <c r="B926" s="439"/>
      <c r="C926" s="440"/>
      <c r="D926" s="441"/>
      <c r="E926" s="441"/>
      <c r="F926" s="442"/>
      <c r="G926" s="443"/>
      <c r="H926" s="442"/>
      <c r="I926" s="455"/>
      <c r="J926" s="444"/>
      <c r="K926" s="652"/>
      <c r="L926" s="444"/>
      <c r="M926" s="444"/>
      <c r="N926" s="444"/>
      <c r="O926" s="444"/>
      <c r="P926" s="444"/>
      <c r="Q926" s="444"/>
      <c r="R926" s="444"/>
      <c r="S926" s="444"/>
      <c r="T926" s="444"/>
      <c r="U926" s="444"/>
      <c r="V926" s="444"/>
      <c r="W926" s="444"/>
      <c r="X926" s="444"/>
    </row>
    <row r="927" spans="1:24" ht="15.6" x14ac:dyDescent="0.3">
      <c r="A927" s="438"/>
      <c r="B927" s="439"/>
      <c r="C927" s="440"/>
      <c r="D927" s="441"/>
      <c r="E927" s="441"/>
      <c r="F927" s="442"/>
      <c r="G927" s="443"/>
      <c r="H927" s="442"/>
      <c r="I927" s="455"/>
      <c r="J927" s="444"/>
      <c r="K927" s="652"/>
      <c r="L927" s="444"/>
      <c r="M927" s="444"/>
      <c r="N927" s="444"/>
      <c r="O927" s="444"/>
      <c r="P927" s="444"/>
      <c r="Q927" s="444"/>
      <c r="R927" s="444"/>
      <c r="S927" s="444"/>
      <c r="T927" s="444"/>
      <c r="U927" s="444"/>
      <c r="V927" s="444"/>
      <c r="W927" s="444"/>
      <c r="X927" s="444"/>
    </row>
    <row r="928" spans="1:24" ht="15.6" x14ac:dyDescent="0.3">
      <c r="A928" s="438"/>
      <c r="B928" s="439"/>
      <c r="C928" s="440"/>
      <c r="D928" s="441"/>
      <c r="E928" s="441"/>
      <c r="F928" s="442"/>
      <c r="G928" s="443"/>
      <c r="H928" s="442"/>
      <c r="I928" s="455"/>
      <c r="J928" s="444"/>
      <c r="K928" s="652"/>
      <c r="L928" s="444"/>
      <c r="M928" s="444"/>
      <c r="N928" s="444"/>
      <c r="O928" s="444"/>
      <c r="P928" s="444"/>
      <c r="Q928" s="444"/>
      <c r="R928" s="444"/>
      <c r="S928" s="444"/>
      <c r="T928" s="444"/>
      <c r="U928" s="444"/>
      <c r="V928" s="444"/>
      <c r="W928" s="444"/>
      <c r="X928" s="444"/>
    </row>
    <row r="929" spans="1:24" ht="15.6" x14ac:dyDescent="0.3">
      <c r="A929" s="438"/>
      <c r="B929" s="439"/>
      <c r="C929" s="440"/>
      <c r="D929" s="441"/>
      <c r="E929" s="441"/>
      <c r="F929" s="442"/>
      <c r="G929" s="443"/>
      <c r="H929" s="442"/>
      <c r="I929" s="455"/>
      <c r="J929" s="444"/>
      <c r="K929" s="652"/>
      <c r="L929" s="444"/>
      <c r="M929" s="444"/>
      <c r="N929" s="444"/>
      <c r="O929" s="444"/>
      <c r="P929" s="444"/>
      <c r="Q929" s="444"/>
      <c r="R929" s="444"/>
      <c r="S929" s="444"/>
      <c r="T929" s="444"/>
      <c r="U929" s="444"/>
      <c r="V929" s="444"/>
      <c r="W929" s="444"/>
      <c r="X929" s="444"/>
    </row>
    <row r="930" spans="1:24" ht="15.6" x14ac:dyDescent="0.3">
      <c r="A930" s="438"/>
      <c r="B930" s="439"/>
      <c r="C930" s="440"/>
      <c r="D930" s="441"/>
      <c r="E930" s="441"/>
      <c r="F930" s="442"/>
      <c r="G930" s="443"/>
      <c r="H930" s="442"/>
      <c r="I930" s="455"/>
      <c r="J930" s="444"/>
      <c r="K930" s="652"/>
      <c r="L930" s="444"/>
      <c r="M930" s="444"/>
      <c r="N930" s="444"/>
      <c r="O930" s="444"/>
      <c r="P930" s="444"/>
      <c r="Q930" s="444"/>
      <c r="R930" s="444"/>
      <c r="S930" s="444"/>
      <c r="T930" s="444"/>
      <c r="U930" s="444"/>
      <c r="V930" s="444"/>
      <c r="W930" s="444"/>
      <c r="X930" s="444"/>
    </row>
    <row r="931" spans="1:24" ht="15.6" x14ac:dyDescent="0.3">
      <c r="A931" s="438"/>
      <c r="B931" s="439"/>
      <c r="C931" s="440"/>
      <c r="D931" s="441"/>
      <c r="E931" s="441"/>
      <c r="F931" s="442"/>
      <c r="G931" s="443"/>
      <c r="H931" s="442"/>
      <c r="I931" s="455"/>
      <c r="J931" s="444"/>
      <c r="K931" s="652"/>
      <c r="L931" s="444"/>
      <c r="M931" s="444"/>
      <c r="N931" s="444"/>
      <c r="O931" s="444"/>
      <c r="P931" s="444"/>
      <c r="Q931" s="444"/>
      <c r="R931" s="444"/>
      <c r="S931" s="444"/>
      <c r="T931" s="444"/>
      <c r="U931" s="444"/>
      <c r="V931" s="444"/>
      <c r="W931" s="444"/>
      <c r="X931" s="444"/>
    </row>
    <row r="932" spans="1:24" ht="15.6" x14ac:dyDescent="0.3">
      <c r="A932" s="438"/>
      <c r="B932" s="439"/>
      <c r="C932" s="440"/>
      <c r="D932" s="441"/>
      <c r="E932" s="441"/>
      <c r="F932" s="442"/>
      <c r="G932" s="443"/>
      <c r="H932" s="442"/>
      <c r="I932" s="455"/>
      <c r="J932" s="444"/>
      <c r="K932" s="652"/>
      <c r="L932" s="444"/>
      <c r="M932" s="444"/>
      <c r="N932" s="444"/>
      <c r="O932" s="444"/>
      <c r="P932" s="444"/>
      <c r="Q932" s="444"/>
      <c r="R932" s="444"/>
      <c r="S932" s="444"/>
      <c r="T932" s="444"/>
      <c r="U932" s="444"/>
      <c r="V932" s="444"/>
      <c r="W932" s="444"/>
      <c r="X932" s="444"/>
    </row>
    <row r="933" spans="1:24" ht="15.6" x14ac:dyDescent="0.3">
      <c r="A933" s="438"/>
      <c r="B933" s="439"/>
      <c r="C933" s="440"/>
      <c r="D933" s="441"/>
      <c r="E933" s="441"/>
      <c r="F933" s="442"/>
      <c r="G933" s="443"/>
      <c r="H933" s="442"/>
      <c r="I933" s="455"/>
      <c r="J933" s="444"/>
      <c r="K933" s="652"/>
      <c r="L933" s="444"/>
      <c r="M933" s="444"/>
      <c r="N933" s="444"/>
      <c r="O933" s="444"/>
      <c r="P933" s="444"/>
      <c r="Q933" s="444"/>
      <c r="R933" s="444"/>
      <c r="S933" s="444"/>
      <c r="T933" s="444"/>
      <c r="U933" s="444"/>
      <c r="V933" s="444"/>
      <c r="W933" s="444"/>
      <c r="X933" s="444"/>
    </row>
    <row r="934" spans="1:24" ht="15.6" x14ac:dyDescent="0.3">
      <c r="A934" s="438"/>
      <c r="B934" s="439"/>
      <c r="C934" s="440"/>
      <c r="D934" s="441"/>
      <c r="E934" s="441"/>
      <c r="F934" s="442"/>
      <c r="G934" s="443"/>
      <c r="H934" s="442"/>
      <c r="I934" s="455"/>
      <c r="J934" s="444"/>
      <c r="K934" s="652"/>
      <c r="L934" s="444"/>
      <c r="M934" s="444"/>
      <c r="N934" s="444"/>
      <c r="O934" s="444"/>
      <c r="P934" s="444"/>
      <c r="Q934" s="444"/>
      <c r="R934" s="444"/>
      <c r="S934" s="444"/>
      <c r="T934" s="444"/>
      <c r="U934" s="444"/>
      <c r="V934" s="444"/>
      <c r="W934" s="444"/>
      <c r="X934" s="444"/>
    </row>
    <row r="935" spans="1:24" ht="15.6" x14ac:dyDescent="0.3">
      <c r="A935" s="438"/>
      <c r="B935" s="439"/>
      <c r="C935" s="440"/>
      <c r="D935" s="441"/>
      <c r="E935" s="441"/>
      <c r="F935" s="442"/>
      <c r="G935" s="443"/>
      <c r="H935" s="442"/>
      <c r="I935" s="455"/>
      <c r="J935" s="444"/>
      <c r="K935" s="652"/>
      <c r="L935" s="444"/>
      <c r="M935" s="444"/>
      <c r="N935" s="444"/>
      <c r="O935" s="444"/>
      <c r="P935" s="444"/>
      <c r="Q935" s="444"/>
      <c r="R935" s="444"/>
      <c r="S935" s="444"/>
      <c r="T935" s="444"/>
      <c r="U935" s="444"/>
      <c r="V935" s="444"/>
      <c r="W935" s="444"/>
      <c r="X935" s="444"/>
    </row>
    <row r="936" spans="1:24" ht="15.6" x14ac:dyDescent="0.3">
      <c r="A936" s="438"/>
      <c r="B936" s="439"/>
      <c r="C936" s="440"/>
      <c r="D936" s="441"/>
      <c r="E936" s="441"/>
      <c r="F936" s="442"/>
      <c r="G936" s="443"/>
      <c r="H936" s="442"/>
      <c r="I936" s="455"/>
      <c r="J936" s="444"/>
      <c r="K936" s="652"/>
      <c r="L936" s="444"/>
      <c r="M936" s="444"/>
      <c r="N936" s="444"/>
      <c r="O936" s="444"/>
      <c r="P936" s="444"/>
      <c r="Q936" s="444"/>
      <c r="R936" s="444"/>
      <c r="S936" s="444"/>
      <c r="T936" s="444"/>
      <c r="U936" s="444"/>
      <c r="V936" s="444"/>
      <c r="W936" s="444"/>
      <c r="X936" s="444"/>
    </row>
    <row r="937" spans="1:24" ht="15.6" x14ac:dyDescent="0.3">
      <c r="A937" s="438"/>
      <c r="B937" s="439"/>
      <c r="C937" s="440"/>
      <c r="D937" s="441"/>
      <c r="E937" s="441"/>
      <c r="F937" s="442"/>
      <c r="G937" s="443"/>
      <c r="H937" s="442"/>
      <c r="I937" s="455"/>
      <c r="J937" s="444"/>
      <c r="K937" s="652"/>
      <c r="L937" s="444"/>
      <c r="M937" s="444"/>
      <c r="N937" s="444"/>
      <c r="O937" s="444"/>
      <c r="P937" s="444"/>
      <c r="Q937" s="444"/>
      <c r="R937" s="444"/>
      <c r="S937" s="444"/>
      <c r="T937" s="444"/>
      <c r="U937" s="444"/>
      <c r="V937" s="444"/>
      <c r="W937" s="444"/>
      <c r="X937" s="444"/>
    </row>
    <row r="938" spans="1:24" ht="15.6" x14ac:dyDescent="0.3">
      <c r="A938" s="438"/>
      <c r="B938" s="439"/>
      <c r="C938" s="440"/>
      <c r="D938" s="441"/>
      <c r="E938" s="441"/>
      <c r="F938" s="442"/>
      <c r="G938" s="443"/>
      <c r="H938" s="442"/>
      <c r="I938" s="455"/>
      <c r="J938" s="444"/>
      <c r="K938" s="652"/>
      <c r="L938" s="444"/>
      <c r="M938" s="444"/>
      <c r="N938" s="444"/>
      <c r="O938" s="444"/>
      <c r="P938" s="444"/>
      <c r="Q938" s="444"/>
      <c r="R938" s="444"/>
      <c r="S938" s="444"/>
      <c r="T938" s="444"/>
      <c r="U938" s="444"/>
      <c r="V938" s="444"/>
      <c r="W938" s="444"/>
      <c r="X938" s="444"/>
    </row>
    <row r="939" spans="1:24" ht="15.6" x14ac:dyDescent="0.3">
      <c r="A939" s="438"/>
      <c r="B939" s="439"/>
      <c r="C939" s="440"/>
      <c r="D939" s="441"/>
      <c r="E939" s="441"/>
      <c r="F939" s="442"/>
      <c r="G939" s="443"/>
      <c r="H939" s="442"/>
      <c r="I939" s="455"/>
      <c r="J939" s="444"/>
      <c r="K939" s="652"/>
      <c r="L939" s="444"/>
      <c r="M939" s="444"/>
      <c r="N939" s="444"/>
      <c r="O939" s="444"/>
      <c r="P939" s="444"/>
      <c r="Q939" s="444"/>
      <c r="R939" s="444"/>
      <c r="S939" s="444"/>
      <c r="T939" s="444"/>
      <c r="U939" s="444"/>
      <c r="V939" s="444"/>
      <c r="W939" s="444"/>
      <c r="X939" s="444"/>
    </row>
    <row r="940" spans="1:24" ht="15.6" x14ac:dyDescent="0.3">
      <c r="A940" s="438"/>
      <c r="B940" s="439"/>
      <c r="C940" s="440"/>
      <c r="D940" s="441"/>
      <c r="E940" s="441"/>
      <c r="F940" s="442"/>
      <c r="G940" s="443"/>
      <c r="H940" s="442"/>
      <c r="I940" s="455"/>
      <c r="J940" s="444"/>
      <c r="K940" s="652"/>
      <c r="L940" s="444"/>
      <c r="M940" s="444"/>
      <c r="N940" s="444"/>
      <c r="O940" s="444"/>
      <c r="P940" s="444"/>
      <c r="Q940" s="444"/>
      <c r="R940" s="444"/>
      <c r="S940" s="444"/>
      <c r="T940" s="444"/>
      <c r="U940" s="444"/>
      <c r="V940" s="444"/>
      <c r="W940" s="444"/>
      <c r="X940" s="444"/>
    </row>
    <row r="941" spans="1:24" ht="15.6" x14ac:dyDescent="0.3">
      <c r="A941" s="438"/>
      <c r="B941" s="439"/>
      <c r="C941" s="440"/>
      <c r="D941" s="441"/>
      <c r="E941" s="441"/>
      <c r="F941" s="442"/>
      <c r="G941" s="443"/>
      <c r="H941" s="442"/>
      <c r="I941" s="455"/>
      <c r="J941" s="444"/>
      <c r="K941" s="652"/>
      <c r="L941" s="444"/>
      <c r="M941" s="444"/>
      <c r="N941" s="444"/>
      <c r="O941" s="444"/>
      <c r="P941" s="444"/>
      <c r="Q941" s="444"/>
      <c r="R941" s="444"/>
      <c r="S941" s="444"/>
      <c r="T941" s="444"/>
      <c r="U941" s="444"/>
      <c r="V941" s="444"/>
      <c r="W941" s="444"/>
      <c r="X941" s="444"/>
    </row>
    <row r="942" spans="1:24" ht="15.6" x14ac:dyDescent="0.3">
      <c r="A942" s="438"/>
      <c r="B942" s="439"/>
      <c r="C942" s="440"/>
      <c r="D942" s="441"/>
      <c r="E942" s="441"/>
      <c r="F942" s="442"/>
      <c r="G942" s="443"/>
      <c r="H942" s="442"/>
      <c r="I942" s="455"/>
      <c r="J942" s="444"/>
      <c r="K942" s="652"/>
      <c r="L942" s="444"/>
      <c r="M942" s="444"/>
      <c r="N942" s="444"/>
      <c r="O942" s="444"/>
      <c r="P942" s="444"/>
      <c r="Q942" s="444"/>
      <c r="R942" s="444"/>
      <c r="S942" s="444"/>
      <c r="T942" s="444"/>
      <c r="U942" s="444"/>
      <c r="V942" s="444"/>
      <c r="W942" s="444"/>
      <c r="X942" s="444"/>
    </row>
    <row r="943" spans="1:24" ht="15.6" x14ac:dyDescent="0.3">
      <c r="A943" s="438"/>
      <c r="B943" s="439"/>
      <c r="C943" s="440"/>
      <c r="D943" s="441"/>
      <c r="E943" s="441"/>
      <c r="F943" s="442"/>
      <c r="G943" s="443"/>
      <c r="H943" s="442"/>
      <c r="I943" s="455"/>
      <c r="J943" s="444"/>
      <c r="K943" s="652"/>
      <c r="L943" s="444"/>
      <c r="M943" s="444"/>
      <c r="N943" s="444"/>
      <c r="O943" s="444"/>
      <c r="P943" s="444"/>
      <c r="Q943" s="444"/>
      <c r="R943" s="444"/>
      <c r="S943" s="444"/>
      <c r="T943" s="444"/>
      <c r="U943" s="444"/>
      <c r="V943" s="444"/>
      <c r="W943" s="444"/>
      <c r="X943" s="444"/>
    </row>
    <row r="944" spans="1:24" ht="15.6" x14ac:dyDescent="0.3">
      <c r="A944" s="438"/>
      <c r="B944" s="439"/>
      <c r="C944" s="440"/>
      <c r="D944" s="441"/>
      <c r="E944" s="441"/>
      <c r="F944" s="442"/>
      <c r="G944" s="443"/>
      <c r="H944" s="442"/>
      <c r="I944" s="455"/>
      <c r="J944" s="444"/>
      <c r="K944" s="652"/>
      <c r="L944" s="444"/>
      <c r="M944" s="444"/>
      <c r="N944" s="444"/>
      <c r="O944" s="444"/>
      <c r="P944" s="444"/>
      <c r="Q944" s="444"/>
      <c r="R944" s="444"/>
      <c r="S944" s="444"/>
      <c r="T944" s="444"/>
      <c r="U944" s="444"/>
      <c r="V944" s="444"/>
      <c r="W944" s="444"/>
      <c r="X944" s="444"/>
    </row>
    <row r="945" spans="1:24" ht="15.6" x14ac:dyDescent="0.3">
      <c r="A945" s="438"/>
      <c r="B945" s="439"/>
      <c r="C945" s="440"/>
      <c r="D945" s="441"/>
      <c r="E945" s="441"/>
      <c r="F945" s="442"/>
      <c r="G945" s="443"/>
      <c r="H945" s="442"/>
      <c r="I945" s="455"/>
      <c r="J945" s="444"/>
      <c r="K945" s="652"/>
      <c r="L945" s="444"/>
      <c r="M945" s="444"/>
      <c r="N945" s="444"/>
      <c r="O945" s="444"/>
      <c r="P945" s="444"/>
      <c r="Q945" s="444"/>
      <c r="R945" s="444"/>
      <c r="S945" s="444"/>
      <c r="T945" s="444"/>
      <c r="U945" s="444"/>
      <c r="V945" s="444"/>
      <c r="W945" s="444"/>
      <c r="X945" s="444"/>
    </row>
    <row r="946" spans="1:24" ht="15.6" x14ac:dyDescent="0.3">
      <c r="A946" s="438"/>
      <c r="B946" s="439"/>
      <c r="C946" s="440"/>
      <c r="D946" s="441"/>
      <c r="E946" s="441"/>
      <c r="F946" s="442"/>
      <c r="G946" s="443"/>
      <c r="H946" s="442"/>
      <c r="I946" s="455"/>
      <c r="J946" s="444"/>
      <c r="K946" s="652"/>
      <c r="L946" s="444"/>
      <c r="M946" s="444"/>
      <c r="N946" s="444"/>
      <c r="O946" s="444"/>
      <c r="P946" s="444"/>
      <c r="Q946" s="444"/>
      <c r="R946" s="444"/>
      <c r="S946" s="444"/>
      <c r="T946" s="444"/>
      <c r="U946" s="444"/>
      <c r="V946" s="444"/>
      <c r="W946" s="444"/>
      <c r="X946" s="444"/>
    </row>
    <row r="947" spans="1:24" ht="15.6" x14ac:dyDescent="0.3">
      <c r="A947" s="438"/>
      <c r="B947" s="439"/>
      <c r="C947" s="440"/>
      <c r="D947" s="441"/>
      <c r="E947" s="441"/>
      <c r="F947" s="442"/>
      <c r="G947" s="443"/>
      <c r="H947" s="442"/>
      <c r="I947" s="455"/>
      <c r="J947" s="444"/>
      <c r="K947" s="652"/>
      <c r="L947" s="444"/>
      <c r="M947" s="444"/>
      <c r="N947" s="444"/>
      <c r="O947" s="444"/>
      <c r="P947" s="444"/>
      <c r="Q947" s="444"/>
      <c r="R947" s="444"/>
      <c r="S947" s="444"/>
      <c r="T947" s="444"/>
      <c r="U947" s="444"/>
      <c r="V947" s="444"/>
      <c r="W947" s="444"/>
      <c r="X947" s="444"/>
    </row>
    <row r="948" spans="1:24" ht="15.6" x14ac:dyDescent="0.3">
      <c r="A948" s="438"/>
      <c r="B948" s="439"/>
      <c r="C948" s="440"/>
      <c r="D948" s="441"/>
      <c r="E948" s="441"/>
      <c r="F948" s="442"/>
      <c r="G948" s="443"/>
      <c r="H948" s="442"/>
      <c r="I948" s="455"/>
      <c r="J948" s="444"/>
      <c r="K948" s="652"/>
      <c r="L948" s="444"/>
      <c r="M948" s="444"/>
      <c r="N948" s="444"/>
      <c r="O948" s="444"/>
      <c r="P948" s="444"/>
      <c r="Q948" s="444"/>
      <c r="R948" s="444"/>
      <c r="S948" s="444"/>
      <c r="T948" s="444"/>
      <c r="U948" s="444"/>
      <c r="V948" s="444"/>
      <c r="W948" s="444"/>
      <c r="X948" s="444"/>
    </row>
    <row r="949" spans="1:24" ht="15.6" x14ac:dyDescent="0.3">
      <c r="A949" s="438"/>
      <c r="B949" s="439"/>
      <c r="C949" s="440"/>
      <c r="D949" s="441"/>
      <c r="E949" s="441"/>
      <c r="F949" s="442"/>
      <c r="G949" s="443"/>
      <c r="H949" s="442"/>
      <c r="I949" s="455"/>
      <c r="J949" s="444"/>
      <c r="K949" s="652"/>
      <c r="L949" s="444"/>
      <c r="M949" s="444"/>
      <c r="N949" s="444"/>
      <c r="O949" s="444"/>
      <c r="P949" s="444"/>
      <c r="Q949" s="444"/>
      <c r="R949" s="444"/>
      <c r="S949" s="444"/>
      <c r="T949" s="444"/>
      <c r="U949" s="444"/>
      <c r="V949" s="444"/>
      <c r="W949" s="444"/>
      <c r="X949" s="444"/>
    </row>
    <row r="950" spans="1:24" ht="15.6" x14ac:dyDescent="0.3">
      <c r="A950" s="438"/>
      <c r="B950" s="439"/>
      <c r="C950" s="440"/>
      <c r="D950" s="441"/>
      <c r="E950" s="441"/>
      <c r="F950" s="442"/>
      <c r="G950" s="443"/>
      <c r="H950" s="442"/>
      <c r="I950" s="455"/>
      <c r="J950" s="444"/>
      <c r="K950" s="652"/>
      <c r="L950" s="444"/>
      <c r="M950" s="444"/>
      <c r="N950" s="444"/>
      <c r="O950" s="444"/>
      <c r="P950" s="444"/>
      <c r="Q950" s="444"/>
      <c r="R950" s="444"/>
      <c r="S950" s="444"/>
      <c r="T950" s="444"/>
      <c r="U950" s="444"/>
      <c r="V950" s="444"/>
      <c r="W950" s="444"/>
      <c r="X950" s="444"/>
    </row>
    <row r="951" spans="1:24" ht="15.6" x14ac:dyDescent="0.3">
      <c r="A951" s="438"/>
      <c r="B951" s="439"/>
      <c r="C951" s="440"/>
      <c r="D951" s="441"/>
      <c r="E951" s="441"/>
      <c r="F951" s="442"/>
      <c r="G951" s="443"/>
      <c r="H951" s="442"/>
      <c r="I951" s="455"/>
      <c r="J951" s="444"/>
      <c r="K951" s="652"/>
      <c r="L951" s="444"/>
      <c r="M951" s="444"/>
      <c r="N951" s="444"/>
      <c r="O951" s="444"/>
      <c r="P951" s="444"/>
      <c r="Q951" s="444"/>
      <c r="R951" s="444"/>
      <c r="S951" s="444"/>
      <c r="T951" s="444"/>
      <c r="U951" s="444"/>
      <c r="V951" s="444"/>
      <c r="W951" s="444"/>
      <c r="X951" s="444"/>
    </row>
    <row r="952" spans="1:24" ht="15.6" x14ac:dyDescent="0.3">
      <c r="A952" s="438"/>
      <c r="B952" s="439"/>
      <c r="C952" s="440"/>
      <c r="D952" s="441"/>
      <c r="E952" s="441"/>
      <c r="F952" s="442"/>
      <c r="G952" s="443"/>
      <c r="H952" s="442"/>
      <c r="I952" s="455"/>
      <c r="J952" s="444"/>
      <c r="K952" s="652"/>
      <c r="L952" s="444"/>
      <c r="M952" s="444"/>
      <c r="N952" s="444"/>
      <c r="O952" s="444"/>
      <c r="P952" s="444"/>
      <c r="Q952" s="444"/>
      <c r="R952" s="444"/>
      <c r="S952" s="444"/>
      <c r="T952" s="444"/>
      <c r="U952" s="444"/>
      <c r="V952" s="444"/>
      <c r="W952" s="444"/>
      <c r="X952" s="444"/>
    </row>
    <row r="953" spans="1:24" ht="15.6" x14ac:dyDescent="0.3">
      <c r="A953" s="543"/>
      <c r="B953" s="544"/>
      <c r="C953" s="545"/>
      <c r="D953" s="546"/>
      <c r="E953" s="546"/>
      <c r="F953" s="547"/>
      <c r="G953" s="548"/>
      <c r="H953" s="547"/>
      <c r="I953" s="455"/>
      <c r="J953" s="444"/>
      <c r="K953" s="652"/>
      <c r="L953" s="444"/>
      <c r="M953" s="444"/>
      <c r="N953" s="444"/>
      <c r="O953" s="444"/>
      <c r="P953" s="444"/>
      <c r="Q953" s="444"/>
      <c r="R953" s="444"/>
      <c r="S953" s="444"/>
      <c r="T953" s="444"/>
      <c r="U953" s="444"/>
      <c r="V953" s="444"/>
      <c r="W953" s="444"/>
      <c r="X953" s="444"/>
    </row>
    <row r="954" spans="1:24" ht="15.6" x14ac:dyDescent="0.3">
      <c r="A954" s="543"/>
      <c r="B954" s="544"/>
      <c r="C954" s="545"/>
      <c r="D954" s="546"/>
      <c r="E954" s="546"/>
      <c r="F954" s="547"/>
      <c r="G954" s="548"/>
      <c r="H954" s="547"/>
      <c r="I954" s="455"/>
      <c r="J954" s="444"/>
      <c r="K954" s="652"/>
      <c r="L954" s="444"/>
      <c r="M954" s="444"/>
      <c r="N954" s="444"/>
      <c r="O954" s="444"/>
      <c r="P954" s="444"/>
      <c r="Q954" s="444"/>
      <c r="R954" s="444"/>
      <c r="S954" s="444"/>
      <c r="T954" s="444"/>
      <c r="U954" s="444"/>
      <c r="V954" s="444"/>
      <c r="W954" s="444"/>
      <c r="X954" s="444"/>
    </row>
    <row r="955" spans="1:24" ht="15.6" x14ac:dyDescent="0.3">
      <c r="A955" s="543"/>
      <c r="B955" s="544"/>
      <c r="C955" s="545"/>
      <c r="D955" s="546"/>
      <c r="E955" s="546"/>
      <c r="F955" s="547"/>
      <c r="G955" s="548"/>
      <c r="H955" s="547"/>
      <c r="I955" s="455"/>
      <c r="J955" s="444"/>
      <c r="K955" s="652"/>
      <c r="L955" s="444"/>
      <c r="M955" s="444"/>
      <c r="N955" s="444"/>
      <c r="O955" s="444"/>
      <c r="P955" s="444"/>
      <c r="Q955" s="444"/>
      <c r="R955" s="444"/>
      <c r="S955" s="444"/>
      <c r="T955" s="444"/>
      <c r="U955" s="444"/>
      <c r="V955" s="444"/>
      <c r="W955" s="444"/>
      <c r="X955" s="444"/>
    </row>
    <row r="956" spans="1:24" ht="15.6" x14ac:dyDescent="0.3">
      <c r="A956" s="543"/>
      <c r="B956" s="544"/>
      <c r="C956" s="545"/>
      <c r="D956" s="546"/>
      <c r="E956" s="546"/>
      <c r="F956" s="547"/>
      <c r="G956" s="548"/>
      <c r="H956" s="547"/>
      <c r="I956" s="455"/>
      <c r="J956" s="444"/>
      <c r="K956" s="652"/>
      <c r="L956" s="444"/>
      <c r="M956" s="444"/>
      <c r="N956" s="444"/>
      <c r="O956" s="444"/>
      <c r="P956" s="444"/>
      <c r="Q956" s="444"/>
      <c r="R956" s="444"/>
      <c r="S956" s="444"/>
      <c r="T956" s="444"/>
      <c r="U956" s="444"/>
      <c r="V956" s="444"/>
      <c r="W956" s="444"/>
      <c r="X956" s="444"/>
    </row>
    <row r="957" spans="1:24" ht="15.6" x14ac:dyDescent="0.3">
      <c r="A957" s="543"/>
      <c r="B957" s="544"/>
      <c r="C957" s="545"/>
      <c r="D957" s="546"/>
      <c r="E957" s="546"/>
      <c r="F957" s="547"/>
      <c r="G957" s="548"/>
      <c r="H957" s="547"/>
      <c r="I957" s="455"/>
      <c r="J957" s="444"/>
      <c r="K957" s="652"/>
      <c r="L957" s="444"/>
      <c r="M957" s="444"/>
      <c r="N957" s="444"/>
      <c r="O957" s="444"/>
      <c r="P957" s="444"/>
      <c r="Q957" s="444"/>
      <c r="R957" s="444"/>
      <c r="S957" s="444"/>
      <c r="T957" s="444"/>
      <c r="U957" s="444"/>
      <c r="V957" s="444"/>
      <c r="W957" s="444"/>
      <c r="X957" s="444"/>
    </row>
    <row r="958" spans="1:24" ht="15.6" x14ac:dyDescent="0.3">
      <c r="A958" s="543"/>
      <c r="B958" s="544"/>
      <c r="C958" s="545"/>
      <c r="D958" s="546"/>
      <c r="E958" s="546"/>
      <c r="F958" s="547"/>
      <c r="G958" s="548"/>
      <c r="H958" s="547"/>
      <c r="I958" s="455"/>
      <c r="J958" s="444"/>
      <c r="K958" s="652"/>
      <c r="L958" s="444"/>
      <c r="M958" s="444"/>
      <c r="N958" s="444"/>
      <c r="O958" s="444"/>
      <c r="P958" s="444"/>
      <c r="Q958" s="444"/>
      <c r="R958" s="444"/>
      <c r="S958" s="444"/>
      <c r="T958" s="444"/>
      <c r="U958" s="444"/>
      <c r="V958" s="444"/>
      <c r="W958" s="444"/>
      <c r="X958" s="444"/>
    </row>
  </sheetData>
  <customSheetViews>
    <customSheetView guid="{E2FC8219-F1E0-43F3-9FAA-E60F6B74C6AB}" filter="1" showAutoFilter="1">
      <pageMargins left="0.7" right="0.7" top="0.75" bottom="0.75" header="0.3" footer="0.3"/>
      <autoFilter ref="A5:J124" xr:uid="{96C2593D-9F01-4B84-80AF-3F658EC2F23A}"/>
    </customSheetView>
    <customSheetView guid="{5A4F7B8D-F212-49F3-93FD-382B091FC4B6}" filter="1" showAutoFilter="1">
      <pageMargins left="0.7" right="0.7" top="0.75" bottom="0.75" header="0.3" footer="0.3"/>
      <autoFilter ref="E5:E123" xr:uid="{11D67630-3011-49E7-B5C4-89CED1C2AD25}">
        <filterColumn colId="0">
          <filters>
            <filter val="Demolición mecánica intensiva con excavadoras de 21 tonf con martillo hidráulico de 1,5 tonf o equivalente (incluye demolición total, oxicorte de aceros, excavadoras necesarias para un rendimiento de 20 m3 de demolición día)."/>
          </filters>
        </filterColumn>
      </autoFilter>
    </customSheetView>
  </customSheetViews>
  <mergeCells count="14">
    <mergeCell ref="A50:G50"/>
    <mergeCell ref="B12:G12"/>
    <mergeCell ref="B22:G22"/>
    <mergeCell ref="B27:G27"/>
    <mergeCell ref="B35:G35"/>
    <mergeCell ref="C36:G36"/>
    <mergeCell ref="F37:G37"/>
    <mergeCell ref="F38:G38"/>
    <mergeCell ref="B42:G42"/>
    <mergeCell ref="A2:G4"/>
    <mergeCell ref="H2:H4"/>
    <mergeCell ref="F39:G39"/>
    <mergeCell ref="A40:G40"/>
    <mergeCell ref="B48:G48"/>
  </mergeCells>
  <phoneticPr fontId="31" type="noConversion"/>
  <pageMargins left="0.7" right="0.7" top="0.75" bottom="0.75" header="0.3" footer="0.3"/>
  <pageSetup scale="42" orientation="portrait" r:id="rId1"/>
  <colBreaks count="1" manualBreakCount="1">
    <brk id="8" max="958" man="1"/>
  </colBreaks>
  <ignoredErrors>
    <ignoredError sqref="D44:D47 F43:F47 D9:D11 F7:F11 F14:F21 H12 H22 E17:E19 D17:D21 B27:H27 B24 D24 F29:F30 E32 F31:F34 F24 B25:D25 F25 B26:D26 F26 E21 H35 H24 H25 H26"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995"/>
  <sheetViews>
    <sheetView showGridLines="0" view="pageBreakPreview" topLeftCell="C23" zoomScaleNormal="100" zoomScaleSheetLayoutView="100" workbookViewId="0">
      <selection activeCell="J12" sqref="J12"/>
    </sheetView>
  </sheetViews>
  <sheetFormatPr baseColWidth="10" defaultColWidth="14.44140625" defaultRowHeight="15.75" customHeight="1" x14ac:dyDescent="0.3"/>
  <cols>
    <col min="1" max="1" width="3" customWidth="1"/>
    <col min="2" max="2" width="25" customWidth="1"/>
    <col min="3" max="3" width="86.6640625" bestFit="1" customWidth="1"/>
    <col min="4" max="4" width="26.5546875" customWidth="1"/>
    <col min="5" max="5" width="13" bestFit="1" customWidth="1"/>
    <col min="6" max="6" width="20.109375" hidden="1" customWidth="1"/>
    <col min="7" max="7" width="22" hidden="1" customWidth="1"/>
    <col min="8" max="8" width="11.44140625" hidden="1" customWidth="1"/>
    <col min="9" max="9" width="21.33203125" hidden="1" customWidth="1"/>
    <col min="10" max="10" width="16.88671875" bestFit="1" customWidth="1"/>
    <col min="11" max="11" width="20.88671875" bestFit="1" customWidth="1"/>
    <col min="12" max="12" width="16.88671875" bestFit="1" customWidth="1"/>
    <col min="13" max="25" width="11.44140625" customWidth="1"/>
  </cols>
  <sheetData>
    <row r="1" spans="1:25" ht="14.25" customHeight="1" thickBot="1" x14ac:dyDescent="0.35">
      <c r="A1" s="2"/>
      <c r="B1" s="1"/>
      <c r="C1" s="1"/>
      <c r="D1" s="1"/>
      <c r="E1" s="1"/>
      <c r="F1" s="2"/>
      <c r="G1" s="2"/>
      <c r="H1" s="2"/>
      <c r="I1" s="2"/>
      <c r="J1" s="2"/>
      <c r="K1" s="2"/>
      <c r="L1" s="2"/>
      <c r="M1" s="2"/>
      <c r="N1" s="2"/>
      <c r="O1" s="2"/>
      <c r="P1" s="2"/>
      <c r="Q1" s="2"/>
      <c r="R1" s="2"/>
      <c r="S1" s="2"/>
      <c r="T1" s="2"/>
      <c r="U1" s="2"/>
      <c r="V1" s="2"/>
      <c r="W1" s="2"/>
      <c r="X1" s="2"/>
      <c r="Y1" s="2"/>
    </row>
    <row r="2" spans="1:25" ht="14.25" customHeight="1" x14ac:dyDescent="0.3">
      <c r="A2" s="3"/>
      <c r="B2" s="1051" t="s">
        <v>130</v>
      </c>
      <c r="C2" s="1054" t="s">
        <v>890</v>
      </c>
      <c r="D2" s="1055"/>
      <c r="E2" s="1056"/>
      <c r="F2" s="2"/>
      <c r="G2" s="2"/>
      <c r="H2" s="2"/>
      <c r="I2" s="2"/>
      <c r="J2" s="2"/>
      <c r="K2" s="2"/>
      <c r="L2" s="2"/>
      <c r="M2" s="2"/>
      <c r="N2" s="2"/>
      <c r="O2" s="2"/>
      <c r="P2" s="2"/>
      <c r="Q2" s="2"/>
      <c r="R2" s="2"/>
      <c r="S2" s="2"/>
      <c r="T2" s="2"/>
      <c r="U2" s="2"/>
      <c r="V2" s="2"/>
      <c r="W2" s="2"/>
      <c r="X2" s="2"/>
      <c r="Y2" s="2"/>
    </row>
    <row r="3" spans="1:25" ht="14.25" customHeight="1" x14ac:dyDescent="0.3">
      <c r="A3" s="3"/>
      <c r="B3" s="1052"/>
      <c r="C3" s="1057"/>
      <c r="D3" s="1058"/>
      <c r="E3" s="1059"/>
      <c r="F3" s="2"/>
      <c r="G3" s="2"/>
      <c r="H3" s="2"/>
      <c r="I3" s="2"/>
      <c r="J3" s="2"/>
      <c r="K3" s="2"/>
      <c r="L3" s="2"/>
      <c r="M3" s="2"/>
      <c r="N3" s="2"/>
      <c r="O3" s="2"/>
      <c r="P3" s="2"/>
      <c r="Q3" s="2"/>
      <c r="R3" s="2"/>
      <c r="S3" s="2"/>
      <c r="T3" s="2"/>
      <c r="U3" s="2"/>
      <c r="V3" s="2"/>
      <c r="W3" s="2"/>
      <c r="X3" s="2"/>
      <c r="Y3" s="2"/>
    </row>
    <row r="4" spans="1:25" ht="14.25" customHeight="1" x14ac:dyDescent="0.3">
      <c r="A4" s="3"/>
      <c r="B4" s="1053"/>
      <c r="C4" s="1060"/>
      <c r="D4" s="1060"/>
      <c r="E4" s="1061"/>
      <c r="F4" s="2"/>
      <c r="G4" s="2"/>
      <c r="H4" s="2"/>
      <c r="I4" s="2"/>
      <c r="J4" s="2"/>
      <c r="K4" s="2"/>
      <c r="L4" s="2"/>
      <c r="M4" s="2"/>
      <c r="N4" s="2"/>
      <c r="O4" s="2"/>
      <c r="P4" s="2"/>
      <c r="Q4" s="2"/>
      <c r="R4" s="2"/>
      <c r="S4" s="2"/>
      <c r="T4" s="2"/>
      <c r="U4" s="2"/>
      <c r="V4" s="2"/>
      <c r="W4" s="2"/>
      <c r="X4" s="2"/>
      <c r="Y4" s="2"/>
    </row>
    <row r="5" spans="1:25" ht="72" customHeight="1" x14ac:dyDescent="0.3">
      <c r="A5" s="3"/>
      <c r="B5" s="162" t="s">
        <v>9</v>
      </c>
      <c r="C5" s="1062" t="s">
        <v>891</v>
      </c>
      <c r="D5" s="1063"/>
      <c r="E5" s="570" t="e" vm="2">
        <v>#VALUE!</v>
      </c>
      <c r="F5" s="2"/>
      <c r="G5" s="2"/>
      <c r="H5" s="2"/>
      <c r="I5" s="2"/>
      <c r="J5" s="2"/>
      <c r="K5" s="2"/>
      <c r="L5" s="2"/>
      <c r="M5" s="2"/>
      <c r="N5" s="2"/>
      <c r="O5" s="2"/>
      <c r="P5" s="2"/>
      <c r="Q5" s="2"/>
      <c r="R5" s="2"/>
      <c r="S5" s="2"/>
      <c r="T5" s="2"/>
      <c r="U5" s="2"/>
      <c r="V5" s="2"/>
      <c r="W5" s="2"/>
      <c r="X5" s="2"/>
      <c r="Y5" s="2"/>
    </row>
    <row r="6" spans="1:25" ht="14.25" customHeight="1" x14ac:dyDescent="0.3">
      <c r="A6" s="3"/>
      <c r="B6" s="162" t="s">
        <v>10</v>
      </c>
      <c r="C6" s="1045" t="s">
        <v>142</v>
      </c>
      <c r="D6" s="1046"/>
      <c r="E6" s="1047"/>
      <c r="F6" s="2"/>
      <c r="G6" s="2"/>
      <c r="H6" s="2"/>
      <c r="I6" s="2"/>
      <c r="J6" s="2"/>
      <c r="K6" s="2"/>
      <c r="L6" s="2"/>
      <c r="M6" s="2"/>
      <c r="N6" s="2"/>
      <c r="O6" s="2"/>
      <c r="P6" s="2"/>
      <c r="Q6" s="2"/>
      <c r="R6" s="2"/>
      <c r="S6" s="2"/>
      <c r="T6" s="2"/>
      <c r="U6" s="2"/>
      <c r="V6" s="2"/>
      <c r="W6" s="2"/>
      <c r="X6" s="2"/>
      <c r="Y6" s="2"/>
    </row>
    <row r="7" spans="1:25" ht="14.25" customHeight="1" x14ac:dyDescent="0.3">
      <c r="A7" s="3"/>
      <c r="B7" s="162" t="s">
        <v>11</v>
      </c>
      <c r="C7" s="1045" t="s">
        <v>143</v>
      </c>
      <c r="D7" s="1046"/>
      <c r="E7" s="1047"/>
      <c r="F7" s="2"/>
      <c r="G7" s="2"/>
      <c r="H7" s="2"/>
      <c r="I7" s="2"/>
      <c r="J7" s="2"/>
      <c r="K7" s="2"/>
      <c r="L7" s="2"/>
      <c r="M7" s="2"/>
      <c r="N7" s="2"/>
      <c r="O7" s="2"/>
      <c r="P7" s="2"/>
      <c r="Q7" s="2"/>
      <c r="R7" s="2"/>
      <c r="S7" s="2"/>
      <c r="T7" s="2"/>
      <c r="U7" s="2"/>
      <c r="V7" s="2"/>
      <c r="W7" s="2"/>
      <c r="X7" s="2"/>
      <c r="Y7" s="2"/>
    </row>
    <row r="8" spans="1:25" ht="14.25" customHeight="1" x14ac:dyDescent="0.3">
      <c r="A8" s="3"/>
      <c r="B8" s="162" t="s">
        <v>12</v>
      </c>
      <c r="C8" s="1042">
        <f>DATE(2026,4,10)</f>
        <v>46122</v>
      </c>
      <c r="D8" s="1043"/>
      <c r="E8" s="1044"/>
      <c r="F8" s="2">
        <v>15207</v>
      </c>
      <c r="G8" s="2"/>
      <c r="H8" s="2"/>
      <c r="I8" s="2"/>
      <c r="J8" s="2"/>
      <c r="K8" s="2"/>
      <c r="L8" s="2"/>
      <c r="M8" s="2"/>
      <c r="N8" s="2"/>
      <c r="O8" s="2"/>
      <c r="P8" s="2"/>
      <c r="Q8" s="2"/>
      <c r="R8" s="2"/>
      <c r="S8" s="2"/>
      <c r="T8" s="2"/>
      <c r="U8" s="2"/>
      <c r="V8" s="2"/>
      <c r="W8" s="2"/>
      <c r="X8" s="2"/>
      <c r="Y8" s="2"/>
    </row>
    <row r="9" spans="1:25" ht="14.25" customHeight="1" x14ac:dyDescent="0.3">
      <c r="A9" s="3"/>
      <c r="B9" s="163" t="s">
        <v>13</v>
      </c>
      <c r="C9" s="1045" t="s">
        <v>889</v>
      </c>
      <c r="D9" s="1046"/>
      <c r="E9" s="1047"/>
      <c r="F9" s="2"/>
      <c r="G9" s="2"/>
      <c r="H9" s="2"/>
      <c r="I9" s="2"/>
      <c r="J9" s="2"/>
      <c r="K9" s="2"/>
      <c r="L9" s="2"/>
      <c r="M9" s="2"/>
      <c r="N9" s="2"/>
      <c r="O9" s="2"/>
      <c r="P9" s="2"/>
      <c r="Q9" s="2"/>
      <c r="R9" s="2"/>
      <c r="S9" s="2"/>
      <c r="T9" s="2"/>
      <c r="U9" s="2"/>
      <c r="V9" s="2"/>
      <c r="W9" s="2"/>
      <c r="X9" s="2"/>
      <c r="Y9" s="2"/>
    </row>
    <row r="10" spans="1:25" ht="14.25" customHeight="1" x14ac:dyDescent="0.3">
      <c r="A10" s="3"/>
      <c r="B10" s="1048" t="s">
        <v>14</v>
      </c>
      <c r="C10" s="1049"/>
      <c r="D10" s="1049"/>
      <c r="E10" s="1050"/>
      <c r="F10" s="2"/>
      <c r="G10" s="2"/>
      <c r="H10" s="2"/>
      <c r="I10" s="2"/>
      <c r="J10" s="2"/>
      <c r="K10" s="2"/>
      <c r="L10" s="2"/>
      <c r="M10" s="2"/>
      <c r="N10" s="2"/>
      <c r="O10" s="2"/>
      <c r="P10" s="2"/>
      <c r="Q10" s="2"/>
      <c r="R10" s="2"/>
      <c r="S10" s="2"/>
      <c r="T10" s="2"/>
      <c r="U10" s="2"/>
      <c r="V10" s="2"/>
      <c r="W10" s="2"/>
      <c r="X10" s="2"/>
      <c r="Y10" s="2"/>
    </row>
    <row r="11" spans="1:25" ht="14.25" customHeight="1" thickBot="1" x14ac:dyDescent="0.35">
      <c r="A11" s="3"/>
      <c r="B11" s="164"/>
      <c r="C11" s="165"/>
      <c r="D11" s="165"/>
      <c r="E11" s="166"/>
      <c r="F11" s="2">
        <v>205000</v>
      </c>
      <c r="G11" s="2"/>
      <c r="H11" s="2"/>
      <c r="I11" s="2"/>
      <c r="J11" s="2"/>
      <c r="K11" s="2"/>
      <c r="L11" s="2"/>
      <c r="M11" s="2"/>
      <c r="N11" s="2"/>
      <c r="O11" s="2"/>
      <c r="P11" s="2"/>
      <c r="Q11" s="2"/>
      <c r="R11" s="2"/>
      <c r="S11" s="2"/>
      <c r="T11" s="2"/>
      <c r="U11" s="2"/>
      <c r="V11" s="2"/>
      <c r="W11" s="2"/>
      <c r="X11" s="2"/>
      <c r="Y11" s="2"/>
    </row>
    <row r="12" spans="1:25" ht="14.25" customHeight="1" x14ac:dyDescent="0.3">
      <c r="A12" s="3"/>
      <c r="B12" s="167" t="s">
        <v>0</v>
      </c>
      <c r="C12" s="138" t="str">
        <f>PPTO_OBRA_GENERAL!$C$6</f>
        <v xml:space="preserve">ACTIVIDADES PRELIMINARES </v>
      </c>
      <c r="D12" s="139">
        <f>PPTO_OBRA_GENERAL!$H$12</f>
        <v>53473980</v>
      </c>
      <c r="E12" s="168">
        <f>+D12/$D$17</f>
        <v>1.0388791162265846E-2</v>
      </c>
      <c r="F12" s="2"/>
      <c r="G12" s="2"/>
      <c r="H12" s="2"/>
      <c r="I12" s="160" t="s">
        <v>318</v>
      </c>
      <c r="J12" s="2"/>
      <c r="K12" s="2"/>
      <c r="L12" s="2"/>
      <c r="M12" s="2"/>
      <c r="N12" s="2"/>
      <c r="O12" s="2"/>
      <c r="P12" s="2"/>
      <c r="Q12" s="2"/>
      <c r="R12" s="2"/>
      <c r="S12" s="2"/>
      <c r="T12" s="2"/>
      <c r="U12" s="2"/>
      <c r="V12" s="2"/>
      <c r="W12" s="2"/>
      <c r="X12" s="2"/>
      <c r="Y12" s="2"/>
    </row>
    <row r="13" spans="1:25" ht="14.25" customHeight="1" x14ac:dyDescent="0.3">
      <c r="A13" s="3"/>
      <c r="B13" s="169" t="s">
        <v>1</v>
      </c>
      <c r="C13" s="140" t="str">
        <f>PPTO_OBRA_GENERAL!$C$13</f>
        <v xml:space="preserve">CAPITULO DE  IMPLOSION </v>
      </c>
      <c r="D13" s="141">
        <f>PPTO_OBRA_GENERAL!$H$22</f>
        <v>1613398301</v>
      </c>
      <c r="E13" s="170">
        <f>+D13/$D$17</f>
        <v>0.31344698880920274</v>
      </c>
      <c r="F13" s="5"/>
      <c r="G13" s="5"/>
      <c r="H13" s="2"/>
      <c r="I13" s="2"/>
      <c r="J13" s="2"/>
      <c r="K13" s="2"/>
      <c r="L13" s="2"/>
      <c r="M13" s="2"/>
      <c r="N13" s="2"/>
      <c r="O13" s="2"/>
      <c r="P13" s="2"/>
      <c r="Q13" s="2"/>
      <c r="R13" s="2"/>
      <c r="S13" s="2"/>
      <c r="T13" s="2"/>
      <c r="U13" s="2"/>
      <c r="V13" s="2"/>
      <c r="W13" s="2"/>
      <c r="X13" s="2"/>
      <c r="Y13" s="2"/>
    </row>
    <row r="14" spans="1:25" ht="14.25" customHeight="1" x14ac:dyDescent="0.3">
      <c r="A14" s="3"/>
      <c r="B14" s="169" t="s">
        <v>2</v>
      </c>
      <c r="C14" s="140" t="str">
        <f>PPTO_OBRA_GENERAL!$C$23</f>
        <v>EJECUCIÓN DE IMPLOSIÓN CONTROLADA</v>
      </c>
      <c r="D14" s="141">
        <f>PPTO_OBRA_GENERAL!$H$27</f>
        <v>485065526</v>
      </c>
      <c r="E14" s="170">
        <f>+D14/$D$17</f>
        <v>9.4237317843718277E-2</v>
      </c>
      <c r="F14" s="5"/>
      <c r="G14" s="5"/>
      <c r="H14" s="2"/>
      <c r="I14" s="2"/>
      <c r="J14" s="2"/>
      <c r="K14" s="2"/>
      <c r="L14" s="2"/>
      <c r="M14" s="2"/>
      <c r="N14" s="2"/>
      <c r="O14" s="2"/>
      <c r="P14" s="2"/>
      <c r="Q14" s="2"/>
      <c r="R14" s="2"/>
      <c r="S14" s="2"/>
      <c r="T14" s="2"/>
      <c r="U14" s="2"/>
      <c r="V14" s="2"/>
      <c r="W14" s="2"/>
      <c r="X14" s="2"/>
      <c r="Y14" s="2"/>
    </row>
    <row r="15" spans="1:25" ht="14.25" customHeight="1" x14ac:dyDescent="0.3">
      <c r="A15" s="3"/>
      <c r="B15" s="169" t="s">
        <v>3</v>
      </c>
      <c r="C15" s="140" t="str">
        <f>PPTO_OBRA_GENERAL!$C$28</f>
        <v>DEMOLICIÓN MECÁNICA POST-IMPLOSIÓN</v>
      </c>
      <c r="D15" s="141">
        <f>PPTO_OBRA_GENERAL!$H$35</f>
        <v>2995338634</v>
      </c>
      <c r="E15" s="170">
        <f>+D15/$D$17</f>
        <v>0.58192690218481313</v>
      </c>
      <c r="F15" s="5"/>
      <c r="G15" s="5"/>
      <c r="H15" s="2"/>
      <c r="I15" s="2"/>
      <c r="J15" s="2"/>
      <c r="K15" s="2"/>
      <c r="L15" s="2"/>
      <c r="M15" s="2"/>
      <c r="N15" s="2"/>
      <c r="O15" s="2"/>
      <c r="P15" s="2"/>
      <c r="Q15" s="2"/>
      <c r="R15" s="2"/>
      <c r="S15" s="2"/>
      <c r="T15" s="2"/>
      <c r="U15" s="2"/>
      <c r="V15" s="2"/>
      <c r="W15" s="2"/>
      <c r="X15" s="2"/>
      <c r="Y15" s="2"/>
    </row>
    <row r="16" spans="1:25" ht="14.25" customHeight="1" thickBot="1" x14ac:dyDescent="0.35">
      <c r="A16" s="3"/>
      <c r="B16" s="171"/>
      <c r="C16" s="142"/>
      <c r="D16" s="143"/>
      <c r="E16" s="172"/>
      <c r="F16" s="2"/>
      <c r="G16" s="2"/>
      <c r="H16" s="2"/>
      <c r="I16" s="2"/>
      <c r="J16" s="2"/>
      <c r="K16" s="2"/>
      <c r="L16" s="2"/>
      <c r="M16" s="2"/>
      <c r="N16" s="2"/>
      <c r="O16" s="2"/>
      <c r="P16" s="2"/>
      <c r="Q16" s="2"/>
      <c r="R16" s="2"/>
      <c r="S16" s="2"/>
      <c r="T16" s="2"/>
      <c r="U16" s="2"/>
      <c r="V16" s="2"/>
      <c r="W16" s="2"/>
      <c r="X16" s="2"/>
      <c r="Y16" s="2"/>
    </row>
    <row r="17" spans="1:25" ht="14.25" customHeight="1" thickBot="1" x14ac:dyDescent="0.35">
      <c r="A17" s="3"/>
      <c r="B17" s="173" t="s">
        <v>4</v>
      </c>
      <c r="C17" s="174"/>
      <c r="D17" s="175">
        <f>SUM(D12:D16)</f>
        <v>5147276441</v>
      </c>
      <c r="E17" s="176"/>
      <c r="F17" s="2"/>
      <c r="G17" s="2"/>
      <c r="H17" s="2"/>
      <c r="I17" s="2"/>
      <c r="J17" s="2"/>
      <c r="K17" s="2"/>
      <c r="L17" s="2"/>
      <c r="M17" s="2"/>
      <c r="N17" s="2"/>
      <c r="O17" s="2"/>
      <c r="P17" s="2"/>
      <c r="Q17" s="2"/>
      <c r="R17" s="2"/>
      <c r="S17" s="2"/>
      <c r="T17" s="2"/>
      <c r="U17" s="2"/>
      <c r="V17" s="2"/>
      <c r="W17" s="2"/>
      <c r="X17" s="2"/>
      <c r="Y17" s="2"/>
    </row>
    <row r="18" spans="1:25" ht="14.25" customHeight="1" x14ac:dyDescent="0.3">
      <c r="A18" s="3"/>
      <c r="B18" s="177"/>
      <c r="C18" s="178"/>
      <c r="D18" s="179"/>
      <c r="E18" s="180"/>
      <c r="F18" s="2"/>
      <c r="G18" s="2"/>
      <c r="H18" s="2"/>
      <c r="I18" s="2"/>
      <c r="J18" s="2"/>
      <c r="K18" s="2"/>
      <c r="L18" s="2"/>
      <c r="M18" s="2"/>
      <c r="N18" s="2"/>
      <c r="O18" s="2"/>
      <c r="P18" s="2"/>
      <c r="Q18" s="2"/>
      <c r="R18" s="2"/>
      <c r="S18" s="2"/>
      <c r="T18" s="2"/>
      <c r="U18" s="2"/>
      <c r="V18" s="2"/>
      <c r="W18" s="2"/>
      <c r="X18" s="2"/>
      <c r="Y18" s="2"/>
    </row>
    <row r="19" spans="1:25" ht="14.25" customHeight="1" x14ac:dyDescent="0.3">
      <c r="A19" s="3"/>
      <c r="B19" s="181" t="s">
        <v>5</v>
      </c>
      <c r="C19" s="182">
        <f>PPTO_OBRA_GENERAL!E37</f>
        <v>0.21</v>
      </c>
      <c r="D19" s="183">
        <f>+C19*$D$17</f>
        <v>1080928052.6099999</v>
      </c>
      <c r="E19" s="180"/>
      <c r="F19" s="2"/>
      <c r="G19" s="2"/>
      <c r="H19" s="2"/>
      <c r="I19" s="2"/>
      <c r="J19" s="2"/>
      <c r="K19" s="2"/>
      <c r="L19" s="2"/>
      <c r="M19" s="2"/>
      <c r="N19" s="2"/>
      <c r="O19" s="2"/>
      <c r="P19" s="2"/>
      <c r="Q19" s="2"/>
      <c r="R19" s="2"/>
      <c r="S19" s="2"/>
      <c r="T19" s="2"/>
      <c r="U19" s="2"/>
      <c r="V19" s="2"/>
      <c r="W19" s="2"/>
      <c r="X19" s="2"/>
      <c r="Y19" s="2"/>
    </row>
    <row r="20" spans="1:25" ht="14.25" customHeight="1" x14ac:dyDescent="0.3">
      <c r="A20" s="3"/>
      <c r="B20" s="181" t="s">
        <v>6</v>
      </c>
      <c r="C20" s="182">
        <f>AIU!I56</f>
        <v>0.01</v>
      </c>
      <c r="D20" s="425">
        <f>+C20*$D$17</f>
        <v>51472764.410000004</v>
      </c>
      <c r="E20" s="426"/>
      <c r="F20" s="436"/>
      <c r="G20" s="434"/>
      <c r="H20" s="424"/>
      <c r="I20" s="2"/>
      <c r="J20" s="2"/>
      <c r="K20" s="2"/>
      <c r="L20" s="2"/>
      <c r="M20" s="2"/>
      <c r="N20" s="2"/>
      <c r="O20" s="2"/>
      <c r="P20" s="2"/>
      <c r="Q20" s="2"/>
      <c r="R20" s="2"/>
      <c r="S20" s="2"/>
      <c r="T20" s="2"/>
      <c r="U20" s="2"/>
      <c r="V20" s="2"/>
      <c r="W20" s="2"/>
      <c r="X20" s="2"/>
      <c r="Y20" s="2"/>
    </row>
    <row r="21" spans="1:25" ht="14.25" customHeight="1" x14ac:dyDescent="0.3">
      <c r="A21" s="3"/>
      <c r="B21" s="181" t="s">
        <v>7</v>
      </c>
      <c r="C21" s="182">
        <f>AIU!I57</f>
        <v>0.04</v>
      </c>
      <c r="D21" s="425">
        <f>+C21*$D$17</f>
        <v>205891057.64000002</v>
      </c>
      <c r="E21" s="426"/>
      <c r="F21" s="434"/>
      <c r="G21" s="424"/>
      <c r="H21" s="424"/>
      <c r="I21" s="2"/>
      <c r="J21" s="2"/>
      <c r="K21" s="2"/>
      <c r="L21" s="2"/>
      <c r="M21" s="2"/>
      <c r="N21" s="2"/>
      <c r="O21" s="2"/>
      <c r="P21" s="2"/>
      <c r="Q21" s="2"/>
      <c r="R21" s="2"/>
      <c r="S21" s="2"/>
      <c r="T21" s="2"/>
      <c r="U21" s="2"/>
      <c r="V21" s="2"/>
      <c r="W21" s="2"/>
      <c r="X21" s="2"/>
      <c r="Y21" s="2"/>
    </row>
    <row r="22" spans="1:25" ht="14.25" customHeight="1" x14ac:dyDescent="0.3">
      <c r="A22" s="3"/>
      <c r="B22" s="177"/>
      <c r="C22" s="178"/>
      <c r="D22" s="425"/>
      <c r="E22" s="426"/>
      <c r="F22" s="424"/>
      <c r="G22" s="424"/>
      <c r="H22" s="424"/>
      <c r="I22" s="2"/>
      <c r="J22" s="2"/>
      <c r="K22" s="2"/>
      <c r="L22" s="2"/>
      <c r="M22" s="2"/>
      <c r="N22" s="2"/>
      <c r="O22" s="2"/>
      <c r="P22" s="2"/>
      <c r="Q22" s="2"/>
      <c r="R22" s="2"/>
      <c r="S22" s="2"/>
      <c r="T22" s="2"/>
      <c r="U22" s="2"/>
      <c r="V22" s="2"/>
      <c r="W22" s="2"/>
      <c r="X22" s="2"/>
      <c r="Y22" s="2"/>
    </row>
    <row r="23" spans="1:25" ht="14.25" customHeight="1" thickBot="1" x14ac:dyDescent="0.35">
      <c r="A23" s="3"/>
      <c r="B23" s="173" t="s">
        <v>8</v>
      </c>
      <c r="C23" s="174"/>
      <c r="D23" s="422">
        <f>SUM(D19:D22)</f>
        <v>1338291874.6600001</v>
      </c>
      <c r="E23" s="423"/>
      <c r="F23" s="424"/>
      <c r="G23" s="424"/>
      <c r="H23" s="424"/>
      <c r="I23" s="2"/>
      <c r="J23" s="2"/>
      <c r="K23" s="2"/>
      <c r="L23" s="2"/>
      <c r="M23" s="2"/>
      <c r="N23" s="2"/>
      <c r="O23" s="2"/>
      <c r="P23" s="2"/>
      <c r="Q23" s="2"/>
      <c r="R23" s="2"/>
      <c r="S23" s="2"/>
      <c r="T23" s="2"/>
      <c r="U23" s="2"/>
      <c r="V23" s="2"/>
      <c r="W23" s="2"/>
      <c r="X23" s="2"/>
      <c r="Y23" s="2"/>
    </row>
    <row r="24" spans="1:25" ht="14.25" customHeight="1" thickBot="1" x14ac:dyDescent="0.35">
      <c r="A24" s="3"/>
      <c r="B24" s="177"/>
      <c r="C24" s="178"/>
      <c r="D24" s="425"/>
      <c r="E24" s="426"/>
      <c r="F24" s="424"/>
      <c r="G24" s="424"/>
      <c r="H24" s="424"/>
      <c r="I24" s="2"/>
      <c r="J24" s="2"/>
      <c r="K24" s="2"/>
      <c r="L24" s="2"/>
      <c r="M24" s="2"/>
      <c r="N24" s="2"/>
      <c r="O24" s="2"/>
      <c r="P24" s="2"/>
      <c r="Q24" s="2"/>
      <c r="R24" s="2"/>
      <c r="S24" s="2"/>
      <c r="T24" s="2"/>
      <c r="U24" s="2"/>
      <c r="V24" s="2"/>
      <c r="W24" s="2"/>
      <c r="X24" s="2"/>
      <c r="Y24" s="2"/>
    </row>
    <row r="25" spans="1:25" ht="14.25" customHeight="1" thickBot="1" x14ac:dyDescent="0.35">
      <c r="A25" s="3"/>
      <c r="B25" s="173" t="s">
        <v>319</v>
      </c>
      <c r="C25" s="174"/>
      <c r="D25" s="422">
        <f>+D23+D17</f>
        <v>6485568315.6599998</v>
      </c>
      <c r="E25" s="423"/>
      <c r="F25" s="437"/>
      <c r="G25" s="434"/>
      <c r="H25" s="424"/>
      <c r="I25" s="2"/>
      <c r="J25" s="2"/>
      <c r="K25" s="2"/>
      <c r="L25" s="2"/>
      <c r="M25" s="2"/>
      <c r="N25" s="2"/>
      <c r="O25" s="2"/>
      <c r="P25" s="2"/>
      <c r="Q25" s="2"/>
      <c r="R25" s="2"/>
      <c r="S25" s="2"/>
      <c r="T25" s="2"/>
      <c r="U25" s="2"/>
      <c r="V25" s="2"/>
      <c r="W25" s="2"/>
      <c r="X25" s="2"/>
      <c r="Y25" s="2"/>
    </row>
    <row r="26" spans="1:25" ht="14.25" customHeight="1" x14ac:dyDescent="0.3">
      <c r="A26" s="3"/>
      <c r="B26" s="169" t="s">
        <v>893</v>
      </c>
      <c r="C26" s="572" t="str">
        <f>PPTO_OBRA_GENERAL!$B$42</f>
        <v>COMPONENTES COMPLEMENTARIOS Y ESPECIALIZADOS</v>
      </c>
      <c r="D26" s="425"/>
      <c r="E26" s="426"/>
      <c r="F26" s="424"/>
      <c r="G26" s="424"/>
      <c r="H26" s="424"/>
      <c r="I26" s="2"/>
      <c r="J26" s="2"/>
      <c r="K26" s="2"/>
      <c r="L26" s="2"/>
      <c r="M26" s="2"/>
      <c r="N26" s="2"/>
      <c r="O26" s="2"/>
      <c r="P26" s="2"/>
      <c r="Q26" s="2"/>
      <c r="R26" s="2"/>
      <c r="S26" s="2"/>
      <c r="T26" s="2"/>
      <c r="U26" s="2"/>
      <c r="V26" s="2"/>
      <c r="W26" s="2"/>
      <c r="X26" s="2"/>
      <c r="Y26" s="2"/>
    </row>
    <row r="27" spans="1:25" ht="14.25" customHeight="1" x14ac:dyDescent="0.3">
      <c r="A27" s="3"/>
      <c r="B27" s="181" t="str">
        <f>PPTO_OBRA_GENERAL!C43</f>
        <v>Plan de Manejo Ambiental</v>
      </c>
      <c r="C27" s="161"/>
      <c r="D27" s="429">
        <f>PPTO_OBRA_GENERAL!G43</f>
        <v>39665000</v>
      </c>
      <c r="E27" s="426"/>
      <c r="F27" s="424"/>
      <c r="G27" s="424"/>
      <c r="H27" s="424"/>
      <c r="I27" s="2"/>
      <c r="J27" s="2"/>
      <c r="K27" s="2"/>
      <c r="L27" s="2"/>
      <c r="M27" s="2"/>
      <c r="N27" s="2"/>
      <c r="O27" s="2"/>
      <c r="P27" s="2"/>
      <c r="Q27" s="2"/>
      <c r="R27" s="2"/>
      <c r="S27" s="2"/>
      <c r="T27" s="2"/>
      <c r="U27" s="2"/>
      <c r="V27" s="2"/>
      <c r="W27" s="2"/>
      <c r="X27" s="2"/>
      <c r="Y27" s="2"/>
    </row>
    <row r="28" spans="1:25" ht="14.25" customHeight="1" x14ac:dyDescent="0.3">
      <c r="A28" s="3"/>
      <c r="B28" s="181" t="str">
        <f>PPTO_OBRA_GENERAL!C44</f>
        <v>Plan de Manejo social</v>
      </c>
      <c r="C28" s="161"/>
      <c r="D28" s="429">
        <f>PPTO_OBRA_GENERAL!G44</f>
        <v>67530080</v>
      </c>
      <c r="E28" s="426"/>
      <c r="F28" s="424"/>
      <c r="G28" s="424"/>
      <c r="H28" s="424"/>
      <c r="I28" s="2"/>
      <c r="J28" s="2"/>
      <c r="K28" s="2"/>
      <c r="L28" s="2"/>
      <c r="M28" s="2"/>
      <c r="N28" s="2"/>
      <c r="O28" s="2"/>
      <c r="P28" s="2"/>
      <c r="Q28" s="2"/>
      <c r="R28" s="2"/>
      <c r="S28" s="2"/>
      <c r="T28" s="2"/>
      <c r="U28" s="2"/>
      <c r="V28" s="2"/>
      <c r="W28" s="2"/>
      <c r="X28" s="2"/>
      <c r="Y28" s="2"/>
    </row>
    <row r="29" spans="1:25" ht="14.25" customHeight="1" x14ac:dyDescent="0.3">
      <c r="A29" s="3"/>
      <c r="B29" s="181" t="str">
        <f>PPTO_OBRA_GENERAL!C45</f>
        <v>Plan de Manejo de Tráfico</v>
      </c>
      <c r="C29" s="161"/>
      <c r="D29" s="429">
        <f>PPTO_OBRA_GENERAL!G45</f>
        <v>34325000</v>
      </c>
      <c r="E29" s="426"/>
      <c r="F29" s="424"/>
      <c r="G29" s="424"/>
      <c r="H29" s="424"/>
      <c r="I29" s="2"/>
      <c r="J29" s="2"/>
      <c r="K29" s="2"/>
      <c r="L29" s="2"/>
      <c r="M29" s="2"/>
      <c r="N29" s="2"/>
      <c r="O29" s="2"/>
      <c r="P29" s="2"/>
      <c r="Q29" s="2"/>
      <c r="R29" s="2"/>
      <c r="S29" s="2"/>
      <c r="T29" s="2"/>
      <c r="U29" s="2"/>
      <c r="V29" s="2"/>
      <c r="W29" s="2"/>
      <c r="X29" s="2"/>
      <c r="Y29" s="2"/>
    </row>
    <row r="30" spans="1:25" ht="14.25" customHeight="1" x14ac:dyDescent="0.3">
      <c r="A30" s="3"/>
      <c r="B30" s="181" t="str">
        <f>PPTO_OBRA_GENERAL!C46</f>
        <v>Manejo SG-SST</v>
      </c>
      <c r="C30" s="161"/>
      <c r="D30" s="184">
        <f>PPTO_OBRA_GENERAL!G46</f>
        <v>134661000</v>
      </c>
      <c r="E30" s="180"/>
      <c r="F30" s="2"/>
      <c r="G30" s="2"/>
      <c r="H30" s="2"/>
      <c r="I30" s="2"/>
      <c r="J30" s="2"/>
      <c r="K30" s="2"/>
      <c r="L30" s="2"/>
      <c r="M30" s="2"/>
      <c r="N30" s="2"/>
      <c r="O30" s="2"/>
      <c r="P30" s="2"/>
      <c r="Q30" s="2"/>
      <c r="R30" s="2"/>
      <c r="S30" s="2"/>
      <c r="T30" s="2"/>
      <c r="U30" s="2"/>
      <c r="V30" s="2"/>
      <c r="W30" s="2"/>
      <c r="X30" s="2"/>
      <c r="Y30" s="2"/>
    </row>
    <row r="31" spans="1:25" ht="14.25" customHeight="1" x14ac:dyDescent="0.3">
      <c r="A31" s="3"/>
      <c r="B31" s="181" t="str">
        <f>PPTO_OBRA_GENERAL!C47</f>
        <v>Plan de manejo de demolicion</v>
      </c>
      <c r="C31" s="161"/>
      <c r="D31" s="184">
        <f>PPTO_OBRA_GENERAL!G47</f>
        <v>41074600</v>
      </c>
      <c r="E31" s="180"/>
      <c r="F31" s="2"/>
      <c r="G31" s="2"/>
      <c r="H31" s="2"/>
      <c r="I31" s="2"/>
      <c r="J31" s="2"/>
      <c r="K31" s="2"/>
      <c r="L31" s="2"/>
      <c r="M31" s="2"/>
      <c r="N31" s="2"/>
      <c r="O31" s="2"/>
      <c r="P31" s="2"/>
      <c r="Q31" s="2"/>
      <c r="R31" s="2"/>
      <c r="S31" s="2"/>
      <c r="T31" s="2"/>
      <c r="U31" s="2"/>
      <c r="V31" s="2"/>
      <c r="W31" s="2"/>
      <c r="X31" s="2"/>
      <c r="Y31" s="2"/>
    </row>
    <row r="32" spans="1:25" ht="14.25" customHeight="1" thickBot="1" x14ac:dyDescent="0.35">
      <c r="A32" s="3"/>
      <c r="B32" s="177"/>
      <c r="C32" s="178"/>
      <c r="D32" s="183"/>
      <c r="E32" s="180"/>
      <c r="F32" s="2"/>
      <c r="G32" s="2"/>
      <c r="H32" s="2"/>
      <c r="I32" s="2"/>
      <c r="J32" s="2"/>
      <c r="K32" s="2"/>
      <c r="L32" s="2"/>
      <c r="M32" s="2"/>
      <c r="N32" s="2"/>
      <c r="O32" s="2"/>
      <c r="P32" s="2"/>
      <c r="Q32" s="2"/>
      <c r="R32" s="2"/>
      <c r="S32" s="2"/>
      <c r="T32" s="2"/>
      <c r="U32" s="2"/>
      <c r="V32" s="2"/>
      <c r="W32" s="2"/>
      <c r="X32" s="2"/>
      <c r="Y32" s="2"/>
    </row>
    <row r="33" spans="1:25" ht="14.25" customHeight="1" thickBot="1" x14ac:dyDescent="0.35">
      <c r="A33" s="2"/>
      <c r="B33" s="181" t="s">
        <v>894</v>
      </c>
      <c r="C33" s="161"/>
      <c r="D33" s="422">
        <f>SUM(D27:D32)</f>
        <v>317255680</v>
      </c>
      <c r="E33" s="423"/>
      <c r="F33" s="424"/>
      <c r="G33" s="424"/>
      <c r="H33" s="424"/>
      <c r="I33" s="424"/>
      <c r="J33" s="424"/>
      <c r="K33" s="424"/>
      <c r="L33" s="424"/>
      <c r="M33" s="2"/>
      <c r="N33" s="2"/>
      <c r="O33" s="2"/>
      <c r="P33" s="2"/>
      <c r="Q33" s="2"/>
      <c r="R33" s="2"/>
      <c r="S33" s="2"/>
      <c r="T33" s="2"/>
      <c r="U33" s="2"/>
      <c r="V33" s="2"/>
      <c r="W33" s="2"/>
      <c r="X33" s="2"/>
      <c r="Y33" s="2"/>
    </row>
    <row r="34" spans="1:25" ht="14.25" customHeight="1" thickBot="1" x14ac:dyDescent="0.35">
      <c r="A34" s="2"/>
      <c r="B34" s="177"/>
      <c r="C34" s="178"/>
      <c r="D34" s="425"/>
      <c r="E34" s="426"/>
      <c r="F34" s="424"/>
      <c r="G34" s="424"/>
      <c r="H34" s="424"/>
      <c r="I34" s="424"/>
      <c r="J34" s="424"/>
      <c r="K34" s="424"/>
      <c r="L34" s="424"/>
      <c r="M34" s="2"/>
      <c r="N34" s="2"/>
      <c r="O34" s="2"/>
      <c r="P34" s="2"/>
      <c r="Q34" s="2"/>
      <c r="R34" s="2"/>
      <c r="S34" s="2"/>
      <c r="T34" s="2"/>
      <c r="U34" s="2"/>
      <c r="V34" s="2"/>
      <c r="W34" s="2"/>
      <c r="X34" s="2"/>
      <c r="Y34" s="2"/>
    </row>
    <row r="35" spans="1:25" ht="14.25" customHeight="1" thickBot="1" x14ac:dyDescent="0.35">
      <c r="A35" s="2"/>
      <c r="B35" s="181" t="s">
        <v>321</v>
      </c>
      <c r="C35" s="161"/>
      <c r="D35" s="422">
        <f>+D25+D33</f>
        <v>6802823995.6599998</v>
      </c>
      <c r="E35" s="423"/>
      <c r="F35" s="427">
        <f>+D35-56786504584</f>
        <v>-49983680588.339996</v>
      </c>
      <c r="G35" s="428">
        <f>+F35*0.0369</f>
        <v>-1844397813.7097459</v>
      </c>
      <c r="H35" s="424"/>
      <c r="I35" s="424"/>
      <c r="J35" s="424"/>
      <c r="K35" s="424"/>
      <c r="L35" s="424"/>
      <c r="M35" s="2"/>
      <c r="N35" s="2"/>
      <c r="O35" s="2"/>
      <c r="P35" s="2"/>
      <c r="Q35" s="2"/>
      <c r="R35" s="2"/>
      <c r="S35" s="2"/>
      <c r="T35" s="2"/>
      <c r="U35" s="2"/>
      <c r="V35" s="2"/>
      <c r="W35" s="2"/>
      <c r="X35" s="2"/>
      <c r="Y35" s="2"/>
    </row>
    <row r="36" spans="1:25" ht="14.25" customHeight="1" x14ac:dyDescent="0.3">
      <c r="A36" s="2"/>
      <c r="B36" s="177"/>
      <c r="C36" s="178"/>
      <c r="D36" s="425"/>
      <c r="E36" s="426"/>
      <c r="F36" s="424"/>
      <c r="G36" s="424"/>
      <c r="H36" s="424"/>
      <c r="I36" s="424"/>
      <c r="J36" s="424"/>
      <c r="K36" s="424"/>
      <c r="L36" s="424"/>
      <c r="M36" s="2"/>
      <c r="N36" s="2"/>
      <c r="O36" s="2"/>
      <c r="P36" s="2"/>
      <c r="Q36" s="2"/>
      <c r="R36" s="2"/>
      <c r="S36" s="2"/>
      <c r="T36" s="2"/>
      <c r="U36" s="2"/>
      <c r="V36" s="2"/>
      <c r="W36" s="2"/>
      <c r="X36" s="2"/>
      <c r="Y36" s="2"/>
    </row>
    <row r="37" spans="1:25" ht="14.25" customHeight="1" x14ac:dyDescent="0.3">
      <c r="A37" s="2"/>
      <c r="B37" s="181" t="s">
        <v>888</v>
      </c>
      <c r="C37" s="187"/>
      <c r="D37" s="429">
        <v>0</v>
      </c>
      <c r="E37" s="426"/>
      <c r="F37" s="424"/>
      <c r="G37" s="424"/>
      <c r="H37" s="424"/>
      <c r="I37" s="424"/>
      <c r="J37" s="424"/>
      <c r="K37" s="424"/>
      <c r="L37" s="424"/>
      <c r="M37" s="2"/>
      <c r="N37" s="2"/>
      <c r="O37" s="2"/>
      <c r="P37" s="2"/>
      <c r="Q37" s="2"/>
      <c r="R37" s="2"/>
      <c r="S37" s="2"/>
      <c r="T37" s="2"/>
      <c r="U37" s="2"/>
      <c r="V37" s="2"/>
      <c r="W37" s="2"/>
      <c r="X37" s="2"/>
      <c r="Y37" s="2"/>
    </row>
    <row r="38" spans="1:25" ht="14.25" customHeight="1" thickBot="1" x14ac:dyDescent="0.35">
      <c r="A38" s="2"/>
      <c r="B38" s="185"/>
      <c r="C38" s="186"/>
      <c r="D38" s="430"/>
      <c r="E38" s="431"/>
      <c r="F38" s="424"/>
      <c r="G38" s="424"/>
      <c r="H38" s="424"/>
      <c r="I38" s="424"/>
      <c r="J38" s="424"/>
      <c r="K38" s="424"/>
      <c r="L38" s="424"/>
      <c r="M38" s="2"/>
      <c r="N38" s="2"/>
      <c r="O38" s="2"/>
      <c r="P38" s="2"/>
      <c r="Q38" s="2"/>
      <c r="R38" s="2"/>
      <c r="S38" s="2"/>
      <c r="T38" s="2"/>
      <c r="U38" s="2"/>
      <c r="V38" s="2"/>
      <c r="W38" s="2"/>
      <c r="X38" s="2"/>
      <c r="Y38" s="2"/>
    </row>
    <row r="39" spans="1:25" ht="14.25" customHeight="1" thickBot="1" x14ac:dyDescent="0.35">
      <c r="A39" s="2"/>
      <c r="B39" s="181" t="s">
        <v>322</v>
      </c>
      <c r="C39" s="187"/>
      <c r="D39" s="432">
        <f>+D35+D37</f>
        <v>6802823995.6599998</v>
      </c>
      <c r="E39" s="433"/>
      <c r="F39" s="424"/>
      <c r="G39" s="424"/>
      <c r="H39" s="424"/>
      <c r="I39" s="424"/>
      <c r="J39" s="424"/>
      <c r="K39" s="434"/>
      <c r="L39" s="434"/>
      <c r="M39" s="2"/>
      <c r="N39" s="2"/>
      <c r="O39" s="2"/>
      <c r="P39" s="2"/>
      <c r="Q39" s="2"/>
      <c r="R39" s="2"/>
      <c r="S39" s="2"/>
      <c r="T39" s="2"/>
      <c r="U39" s="2"/>
      <c r="V39" s="2"/>
      <c r="W39" s="2"/>
      <c r="X39" s="2"/>
      <c r="Y39" s="2"/>
    </row>
    <row r="40" spans="1:25" ht="14.25" customHeight="1" x14ac:dyDescent="0.3">
      <c r="A40" s="2"/>
      <c r="B40" s="1"/>
      <c r="C40" s="1"/>
      <c r="D40" s="435"/>
      <c r="E40" s="435"/>
      <c r="F40" s="424"/>
      <c r="G40" s="424"/>
      <c r="H40" s="424"/>
      <c r="I40" s="424"/>
      <c r="J40" s="434"/>
      <c r="K40" s="424"/>
      <c r="L40" s="424"/>
      <c r="M40" s="2"/>
      <c r="N40" s="2"/>
      <c r="O40" s="2"/>
      <c r="P40" s="2"/>
      <c r="Q40" s="2"/>
      <c r="R40" s="2"/>
      <c r="S40" s="2"/>
      <c r="T40" s="2"/>
      <c r="U40" s="2"/>
      <c r="V40" s="2"/>
      <c r="W40" s="2"/>
      <c r="X40" s="2"/>
      <c r="Y40" s="2"/>
    </row>
    <row r="41" spans="1:25" ht="14.25" customHeight="1" x14ac:dyDescent="0.3">
      <c r="A41" s="2"/>
      <c r="B41" s="1"/>
      <c r="C41" s="1"/>
      <c r="D41" s="435"/>
      <c r="E41" s="435"/>
      <c r="F41" s="424"/>
      <c r="G41" s="424"/>
      <c r="H41" s="424"/>
      <c r="I41" s="424"/>
      <c r="J41" s="434"/>
      <c r="K41" s="424"/>
      <c r="L41" s="424"/>
      <c r="M41" s="2"/>
      <c r="N41" s="2"/>
      <c r="O41" s="2"/>
      <c r="P41" s="2"/>
      <c r="Q41" s="2"/>
      <c r="R41" s="2"/>
      <c r="S41" s="2"/>
      <c r="T41" s="2"/>
      <c r="U41" s="2"/>
      <c r="V41" s="2"/>
      <c r="W41" s="2"/>
      <c r="X41" s="2"/>
      <c r="Y41" s="2"/>
    </row>
    <row r="42" spans="1:25" ht="14.25" customHeight="1" thickBot="1" x14ac:dyDescent="0.35">
      <c r="A42" s="2"/>
      <c r="B42" s="607"/>
      <c r="C42" s="1"/>
      <c r="D42" s="1"/>
      <c r="E42" s="1"/>
      <c r="F42" s="2"/>
      <c r="G42" s="2"/>
      <c r="H42" s="2"/>
      <c r="I42" s="2"/>
      <c r="J42" s="2"/>
      <c r="K42" s="2"/>
      <c r="L42" s="2"/>
      <c r="M42" s="2"/>
      <c r="N42" s="2"/>
      <c r="O42" s="2"/>
      <c r="P42" s="2"/>
      <c r="Q42" s="2"/>
      <c r="R42" s="2"/>
      <c r="S42" s="2"/>
      <c r="T42" s="2"/>
      <c r="U42" s="2"/>
      <c r="V42" s="2"/>
      <c r="W42" s="2"/>
      <c r="X42" s="2"/>
      <c r="Y42" s="2"/>
    </row>
    <row r="43" spans="1:25" ht="15.6" x14ac:dyDescent="0.3">
      <c r="A43" s="2"/>
      <c r="B43" s="606" t="s">
        <v>946</v>
      </c>
      <c r="C43" s="1"/>
      <c r="D43" s="569"/>
      <c r="E43" s="1"/>
      <c r="F43" s="2"/>
      <c r="G43" s="2"/>
      <c r="H43" s="2"/>
      <c r="I43" s="2"/>
      <c r="J43" s="2"/>
      <c r="K43" s="2"/>
      <c r="L43" s="2"/>
      <c r="M43" s="2"/>
      <c r="N43" s="2"/>
      <c r="O43" s="2"/>
      <c r="P43" s="2"/>
      <c r="Q43" s="2"/>
      <c r="R43" s="2"/>
      <c r="S43" s="2"/>
      <c r="T43" s="2"/>
      <c r="U43" s="2"/>
      <c r="V43" s="2"/>
      <c r="W43" s="2"/>
      <c r="X43" s="2"/>
      <c r="Y43" s="2"/>
    </row>
    <row r="44" spans="1:25" ht="14.25" customHeight="1" x14ac:dyDescent="0.3">
      <c r="A44" s="2"/>
      <c r="B44" s="605" t="s">
        <v>947</v>
      </c>
      <c r="C44" s="1"/>
      <c r="D44" s="1"/>
      <c r="E44" s="1"/>
      <c r="F44" s="2"/>
      <c r="G44" s="2"/>
      <c r="H44" s="2"/>
      <c r="I44" s="2"/>
      <c r="J44" s="2"/>
      <c r="K44" s="2"/>
      <c r="L44" s="2"/>
      <c r="M44" s="2"/>
      <c r="N44" s="2"/>
      <c r="O44" s="2"/>
      <c r="P44" s="2"/>
      <c r="Q44" s="2"/>
      <c r="R44" s="2"/>
      <c r="S44" s="2"/>
      <c r="T44" s="2"/>
      <c r="U44" s="2"/>
      <c r="V44" s="2"/>
      <c r="W44" s="2"/>
      <c r="X44" s="2"/>
      <c r="Y44" s="2"/>
    </row>
    <row r="45" spans="1:25" ht="14.25" customHeight="1" x14ac:dyDescent="0.3">
      <c r="A45" s="2"/>
      <c r="B45" s="605" t="s">
        <v>948</v>
      </c>
      <c r="C45" s="1"/>
      <c r="D45" s="1"/>
      <c r="E45" s="1"/>
      <c r="F45" s="2"/>
      <c r="G45" s="2"/>
      <c r="H45" s="2"/>
      <c r="I45" s="2"/>
      <c r="J45" s="2"/>
      <c r="K45" s="2"/>
      <c r="L45" s="2"/>
      <c r="M45" s="2"/>
      <c r="N45" s="2"/>
      <c r="O45" s="2"/>
      <c r="P45" s="2"/>
      <c r="Q45" s="2"/>
      <c r="R45" s="2"/>
      <c r="S45" s="2"/>
      <c r="T45" s="2"/>
      <c r="U45" s="2"/>
      <c r="V45" s="2"/>
      <c r="W45" s="2"/>
      <c r="X45" s="2"/>
      <c r="Y45" s="2"/>
    </row>
    <row r="46" spans="1:25" ht="14.25" customHeight="1" x14ac:dyDescent="0.3">
      <c r="A46" s="2"/>
      <c r="B46" s="605" t="s">
        <v>949</v>
      </c>
      <c r="C46" s="1"/>
      <c r="D46" s="1"/>
      <c r="E46" s="1"/>
      <c r="F46" s="2"/>
      <c r="G46" s="2"/>
      <c r="H46" s="2"/>
      <c r="I46" s="2"/>
      <c r="J46" s="2"/>
      <c r="K46" s="2"/>
      <c r="L46" s="2"/>
      <c r="M46" s="2"/>
      <c r="N46" s="2"/>
      <c r="O46" s="2"/>
      <c r="P46" s="2"/>
      <c r="Q46" s="2"/>
      <c r="R46" s="2"/>
      <c r="S46" s="2"/>
      <c r="T46" s="2"/>
      <c r="U46" s="2"/>
      <c r="V46" s="2"/>
      <c r="W46" s="2"/>
      <c r="X46" s="2"/>
      <c r="Y46" s="2"/>
    </row>
    <row r="47" spans="1:25" ht="14.25" customHeight="1" x14ac:dyDescent="0.3">
      <c r="A47" s="2"/>
      <c r="B47" s="1"/>
      <c r="C47" s="1"/>
      <c r="D47" s="1"/>
      <c r="E47" s="1"/>
      <c r="F47" s="2"/>
      <c r="G47" s="2"/>
      <c r="H47" s="2"/>
      <c r="I47" s="2"/>
      <c r="J47" s="2"/>
      <c r="K47" s="2"/>
      <c r="L47" s="2"/>
      <c r="M47" s="2"/>
      <c r="N47" s="2"/>
      <c r="O47" s="2"/>
      <c r="P47" s="2"/>
      <c r="Q47" s="2"/>
      <c r="R47" s="2"/>
      <c r="S47" s="2"/>
      <c r="T47" s="2"/>
      <c r="U47" s="2"/>
      <c r="V47" s="2"/>
      <c r="W47" s="2"/>
      <c r="X47" s="2"/>
      <c r="Y47" s="2"/>
    </row>
    <row r="48" spans="1:25" ht="14.25" customHeight="1" x14ac:dyDescent="0.3">
      <c r="A48" s="2"/>
      <c r="B48" s="1"/>
      <c r="C48" s="1"/>
      <c r="D48" s="1"/>
      <c r="E48" s="1"/>
      <c r="F48" s="2"/>
      <c r="G48" s="2"/>
      <c r="H48" s="2"/>
      <c r="I48" s="2"/>
      <c r="J48" s="2"/>
      <c r="K48" s="2"/>
      <c r="L48" s="2"/>
      <c r="M48" s="2"/>
      <c r="N48" s="2"/>
      <c r="O48" s="2"/>
      <c r="P48" s="2"/>
      <c r="Q48" s="2"/>
      <c r="R48" s="2"/>
      <c r="S48" s="2"/>
      <c r="T48" s="2"/>
      <c r="U48" s="2"/>
      <c r="V48" s="2"/>
      <c r="W48" s="2"/>
      <c r="X48" s="2"/>
      <c r="Y48" s="2"/>
    </row>
    <row r="49" spans="1:25" ht="14.25" customHeight="1" x14ac:dyDescent="0.3">
      <c r="A49" s="2"/>
      <c r="B49" s="1"/>
      <c r="C49" s="1"/>
      <c r="D49" s="1"/>
      <c r="E49" s="1"/>
      <c r="F49" s="2"/>
      <c r="G49" s="2"/>
      <c r="H49" s="2"/>
      <c r="I49" s="2"/>
      <c r="J49" s="2"/>
      <c r="K49" s="2"/>
      <c r="L49" s="2"/>
      <c r="M49" s="2"/>
      <c r="N49" s="2"/>
      <c r="O49" s="2"/>
      <c r="P49" s="2"/>
      <c r="Q49" s="2"/>
      <c r="R49" s="2"/>
      <c r="S49" s="2"/>
      <c r="T49" s="2"/>
      <c r="U49" s="2"/>
      <c r="V49" s="2"/>
      <c r="W49" s="2"/>
      <c r="X49" s="2"/>
      <c r="Y49" s="2"/>
    </row>
    <row r="50" spans="1:25" ht="14.25" customHeight="1" x14ac:dyDescent="0.3">
      <c r="A50" s="2"/>
      <c r="B50" s="1"/>
      <c r="C50" s="1"/>
      <c r="D50" s="1"/>
      <c r="E50" s="1"/>
      <c r="F50" s="2"/>
      <c r="G50" s="2"/>
      <c r="H50" s="2"/>
      <c r="I50" s="2"/>
      <c r="J50" s="2"/>
      <c r="K50" s="2"/>
      <c r="L50" s="2"/>
      <c r="M50" s="2"/>
      <c r="N50" s="2"/>
      <c r="O50" s="2"/>
      <c r="P50" s="2"/>
      <c r="Q50" s="2"/>
      <c r="R50" s="2"/>
      <c r="S50" s="2"/>
      <c r="T50" s="2"/>
      <c r="U50" s="2"/>
      <c r="V50" s="2"/>
      <c r="W50" s="2"/>
      <c r="X50" s="2"/>
      <c r="Y50" s="2"/>
    </row>
    <row r="51" spans="1:25" ht="14.25" customHeight="1" x14ac:dyDescent="0.3">
      <c r="A51" s="2"/>
      <c r="B51" s="1"/>
      <c r="C51" s="1"/>
      <c r="D51" s="1"/>
      <c r="E51" s="1"/>
      <c r="F51" s="2"/>
      <c r="G51" s="2"/>
      <c r="H51" s="2"/>
      <c r="I51" s="2"/>
      <c r="J51" s="2"/>
      <c r="K51" s="2"/>
      <c r="L51" s="2"/>
      <c r="M51" s="2"/>
      <c r="N51" s="2"/>
      <c r="O51" s="2"/>
      <c r="P51" s="2"/>
      <c r="Q51" s="2"/>
      <c r="R51" s="2"/>
      <c r="S51" s="2"/>
      <c r="T51" s="2"/>
      <c r="U51" s="2"/>
      <c r="V51" s="2"/>
      <c r="W51" s="2"/>
      <c r="X51" s="2"/>
      <c r="Y51" s="2"/>
    </row>
    <row r="52" spans="1:25" ht="14.25" customHeight="1" x14ac:dyDescent="0.3">
      <c r="A52" s="2"/>
      <c r="B52" s="1"/>
      <c r="C52" s="1"/>
      <c r="D52" s="1"/>
      <c r="E52" s="1"/>
      <c r="F52" s="2"/>
      <c r="G52" s="2"/>
      <c r="H52" s="2"/>
      <c r="I52" s="2"/>
      <c r="J52" s="2"/>
      <c r="K52" s="2"/>
      <c r="L52" s="2"/>
      <c r="M52" s="2"/>
      <c r="N52" s="2"/>
      <c r="O52" s="2"/>
      <c r="P52" s="2"/>
      <c r="Q52" s="2"/>
      <c r="R52" s="2"/>
      <c r="S52" s="2"/>
      <c r="T52" s="2"/>
      <c r="U52" s="2"/>
      <c r="V52" s="2"/>
      <c r="W52" s="2"/>
      <c r="X52" s="2"/>
      <c r="Y52" s="2"/>
    </row>
    <row r="53" spans="1:25" ht="14.25" customHeight="1" x14ac:dyDescent="0.3">
      <c r="A53" s="2"/>
      <c r="B53" s="1"/>
      <c r="C53" s="1"/>
      <c r="D53" s="1"/>
      <c r="E53" s="1"/>
      <c r="F53" s="2"/>
      <c r="G53" s="2"/>
      <c r="H53" s="2"/>
      <c r="I53" s="2"/>
      <c r="J53" s="2"/>
      <c r="K53" s="2"/>
      <c r="L53" s="2"/>
      <c r="M53" s="2"/>
      <c r="N53" s="2"/>
      <c r="O53" s="2"/>
      <c r="P53" s="2"/>
      <c r="Q53" s="2"/>
      <c r="R53" s="2"/>
      <c r="S53" s="2"/>
      <c r="T53" s="2"/>
      <c r="U53" s="2"/>
      <c r="V53" s="2"/>
      <c r="W53" s="2"/>
      <c r="X53" s="2"/>
      <c r="Y53" s="2"/>
    </row>
    <row r="54" spans="1:25" ht="14.25" customHeight="1" x14ac:dyDescent="0.3">
      <c r="A54" s="2"/>
      <c r="B54" s="1"/>
      <c r="C54" s="1"/>
      <c r="D54" s="1"/>
      <c r="E54" s="1"/>
      <c r="F54" s="2"/>
      <c r="G54" s="2"/>
      <c r="H54" s="2"/>
      <c r="I54" s="2"/>
      <c r="J54" s="2"/>
      <c r="K54" s="2"/>
      <c r="L54" s="2"/>
      <c r="M54" s="2"/>
      <c r="N54" s="2"/>
      <c r="O54" s="2"/>
      <c r="P54" s="2"/>
      <c r="Q54" s="2"/>
      <c r="R54" s="2"/>
      <c r="S54" s="2"/>
      <c r="T54" s="2"/>
      <c r="U54" s="2"/>
      <c r="V54" s="2"/>
      <c r="W54" s="2"/>
      <c r="X54" s="2"/>
      <c r="Y54" s="2"/>
    </row>
    <row r="55" spans="1:25" ht="14.25" customHeight="1" x14ac:dyDescent="0.3">
      <c r="A55" s="2"/>
      <c r="B55" s="1"/>
      <c r="C55" s="1"/>
      <c r="D55" s="1"/>
      <c r="E55" s="1"/>
      <c r="F55" s="2"/>
      <c r="G55" s="2"/>
      <c r="H55" s="2"/>
      <c r="I55" s="2"/>
      <c r="J55" s="2"/>
      <c r="K55" s="2"/>
      <c r="L55" s="2"/>
      <c r="M55" s="2"/>
      <c r="N55" s="2"/>
      <c r="O55" s="2"/>
      <c r="P55" s="2"/>
      <c r="Q55" s="2"/>
      <c r="R55" s="2"/>
      <c r="S55" s="2"/>
      <c r="T55" s="2"/>
      <c r="U55" s="2"/>
      <c r="V55" s="2"/>
      <c r="W55" s="2"/>
      <c r="X55" s="2"/>
      <c r="Y55" s="2"/>
    </row>
    <row r="56" spans="1:25" ht="14.25" customHeight="1" x14ac:dyDescent="0.3">
      <c r="A56" s="2"/>
      <c r="B56" s="1"/>
      <c r="C56" s="1"/>
      <c r="D56" s="1"/>
      <c r="E56" s="1"/>
      <c r="F56" s="2"/>
      <c r="G56" s="2"/>
      <c r="H56" s="2"/>
      <c r="I56" s="2"/>
      <c r="J56" s="2"/>
      <c r="K56" s="2"/>
      <c r="L56" s="2"/>
      <c r="M56" s="2"/>
      <c r="N56" s="2"/>
      <c r="O56" s="2"/>
      <c r="P56" s="2"/>
      <c r="Q56" s="2"/>
      <c r="R56" s="2"/>
      <c r="S56" s="2"/>
      <c r="T56" s="2"/>
      <c r="U56" s="2"/>
      <c r="V56" s="2"/>
      <c r="W56" s="2"/>
      <c r="X56" s="2"/>
      <c r="Y56" s="2"/>
    </row>
    <row r="57" spans="1:25" ht="14.25" customHeight="1" x14ac:dyDescent="0.3">
      <c r="A57" s="2"/>
      <c r="B57" s="1"/>
      <c r="C57" s="1"/>
      <c r="D57" s="1"/>
      <c r="E57" s="1"/>
      <c r="F57" s="2"/>
      <c r="G57" s="2"/>
      <c r="H57" s="2"/>
      <c r="I57" s="2"/>
      <c r="J57" s="2"/>
      <c r="K57" s="2"/>
      <c r="L57" s="2"/>
      <c r="M57" s="2"/>
      <c r="N57" s="2"/>
      <c r="O57" s="2"/>
      <c r="P57" s="2"/>
      <c r="Q57" s="2"/>
      <c r="R57" s="2"/>
      <c r="S57" s="2"/>
      <c r="T57" s="2"/>
      <c r="U57" s="2"/>
      <c r="V57" s="2"/>
      <c r="W57" s="2"/>
      <c r="X57" s="2"/>
      <c r="Y57" s="2"/>
    </row>
    <row r="58" spans="1:25" ht="14.25" customHeight="1" x14ac:dyDescent="0.3">
      <c r="A58" s="2"/>
      <c r="B58" s="1"/>
      <c r="C58" s="1"/>
      <c r="D58" s="1"/>
      <c r="E58" s="1"/>
      <c r="F58" s="2"/>
      <c r="G58" s="2"/>
      <c r="H58" s="2"/>
      <c r="I58" s="2"/>
      <c r="J58" s="2"/>
      <c r="K58" s="2"/>
      <c r="L58" s="2"/>
      <c r="M58" s="2"/>
      <c r="N58" s="2"/>
      <c r="O58" s="2"/>
      <c r="P58" s="2"/>
      <c r="Q58" s="2"/>
      <c r="R58" s="2"/>
      <c r="S58" s="2"/>
      <c r="T58" s="2"/>
      <c r="U58" s="2"/>
      <c r="V58" s="2"/>
      <c r="W58" s="2"/>
      <c r="X58" s="2"/>
      <c r="Y58" s="2"/>
    </row>
    <row r="59" spans="1:25" ht="14.25" customHeight="1" x14ac:dyDescent="0.3">
      <c r="A59" s="2"/>
      <c r="B59" s="1"/>
      <c r="C59" s="1"/>
      <c r="D59" s="1"/>
      <c r="E59" s="1"/>
      <c r="F59" s="2"/>
      <c r="G59" s="2"/>
      <c r="H59" s="2"/>
      <c r="I59" s="2"/>
      <c r="J59" s="2"/>
      <c r="K59" s="2"/>
      <c r="L59" s="2"/>
      <c r="M59" s="2"/>
      <c r="N59" s="2"/>
      <c r="O59" s="2"/>
      <c r="P59" s="2"/>
      <c r="Q59" s="2"/>
      <c r="R59" s="2"/>
      <c r="S59" s="2"/>
      <c r="T59" s="2"/>
      <c r="U59" s="2"/>
      <c r="V59" s="2"/>
      <c r="W59" s="2"/>
      <c r="X59" s="2"/>
      <c r="Y59" s="2"/>
    </row>
    <row r="60" spans="1:25" ht="14.25" customHeight="1" x14ac:dyDescent="0.3">
      <c r="A60" s="2"/>
      <c r="B60" s="1"/>
      <c r="C60" s="1"/>
      <c r="D60" s="1"/>
      <c r="E60" s="1"/>
      <c r="F60" s="2"/>
      <c r="G60" s="2"/>
      <c r="H60" s="2"/>
      <c r="I60" s="2"/>
      <c r="J60" s="2"/>
      <c r="K60" s="2"/>
      <c r="L60" s="2"/>
      <c r="M60" s="2"/>
      <c r="N60" s="2"/>
      <c r="O60" s="2"/>
      <c r="P60" s="2"/>
      <c r="Q60" s="2"/>
      <c r="R60" s="2"/>
      <c r="S60" s="2"/>
      <c r="T60" s="2"/>
      <c r="U60" s="2"/>
      <c r="V60" s="2"/>
      <c r="W60" s="2"/>
      <c r="X60" s="2"/>
      <c r="Y60" s="2"/>
    </row>
    <row r="61" spans="1:25" ht="14.25" customHeight="1" x14ac:dyDescent="0.3">
      <c r="A61" s="2"/>
      <c r="B61" s="1"/>
      <c r="C61" s="1"/>
      <c r="D61" s="1"/>
      <c r="E61" s="1"/>
      <c r="F61" s="2"/>
      <c r="G61" s="2"/>
      <c r="H61" s="2"/>
      <c r="I61" s="2"/>
      <c r="J61" s="2"/>
      <c r="K61" s="2"/>
      <c r="L61" s="2"/>
      <c r="M61" s="2"/>
      <c r="N61" s="2"/>
      <c r="O61" s="2"/>
      <c r="P61" s="2"/>
      <c r="Q61" s="2"/>
      <c r="R61" s="2"/>
      <c r="S61" s="2"/>
      <c r="T61" s="2"/>
      <c r="U61" s="2"/>
      <c r="V61" s="2"/>
      <c r="W61" s="2"/>
      <c r="X61" s="2"/>
      <c r="Y61" s="2"/>
    </row>
    <row r="62" spans="1:25" ht="14.25" customHeight="1" x14ac:dyDescent="0.3">
      <c r="A62" s="2"/>
      <c r="B62" s="1"/>
      <c r="C62" s="1"/>
      <c r="D62" s="1"/>
      <c r="E62" s="1"/>
      <c r="F62" s="2"/>
      <c r="G62" s="2"/>
      <c r="H62" s="2"/>
      <c r="I62" s="2"/>
      <c r="J62" s="2"/>
      <c r="K62" s="2"/>
      <c r="L62" s="2"/>
      <c r="M62" s="2"/>
      <c r="N62" s="2"/>
      <c r="O62" s="2"/>
      <c r="P62" s="2"/>
      <c r="Q62" s="2"/>
      <c r="R62" s="2"/>
      <c r="S62" s="2"/>
      <c r="T62" s="2"/>
      <c r="U62" s="2"/>
      <c r="V62" s="2"/>
      <c r="W62" s="2"/>
      <c r="X62" s="2"/>
      <c r="Y62" s="2"/>
    </row>
    <row r="63" spans="1:25" ht="14.25" customHeight="1" x14ac:dyDescent="0.3">
      <c r="A63" s="2"/>
      <c r="B63" s="1"/>
      <c r="C63" s="1"/>
      <c r="D63" s="1"/>
      <c r="E63" s="1"/>
      <c r="F63" s="2"/>
      <c r="G63" s="2"/>
      <c r="H63" s="2"/>
      <c r="I63" s="2"/>
      <c r="J63" s="2"/>
      <c r="K63" s="2"/>
      <c r="L63" s="2"/>
      <c r="M63" s="2"/>
      <c r="N63" s="2"/>
      <c r="O63" s="2"/>
      <c r="P63" s="2"/>
      <c r="Q63" s="2"/>
      <c r="R63" s="2"/>
      <c r="S63" s="2"/>
      <c r="T63" s="2"/>
      <c r="U63" s="2"/>
      <c r="V63" s="2"/>
      <c r="W63" s="2"/>
      <c r="X63" s="2"/>
      <c r="Y63" s="2"/>
    </row>
    <row r="64" spans="1:25" ht="14.25" customHeight="1" x14ac:dyDescent="0.3">
      <c r="A64" s="2"/>
      <c r="B64" s="1"/>
      <c r="C64" s="1"/>
      <c r="D64" s="1"/>
      <c r="E64" s="1"/>
      <c r="F64" s="2"/>
      <c r="G64" s="2"/>
      <c r="H64" s="2"/>
      <c r="I64" s="2"/>
      <c r="J64" s="2"/>
      <c r="K64" s="2"/>
      <c r="L64" s="2"/>
      <c r="M64" s="2"/>
      <c r="N64" s="2"/>
      <c r="O64" s="2"/>
      <c r="P64" s="2"/>
      <c r="Q64" s="2"/>
      <c r="R64" s="2"/>
      <c r="S64" s="2"/>
      <c r="T64" s="2"/>
      <c r="U64" s="2"/>
      <c r="V64" s="2"/>
      <c r="W64" s="2"/>
      <c r="X64" s="2"/>
      <c r="Y64" s="2"/>
    </row>
    <row r="65" spans="1:25" ht="14.25" customHeight="1" x14ac:dyDescent="0.3">
      <c r="A65" s="2"/>
      <c r="B65" s="1"/>
      <c r="C65" s="1"/>
      <c r="D65" s="1"/>
      <c r="E65" s="1"/>
      <c r="F65" s="2"/>
      <c r="G65" s="2"/>
      <c r="H65" s="2"/>
      <c r="I65" s="2"/>
      <c r="J65" s="2"/>
      <c r="K65" s="2"/>
      <c r="L65" s="2"/>
      <c r="M65" s="2"/>
      <c r="N65" s="2"/>
      <c r="O65" s="2"/>
      <c r="P65" s="2"/>
      <c r="Q65" s="2"/>
      <c r="R65" s="2"/>
      <c r="S65" s="2"/>
      <c r="T65" s="2"/>
      <c r="U65" s="2"/>
      <c r="V65" s="2"/>
      <c r="W65" s="2"/>
      <c r="X65" s="2"/>
      <c r="Y65" s="2"/>
    </row>
    <row r="66" spans="1:25" ht="14.25" customHeight="1" x14ac:dyDescent="0.3">
      <c r="A66" s="2"/>
      <c r="B66" s="1"/>
      <c r="C66" s="1"/>
      <c r="D66" s="1"/>
      <c r="E66" s="1"/>
      <c r="F66" s="2"/>
      <c r="G66" s="2"/>
      <c r="H66" s="2"/>
      <c r="I66" s="2"/>
      <c r="J66" s="2"/>
      <c r="K66" s="2"/>
      <c r="L66" s="2"/>
      <c r="M66" s="2"/>
      <c r="N66" s="2"/>
      <c r="O66" s="2"/>
      <c r="P66" s="2"/>
      <c r="Q66" s="2"/>
      <c r="R66" s="2"/>
      <c r="S66" s="2"/>
      <c r="T66" s="2"/>
      <c r="U66" s="2"/>
      <c r="V66" s="2"/>
      <c r="W66" s="2"/>
      <c r="X66" s="2"/>
      <c r="Y66" s="2"/>
    </row>
    <row r="67" spans="1:25" ht="14.25" customHeight="1" x14ac:dyDescent="0.3">
      <c r="A67" s="2"/>
      <c r="B67" s="1"/>
      <c r="C67" s="1"/>
      <c r="D67" s="1"/>
      <c r="E67" s="1"/>
      <c r="F67" s="2"/>
      <c r="G67" s="2"/>
      <c r="H67" s="2"/>
      <c r="I67" s="2"/>
      <c r="J67" s="2"/>
      <c r="K67" s="2"/>
      <c r="L67" s="2"/>
      <c r="M67" s="2"/>
      <c r="N67" s="2"/>
      <c r="O67" s="2"/>
      <c r="P67" s="2"/>
      <c r="Q67" s="2"/>
      <c r="R67" s="2"/>
      <c r="S67" s="2"/>
      <c r="T67" s="2"/>
      <c r="U67" s="2"/>
      <c r="V67" s="2"/>
      <c r="W67" s="2"/>
      <c r="X67" s="2"/>
      <c r="Y67" s="2"/>
    </row>
    <row r="68" spans="1:25" ht="14.25" customHeight="1" x14ac:dyDescent="0.3">
      <c r="A68" s="2"/>
      <c r="B68" s="1"/>
      <c r="C68" s="1"/>
      <c r="D68" s="1"/>
      <c r="E68" s="1"/>
      <c r="F68" s="2"/>
      <c r="G68" s="2"/>
      <c r="H68" s="2"/>
      <c r="I68" s="2"/>
      <c r="J68" s="2"/>
      <c r="K68" s="2"/>
      <c r="L68" s="2"/>
      <c r="M68" s="2"/>
      <c r="N68" s="2"/>
      <c r="O68" s="2"/>
      <c r="P68" s="2"/>
      <c r="Q68" s="2"/>
      <c r="R68" s="2"/>
      <c r="S68" s="2"/>
      <c r="T68" s="2"/>
      <c r="U68" s="2"/>
      <c r="V68" s="2"/>
      <c r="W68" s="2"/>
      <c r="X68" s="2"/>
      <c r="Y68" s="2"/>
    </row>
    <row r="69" spans="1:25" ht="14.25" customHeight="1" x14ac:dyDescent="0.3">
      <c r="A69" s="2"/>
      <c r="B69" s="1"/>
      <c r="C69" s="1"/>
      <c r="D69" s="1"/>
      <c r="E69" s="1"/>
      <c r="F69" s="2"/>
      <c r="G69" s="2"/>
      <c r="H69" s="2"/>
      <c r="I69" s="2"/>
      <c r="J69" s="2"/>
      <c r="K69" s="2"/>
      <c r="L69" s="2"/>
      <c r="M69" s="2"/>
      <c r="N69" s="2"/>
      <c r="O69" s="2"/>
      <c r="P69" s="2"/>
      <c r="Q69" s="2"/>
      <c r="R69" s="2"/>
      <c r="S69" s="2"/>
      <c r="T69" s="2"/>
      <c r="U69" s="2"/>
      <c r="V69" s="2"/>
      <c r="W69" s="2"/>
      <c r="X69" s="2"/>
      <c r="Y69" s="2"/>
    </row>
    <row r="70" spans="1:25" ht="14.25" customHeight="1" x14ac:dyDescent="0.3">
      <c r="A70" s="2"/>
      <c r="B70" s="1"/>
      <c r="C70" s="1"/>
      <c r="D70" s="1"/>
      <c r="E70" s="1"/>
      <c r="F70" s="2"/>
      <c r="G70" s="2"/>
      <c r="H70" s="2"/>
      <c r="I70" s="2"/>
      <c r="J70" s="2"/>
      <c r="K70" s="2"/>
      <c r="L70" s="2"/>
      <c r="M70" s="2"/>
      <c r="N70" s="2"/>
      <c r="O70" s="2"/>
      <c r="P70" s="2"/>
      <c r="Q70" s="2"/>
      <c r="R70" s="2"/>
      <c r="S70" s="2"/>
      <c r="T70" s="2"/>
      <c r="U70" s="2"/>
      <c r="V70" s="2"/>
      <c r="W70" s="2"/>
      <c r="X70" s="2"/>
      <c r="Y70" s="2"/>
    </row>
    <row r="71" spans="1:25" ht="14.25" customHeight="1" x14ac:dyDescent="0.3">
      <c r="A71" s="2"/>
      <c r="B71" s="1"/>
      <c r="C71" s="1"/>
      <c r="D71" s="1"/>
      <c r="E71" s="1"/>
      <c r="F71" s="2"/>
      <c r="G71" s="2"/>
      <c r="H71" s="2"/>
      <c r="I71" s="2"/>
      <c r="J71" s="2"/>
      <c r="K71" s="2"/>
      <c r="L71" s="2"/>
      <c r="M71" s="2"/>
      <c r="N71" s="2"/>
      <c r="O71" s="2"/>
      <c r="P71" s="2"/>
      <c r="Q71" s="2"/>
      <c r="R71" s="2"/>
      <c r="S71" s="2"/>
      <c r="T71" s="2"/>
      <c r="U71" s="2"/>
      <c r="V71" s="2"/>
      <c r="W71" s="2"/>
      <c r="X71" s="2"/>
      <c r="Y71" s="2"/>
    </row>
    <row r="72" spans="1:25" ht="14.25" customHeight="1" x14ac:dyDescent="0.3">
      <c r="A72" s="2"/>
      <c r="B72" s="1"/>
      <c r="C72" s="1"/>
      <c r="D72" s="1"/>
      <c r="E72" s="1"/>
      <c r="F72" s="2"/>
      <c r="G72" s="2"/>
      <c r="H72" s="2"/>
      <c r="I72" s="2"/>
      <c r="J72" s="2"/>
      <c r="K72" s="2"/>
      <c r="L72" s="2"/>
      <c r="M72" s="2"/>
      <c r="N72" s="2"/>
      <c r="O72" s="2"/>
      <c r="P72" s="2"/>
      <c r="Q72" s="2"/>
      <c r="R72" s="2"/>
      <c r="S72" s="2"/>
      <c r="T72" s="2"/>
      <c r="U72" s="2"/>
      <c r="V72" s="2"/>
      <c r="W72" s="2"/>
      <c r="X72" s="2"/>
      <c r="Y72" s="2"/>
    </row>
    <row r="73" spans="1:25" ht="14.25" customHeight="1" x14ac:dyDescent="0.3">
      <c r="A73" s="2"/>
      <c r="B73" s="1"/>
      <c r="C73" s="1"/>
      <c r="D73" s="1"/>
      <c r="E73" s="1"/>
      <c r="F73" s="2"/>
      <c r="G73" s="2"/>
      <c r="H73" s="2"/>
      <c r="I73" s="2"/>
      <c r="J73" s="2"/>
      <c r="K73" s="2"/>
      <c r="L73" s="2"/>
      <c r="M73" s="2"/>
      <c r="N73" s="2"/>
      <c r="O73" s="2"/>
      <c r="P73" s="2"/>
      <c r="Q73" s="2"/>
      <c r="R73" s="2"/>
      <c r="S73" s="2"/>
      <c r="T73" s="2"/>
      <c r="U73" s="2"/>
      <c r="V73" s="2"/>
      <c r="W73" s="2"/>
      <c r="X73" s="2"/>
      <c r="Y73" s="2"/>
    </row>
    <row r="74" spans="1:25" ht="14.25" customHeight="1" x14ac:dyDescent="0.3">
      <c r="A74" s="2"/>
      <c r="B74" s="1"/>
      <c r="C74" s="1"/>
      <c r="D74" s="1"/>
      <c r="E74" s="1"/>
      <c r="F74" s="2"/>
      <c r="G74" s="2"/>
      <c r="H74" s="2"/>
      <c r="I74" s="2"/>
      <c r="J74" s="2"/>
      <c r="K74" s="2"/>
      <c r="L74" s="2"/>
      <c r="M74" s="2"/>
      <c r="N74" s="2"/>
      <c r="O74" s="2"/>
      <c r="P74" s="2"/>
      <c r="Q74" s="2"/>
      <c r="R74" s="2"/>
      <c r="S74" s="2"/>
      <c r="T74" s="2"/>
      <c r="U74" s="2"/>
      <c r="V74" s="2"/>
      <c r="W74" s="2"/>
      <c r="X74" s="2"/>
      <c r="Y74" s="2"/>
    </row>
    <row r="75" spans="1:25" ht="14.25" customHeight="1" x14ac:dyDescent="0.3">
      <c r="A75" s="2"/>
      <c r="B75" s="1"/>
      <c r="C75" s="1"/>
      <c r="D75" s="1"/>
      <c r="E75" s="1"/>
      <c r="F75" s="2"/>
      <c r="G75" s="2"/>
      <c r="H75" s="2"/>
      <c r="I75" s="2"/>
      <c r="J75" s="2"/>
      <c r="K75" s="2"/>
      <c r="L75" s="2"/>
      <c r="M75" s="2"/>
      <c r="N75" s="2"/>
      <c r="O75" s="2"/>
      <c r="P75" s="2"/>
      <c r="Q75" s="2"/>
      <c r="R75" s="2"/>
      <c r="S75" s="2"/>
      <c r="T75" s="2"/>
      <c r="U75" s="2"/>
      <c r="V75" s="2"/>
      <c r="W75" s="2"/>
      <c r="X75" s="2"/>
      <c r="Y75" s="2"/>
    </row>
    <row r="76" spans="1:25" ht="14.25" customHeight="1" x14ac:dyDescent="0.3">
      <c r="A76" s="2"/>
      <c r="B76" s="1"/>
      <c r="C76" s="1"/>
      <c r="D76" s="1"/>
      <c r="E76" s="1"/>
      <c r="F76" s="2"/>
      <c r="G76" s="2"/>
      <c r="H76" s="2"/>
      <c r="I76" s="2"/>
      <c r="J76" s="2"/>
      <c r="K76" s="2"/>
      <c r="L76" s="2"/>
      <c r="M76" s="2"/>
      <c r="N76" s="2"/>
      <c r="O76" s="2"/>
      <c r="P76" s="2"/>
      <c r="Q76" s="2"/>
      <c r="R76" s="2"/>
      <c r="S76" s="2"/>
      <c r="T76" s="2"/>
      <c r="U76" s="2"/>
      <c r="V76" s="2"/>
      <c r="W76" s="2"/>
      <c r="X76" s="2"/>
      <c r="Y76" s="2"/>
    </row>
    <row r="77" spans="1:25" ht="14.25" customHeight="1" x14ac:dyDescent="0.3">
      <c r="A77" s="2"/>
      <c r="B77" s="1"/>
      <c r="C77" s="1"/>
      <c r="D77" s="1"/>
      <c r="E77" s="1"/>
      <c r="F77" s="2"/>
      <c r="G77" s="2"/>
      <c r="H77" s="2"/>
      <c r="I77" s="2"/>
      <c r="J77" s="2"/>
      <c r="K77" s="2"/>
      <c r="L77" s="2"/>
      <c r="M77" s="2"/>
      <c r="N77" s="2"/>
      <c r="O77" s="2"/>
      <c r="P77" s="2"/>
      <c r="Q77" s="2"/>
      <c r="R77" s="2"/>
      <c r="S77" s="2"/>
      <c r="T77" s="2"/>
      <c r="U77" s="2"/>
      <c r="V77" s="2"/>
      <c r="W77" s="2"/>
      <c r="X77" s="2"/>
      <c r="Y77" s="2"/>
    </row>
    <row r="78" spans="1:25" ht="14.25" customHeight="1" x14ac:dyDescent="0.3">
      <c r="A78" s="2"/>
      <c r="B78" s="1"/>
      <c r="C78" s="1"/>
      <c r="D78" s="1"/>
      <c r="E78" s="1"/>
      <c r="F78" s="2"/>
      <c r="G78" s="2"/>
      <c r="H78" s="2"/>
      <c r="I78" s="2"/>
      <c r="J78" s="2"/>
      <c r="K78" s="2"/>
      <c r="L78" s="2"/>
      <c r="M78" s="2"/>
      <c r="N78" s="2"/>
      <c r="O78" s="2"/>
      <c r="P78" s="2"/>
      <c r="Q78" s="2"/>
      <c r="R78" s="2"/>
      <c r="S78" s="2"/>
      <c r="T78" s="2"/>
      <c r="U78" s="2"/>
      <c r="V78" s="2"/>
      <c r="W78" s="2"/>
      <c r="X78" s="2"/>
      <c r="Y78" s="2"/>
    </row>
    <row r="79" spans="1:25" ht="14.25" customHeight="1" x14ac:dyDescent="0.3">
      <c r="A79" s="2"/>
      <c r="B79" s="1"/>
      <c r="C79" s="1"/>
      <c r="D79" s="1"/>
      <c r="E79" s="1"/>
      <c r="F79" s="2"/>
      <c r="G79" s="2"/>
      <c r="H79" s="2"/>
      <c r="I79" s="2"/>
      <c r="J79" s="2"/>
      <c r="K79" s="2"/>
      <c r="L79" s="2"/>
      <c r="M79" s="2"/>
      <c r="N79" s="2"/>
      <c r="O79" s="2"/>
      <c r="P79" s="2"/>
      <c r="Q79" s="2"/>
      <c r="R79" s="2"/>
      <c r="S79" s="2"/>
      <c r="T79" s="2"/>
      <c r="U79" s="2"/>
      <c r="V79" s="2"/>
      <c r="W79" s="2"/>
      <c r="X79" s="2"/>
      <c r="Y79" s="2"/>
    </row>
    <row r="80" spans="1:25" ht="14.25" customHeight="1" x14ac:dyDescent="0.3">
      <c r="A80" s="2"/>
      <c r="B80" s="1"/>
      <c r="C80" s="1"/>
      <c r="D80" s="1"/>
      <c r="E80" s="1"/>
      <c r="F80" s="2"/>
      <c r="G80" s="2"/>
      <c r="H80" s="2"/>
      <c r="I80" s="2"/>
      <c r="J80" s="2"/>
      <c r="K80" s="2"/>
      <c r="L80" s="2"/>
      <c r="M80" s="2"/>
      <c r="N80" s="2"/>
      <c r="O80" s="2"/>
      <c r="P80" s="2"/>
      <c r="Q80" s="2"/>
      <c r="R80" s="2"/>
      <c r="S80" s="2"/>
      <c r="T80" s="2"/>
      <c r="U80" s="2"/>
      <c r="V80" s="2"/>
      <c r="W80" s="2"/>
      <c r="X80" s="2"/>
      <c r="Y80" s="2"/>
    </row>
    <row r="81" spans="1:25" ht="14.25" customHeight="1" x14ac:dyDescent="0.3">
      <c r="A81" s="2"/>
      <c r="B81" s="1"/>
      <c r="C81" s="1"/>
      <c r="D81" s="1"/>
      <c r="E81" s="1"/>
      <c r="F81" s="2"/>
      <c r="G81" s="2"/>
      <c r="H81" s="2"/>
      <c r="I81" s="2"/>
      <c r="J81" s="2"/>
      <c r="K81" s="2"/>
      <c r="L81" s="2"/>
      <c r="M81" s="2"/>
      <c r="N81" s="2"/>
      <c r="O81" s="2"/>
      <c r="P81" s="2"/>
      <c r="Q81" s="2"/>
      <c r="R81" s="2"/>
      <c r="S81" s="2"/>
      <c r="T81" s="2"/>
      <c r="U81" s="2"/>
      <c r="V81" s="2"/>
      <c r="W81" s="2"/>
      <c r="X81" s="2"/>
      <c r="Y81" s="2"/>
    </row>
    <row r="82" spans="1:25" ht="14.25" customHeight="1" x14ac:dyDescent="0.3">
      <c r="A82" s="2"/>
      <c r="B82" s="1"/>
      <c r="C82" s="1"/>
      <c r="D82" s="1"/>
      <c r="E82" s="1"/>
      <c r="F82" s="2"/>
      <c r="G82" s="2"/>
      <c r="H82" s="2"/>
      <c r="I82" s="2"/>
      <c r="J82" s="2"/>
      <c r="K82" s="2"/>
      <c r="L82" s="2"/>
      <c r="M82" s="2"/>
      <c r="N82" s="2"/>
      <c r="O82" s="2"/>
      <c r="P82" s="2"/>
      <c r="Q82" s="2"/>
      <c r="R82" s="2"/>
      <c r="S82" s="2"/>
      <c r="T82" s="2"/>
      <c r="U82" s="2"/>
      <c r="V82" s="2"/>
      <c r="W82" s="2"/>
      <c r="X82" s="2"/>
      <c r="Y82" s="2"/>
    </row>
    <row r="83" spans="1:25" ht="14.25" customHeight="1" x14ac:dyDescent="0.3">
      <c r="A83" s="2"/>
      <c r="B83" s="1"/>
      <c r="C83" s="1"/>
      <c r="D83" s="1"/>
      <c r="E83" s="1"/>
      <c r="F83" s="2"/>
      <c r="G83" s="2"/>
      <c r="H83" s="2"/>
      <c r="I83" s="2"/>
      <c r="J83" s="2"/>
      <c r="K83" s="2"/>
      <c r="L83" s="2"/>
      <c r="M83" s="2"/>
      <c r="N83" s="2"/>
      <c r="O83" s="2"/>
      <c r="P83" s="2"/>
      <c r="Q83" s="2"/>
      <c r="R83" s="2"/>
      <c r="S83" s="2"/>
      <c r="T83" s="2"/>
      <c r="U83" s="2"/>
      <c r="V83" s="2"/>
      <c r="W83" s="2"/>
      <c r="X83" s="2"/>
      <c r="Y83" s="2"/>
    </row>
    <row r="84" spans="1:25" ht="14.25" customHeight="1" x14ac:dyDescent="0.3">
      <c r="A84" s="2"/>
      <c r="B84" s="1"/>
      <c r="C84" s="1"/>
      <c r="D84" s="1"/>
      <c r="E84" s="1"/>
      <c r="F84" s="2"/>
      <c r="G84" s="2"/>
      <c r="H84" s="2"/>
      <c r="I84" s="2"/>
      <c r="J84" s="2"/>
      <c r="K84" s="2"/>
      <c r="L84" s="2"/>
      <c r="M84" s="2"/>
      <c r="N84" s="2"/>
      <c r="O84" s="2"/>
      <c r="P84" s="2"/>
      <c r="Q84" s="2"/>
      <c r="R84" s="2"/>
      <c r="S84" s="2"/>
      <c r="T84" s="2"/>
      <c r="U84" s="2"/>
      <c r="V84" s="2"/>
      <c r="W84" s="2"/>
      <c r="X84" s="2"/>
      <c r="Y84" s="2"/>
    </row>
    <row r="85" spans="1:25" ht="14.25" customHeight="1" x14ac:dyDescent="0.3">
      <c r="A85" s="2"/>
      <c r="B85" s="1"/>
      <c r="C85" s="1"/>
      <c r="D85" s="1"/>
      <c r="E85" s="1"/>
      <c r="F85" s="2"/>
      <c r="G85" s="2"/>
      <c r="H85" s="2"/>
      <c r="I85" s="2"/>
      <c r="J85" s="2"/>
      <c r="K85" s="2"/>
      <c r="L85" s="2"/>
      <c r="M85" s="2"/>
      <c r="N85" s="2"/>
      <c r="O85" s="2"/>
      <c r="P85" s="2"/>
      <c r="Q85" s="2"/>
      <c r="R85" s="2"/>
      <c r="S85" s="2"/>
      <c r="T85" s="2"/>
      <c r="U85" s="2"/>
      <c r="V85" s="2"/>
      <c r="W85" s="2"/>
      <c r="X85" s="2"/>
      <c r="Y85" s="2"/>
    </row>
    <row r="86" spans="1:25" ht="14.25" customHeight="1" x14ac:dyDescent="0.3">
      <c r="A86" s="2"/>
      <c r="B86" s="1"/>
      <c r="C86" s="1"/>
      <c r="D86" s="1"/>
      <c r="E86" s="1"/>
      <c r="F86" s="2"/>
      <c r="G86" s="2"/>
      <c r="H86" s="2"/>
      <c r="I86" s="2"/>
      <c r="J86" s="2"/>
      <c r="K86" s="2"/>
      <c r="L86" s="2"/>
      <c r="M86" s="2"/>
      <c r="N86" s="2"/>
      <c r="O86" s="2"/>
      <c r="P86" s="2"/>
      <c r="Q86" s="2"/>
      <c r="R86" s="2"/>
      <c r="S86" s="2"/>
      <c r="T86" s="2"/>
      <c r="U86" s="2"/>
      <c r="V86" s="2"/>
      <c r="W86" s="2"/>
      <c r="X86" s="2"/>
      <c r="Y86" s="2"/>
    </row>
    <row r="87" spans="1:25" ht="14.25" customHeight="1" x14ac:dyDescent="0.3">
      <c r="A87" s="2"/>
      <c r="B87" s="1"/>
      <c r="C87" s="1"/>
      <c r="D87" s="1"/>
      <c r="E87" s="1"/>
      <c r="F87" s="2"/>
      <c r="G87" s="2"/>
      <c r="H87" s="2"/>
      <c r="I87" s="2"/>
      <c r="J87" s="2"/>
      <c r="K87" s="2"/>
      <c r="L87" s="2"/>
      <c r="M87" s="2"/>
      <c r="N87" s="2"/>
      <c r="O87" s="2"/>
      <c r="P87" s="2"/>
      <c r="Q87" s="2"/>
      <c r="R87" s="2"/>
      <c r="S87" s="2"/>
      <c r="T87" s="2"/>
      <c r="U87" s="2"/>
      <c r="V87" s="2"/>
      <c r="W87" s="2"/>
      <c r="X87" s="2"/>
      <c r="Y87" s="2"/>
    </row>
    <row r="88" spans="1:25" ht="14.25" customHeight="1" x14ac:dyDescent="0.3">
      <c r="A88" s="2"/>
      <c r="B88" s="1"/>
      <c r="C88" s="1"/>
      <c r="D88" s="1"/>
      <c r="E88" s="1"/>
      <c r="F88" s="2"/>
      <c r="G88" s="2"/>
      <c r="H88" s="2"/>
      <c r="I88" s="2"/>
      <c r="J88" s="2"/>
      <c r="K88" s="2"/>
      <c r="L88" s="2"/>
      <c r="M88" s="2"/>
      <c r="N88" s="2"/>
      <c r="O88" s="2"/>
      <c r="P88" s="2"/>
      <c r="Q88" s="2"/>
      <c r="R88" s="2"/>
      <c r="S88" s="2"/>
      <c r="T88" s="2"/>
      <c r="U88" s="2"/>
      <c r="V88" s="2"/>
      <c r="W88" s="2"/>
      <c r="X88" s="2"/>
      <c r="Y88" s="2"/>
    </row>
    <row r="89" spans="1:25" ht="14.25" customHeight="1" x14ac:dyDescent="0.3">
      <c r="A89" s="2"/>
      <c r="B89" s="1"/>
      <c r="C89" s="1"/>
      <c r="D89" s="1"/>
      <c r="E89" s="1"/>
      <c r="F89" s="2"/>
      <c r="G89" s="2"/>
      <c r="H89" s="2"/>
      <c r="I89" s="2"/>
      <c r="J89" s="2"/>
      <c r="K89" s="2"/>
      <c r="L89" s="2"/>
      <c r="M89" s="2"/>
      <c r="N89" s="2"/>
      <c r="O89" s="2"/>
      <c r="P89" s="2"/>
      <c r="Q89" s="2"/>
      <c r="R89" s="2"/>
      <c r="S89" s="2"/>
      <c r="T89" s="2"/>
      <c r="U89" s="2"/>
      <c r="V89" s="2"/>
      <c r="W89" s="2"/>
      <c r="X89" s="2"/>
      <c r="Y89" s="2"/>
    </row>
    <row r="90" spans="1:25" ht="14.25" customHeight="1" x14ac:dyDescent="0.3">
      <c r="A90" s="2"/>
      <c r="B90" s="1"/>
      <c r="C90" s="1"/>
      <c r="D90" s="1"/>
      <c r="E90" s="1"/>
      <c r="F90" s="2"/>
      <c r="G90" s="2"/>
      <c r="H90" s="2"/>
      <c r="I90" s="2"/>
      <c r="J90" s="2"/>
      <c r="K90" s="2"/>
      <c r="L90" s="2"/>
      <c r="M90" s="2"/>
      <c r="N90" s="2"/>
      <c r="O90" s="2"/>
      <c r="P90" s="2"/>
      <c r="Q90" s="2"/>
      <c r="R90" s="2"/>
      <c r="S90" s="2"/>
      <c r="T90" s="2"/>
      <c r="U90" s="2"/>
      <c r="V90" s="2"/>
      <c r="W90" s="2"/>
      <c r="X90" s="2"/>
      <c r="Y90" s="2"/>
    </row>
    <row r="91" spans="1:25" ht="14.25" customHeight="1" x14ac:dyDescent="0.3">
      <c r="A91" s="2"/>
      <c r="B91" s="1"/>
      <c r="C91" s="1"/>
      <c r="D91" s="1"/>
      <c r="E91" s="1"/>
      <c r="F91" s="2"/>
      <c r="G91" s="2"/>
      <c r="H91" s="2"/>
      <c r="I91" s="2"/>
      <c r="J91" s="2"/>
      <c r="K91" s="2"/>
      <c r="L91" s="2"/>
      <c r="M91" s="2"/>
      <c r="N91" s="2"/>
      <c r="O91" s="2"/>
      <c r="P91" s="2"/>
      <c r="Q91" s="2"/>
      <c r="R91" s="2"/>
      <c r="S91" s="2"/>
      <c r="T91" s="2"/>
      <c r="U91" s="2"/>
      <c r="V91" s="2"/>
      <c r="W91" s="2"/>
      <c r="X91" s="2"/>
      <c r="Y91" s="2"/>
    </row>
    <row r="92" spans="1:25" ht="14.25" customHeight="1" x14ac:dyDescent="0.3">
      <c r="A92" s="2"/>
      <c r="B92" s="1"/>
      <c r="C92" s="1"/>
      <c r="D92" s="1"/>
      <c r="E92" s="1"/>
      <c r="F92" s="2"/>
      <c r="G92" s="2"/>
      <c r="H92" s="2"/>
      <c r="I92" s="2"/>
      <c r="J92" s="2"/>
      <c r="K92" s="2"/>
      <c r="L92" s="2"/>
      <c r="M92" s="2"/>
      <c r="N92" s="2"/>
      <c r="O92" s="2"/>
      <c r="P92" s="2"/>
      <c r="Q92" s="2"/>
      <c r="R92" s="2"/>
      <c r="S92" s="2"/>
      <c r="T92" s="2"/>
      <c r="U92" s="2"/>
      <c r="V92" s="2"/>
      <c r="W92" s="2"/>
      <c r="X92" s="2"/>
      <c r="Y92" s="2"/>
    </row>
    <row r="93" spans="1:25" ht="14.25" customHeight="1" x14ac:dyDescent="0.3">
      <c r="A93" s="2"/>
      <c r="B93" s="1"/>
      <c r="C93" s="1"/>
      <c r="D93" s="1"/>
      <c r="E93" s="1"/>
      <c r="F93" s="2"/>
      <c r="G93" s="2"/>
      <c r="H93" s="2"/>
      <c r="I93" s="2"/>
      <c r="J93" s="2"/>
      <c r="K93" s="2"/>
      <c r="L93" s="2"/>
      <c r="M93" s="2"/>
      <c r="N93" s="2"/>
      <c r="O93" s="2"/>
      <c r="P93" s="2"/>
      <c r="Q93" s="2"/>
      <c r="R93" s="2"/>
      <c r="S93" s="2"/>
      <c r="T93" s="2"/>
      <c r="U93" s="2"/>
      <c r="V93" s="2"/>
      <c r="W93" s="2"/>
      <c r="X93" s="2"/>
      <c r="Y93" s="2"/>
    </row>
    <row r="94" spans="1:25" ht="14.25" customHeight="1" x14ac:dyDescent="0.3">
      <c r="A94" s="2"/>
      <c r="B94" s="1"/>
      <c r="C94" s="1"/>
      <c r="D94" s="1"/>
      <c r="E94" s="1"/>
      <c r="F94" s="2"/>
      <c r="G94" s="2"/>
      <c r="H94" s="2"/>
      <c r="I94" s="2"/>
      <c r="J94" s="2"/>
      <c r="K94" s="2"/>
      <c r="L94" s="2"/>
      <c r="M94" s="2"/>
      <c r="N94" s="2"/>
      <c r="O94" s="2"/>
      <c r="P94" s="2"/>
      <c r="Q94" s="2"/>
      <c r="R94" s="2"/>
      <c r="S94" s="2"/>
      <c r="T94" s="2"/>
      <c r="U94" s="2"/>
      <c r="V94" s="2"/>
      <c r="W94" s="2"/>
      <c r="X94" s="2"/>
      <c r="Y94" s="2"/>
    </row>
    <row r="95" spans="1:25" ht="14.25" customHeight="1" x14ac:dyDescent="0.3">
      <c r="A95" s="2"/>
      <c r="B95" s="1"/>
      <c r="C95" s="1"/>
      <c r="D95" s="1"/>
      <c r="E95" s="1"/>
      <c r="F95" s="2"/>
      <c r="G95" s="2"/>
      <c r="H95" s="2"/>
      <c r="I95" s="2"/>
      <c r="J95" s="2"/>
      <c r="K95" s="2"/>
      <c r="L95" s="2"/>
      <c r="M95" s="2"/>
      <c r="N95" s="2"/>
      <c r="O95" s="2"/>
      <c r="P95" s="2"/>
      <c r="Q95" s="2"/>
      <c r="R95" s="2"/>
      <c r="S95" s="2"/>
      <c r="T95" s="2"/>
      <c r="U95" s="2"/>
      <c r="V95" s="2"/>
      <c r="W95" s="2"/>
      <c r="X95" s="2"/>
      <c r="Y95" s="2"/>
    </row>
    <row r="96" spans="1:25" ht="14.25" customHeight="1" x14ac:dyDescent="0.3">
      <c r="A96" s="2"/>
      <c r="B96" s="1"/>
      <c r="C96" s="1"/>
      <c r="D96" s="1"/>
      <c r="E96" s="1"/>
      <c r="F96" s="2"/>
      <c r="G96" s="2"/>
      <c r="H96" s="2"/>
      <c r="I96" s="2"/>
      <c r="J96" s="2"/>
      <c r="K96" s="2"/>
      <c r="L96" s="2"/>
      <c r="M96" s="2"/>
      <c r="N96" s="2"/>
      <c r="O96" s="2"/>
      <c r="P96" s="2"/>
      <c r="Q96" s="2"/>
      <c r="R96" s="2"/>
      <c r="S96" s="2"/>
      <c r="T96" s="2"/>
      <c r="U96" s="2"/>
      <c r="V96" s="2"/>
      <c r="W96" s="2"/>
      <c r="X96" s="2"/>
      <c r="Y96" s="2"/>
    </row>
    <row r="97" spans="1:25" ht="14.25" customHeight="1" x14ac:dyDescent="0.3">
      <c r="A97" s="2"/>
      <c r="B97" s="1"/>
      <c r="C97" s="1"/>
      <c r="D97" s="1"/>
      <c r="E97" s="1"/>
      <c r="F97" s="2"/>
      <c r="G97" s="2"/>
      <c r="H97" s="2"/>
      <c r="I97" s="2"/>
      <c r="J97" s="2"/>
      <c r="K97" s="2"/>
      <c r="L97" s="2"/>
      <c r="M97" s="2"/>
      <c r="N97" s="2"/>
      <c r="O97" s="2"/>
      <c r="P97" s="2"/>
      <c r="Q97" s="2"/>
      <c r="R97" s="2"/>
      <c r="S97" s="2"/>
      <c r="T97" s="2"/>
      <c r="U97" s="2"/>
      <c r="V97" s="2"/>
      <c r="W97" s="2"/>
      <c r="X97" s="2"/>
      <c r="Y97" s="2"/>
    </row>
    <row r="98" spans="1:25" ht="14.25" customHeight="1" x14ac:dyDescent="0.3">
      <c r="A98" s="2"/>
      <c r="B98" s="1"/>
      <c r="C98" s="1"/>
      <c r="D98" s="1"/>
      <c r="E98" s="1"/>
      <c r="F98" s="2"/>
      <c r="G98" s="2"/>
      <c r="H98" s="2"/>
      <c r="I98" s="2"/>
      <c r="J98" s="2"/>
      <c r="K98" s="2"/>
      <c r="L98" s="2"/>
      <c r="M98" s="2"/>
      <c r="N98" s="2"/>
      <c r="O98" s="2"/>
      <c r="P98" s="2"/>
      <c r="Q98" s="2"/>
      <c r="R98" s="2"/>
      <c r="S98" s="2"/>
      <c r="T98" s="2"/>
      <c r="U98" s="2"/>
      <c r="V98" s="2"/>
      <c r="W98" s="2"/>
      <c r="X98" s="2"/>
      <c r="Y98" s="2"/>
    </row>
    <row r="99" spans="1:25" ht="14.25" customHeight="1" x14ac:dyDescent="0.3">
      <c r="A99" s="2"/>
      <c r="B99" s="1"/>
      <c r="C99" s="1"/>
      <c r="D99" s="1"/>
      <c r="E99" s="1"/>
      <c r="F99" s="2"/>
      <c r="G99" s="2"/>
      <c r="H99" s="2"/>
      <c r="I99" s="2"/>
      <c r="J99" s="2"/>
      <c r="K99" s="2"/>
      <c r="L99" s="2"/>
      <c r="M99" s="2"/>
      <c r="N99" s="2"/>
      <c r="O99" s="2"/>
      <c r="P99" s="2"/>
      <c r="Q99" s="2"/>
      <c r="R99" s="2"/>
      <c r="S99" s="2"/>
      <c r="T99" s="2"/>
      <c r="U99" s="2"/>
      <c r="V99" s="2"/>
      <c r="W99" s="2"/>
      <c r="X99" s="2"/>
      <c r="Y99" s="2"/>
    </row>
    <row r="100" spans="1:25" ht="14.25" customHeight="1" x14ac:dyDescent="0.3">
      <c r="A100" s="2"/>
      <c r="B100" s="1"/>
      <c r="C100" s="1"/>
      <c r="D100" s="1"/>
      <c r="E100" s="1"/>
      <c r="F100" s="2"/>
      <c r="G100" s="2"/>
      <c r="H100" s="2"/>
      <c r="I100" s="2"/>
      <c r="J100" s="2"/>
      <c r="K100" s="2"/>
      <c r="L100" s="2"/>
      <c r="M100" s="2"/>
      <c r="N100" s="2"/>
      <c r="O100" s="2"/>
      <c r="P100" s="2"/>
      <c r="Q100" s="2"/>
      <c r="R100" s="2"/>
      <c r="S100" s="2"/>
      <c r="T100" s="2"/>
      <c r="U100" s="2"/>
      <c r="V100" s="2"/>
      <c r="W100" s="2"/>
      <c r="X100" s="2"/>
      <c r="Y100" s="2"/>
    </row>
    <row r="101" spans="1:25" ht="14.25" customHeight="1" x14ac:dyDescent="0.3">
      <c r="A101" s="2"/>
      <c r="B101" s="1"/>
      <c r="C101" s="1"/>
      <c r="D101" s="1"/>
      <c r="E101" s="1"/>
      <c r="F101" s="2"/>
      <c r="G101" s="2"/>
      <c r="H101" s="2"/>
      <c r="I101" s="2"/>
      <c r="J101" s="2"/>
      <c r="K101" s="2"/>
      <c r="L101" s="2"/>
      <c r="M101" s="2"/>
      <c r="N101" s="2"/>
      <c r="O101" s="2"/>
      <c r="P101" s="2"/>
      <c r="Q101" s="2"/>
      <c r="R101" s="2"/>
      <c r="S101" s="2"/>
      <c r="T101" s="2"/>
      <c r="U101" s="2"/>
      <c r="V101" s="2"/>
      <c r="W101" s="2"/>
      <c r="X101" s="2"/>
      <c r="Y101" s="2"/>
    </row>
    <row r="102" spans="1:25" ht="14.25" customHeight="1" x14ac:dyDescent="0.3">
      <c r="A102" s="2"/>
      <c r="B102" s="1"/>
      <c r="C102" s="1"/>
      <c r="D102" s="1"/>
      <c r="E102" s="1"/>
      <c r="F102" s="2"/>
      <c r="G102" s="2"/>
      <c r="H102" s="2"/>
      <c r="I102" s="2"/>
      <c r="J102" s="2"/>
      <c r="K102" s="2"/>
      <c r="L102" s="2"/>
      <c r="M102" s="2"/>
      <c r="N102" s="2"/>
      <c r="O102" s="2"/>
      <c r="P102" s="2"/>
      <c r="Q102" s="2"/>
      <c r="R102" s="2"/>
      <c r="S102" s="2"/>
      <c r="T102" s="2"/>
      <c r="U102" s="2"/>
      <c r="V102" s="2"/>
      <c r="W102" s="2"/>
      <c r="X102" s="2"/>
      <c r="Y102" s="2"/>
    </row>
    <row r="103" spans="1:25" ht="14.25" customHeight="1" x14ac:dyDescent="0.3">
      <c r="A103" s="2"/>
      <c r="B103" s="1"/>
      <c r="C103" s="1"/>
      <c r="D103" s="1"/>
      <c r="E103" s="1"/>
      <c r="F103" s="2"/>
      <c r="G103" s="2"/>
      <c r="H103" s="2"/>
      <c r="I103" s="2"/>
      <c r="J103" s="2"/>
      <c r="K103" s="2"/>
      <c r="L103" s="2"/>
      <c r="M103" s="2"/>
      <c r="N103" s="2"/>
      <c r="O103" s="2"/>
      <c r="P103" s="2"/>
      <c r="Q103" s="2"/>
      <c r="R103" s="2"/>
      <c r="S103" s="2"/>
      <c r="T103" s="2"/>
      <c r="U103" s="2"/>
      <c r="V103" s="2"/>
      <c r="W103" s="2"/>
      <c r="X103" s="2"/>
      <c r="Y103" s="2"/>
    </row>
    <row r="104" spans="1:25" ht="14.25" customHeight="1" x14ac:dyDescent="0.3">
      <c r="A104" s="2"/>
      <c r="B104" s="1"/>
      <c r="C104" s="1"/>
      <c r="D104" s="1"/>
      <c r="E104" s="1"/>
      <c r="F104" s="2"/>
      <c r="G104" s="2"/>
      <c r="H104" s="2"/>
      <c r="I104" s="2"/>
      <c r="J104" s="2"/>
      <c r="K104" s="2"/>
      <c r="L104" s="2"/>
      <c r="M104" s="2"/>
      <c r="N104" s="2"/>
      <c r="O104" s="2"/>
      <c r="P104" s="2"/>
      <c r="Q104" s="2"/>
      <c r="R104" s="2"/>
      <c r="S104" s="2"/>
      <c r="T104" s="2"/>
      <c r="U104" s="2"/>
      <c r="V104" s="2"/>
      <c r="W104" s="2"/>
      <c r="X104" s="2"/>
      <c r="Y104" s="2"/>
    </row>
    <row r="105" spans="1:25" ht="14.25" customHeight="1" x14ac:dyDescent="0.3">
      <c r="A105" s="2"/>
      <c r="B105" s="1"/>
      <c r="C105" s="1"/>
      <c r="D105" s="1"/>
      <c r="E105" s="1"/>
      <c r="F105" s="2"/>
      <c r="G105" s="2"/>
      <c r="H105" s="2"/>
      <c r="I105" s="2"/>
      <c r="J105" s="2"/>
      <c r="K105" s="2"/>
      <c r="L105" s="2"/>
      <c r="M105" s="2"/>
      <c r="N105" s="2"/>
      <c r="O105" s="2"/>
      <c r="P105" s="2"/>
      <c r="Q105" s="2"/>
      <c r="R105" s="2"/>
      <c r="S105" s="2"/>
      <c r="T105" s="2"/>
      <c r="U105" s="2"/>
      <c r="V105" s="2"/>
      <c r="W105" s="2"/>
      <c r="X105" s="2"/>
      <c r="Y105" s="2"/>
    </row>
    <row r="106" spans="1:25" ht="14.25" customHeight="1" x14ac:dyDescent="0.3">
      <c r="A106" s="2"/>
      <c r="B106" s="1"/>
      <c r="C106" s="1"/>
      <c r="D106" s="1"/>
      <c r="E106" s="1"/>
      <c r="F106" s="2"/>
      <c r="G106" s="2"/>
      <c r="H106" s="2"/>
      <c r="I106" s="2"/>
      <c r="J106" s="2"/>
      <c r="K106" s="2"/>
      <c r="L106" s="2"/>
      <c r="M106" s="2"/>
      <c r="N106" s="2"/>
      <c r="O106" s="2"/>
      <c r="P106" s="2"/>
      <c r="Q106" s="2"/>
      <c r="R106" s="2"/>
      <c r="S106" s="2"/>
      <c r="T106" s="2"/>
      <c r="U106" s="2"/>
      <c r="V106" s="2"/>
      <c r="W106" s="2"/>
      <c r="X106" s="2"/>
      <c r="Y106" s="2"/>
    </row>
    <row r="107" spans="1:25" ht="14.25" customHeight="1" x14ac:dyDescent="0.3">
      <c r="A107" s="2"/>
      <c r="B107" s="1"/>
      <c r="C107" s="1"/>
      <c r="D107" s="1"/>
      <c r="E107" s="1"/>
      <c r="F107" s="2"/>
      <c r="G107" s="2"/>
      <c r="H107" s="2"/>
      <c r="I107" s="2"/>
      <c r="J107" s="2"/>
      <c r="K107" s="2"/>
      <c r="L107" s="2"/>
      <c r="M107" s="2"/>
      <c r="N107" s="2"/>
      <c r="O107" s="2"/>
      <c r="P107" s="2"/>
      <c r="Q107" s="2"/>
      <c r="R107" s="2"/>
      <c r="S107" s="2"/>
      <c r="T107" s="2"/>
      <c r="U107" s="2"/>
      <c r="V107" s="2"/>
      <c r="W107" s="2"/>
      <c r="X107" s="2"/>
      <c r="Y107" s="2"/>
    </row>
    <row r="108" spans="1:25" ht="14.25" customHeight="1" x14ac:dyDescent="0.3">
      <c r="A108" s="2"/>
      <c r="B108" s="1"/>
      <c r="C108" s="1"/>
      <c r="D108" s="1"/>
      <c r="E108" s="1"/>
      <c r="F108" s="2"/>
      <c r="G108" s="2"/>
      <c r="H108" s="2"/>
      <c r="I108" s="2"/>
      <c r="J108" s="2"/>
      <c r="K108" s="2"/>
      <c r="L108" s="2"/>
      <c r="M108" s="2"/>
      <c r="N108" s="2"/>
      <c r="O108" s="2"/>
      <c r="P108" s="2"/>
      <c r="Q108" s="2"/>
      <c r="R108" s="2"/>
      <c r="S108" s="2"/>
      <c r="T108" s="2"/>
      <c r="U108" s="2"/>
      <c r="V108" s="2"/>
      <c r="W108" s="2"/>
      <c r="X108" s="2"/>
      <c r="Y108" s="2"/>
    </row>
    <row r="109" spans="1:25" ht="14.25" customHeight="1" x14ac:dyDescent="0.3">
      <c r="A109" s="2"/>
      <c r="B109" s="1"/>
      <c r="C109" s="1"/>
      <c r="D109" s="1"/>
      <c r="E109" s="1"/>
      <c r="F109" s="2"/>
      <c r="G109" s="2"/>
      <c r="H109" s="2"/>
      <c r="I109" s="2"/>
      <c r="J109" s="2"/>
      <c r="K109" s="2"/>
      <c r="L109" s="2"/>
      <c r="M109" s="2"/>
      <c r="N109" s="2"/>
      <c r="O109" s="2"/>
      <c r="P109" s="2"/>
      <c r="Q109" s="2"/>
      <c r="R109" s="2"/>
      <c r="S109" s="2"/>
      <c r="T109" s="2"/>
      <c r="U109" s="2"/>
      <c r="V109" s="2"/>
      <c r="W109" s="2"/>
      <c r="X109" s="2"/>
      <c r="Y109" s="2"/>
    </row>
    <row r="110" spans="1:25" ht="14.25" customHeight="1" x14ac:dyDescent="0.3">
      <c r="A110" s="2"/>
      <c r="B110" s="1"/>
      <c r="C110" s="1"/>
      <c r="D110" s="1"/>
      <c r="E110" s="1"/>
      <c r="F110" s="2"/>
      <c r="G110" s="2"/>
      <c r="H110" s="2"/>
      <c r="I110" s="2"/>
      <c r="J110" s="2"/>
      <c r="K110" s="2"/>
      <c r="L110" s="2"/>
      <c r="M110" s="2"/>
      <c r="N110" s="2"/>
      <c r="O110" s="2"/>
      <c r="P110" s="2"/>
      <c r="Q110" s="2"/>
      <c r="R110" s="2"/>
      <c r="S110" s="2"/>
      <c r="T110" s="2"/>
      <c r="U110" s="2"/>
      <c r="V110" s="2"/>
      <c r="W110" s="2"/>
      <c r="X110" s="2"/>
      <c r="Y110" s="2"/>
    </row>
    <row r="111" spans="1:25" ht="14.25" customHeight="1" x14ac:dyDescent="0.3">
      <c r="A111" s="2"/>
      <c r="B111" s="1"/>
      <c r="C111" s="1"/>
      <c r="D111" s="1"/>
      <c r="E111" s="1"/>
      <c r="F111" s="2"/>
      <c r="G111" s="2"/>
      <c r="H111" s="2"/>
      <c r="I111" s="2"/>
      <c r="J111" s="2"/>
      <c r="K111" s="2"/>
      <c r="L111" s="2"/>
      <c r="M111" s="2"/>
      <c r="N111" s="2"/>
      <c r="O111" s="2"/>
      <c r="P111" s="2"/>
      <c r="Q111" s="2"/>
      <c r="R111" s="2"/>
      <c r="S111" s="2"/>
      <c r="T111" s="2"/>
      <c r="U111" s="2"/>
      <c r="V111" s="2"/>
      <c r="W111" s="2"/>
      <c r="X111" s="2"/>
      <c r="Y111" s="2"/>
    </row>
    <row r="112" spans="1:25" ht="14.25" customHeight="1" x14ac:dyDescent="0.3">
      <c r="A112" s="2"/>
      <c r="B112" s="1"/>
      <c r="C112" s="1"/>
      <c r="D112" s="1"/>
      <c r="E112" s="1"/>
      <c r="F112" s="2"/>
      <c r="G112" s="2"/>
      <c r="H112" s="2"/>
      <c r="I112" s="2"/>
      <c r="J112" s="2"/>
      <c r="K112" s="2"/>
      <c r="L112" s="2"/>
      <c r="M112" s="2"/>
      <c r="N112" s="2"/>
      <c r="O112" s="2"/>
      <c r="P112" s="2"/>
      <c r="Q112" s="2"/>
      <c r="R112" s="2"/>
      <c r="S112" s="2"/>
      <c r="T112" s="2"/>
      <c r="U112" s="2"/>
      <c r="V112" s="2"/>
      <c r="W112" s="2"/>
      <c r="X112" s="2"/>
      <c r="Y112" s="2"/>
    </row>
    <row r="113" spans="1:25" ht="14.25" customHeight="1" x14ac:dyDescent="0.3">
      <c r="A113" s="2"/>
      <c r="B113" s="1"/>
      <c r="C113" s="1"/>
      <c r="D113" s="1"/>
      <c r="E113" s="1"/>
      <c r="F113" s="2"/>
      <c r="G113" s="2"/>
      <c r="H113" s="2"/>
      <c r="I113" s="2"/>
      <c r="J113" s="2"/>
      <c r="K113" s="2"/>
      <c r="L113" s="2"/>
      <c r="M113" s="2"/>
      <c r="N113" s="2"/>
      <c r="O113" s="2"/>
      <c r="P113" s="2"/>
      <c r="Q113" s="2"/>
      <c r="R113" s="2"/>
      <c r="S113" s="2"/>
      <c r="T113" s="2"/>
      <c r="U113" s="2"/>
      <c r="V113" s="2"/>
      <c r="W113" s="2"/>
      <c r="X113" s="2"/>
      <c r="Y113" s="2"/>
    </row>
    <row r="114" spans="1:25" ht="14.25" customHeight="1" x14ac:dyDescent="0.3">
      <c r="A114" s="2"/>
      <c r="B114" s="1"/>
      <c r="C114" s="1"/>
      <c r="D114" s="1"/>
      <c r="E114" s="1"/>
      <c r="F114" s="2"/>
      <c r="G114" s="2"/>
      <c r="H114" s="2"/>
      <c r="I114" s="2"/>
      <c r="J114" s="2"/>
      <c r="K114" s="2"/>
      <c r="L114" s="2"/>
      <c r="M114" s="2"/>
      <c r="N114" s="2"/>
      <c r="O114" s="2"/>
      <c r="P114" s="2"/>
      <c r="Q114" s="2"/>
      <c r="R114" s="2"/>
      <c r="S114" s="2"/>
      <c r="T114" s="2"/>
      <c r="U114" s="2"/>
      <c r="V114" s="2"/>
      <c r="W114" s="2"/>
      <c r="X114" s="2"/>
      <c r="Y114" s="2"/>
    </row>
    <row r="115" spans="1:25" ht="14.25" customHeight="1" x14ac:dyDescent="0.3">
      <c r="A115" s="2"/>
      <c r="B115" s="1"/>
      <c r="C115" s="1"/>
      <c r="D115" s="1"/>
      <c r="E115" s="1"/>
      <c r="F115" s="2"/>
      <c r="G115" s="2"/>
      <c r="H115" s="2"/>
      <c r="I115" s="2"/>
      <c r="J115" s="2"/>
      <c r="K115" s="2"/>
      <c r="L115" s="2"/>
      <c r="M115" s="2"/>
      <c r="N115" s="2"/>
      <c r="O115" s="2"/>
      <c r="P115" s="2"/>
      <c r="Q115" s="2"/>
      <c r="R115" s="2"/>
      <c r="S115" s="2"/>
      <c r="T115" s="2"/>
      <c r="U115" s="2"/>
      <c r="V115" s="2"/>
      <c r="W115" s="2"/>
      <c r="X115" s="2"/>
      <c r="Y115" s="2"/>
    </row>
    <row r="116" spans="1:25" ht="14.25" customHeight="1" x14ac:dyDescent="0.3">
      <c r="A116" s="2"/>
      <c r="B116" s="1"/>
      <c r="C116" s="1"/>
      <c r="D116" s="1"/>
      <c r="E116" s="1"/>
      <c r="F116" s="2"/>
      <c r="G116" s="2"/>
      <c r="H116" s="2"/>
      <c r="I116" s="2"/>
      <c r="J116" s="2"/>
      <c r="K116" s="2"/>
      <c r="L116" s="2"/>
      <c r="M116" s="2"/>
      <c r="N116" s="2"/>
      <c r="O116" s="2"/>
      <c r="P116" s="2"/>
      <c r="Q116" s="2"/>
      <c r="R116" s="2"/>
      <c r="S116" s="2"/>
      <c r="T116" s="2"/>
      <c r="U116" s="2"/>
      <c r="V116" s="2"/>
      <c r="W116" s="2"/>
      <c r="X116" s="2"/>
      <c r="Y116" s="2"/>
    </row>
    <row r="117" spans="1:25" ht="14.25" customHeight="1" x14ac:dyDescent="0.3">
      <c r="A117" s="2"/>
      <c r="B117" s="1"/>
      <c r="C117" s="1"/>
      <c r="D117" s="1"/>
      <c r="E117" s="1"/>
      <c r="F117" s="2"/>
      <c r="G117" s="2"/>
      <c r="H117" s="2"/>
      <c r="I117" s="2"/>
      <c r="J117" s="2"/>
      <c r="K117" s="2"/>
      <c r="L117" s="2"/>
      <c r="M117" s="2"/>
      <c r="N117" s="2"/>
      <c r="O117" s="2"/>
      <c r="P117" s="2"/>
      <c r="Q117" s="2"/>
      <c r="R117" s="2"/>
      <c r="S117" s="2"/>
      <c r="T117" s="2"/>
      <c r="U117" s="2"/>
      <c r="V117" s="2"/>
      <c r="W117" s="2"/>
      <c r="X117" s="2"/>
      <c r="Y117" s="2"/>
    </row>
    <row r="118" spans="1:25" ht="14.25" customHeight="1" x14ac:dyDescent="0.3">
      <c r="A118" s="2"/>
      <c r="B118" s="1"/>
      <c r="C118" s="1"/>
      <c r="D118" s="1"/>
      <c r="E118" s="1"/>
      <c r="F118" s="2"/>
      <c r="G118" s="2"/>
      <c r="H118" s="2"/>
      <c r="I118" s="2"/>
      <c r="J118" s="2"/>
      <c r="K118" s="2"/>
      <c r="L118" s="2"/>
      <c r="M118" s="2"/>
      <c r="N118" s="2"/>
      <c r="O118" s="2"/>
      <c r="P118" s="2"/>
      <c r="Q118" s="2"/>
      <c r="R118" s="2"/>
      <c r="S118" s="2"/>
      <c r="T118" s="2"/>
      <c r="U118" s="2"/>
      <c r="V118" s="2"/>
      <c r="W118" s="2"/>
      <c r="X118" s="2"/>
      <c r="Y118" s="2"/>
    </row>
    <row r="119" spans="1:25" ht="14.25" customHeight="1" x14ac:dyDescent="0.3">
      <c r="A119" s="2"/>
      <c r="B119" s="1"/>
      <c r="C119" s="1"/>
      <c r="D119" s="1"/>
      <c r="E119" s="1"/>
      <c r="F119" s="2"/>
      <c r="G119" s="2"/>
      <c r="H119" s="2"/>
      <c r="I119" s="2"/>
      <c r="J119" s="2"/>
      <c r="K119" s="2"/>
      <c r="L119" s="2"/>
      <c r="M119" s="2"/>
      <c r="N119" s="2"/>
      <c r="O119" s="2"/>
      <c r="P119" s="2"/>
      <c r="Q119" s="2"/>
      <c r="R119" s="2"/>
      <c r="S119" s="2"/>
      <c r="T119" s="2"/>
      <c r="U119" s="2"/>
      <c r="V119" s="2"/>
      <c r="W119" s="2"/>
      <c r="X119" s="2"/>
      <c r="Y119" s="2"/>
    </row>
    <row r="120" spans="1:25" ht="14.25" customHeight="1" x14ac:dyDescent="0.3">
      <c r="A120" s="2"/>
      <c r="B120" s="1"/>
      <c r="C120" s="1"/>
      <c r="D120" s="1"/>
      <c r="E120" s="1"/>
      <c r="F120" s="2"/>
      <c r="G120" s="2"/>
      <c r="H120" s="2"/>
      <c r="I120" s="2"/>
      <c r="J120" s="2"/>
      <c r="K120" s="2"/>
      <c r="L120" s="2"/>
      <c r="M120" s="2"/>
      <c r="N120" s="2"/>
      <c r="O120" s="2"/>
      <c r="P120" s="2"/>
      <c r="Q120" s="2"/>
      <c r="R120" s="2"/>
      <c r="S120" s="2"/>
      <c r="T120" s="2"/>
      <c r="U120" s="2"/>
      <c r="V120" s="2"/>
      <c r="W120" s="2"/>
      <c r="X120" s="2"/>
      <c r="Y120" s="2"/>
    </row>
    <row r="121" spans="1:25" ht="14.25" customHeight="1" x14ac:dyDescent="0.3">
      <c r="A121" s="2"/>
      <c r="B121" s="1"/>
      <c r="C121" s="1"/>
      <c r="D121" s="1"/>
      <c r="E121" s="1"/>
      <c r="F121" s="2"/>
      <c r="G121" s="2"/>
      <c r="H121" s="2"/>
      <c r="I121" s="2"/>
      <c r="J121" s="2"/>
      <c r="K121" s="2"/>
      <c r="L121" s="2"/>
      <c r="M121" s="2"/>
      <c r="N121" s="2"/>
      <c r="O121" s="2"/>
      <c r="P121" s="2"/>
      <c r="Q121" s="2"/>
      <c r="R121" s="2"/>
      <c r="S121" s="2"/>
      <c r="T121" s="2"/>
      <c r="U121" s="2"/>
      <c r="V121" s="2"/>
      <c r="W121" s="2"/>
      <c r="X121" s="2"/>
      <c r="Y121" s="2"/>
    </row>
    <row r="122" spans="1:25" ht="14.25" customHeight="1" x14ac:dyDescent="0.3">
      <c r="A122" s="2"/>
      <c r="B122" s="1"/>
      <c r="C122" s="1"/>
      <c r="D122" s="1"/>
      <c r="E122" s="1"/>
      <c r="F122" s="2"/>
      <c r="G122" s="2"/>
      <c r="H122" s="2"/>
      <c r="I122" s="2"/>
      <c r="J122" s="2"/>
      <c r="K122" s="2"/>
      <c r="L122" s="2"/>
      <c r="M122" s="2"/>
      <c r="N122" s="2"/>
      <c r="O122" s="2"/>
      <c r="P122" s="2"/>
      <c r="Q122" s="2"/>
      <c r="R122" s="2"/>
      <c r="S122" s="2"/>
      <c r="T122" s="2"/>
      <c r="U122" s="2"/>
      <c r="V122" s="2"/>
      <c r="W122" s="2"/>
      <c r="X122" s="2"/>
      <c r="Y122" s="2"/>
    </row>
    <row r="123" spans="1:25" ht="14.25" customHeight="1" x14ac:dyDescent="0.3">
      <c r="A123" s="2"/>
      <c r="B123" s="1"/>
      <c r="C123" s="1"/>
      <c r="D123" s="1"/>
      <c r="E123" s="1"/>
      <c r="F123" s="2"/>
      <c r="G123" s="2"/>
      <c r="H123" s="2"/>
      <c r="I123" s="2"/>
      <c r="J123" s="2"/>
      <c r="K123" s="2"/>
      <c r="L123" s="2"/>
      <c r="M123" s="2"/>
      <c r="N123" s="2"/>
      <c r="O123" s="2"/>
      <c r="P123" s="2"/>
      <c r="Q123" s="2"/>
      <c r="R123" s="2"/>
      <c r="S123" s="2"/>
      <c r="T123" s="2"/>
      <c r="U123" s="2"/>
      <c r="V123" s="2"/>
      <c r="W123" s="2"/>
      <c r="X123" s="2"/>
      <c r="Y123" s="2"/>
    </row>
    <row r="124" spans="1:25" ht="14.25" customHeight="1" x14ac:dyDescent="0.3">
      <c r="A124" s="2"/>
      <c r="B124" s="1"/>
      <c r="C124" s="1"/>
      <c r="D124" s="1"/>
      <c r="E124" s="1"/>
      <c r="F124" s="2"/>
      <c r="G124" s="2"/>
      <c r="H124" s="2"/>
      <c r="I124" s="2"/>
      <c r="J124" s="2"/>
      <c r="K124" s="2"/>
      <c r="L124" s="2"/>
      <c r="M124" s="2"/>
      <c r="N124" s="2"/>
      <c r="O124" s="2"/>
      <c r="P124" s="2"/>
      <c r="Q124" s="2"/>
      <c r="R124" s="2"/>
      <c r="S124" s="2"/>
      <c r="T124" s="2"/>
      <c r="U124" s="2"/>
      <c r="V124" s="2"/>
      <c r="W124" s="2"/>
      <c r="X124" s="2"/>
      <c r="Y124" s="2"/>
    </row>
    <row r="125" spans="1:25" ht="14.25" customHeight="1" x14ac:dyDescent="0.3">
      <c r="A125" s="2"/>
      <c r="B125" s="1"/>
      <c r="C125" s="1"/>
      <c r="D125" s="1"/>
      <c r="E125" s="1"/>
      <c r="F125" s="2"/>
      <c r="G125" s="2"/>
      <c r="H125" s="2"/>
      <c r="I125" s="2"/>
      <c r="J125" s="2"/>
      <c r="K125" s="2"/>
      <c r="L125" s="2"/>
      <c r="M125" s="2"/>
      <c r="N125" s="2"/>
      <c r="O125" s="2"/>
      <c r="P125" s="2"/>
      <c r="Q125" s="2"/>
      <c r="R125" s="2"/>
      <c r="S125" s="2"/>
      <c r="T125" s="2"/>
      <c r="U125" s="2"/>
      <c r="V125" s="2"/>
      <c r="W125" s="2"/>
      <c r="X125" s="2"/>
      <c r="Y125" s="2"/>
    </row>
    <row r="126" spans="1:25" ht="14.25" customHeight="1" x14ac:dyDescent="0.3">
      <c r="A126" s="2"/>
      <c r="B126" s="1"/>
      <c r="C126" s="1"/>
      <c r="D126" s="1"/>
      <c r="E126" s="1"/>
      <c r="F126" s="2"/>
      <c r="G126" s="2"/>
      <c r="H126" s="2"/>
      <c r="I126" s="2"/>
      <c r="J126" s="2"/>
      <c r="K126" s="2"/>
      <c r="L126" s="2"/>
      <c r="M126" s="2"/>
      <c r="N126" s="2"/>
      <c r="O126" s="2"/>
      <c r="P126" s="2"/>
      <c r="Q126" s="2"/>
      <c r="R126" s="2"/>
      <c r="S126" s="2"/>
      <c r="T126" s="2"/>
      <c r="U126" s="2"/>
      <c r="V126" s="2"/>
      <c r="W126" s="2"/>
      <c r="X126" s="2"/>
      <c r="Y126" s="2"/>
    </row>
    <row r="127" spans="1:25" ht="14.25" customHeight="1" x14ac:dyDescent="0.3">
      <c r="A127" s="2"/>
      <c r="B127" s="1"/>
      <c r="C127" s="1"/>
      <c r="D127" s="1"/>
      <c r="E127" s="1"/>
      <c r="F127" s="2"/>
      <c r="G127" s="2"/>
      <c r="H127" s="2"/>
      <c r="I127" s="2"/>
      <c r="J127" s="2"/>
      <c r="K127" s="2"/>
      <c r="L127" s="2"/>
      <c r="M127" s="2"/>
      <c r="N127" s="2"/>
      <c r="O127" s="2"/>
      <c r="P127" s="2"/>
      <c r="Q127" s="2"/>
      <c r="R127" s="2"/>
      <c r="S127" s="2"/>
      <c r="T127" s="2"/>
      <c r="U127" s="2"/>
      <c r="V127" s="2"/>
      <c r="W127" s="2"/>
      <c r="X127" s="2"/>
      <c r="Y127" s="2"/>
    </row>
    <row r="128" spans="1:25" ht="14.25" customHeight="1" x14ac:dyDescent="0.3">
      <c r="A128" s="2"/>
      <c r="B128" s="1"/>
      <c r="C128" s="1"/>
      <c r="D128" s="1"/>
      <c r="E128" s="1"/>
      <c r="F128" s="2"/>
      <c r="G128" s="2"/>
      <c r="H128" s="2"/>
      <c r="I128" s="2"/>
      <c r="J128" s="2"/>
      <c r="K128" s="2"/>
      <c r="L128" s="2"/>
      <c r="M128" s="2"/>
      <c r="N128" s="2"/>
      <c r="O128" s="2"/>
      <c r="P128" s="2"/>
      <c r="Q128" s="2"/>
      <c r="R128" s="2"/>
      <c r="S128" s="2"/>
      <c r="T128" s="2"/>
      <c r="U128" s="2"/>
      <c r="V128" s="2"/>
      <c r="W128" s="2"/>
      <c r="X128" s="2"/>
      <c r="Y128" s="2"/>
    </row>
    <row r="129" spans="1:25" ht="14.25" customHeight="1" x14ac:dyDescent="0.3">
      <c r="A129" s="2"/>
      <c r="B129" s="1"/>
      <c r="C129" s="1"/>
      <c r="D129" s="1"/>
      <c r="E129" s="1"/>
      <c r="F129" s="2"/>
      <c r="G129" s="2"/>
      <c r="H129" s="2"/>
      <c r="I129" s="2"/>
      <c r="J129" s="2"/>
      <c r="K129" s="2"/>
      <c r="L129" s="2"/>
      <c r="M129" s="2"/>
      <c r="N129" s="2"/>
      <c r="O129" s="2"/>
      <c r="P129" s="2"/>
      <c r="Q129" s="2"/>
      <c r="R129" s="2"/>
      <c r="S129" s="2"/>
      <c r="T129" s="2"/>
      <c r="U129" s="2"/>
      <c r="V129" s="2"/>
      <c r="W129" s="2"/>
      <c r="X129" s="2"/>
      <c r="Y129" s="2"/>
    </row>
    <row r="130" spans="1:25" ht="14.25" customHeight="1" x14ac:dyDescent="0.3">
      <c r="A130" s="2"/>
      <c r="B130" s="1"/>
      <c r="C130" s="1"/>
      <c r="D130" s="1"/>
      <c r="E130" s="1"/>
      <c r="F130" s="2"/>
      <c r="G130" s="2"/>
      <c r="H130" s="2"/>
      <c r="I130" s="2"/>
      <c r="J130" s="2"/>
      <c r="K130" s="2"/>
      <c r="L130" s="2"/>
      <c r="M130" s="2"/>
      <c r="N130" s="2"/>
      <c r="O130" s="2"/>
      <c r="P130" s="2"/>
      <c r="Q130" s="2"/>
      <c r="R130" s="2"/>
      <c r="S130" s="2"/>
      <c r="T130" s="2"/>
      <c r="U130" s="2"/>
      <c r="V130" s="2"/>
      <c r="W130" s="2"/>
      <c r="X130" s="2"/>
      <c r="Y130" s="2"/>
    </row>
    <row r="131" spans="1:25" ht="14.25" customHeight="1" x14ac:dyDescent="0.3">
      <c r="A131" s="2"/>
      <c r="B131" s="1"/>
      <c r="C131" s="1"/>
      <c r="D131" s="1"/>
      <c r="E131" s="1"/>
      <c r="F131" s="2"/>
      <c r="G131" s="2"/>
      <c r="H131" s="2"/>
      <c r="I131" s="2"/>
      <c r="J131" s="2"/>
      <c r="K131" s="2"/>
      <c r="L131" s="2"/>
      <c r="M131" s="2"/>
      <c r="N131" s="2"/>
      <c r="O131" s="2"/>
      <c r="P131" s="2"/>
      <c r="Q131" s="2"/>
      <c r="R131" s="2"/>
      <c r="S131" s="2"/>
      <c r="T131" s="2"/>
      <c r="U131" s="2"/>
      <c r="V131" s="2"/>
      <c r="W131" s="2"/>
      <c r="X131" s="2"/>
      <c r="Y131" s="2"/>
    </row>
    <row r="132" spans="1:25" ht="14.25" customHeight="1" x14ac:dyDescent="0.3">
      <c r="A132" s="2"/>
      <c r="B132" s="1"/>
      <c r="C132" s="1"/>
      <c r="D132" s="1"/>
      <c r="E132" s="1"/>
      <c r="F132" s="2"/>
      <c r="G132" s="2"/>
      <c r="H132" s="2"/>
      <c r="I132" s="2"/>
      <c r="J132" s="2"/>
      <c r="K132" s="2"/>
      <c r="L132" s="2"/>
      <c r="M132" s="2"/>
      <c r="N132" s="2"/>
      <c r="O132" s="2"/>
      <c r="P132" s="2"/>
      <c r="Q132" s="2"/>
      <c r="R132" s="2"/>
      <c r="S132" s="2"/>
      <c r="T132" s="2"/>
      <c r="U132" s="2"/>
      <c r="V132" s="2"/>
      <c r="W132" s="2"/>
      <c r="X132" s="2"/>
      <c r="Y132" s="2"/>
    </row>
    <row r="133" spans="1:25" ht="14.25" customHeight="1" x14ac:dyDescent="0.3">
      <c r="A133" s="2"/>
      <c r="B133" s="1"/>
      <c r="C133" s="1"/>
      <c r="D133" s="1"/>
      <c r="E133" s="1"/>
      <c r="F133" s="2"/>
      <c r="G133" s="2"/>
      <c r="H133" s="2"/>
      <c r="I133" s="2"/>
      <c r="J133" s="2"/>
      <c r="K133" s="2"/>
      <c r="L133" s="2"/>
      <c r="M133" s="2"/>
      <c r="N133" s="2"/>
      <c r="O133" s="2"/>
      <c r="P133" s="2"/>
      <c r="Q133" s="2"/>
      <c r="R133" s="2"/>
      <c r="S133" s="2"/>
      <c r="T133" s="2"/>
      <c r="U133" s="2"/>
      <c r="V133" s="2"/>
      <c r="W133" s="2"/>
      <c r="X133" s="2"/>
      <c r="Y133" s="2"/>
    </row>
    <row r="134" spans="1:25" ht="14.25" customHeight="1" x14ac:dyDescent="0.3">
      <c r="A134" s="2"/>
      <c r="B134" s="1"/>
      <c r="C134" s="1"/>
      <c r="D134" s="1"/>
      <c r="E134" s="1"/>
      <c r="F134" s="2"/>
      <c r="G134" s="2"/>
      <c r="H134" s="2"/>
      <c r="I134" s="2"/>
      <c r="J134" s="2"/>
      <c r="K134" s="2"/>
      <c r="L134" s="2"/>
      <c r="M134" s="2"/>
      <c r="N134" s="2"/>
      <c r="O134" s="2"/>
      <c r="P134" s="2"/>
      <c r="Q134" s="2"/>
      <c r="R134" s="2"/>
      <c r="S134" s="2"/>
      <c r="T134" s="2"/>
      <c r="U134" s="2"/>
      <c r="V134" s="2"/>
      <c r="W134" s="2"/>
      <c r="X134" s="2"/>
      <c r="Y134" s="2"/>
    </row>
    <row r="135" spans="1:25" ht="14.25" customHeight="1" x14ac:dyDescent="0.3">
      <c r="A135" s="2"/>
      <c r="B135" s="1"/>
      <c r="C135" s="1"/>
      <c r="D135" s="1"/>
      <c r="E135" s="1"/>
      <c r="F135" s="2"/>
      <c r="G135" s="2"/>
      <c r="H135" s="2"/>
      <c r="I135" s="2"/>
      <c r="J135" s="2"/>
      <c r="K135" s="2"/>
      <c r="L135" s="2"/>
      <c r="M135" s="2"/>
      <c r="N135" s="2"/>
      <c r="O135" s="2"/>
      <c r="P135" s="2"/>
      <c r="Q135" s="2"/>
      <c r="R135" s="2"/>
      <c r="S135" s="2"/>
      <c r="T135" s="2"/>
      <c r="U135" s="2"/>
      <c r="V135" s="2"/>
      <c r="W135" s="2"/>
      <c r="X135" s="2"/>
      <c r="Y135" s="2"/>
    </row>
    <row r="136" spans="1:25" ht="14.25" customHeight="1" x14ac:dyDescent="0.3">
      <c r="A136" s="2"/>
      <c r="B136" s="1"/>
      <c r="C136" s="1"/>
      <c r="D136" s="1"/>
      <c r="E136" s="1"/>
      <c r="F136" s="2"/>
      <c r="G136" s="2"/>
      <c r="H136" s="2"/>
      <c r="I136" s="2"/>
      <c r="J136" s="2"/>
      <c r="K136" s="2"/>
      <c r="L136" s="2"/>
      <c r="M136" s="2"/>
      <c r="N136" s="2"/>
      <c r="O136" s="2"/>
      <c r="P136" s="2"/>
      <c r="Q136" s="2"/>
      <c r="R136" s="2"/>
      <c r="S136" s="2"/>
      <c r="T136" s="2"/>
      <c r="U136" s="2"/>
      <c r="V136" s="2"/>
      <c r="W136" s="2"/>
      <c r="X136" s="2"/>
      <c r="Y136" s="2"/>
    </row>
    <row r="137" spans="1:25" ht="14.25" customHeight="1" x14ac:dyDescent="0.3">
      <c r="A137" s="2"/>
      <c r="B137" s="1"/>
      <c r="C137" s="1"/>
      <c r="D137" s="1"/>
      <c r="E137" s="1"/>
      <c r="F137" s="2"/>
      <c r="G137" s="2"/>
      <c r="H137" s="2"/>
      <c r="I137" s="2"/>
      <c r="J137" s="2"/>
      <c r="K137" s="2"/>
      <c r="L137" s="2"/>
      <c r="M137" s="2"/>
      <c r="N137" s="2"/>
      <c r="O137" s="2"/>
      <c r="P137" s="2"/>
      <c r="Q137" s="2"/>
      <c r="R137" s="2"/>
      <c r="S137" s="2"/>
      <c r="T137" s="2"/>
      <c r="U137" s="2"/>
      <c r="V137" s="2"/>
      <c r="W137" s="2"/>
      <c r="X137" s="2"/>
      <c r="Y137" s="2"/>
    </row>
    <row r="138" spans="1:25" ht="14.25" customHeight="1" x14ac:dyDescent="0.3">
      <c r="A138" s="2"/>
      <c r="B138" s="1"/>
      <c r="C138" s="1"/>
      <c r="D138" s="1"/>
      <c r="E138" s="1"/>
      <c r="F138" s="2"/>
      <c r="G138" s="2"/>
      <c r="H138" s="2"/>
      <c r="I138" s="2"/>
      <c r="J138" s="2"/>
      <c r="K138" s="2"/>
      <c r="L138" s="2"/>
      <c r="M138" s="2"/>
      <c r="N138" s="2"/>
      <c r="O138" s="2"/>
      <c r="P138" s="2"/>
      <c r="Q138" s="2"/>
      <c r="R138" s="2"/>
      <c r="S138" s="2"/>
      <c r="T138" s="2"/>
      <c r="U138" s="2"/>
      <c r="V138" s="2"/>
      <c r="W138" s="2"/>
      <c r="X138" s="2"/>
      <c r="Y138" s="2"/>
    </row>
    <row r="139" spans="1:25" ht="14.25" customHeight="1" x14ac:dyDescent="0.3">
      <c r="A139" s="2"/>
      <c r="B139" s="1"/>
      <c r="C139" s="1"/>
      <c r="D139" s="1"/>
      <c r="E139" s="1"/>
      <c r="F139" s="2"/>
      <c r="G139" s="2"/>
      <c r="H139" s="2"/>
      <c r="I139" s="2"/>
      <c r="J139" s="2"/>
      <c r="K139" s="2"/>
      <c r="L139" s="2"/>
      <c r="M139" s="2"/>
      <c r="N139" s="2"/>
      <c r="O139" s="2"/>
      <c r="P139" s="2"/>
      <c r="Q139" s="2"/>
      <c r="R139" s="2"/>
      <c r="S139" s="2"/>
      <c r="T139" s="2"/>
      <c r="U139" s="2"/>
      <c r="V139" s="2"/>
      <c r="W139" s="2"/>
      <c r="X139" s="2"/>
      <c r="Y139" s="2"/>
    </row>
    <row r="140" spans="1:25" ht="14.25" customHeight="1" x14ac:dyDescent="0.3">
      <c r="A140" s="2"/>
      <c r="B140" s="1"/>
      <c r="C140" s="1"/>
      <c r="D140" s="1"/>
      <c r="E140" s="1"/>
      <c r="F140" s="2"/>
      <c r="G140" s="2"/>
      <c r="H140" s="2"/>
      <c r="I140" s="2"/>
      <c r="J140" s="2"/>
      <c r="K140" s="2"/>
      <c r="L140" s="2"/>
      <c r="M140" s="2"/>
      <c r="N140" s="2"/>
      <c r="O140" s="2"/>
      <c r="P140" s="2"/>
      <c r="Q140" s="2"/>
      <c r="R140" s="2"/>
      <c r="S140" s="2"/>
      <c r="T140" s="2"/>
      <c r="U140" s="2"/>
      <c r="V140" s="2"/>
      <c r="W140" s="2"/>
      <c r="X140" s="2"/>
      <c r="Y140" s="2"/>
    </row>
    <row r="141" spans="1:25" ht="14.25" customHeight="1" x14ac:dyDescent="0.3">
      <c r="A141" s="2"/>
      <c r="B141" s="1"/>
      <c r="C141" s="1"/>
      <c r="D141" s="1"/>
      <c r="E141" s="1"/>
      <c r="F141" s="2"/>
      <c r="G141" s="2"/>
      <c r="H141" s="2"/>
      <c r="I141" s="2"/>
      <c r="J141" s="2"/>
      <c r="K141" s="2"/>
      <c r="L141" s="2"/>
      <c r="M141" s="2"/>
      <c r="N141" s="2"/>
      <c r="O141" s="2"/>
      <c r="P141" s="2"/>
      <c r="Q141" s="2"/>
      <c r="R141" s="2"/>
      <c r="S141" s="2"/>
      <c r="T141" s="2"/>
      <c r="U141" s="2"/>
      <c r="V141" s="2"/>
      <c r="W141" s="2"/>
      <c r="X141" s="2"/>
      <c r="Y141" s="2"/>
    </row>
    <row r="142" spans="1:25" ht="14.25" customHeight="1" x14ac:dyDescent="0.3">
      <c r="A142" s="2"/>
      <c r="B142" s="1"/>
      <c r="C142" s="1"/>
      <c r="D142" s="1"/>
      <c r="E142" s="1"/>
      <c r="F142" s="2"/>
      <c r="G142" s="2"/>
      <c r="H142" s="2"/>
      <c r="I142" s="2"/>
      <c r="J142" s="2"/>
      <c r="K142" s="2"/>
      <c r="L142" s="2"/>
      <c r="M142" s="2"/>
      <c r="N142" s="2"/>
      <c r="O142" s="2"/>
      <c r="P142" s="2"/>
      <c r="Q142" s="2"/>
      <c r="R142" s="2"/>
      <c r="S142" s="2"/>
      <c r="T142" s="2"/>
      <c r="U142" s="2"/>
      <c r="V142" s="2"/>
      <c r="W142" s="2"/>
      <c r="X142" s="2"/>
      <c r="Y142" s="2"/>
    </row>
    <row r="143" spans="1:25" ht="14.25" customHeight="1" x14ac:dyDescent="0.3">
      <c r="A143" s="2"/>
      <c r="B143" s="1"/>
      <c r="C143" s="1"/>
      <c r="D143" s="1"/>
      <c r="E143" s="1"/>
      <c r="F143" s="2"/>
      <c r="G143" s="2"/>
      <c r="H143" s="2"/>
      <c r="I143" s="2"/>
      <c r="J143" s="2"/>
      <c r="K143" s="2"/>
      <c r="L143" s="2"/>
      <c r="M143" s="2"/>
      <c r="N143" s="2"/>
      <c r="O143" s="2"/>
      <c r="P143" s="2"/>
      <c r="Q143" s="2"/>
      <c r="R143" s="2"/>
      <c r="S143" s="2"/>
      <c r="T143" s="2"/>
      <c r="U143" s="2"/>
      <c r="V143" s="2"/>
      <c r="W143" s="2"/>
      <c r="X143" s="2"/>
      <c r="Y143" s="2"/>
    </row>
    <row r="144" spans="1:25" ht="14.25" customHeight="1" x14ac:dyDescent="0.3">
      <c r="A144" s="2"/>
      <c r="B144" s="1"/>
      <c r="C144" s="1"/>
      <c r="D144" s="1"/>
      <c r="E144" s="1"/>
      <c r="F144" s="2"/>
      <c r="G144" s="2"/>
      <c r="H144" s="2"/>
      <c r="I144" s="2"/>
      <c r="J144" s="2"/>
      <c r="K144" s="2"/>
      <c r="L144" s="2"/>
      <c r="M144" s="2"/>
      <c r="N144" s="2"/>
      <c r="O144" s="2"/>
      <c r="P144" s="2"/>
      <c r="Q144" s="2"/>
      <c r="R144" s="2"/>
      <c r="S144" s="2"/>
      <c r="T144" s="2"/>
      <c r="U144" s="2"/>
      <c r="V144" s="2"/>
      <c r="W144" s="2"/>
      <c r="X144" s="2"/>
      <c r="Y144" s="2"/>
    </row>
    <row r="145" spans="1:25" ht="14.25" customHeight="1" x14ac:dyDescent="0.3">
      <c r="A145" s="2"/>
      <c r="B145" s="1"/>
      <c r="C145" s="1"/>
      <c r="D145" s="1"/>
      <c r="E145" s="1"/>
      <c r="F145" s="2"/>
      <c r="G145" s="2"/>
      <c r="H145" s="2"/>
      <c r="I145" s="2"/>
      <c r="J145" s="2"/>
      <c r="K145" s="2"/>
      <c r="L145" s="2"/>
      <c r="M145" s="2"/>
      <c r="N145" s="2"/>
      <c r="O145" s="2"/>
      <c r="P145" s="2"/>
      <c r="Q145" s="2"/>
      <c r="R145" s="2"/>
      <c r="S145" s="2"/>
      <c r="T145" s="2"/>
      <c r="U145" s="2"/>
      <c r="V145" s="2"/>
      <c r="W145" s="2"/>
      <c r="X145" s="2"/>
      <c r="Y145" s="2"/>
    </row>
    <row r="146" spans="1:25" ht="14.25" customHeight="1" x14ac:dyDescent="0.3">
      <c r="A146" s="2"/>
      <c r="B146" s="1"/>
      <c r="C146" s="1"/>
      <c r="D146" s="1"/>
      <c r="E146" s="1"/>
      <c r="F146" s="2"/>
      <c r="G146" s="2"/>
      <c r="H146" s="2"/>
      <c r="I146" s="2"/>
      <c r="J146" s="2"/>
      <c r="K146" s="2"/>
      <c r="L146" s="2"/>
      <c r="M146" s="2"/>
      <c r="N146" s="2"/>
      <c r="O146" s="2"/>
      <c r="P146" s="2"/>
      <c r="Q146" s="2"/>
      <c r="R146" s="2"/>
      <c r="S146" s="2"/>
      <c r="T146" s="2"/>
      <c r="U146" s="2"/>
      <c r="V146" s="2"/>
      <c r="W146" s="2"/>
      <c r="X146" s="2"/>
      <c r="Y146" s="2"/>
    </row>
    <row r="147" spans="1:25" ht="14.25" customHeight="1" x14ac:dyDescent="0.3">
      <c r="A147" s="2"/>
      <c r="B147" s="1"/>
      <c r="C147" s="1"/>
      <c r="D147" s="1"/>
      <c r="E147" s="1"/>
      <c r="F147" s="2"/>
      <c r="G147" s="2"/>
      <c r="H147" s="2"/>
      <c r="I147" s="2"/>
      <c r="J147" s="2"/>
      <c r="K147" s="2"/>
      <c r="L147" s="2"/>
      <c r="M147" s="2"/>
      <c r="N147" s="2"/>
      <c r="O147" s="2"/>
      <c r="P147" s="2"/>
      <c r="Q147" s="2"/>
      <c r="R147" s="2"/>
      <c r="S147" s="2"/>
      <c r="T147" s="2"/>
      <c r="U147" s="2"/>
      <c r="V147" s="2"/>
      <c r="W147" s="2"/>
      <c r="X147" s="2"/>
      <c r="Y147" s="2"/>
    </row>
    <row r="148" spans="1:25" ht="14.25" customHeight="1" x14ac:dyDescent="0.3">
      <c r="A148" s="2"/>
      <c r="B148" s="1"/>
      <c r="C148" s="1"/>
      <c r="D148" s="1"/>
      <c r="E148" s="1"/>
      <c r="F148" s="2"/>
      <c r="G148" s="2"/>
      <c r="H148" s="2"/>
      <c r="I148" s="2"/>
      <c r="J148" s="2"/>
      <c r="K148" s="2"/>
      <c r="L148" s="2"/>
      <c r="M148" s="2"/>
      <c r="N148" s="2"/>
      <c r="O148" s="2"/>
      <c r="P148" s="2"/>
      <c r="Q148" s="2"/>
      <c r="R148" s="2"/>
      <c r="S148" s="2"/>
      <c r="T148" s="2"/>
      <c r="U148" s="2"/>
      <c r="V148" s="2"/>
      <c r="W148" s="2"/>
      <c r="X148" s="2"/>
      <c r="Y148" s="2"/>
    </row>
    <row r="149" spans="1:25" ht="14.25" customHeight="1" x14ac:dyDescent="0.3">
      <c r="A149" s="2"/>
      <c r="B149" s="1"/>
      <c r="C149" s="1"/>
      <c r="D149" s="1"/>
      <c r="E149" s="1"/>
      <c r="F149" s="2"/>
      <c r="G149" s="2"/>
      <c r="H149" s="2"/>
      <c r="I149" s="2"/>
      <c r="J149" s="2"/>
      <c r="K149" s="2"/>
      <c r="L149" s="2"/>
      <c r="M149" s="2"/>
      <c r="N149" s="2"/>
      <c r="O149" s="2"/>
      <c r="P149" s="2"/>
      <c r="Q149" s="2"/>
      <c r="R149" s="2"/>
      <c r="S149" s="2"/>
      <c r="T149" s="2"/>
      <c r="U149" s="2"/>
      <c r="V149" s="2"/>
      <c r="W149" s="2"/>
      <c r="X149" s="2"/>
      <c r="Y149" s="2"/>
    </row>
    <row r="150" spans="1:25" ht="14.25" customHeight="1" x14ac:dyDescent="0.3">
      <c r="A150" s="2"/>
      <c r="B150" s="1"/>
      <c r="C150" s="1"/>
      <c r="D150" s="1"/>
      <c r="E150" s="1"/>
      <c r="F150" s="2"/>
      <c r="G150" s="2"/>
      <c r="H150" s="2"/>
      <c r="I150" s="2"/>
      <c r="J150" s="2"/>
      <c r="K150" s="2"/>
      <c r="L150" s="2"/>
      <c r="M150" s="2"/>
      <c r="N150" s="2"/>
      <c r="O150" s="2"/>
      <c r="P150" s="2"/>
      <c r="Q150" s="2"/>
      <c r="R150" s="2"/>
      <c r="S150" s="2"/>
      <c r="T150" s="2"/>
      <c r="U150" s="2"/>
      <c r="V150" s="2"/>
      <c r="W150" s="2"/>
      <c r="X150" s="2"/>
      <c r="Y150" s="2"/>
    </row>
    <row r="151" spans="1:25" ht="14.25" customHeight="1" x14ac:dyDescent="0.3">
      <c r="A151" s="2"/>
      <c r="B151" s="1"/>
      <c r="C151" s="1"/>
      <c r="D151" s="1"/>
      <c r="E151" s="1"/>
      <c r="F151" s="2"/>
      <c r="G151" s="2"/>
      <c r="H151" s="2"/>
      <c r="I151" s="2"/>
      <c r="J151" s="2"/>
      <c r="K151" s="2"/>
      <c r="L151" s="2"/>
      <c r="M151" s="2"/>
      <c r="N151" s="2"/>
      <c r="O151" s="2"/>
      <c r="P151" s="2"/>
      <c r="Q151" s="2"/>
      <c r="R151" s="2"/>
      <c r="S151" s="2"/>
      <c r="T151" s="2"/>
      <c r="U151" s="2"/>
      <c r="V151" s="2"/>
      <c r="W151" s="2"/>
      <c r="X151" s="2"/>
      <c r="Y151" s="2"/>
    </row>
    <row r="152" spans="1:25" ht="14.25" customHeight="1" x14ac:dyDescent="0.3">
      <c r="A152" s="2"/>
      <c r="B152" s="1"/>
      <c r="C152" s="1"/>
      <c r="D152" s="1"/>
      <c r="E152" s="1"/>
      <c r="F152" s="2"/>
      <c r="G152" s="2"/>
      <c r="H152" s="2"/>
      <c r="I152" s="2"/>
      <c r="J152" s="2"/>
      <c r="K152" s="2"/>
      <c r="L152" s="2"/>
      <c r="M152" s="2"/>
      <c r="N152" s="2"/>
      <c r="O152" s="2"/>
      <c r="P152" s="2"/>
      <c r="Q152" s="2"/>
      <c r="R152" s="2"/>
      <c r="S152" s="2"/>
      <c r="T152" s="2"/>
      <c r="U152" s="2"/>
      <c r="V152" s="2"/>
      <c r="W152" s="2"/>
      <c r="X152" s="2"/>
      <c r="Y152" s="2"/>
    </row>
    <row r="153" spans="1:25" ht="14.25" customHeight="1" x14ac:dyDescent="0.3">
      <c r="A153" s="2"/>
      <c r="B153" s="1"/>
      <c r="C153" s="1"/>
      <c r="D153" s="1"/>
      <c r="E153" s="1"/>
      <c r="F153" s="2"/>
      <c r="G153" s="2"/>
      <c r="H153" s="2"/>
      <c r="I153" s="2"/>
      <c r="J153" s="2"/>
      <c r="K153" s="2"/>
      <c r="L153" s="2"/>
      <c r="M153" s="2"/>
      <c r="N153" s="2"/>
      <c r="O153" s="2"/>
      <c r="P153" s="2"/>
      <c r="Q153" s="2"/>
      <c r="R153" s="2"/>
      <c r="S153" s="2"/>
      <c r="T153" s="2"/>
      <c r="U153" s="2"/>
      <c r="V153" s="2"/>
      <c r="W153" s="2"/>
      <c r="X153" s="2"/>
      <c r="Y153" s="2"/>
    </row>
    <row r="154" spans="1:25" ht="14.25" customHeight="1" x14ac:dyDescent="0.3">
      <c r="A154" s="2"/>
      <c r="B154" s="1"/>
      <c r="C154" s="1"/>
      <c r="D154" s="1"/>
      <c r="E154" s="1"/>
      <c r="F154" s="2"/>
      <c r="G154" s="2"/>
      <c r="H154" s="2"/>
      <c r="I154" s="2"/>
      <c r="J154" s="2"/>
      <c r="K154" s="2"/>
      <c r="L154" s="2"/>
      <c r="M154" s="2"/>
      <c r="N154" s="2"/>
      <c r="O154" s="2"/>
      <c r="P154" s="2"/>
      <c r="Q154" s="2"/>
      <c r="R154" s="2"/>
      <c r="S154" s="2"/>
      <c r="T154" s="2"/>
      <c r="U154" s="2"/>
      <c r="V154" s="2"/>
      <c r="W154" s="2"/>
      <c r="X154" s="2"/>
      <c r="Y154" s="2"/>
    </row>
    <row r="155" spans="1:25" ht="14.25" customHeight="1" x14ac:dyDescent="0.3">
      <c r="A155" s="2"/>
      <c r="B155" s="1"/>
      <c r="C155" s="1"/>
      <c r="D155" s="1"/>
      <c r="E155" s="1"/>
      <c r="F155" s="2"/>
      <c r="G155" s="2"/>
      <c r="H155" s="2"/>
      <c r="I155" s="2"/>
      <c r="J155" s="2"/>
      <c r="K155" s="2"/>
      <c r="L155" s="2"/>
      <c r="M155" s="2"/>
      <c r="N155" s="2"/>
      <c r="O155" s="2"/>
      <c r="P155" s="2"/>
      <c r="Q155" s="2"/>
      <c r="R155" s="2"/>
      <c r="S155" s="2"/>
      <c r="T155" s="2"/>
      <c r="U155" s="2"/>
      <c r="V155" s="2"/>
      <c r="W155" s="2"/>
      <c r="X155" s="2"/>
      <c r="Y155" s="2"/>
    </row>
    <row r="156" spans="1:25" ht="14.25" customHeight="1" x14ac:dyDescent="0.3">
      <c r="A156" s="2"/>
      <c r="B156" s="1"/>
      <c r="C156" s="1"/>
      <c r="D156" s="1"/>
      <c r="E156" s="1"/>
      <c r="F156" s="2"/>
      <c r="G156" s="2"/>
      <c r="H156" s="2"/>
      <c r="I156" s="2"/>
      <c r="J156" s="2"/>
      <c r="K156" s="2"/>
      <c r="L156" s="2"/>
      <c r="M156" s="2"/>
      <c r="N156" s="2"/>
      <c r="O156" s="2"/>
      <c r="P156" s="2"/>
      <c r="Q156" s="2"/>
      <c r="R156" s="2"/>
      <c r="S156" s="2"/>
      <c r="T156" s="2"/>
      <c r="U156" s="2"/>
      <c r="V156" s="2"/>
      <c r="W156" s="2"/>
      <c r="X156" s="2"/>
      <c r="Y156" s="2"/>
    </row>
    <row r="157" spans="1:25" ht="14.25" customHeight="1" x14ac:dyDescent="0.3">
      <c r="A157" s="2"/>
      <c r="B157" s="1"/>
      <c r="C157" s="1"/>
      <c r="D157" s="1"/>
      <c r="E157" s="1"/>
      <c r="F157" s="2"/>
      <c r="G157" s="2"/>
      <c r="H157" s="2"/>
      <c r="I157" s="2"/>
      <c r="J157" s="2"/>
      <c r="K157" s="2"/>
      <c r="L157" s="2"/>
      <c r="M157" s="2"/>
      <c r="N157" s="2"/>
      <c r="O157" s="2"/>
      <c r="P157" s="2"/>
      <c r="Q157" s="2"/>
      <c r="R157" s="2"/>
      <c r="S157" s="2"/>
      <c r="T157" s="2"/>
      <c r="U157" s="2"/>
      <c r="V157" s="2"/>
      <c r="W157" s="2"/>
      <c r="X157" s="2"/>
      <c r="Y157" s="2"/>
    </row>
    <row r="158" spans="1:25" ht="14.25" customHeight="1" x14ac:dyDescent="0.3">
      <c r="A158" s="2"/>
      <c r="B158" s="1"/>
      <c r="C158" s="1"/>
      <c r="D158" s="1"/>
      <c r="E158" s="1"/>
      <c r="F158" s="2"/>
      <c r="G158" s="2"/>
      <c r="H158" s="2"/>
      <c r="I158" s="2"/>
      <c r="J158" s="2"/>
      <c r="K158" s="2"/>
      <c r="L158" s="2"/>
      <c r="M158" s="2"/>
      <c r="N158" s="2"/>
      <c r="O158" s="2"/>
      <c r="P158" s="2"/>
      <c r="Q158" s="2"/>
      <c r="R158" s="2"/>
      <c r="S158" s="2"/>
      <c r="T158" s="2"/>
      <c r="U158" s="2"/>
      <c r="V158" s="2"/>
      <c r="W158" s="2"/>
      <c r="X158" s="2"/>
      <c r="Y158" s="2"/>
    </row>
    <row r="159" spans="1:25" ht="14.25" customHeight="1" x14ac:dyDescent="0.3">
      <c r="A159" s="2"/>
      <c r="B159" s="1"/>
      <c r="C159" s="1"/>
      <c r="D159" s="1"/>
      <c r="E159" s="1"/>
      <c r="F159" s="2"/>
      <c r="G159" s="2"/>
      <c r="H159" s="2"/>
      <c r="I159" s="2"/>
      <c r="J159" s="2"/>
      <c r="K159" s="2"/>
      <c r="L159" s="2"/>
      <c r="M159" s="2"/>
      <c r="N159" s="2"/>
      <c r="O159" s="2"/>
      <c r="P159" s="2"/>
      <c r="Q159" s="2"/>
      <c r="R159" s="2"/>
      <c r="S159" s="2"/>
      <c r="T159" s="2"/>
      <c r="U159" s="2"/>
      <c r="V159" s="2"/>
      <c r="W159" s="2"/>
      <c r="X159" s="2"/>
      <c r="Y159" s="2"/>
    </row>
    <row r="160" spans="1:25" ht="14.25" customHeight="1" x14ac:dyDescent="0.3">
      <c r="A160" s="2"/>
      <c r="B160" s="1"/>
      <c r="C160" s="1"/>
      <c r="D160" s="1"/>
      <c r="E160" s="1"/>
      <c r="F160" s="2"/>
      <c r="G160" s="2"/>
      <c r="H160" s="2"/>
      <c r="I160" s="2"/>
      <c r="J160" s="2"/>
      <c r="K160" s="2"/>
      <c r="L160" s="2"/>
      <c r="M160" s="2"/>
      <c r="N160" s="2"/>
      <c r="O160" s="2"/>
      <c r="P160" s="2"/>
      <c r="Q160" s="2"/>
      <c r="R160" s="2"/>
      <c r="S160" s="2"/>
      <c r="T160" s="2"/>
      <c r="U160" s="2"/>
      <c r="V160" s="2"/>
      <c r="W160" s="2"/>
      <c r="X160" s="2"/>
      <c r="Y160" s="2"/>
    </row>
    <row r="161" spans="1:25" ht="14.25" customHeight="1" x14ac:dyDescent="0.3">
      <c r="A161" s="2"/>
      <c r="B161" s="1"/>
      <c r="C161" s="1"/>
      <c r="D161" s="1"/>
      <c r="E161" s="1"/>
      <c r="F161" s="2"/>
      <c r="G161" s="2"/>
      <c r="H161" s="2"/>
      <c r="I161" s="2"/>
      <c r="J161" s="2"/>
      <c r="K161" s="2"/>
      <c r="L161" s="2"/>
      <c r="M161" s="2"/>
      <c r="N161" s="2"/>
      <c r="O161" s="2"/>
      <c r="P161" s="2"/>
      <c r="Q161" s="2"/>
      <c r="R161" s="2"/>
      <c r="S161" s="2"/>
      <c r="T161" s="2"/>
      <c r="U161" s="2"/>
      <c r="V161" s="2"/>
      <c r="W161" s="2"/>
      <c r="X161" s="2"/>
      <c r="Y161" s="2"/>
    </row>
    <row r="162" spans="1:25" ht="14.25" customHeight="1" x14ac:dyDescent="0.3">
      <c r="A162" s="2"/>
      <c r="B162" s="1"/>
      <c r="C162" s="1"/>
      <c r="D162" s="1"/>
      <c r="E162" s="1"/>
      <c r="F162" s="2"/>
      <c r="G162" s="2"/>
      <c r="H162" s="2"/>
      <c r="I162" s="2"/>
      <c r="J162" s="2"/>
      <c r="K162" s="2"/>
      <c r="L162" s="2"/>
      <c r="M162" s="2"/>
      <c r="N162" s="2"/>
      <c r="O162" s="2"/>
      <c r="P162" s="2"/>
      <c r="Q162" s="2"/>
      <c r="R162" s="2"/>
      <c r="S162" s="2"/>
      <c r="T162" s="2"/>
      <c r="U162" s="2"/>
      <c r="V162" s="2"/>
      <c r="W162" s="2"/>
      <c r="X162" s="2"/>
      <c r="Y162" s="2"/>
    </row>
    <row r="163" spans="1:25" ht="14.25" customHeight="1" x14ac:dyDescent="0.3">
      <c r="A163" s="2"/>
      <c r="B163" s="1"/>
      <c r="C163" s="1"/>
      <c r="D163" s="1"/>
      <c r="E163" s="1"/>
      <c r="F163" s="2"/>
      <c r="G163" s="2"/>
      <c r="H163" s="2"/>
      <c r="I163" s="2"/>
      <c r="J163" s="2"/>
      <c r="K163" s="2"/>
      <c r="L163" s="2"/>
      <c r="M163" s="2"/>
      <c r="N163" s="2"/>
      <c r="O163" s="2"/>
      <c r="P163" s="2"/>
      <c r="Q163" s="2"/>
      <c r="R163" s="2"/>
      <c r="S163" s="2"/>
      <c r="T163" s="2"/>
      <c r="U163" s="2"/>
      <c r="V163" s="2"/>
      <c r="W163" s="2"/>
      <c r="X163" s="2"/>
      <c r="Y163" s="2"/>
    </row>
    <row r="164" spans="1:25" ht="14.25" customHeight="1" x14ac:dyDescent="0.3">
      <c r="A164" s="2"/>
      <c r="B164" s="1"/>
      <c r="C164" s="1"/>
      <c r="D164" s="1"/>
      <c r="E164" s="1"/>
      <c r="F164" s="2"/>
      <c r="G164" s="2"/>
      <c r="H164" s="2"/>
      <c r="I164" s="2"/>
      <c r="J164" s="2"/>
      <c r="K164" s="2"/>
      <c r="L164" s="2"/>
      <c r="M164" s="2"/>
      <c r="N164" s="2"/>
      <c r="O164" s="2"/>
      <c r="P164" s="2"/>
      <c r="Q164" s="2"/>
      <c r="R164" s="2"/>
      <c r="S164" s="2"/>
      <c r="T164" s="2"/>
      <c r="U164" s="2"/>
      <c r="V164" s="2"/>
      <c r="W164" s="2"/>
      <c r="X164" s="2"/>
      <c r="Y164" s="2"/>
    </row>
    <row r="165" spans="1:25" ht="14.25" customHeight="1" x14ac:dyDescent="0.3">
      <c r="A165" s="2"/>
      <c r="B165" s="1"/>
      <c r="C165" s="1"/>
      <c r="D165" s="1"/>
      <c r="E165" s="1"/>
      <c r="F165" s="2"/>
      <c r="G165" s="2"/>
      <c r="H165" s="2"/>
      <c r="I165" s="2"/>
      <c r="J165" s="2"/>
      <c r="K165" s="2"/>
      <c r="L165" s="2"/>
      <c r="M165" s="2"/>
      <c r="N165" s="2"/>
      <c r="O165" s="2"/>
      <c r="P165" s="2"/>
      <c r="Q165" s="2"/>
      <c r="R165" s="2"/>
      <c r="S165" s="2"/>
      <c r="T165" s="2"/>
      <c r="U165" s="2"/>
      <c r="V165" s="2"/>
      <c r="W165" s="2"/>
      <c r="X165" s="2"/>
      <c r="Y165" s="2"/>
    </row>
    <row r="166" spans="1:25" ht="14.25" customHeight="1" x14ac:dyDescent="0.3">
      <c r="A166" s="2"/>
      <c r="B166" s="1"/>
      <c r="C166" s="1"/>
      <c r="D166" s="1"/>
      <c r="E166" s="1"/>
      <c r="F166" s="2"/>
      <c r="G166" s="2"/>
      <c r="H166" s="2"/>
      <c r="I166" s="2"/>
      <c r="J166" s="2"/>
      <c r="K166" s="2"/>
      <c r="L166" s="2"/>
      <c r="M166" s="2"/>
      <c r="N166" s="2"/>
      <c r="O166" s="2"/>
      <c r="P166" s="2"/>
      <c r="Q166" s="2"/>
      <c r="R166" s="2"/>
      <c r="S166" s="2"/>
      <c r="T166" s="2"/>
      <c r="U166" s="2"/>
      <c r="V166" s="2"/>
      <c r="W166" s="2"/>
      <c r="X166" s="2"/>
      <c r="Y166" s="2"/>
    </row>
    <row r="167" spans="1:25" ht="14.25" customHeight="1" x14ac:dyDescent="0.3">
      <c r="A167" s="2"/>
      <c r="B167" s="1"/>
      <c r="C167" s="1"/>
      <c r="D167" s="1"/>
      <c r="E167" s="1"/>
      <c r="F167" s="2"/>
      <c r="G167" s="2"/>
      <c r="H167" s="2"/>
      <c r="I167" s="2"/>
      <c r="J167" s="2"/>
      <c r="K167" s="2"/>
      <c r="L167" s="2"/>
      <c r="M167" s="2"/>
      <c r="N167" s="2"/>
      <c r="O167" s="2"/>
      <c r="P167" s="2"/>
      <c r="Q167" s="2"/>
      <c r="R167" s="2"/>
      <c r="S167" s="2"/>
      <c r="T167" s="2"/>
      <c r="U167" s="2"/>
      <c r="V167" s="2"/>
      <c r="W167" s="2"/>
      <c r="X167" s="2"/>
      <c r="Y167" s="2"/>
    </row>
    <row r="168" spans="1:25" ht="14.25" customHeight="1" x14ac:dyDescent="0.3">
      <c r="A168" s="2"/>
      <c r="B168" s="1"/>
      <c r="C168" s="1"/>
      <c r="D168" s="1"/>
      <c r="E168" s="1"/>
      <c r="F168" s="2"/>
      <c r="G168" s="2"/>
      <c r="H168" s="2"/>
      <c r="I168" s="2"/>
      <c r="J168" s="2"/>
      <c r="K168" s="2"/>
      <c r="L168" s="2"/>
      <c r="M168" s="2"/>
      <c r="N168" s="2"/>
      <c r="O168" s="2"/>
      <c r="P168" s="2"/>
      <c r="Q168" s="2"/>
      <c r="R168" s="2"/>
      <c r="S168" s="2"/>
      <c r="T168" s="2"/>
      <c r="U168" s="2"/>
      <c r="V168" s="2"/>
      <c r="W168" s="2"/>
      <c r="X168" s="2"/>
      <c r="Y168" s="2"/>
    </row>
    <row r="169" spans="1:25" ht="14.25" customHeight="1" x14ac:dyDescent="0.3">
      <c r="A169" s="2"/>
      <c r="B169" s="1"/>
      <c r="C169" s="1"/>
      <c r="D169" s="1"/>
      <c r="E169" s="1"/>
      <c r="F169" s="2"/>
      <c r="G169" s="2"/>
      <c r="H169" s="2"/>
      <c r="I169" s="2"/>
      <c r="J169" s="2"/>
      <c r="K169" s="2"/>
      <c r="L169" s="2"/>
      <c r="M169" s="2"/>
      <c r="N169" s="2"/>
      <c r="O169" s="2"/>
      <c r="P169" s="2"/>
      <c r="Q169" s="2"/>
      <c r="R169" s="2"/>
      <c r="S169" s="2"/>
      <c r="T169" s="2"/>
      <c r="U169" s="2"/>
      <c r="V169" s="2"/>
      <c r="W169" s="2"/>
      <c r="X169" s="2"/>
      <c r="Y169" s="2"/>
    </row>
    <row r="170" spans="1:25" ht="14.25" customHeight="1" x14ac:dyDescent="0.3">
      <c r="A170" s="2"/>
      <c r="B170" s="1"/>
      <c r="C170" s="1"/>
      <c r="D170" s="1"/>
      <c r="E170" s="1"/>
      <c r="F170" s="2"/>
      <c r="G170" s="2"/>
      <c r="H170" s="2"/>
      <c r="I170" s="2"/>
      <c r="J170" s="2"/>
      <c r="K170" s="2"/>
      <c r="L170" s="2"/>
      <c r="M170" s="2"/>
      <c r="N170" s="2"/>
      <c r="O170" s="2"/>
      <c r="P170" s="2"/>
      <c r="Q170" s="2"/>
      <c r="R170" s="2"/>
      <c r="S170" s="2"/>
      <c r="T170" s="2"/>
      <c r="U170" s="2"/>
      <c r="V170" s="2"/>
      <c r="W170" s="2"/>
      <c r="X170" s="2"/>
      <c r="Y170" s="2"/>
    </row>
    <row r="171" spans="1:25" ht="14.25" customHeight="1" x14ac:dyDescent="0.3">
      <c r="A171" s="2"/>
      <c r="B171" s="1"/>
      <c r="C171" s="1"/>
      <c r="D171" s="1"/>
      <c r="E171" s="1"/>
      <c r="F171" s="2"/>
      <c r="G171" s="2"/>
      <c r="H171" s="2"/>
      <c r="I171" s="2"/>
      <c r="J171" s="2"/>
      <c r="K171" s="2"/>
      <c r="L171" s="2"/>
      <c r="M171" s="2"/>
      <c r="N171" s="2"/>
      <c r="O171" s="2"/>
      <c r="P171" s="2"/>
      <c r="Q171" s="2"/>
      <c r="R171" s="2"/>
      <c r="S171" s="2"/>
      <c r="T171" s="2"/>
      <c r="U171" s="2"/>
      <c r="V171" s="2"/>
      <c r="W171" s="2"/>
      <c r="X171" s="2"/>
      <c r="Y171" s="2"/>
    </row>
    <row r="172" spans="1:25" ht="14.25" customHeight="1" x14ac:dyDescent="0.3">
      <c r="A172" s="2"/>
      <c r="B172" s="1"/>
      <c r="C172" s="1"/>
      <c r="D172" s="1"/>
      <c r="E172" s="1"/>
      <c r="F172" s="2"/>
      <c r="G172" s="2"/>
      <c r="H172" s="2"/>
      <c r="I172" s="2"/>
      <c r="J172" s="2"/>
      <c r="K172" s="2"/>
      <c r="L172" s="2"/>
      <c r="M172" s="2"/>
      <c r="N172" s="2"/>
      <c r="O172" s="2"/>
      <c r="P172" s="2"/>
      <c r="Q172" s="2"/>
      <c r="R172" s="2"/>
      <c r="S172" s="2"/>
      <c r="T172" s="2"/>
      <c r="U172" s="2"/>
      <c r="V172" s="2"/>
      <c r="W172" s="2"/>
      <c r="X172" s="2"/>
      <c r="Y172" s="2"/>
    </row>
    <row r="173" spans="1:25" ht="14.25" customHeight="1" x14ac:dyDescent="0.3">
      <c r="A173" s="2"/>
      <c r="B173" s="1"/>
      <c r="C173" s="1"/>
      <c r="D173" s="1"/>
      <c r="E173" s="1"/>
      <c r="F173" s="2"/>
      <c r="G173" s="2"/>
      <c r="H173" s="2"/>
      <c r="I173" s="2"/>
      <c r="J173" s="2"/>
      <c r="K173" s="2"/>
      <c r="L173" s="2"/>
      <c r="M173" s="2"/>
      <c r="N173" s="2"/>
      <c r="O173" s="2"/>
      <c r="P173" s="2"/>
      <c r="Q173" s="2"/>
      <c r="R173" s="2"/>
      <c r="S173" s="2"/>
      <c r="T173" s="2"/>
      <c r="U173" s="2"/>
      <c r="V173" s="2"/>
      <c r="W173" s="2"/>
      <c r="X173" s="2"/>
      <c r="Y173" s="2"/>
    </row>
    <row r="174" spans="1:25" ht="14.25" customHeight="1" x14ac:dyDescent="0.3">
      <c r="A174" s="2"/>
      <c r="B174" s="1"/>
      <c r="C174" s="1"/>
      <c r="D174" s="1"/>
      <c r="E174" s="1"/>
      <c r="F174" s="2"/>
      <c r="G174" s="2"/>
      <c r="H174" s="2"/>
      <c r="I174" s="2"/>
      <c r="J174" s="2"/>
      <c r="K174" s="2"/>
      <c r="L174" s="2"/>
      <c r="M174" s="2"/>
      <c r="N174" s="2"/>
      <c r="O174" s="2"/>
      <c r="P174" s="2"/>
      <c r="Q174" s="2"/>
      <c r="R174" s="2"/>
      <c r="S174" s="2"/>
      <c r="T174" s="2"/>
      <c r="U174" s="2"/>
      <c r="V174" s="2"/>
      <c r="W174" s="2"/>
      <c r="X174" s="2"/>
      <c r="Y174" s="2"/>
    </row>
    <row r="175" spans="1:25" ht="14.25" customHeight="1" x14ac:dyDescent="0.3">
      <c r="A175" s="2"/>
      <c r="B175" s="1"/>
      <c r="C175" s="1"/>
      <c r="D175" s="1"/>
      <c r="E175" s="1"/>
      <c r="F175" s="2"/>
      <c r="G175" s="2"/>
      <c r="H175" s="2"/>
      <c r="I175" s="2"/>
      <c r="J175" s="2"/>
      <c r="K175" s="2"/>
      <c r="L175" s="2"/>
      <c r="M175" s="2"/>
      <c r="N175" s="2"/>
      <c r="O175" s="2"/>
      <c r="P175" s="2"/>
      <c r="Q175" s="2"/>
      <c r="R175" s="2"/>
      <c r="S175" s="2"/>
      <c r="T175" s="2"/>
      <c r="U175" s="2"/>
      <c r="V175" s="2"/>
      <c r="W175" s="2"/>
      <c r="X175" s="2"/>
      <c r="Y175" s="2"/>
    </row>
    <row r="176" spans="1:25" ht="14.25" customHeight="1" x14ac:dyDescent="0.3">
      <c r="A176" s="2"/>
      <c r="B176" s="1"/>
      <c r="C176" s="1"/>
      <c r="D176" s="1"/>
      <c r="E176" s="1"/>
      <c r="F176" s="2"/>
      <c r="G176" s="2"/>
      <c r="H176" s="2"/>
      <c r="I176" s="2"/>
      <c r="J176" s="2"/>
      <c r="K176" s="2"/>
      <c r="L176" s="2"/>
      <c r="M176" s="2"/>
      <c r="N176" s="2"/>
      <c r="O176" s="2"/>
      <c r="P176" s="2"/>
      <c r="Q176" s="2"/>
      <c r="R176" s="2"/>
      <c r="S176" s="2"/>
      <c r="T176" s="2"/>
      <c r="U176" s="2"/>
      <c r="V176" s="2"/>
      <c r="W176" s="2"/>
      <c r="X176" s="2"/>
      <c r="Y176" s="2"/>
    </row>
    <row r="177" spans="1:25" ht="14.25" customHeight="1" x14ac:dyDescent="0.3">
      <c r="A177" s="2"/>
      <c r="B177" s="1"/>
      <c r="C177" s="1"/>
      <c r="D177" s="1"/>
      <c r="E177" s="1"/>
      <c r="F177" s="2"/>
      <c r="G177" s="2"/>
      <c r="H177" s="2"/>
      <c r="I177" s="2"/>
      <c r="J177" s="2"/>
      <c r="K177" s="2"/>
      <c r="L177" s="2"/>
      <c r="M177" s="2"/>
      <c r="N177" s="2"/>
      <c r="O177" s="2"/>
      <c r="P177" s="2"/>
      <c r="Q177" s="2"/>
      <c r="R177" s="2"/>
      <c r="S177" s="2"/>
      <c r="T177" s="2"/>
      <c r="U177" s="2"/>
      <c r="V177" s="2"/>
      <c r="W177" s="2"/>
      <c r="X177" s="2"/>
      <c r="Y177" s="2"/>
    </row>
    <row r="178" spans="1:25" ht="14.25" customHeight="1" x14ac:dyDescent="0.3">
      <c r="A178" s="2"/>
      <c r="B178" s="1"/>
      <c r="C178" s="1"/>
      <c r="D178" s="1"/>
      <c r="E178" s="1"/>
      <c r="F178" s="2"/>
      <c r="G178" s="2"/>
      <c r="H178" s="2"/>
      <c r="I178" s="2"/>
      <c r="J178" s="2"/>
      <c r="K178" s="2"/>
      <c r="L178" s="2"/>
      <c r="M178" s="2"/>
      <c r="N178" s="2"/>
      <c r="O178" s="2"/>
      <c r="P178" s="2"/>
      <c r="Q178" s="2"/>
      <c r="R178" s="2"/>
      <c r="S178" s="2"/>
      <c r="T178" s="2"/>
      <c r="U178" s="2"/>
      <c r="V178" s="2"/>
      <c r="W178" s="2"/>
      <c r="X178" s="2"/>
      <c r="Y178" s="2"/>
    </row>
    <row r="179" spans="1:25" ht="14.25" customHeight="1" x14ac:dyDescent="0.3">
      <c r="A179" s="2"/>
      <c r="B179" s="1"/>
      <c r="C179" s="1"/>
      <c r="D179" s="1"/>
      <c r="E179" s="1"/>
      <c r="F179" s="2"/>
      <c r="G179" s="2"/>
      <c r="H179" s="2"/>
      <c r="I179" s="2"/>
      <c r="J179" s="2"/>
      <c r="K179" s="2"/>
      <c r="L179" s="2"/>
      <c r="M179" s="2"/>
      <c r="N179" s="2"/>
      <c r="O179" s="2"/>
      <c r="P179" s="2"/>
      <c r="Q179" s="2"/>
      <c r="R179" s="2"/>
      <c r="S179" s="2"/>
      <c r="T179" s="2"/>
      <c r="U179" s="2"/>
      <c r="V179" s="2"/>
      <c r="W179" s="2"/>
      <c r="X179" s="2"/>
      <c r="Y179" s="2"/>
    </row>
    <row r="180" spans="1:25" ht="14.25" customHeight="1" x14ac:dyDescent="0.3">
      <c r="A180" s="2"/>
      <c r="B180" s="1"/>
      <c r="C180" s="1"/>
      <c r="D180" s="1"/>
      <c r="E180" s="1"/>
      <c r="F180" s="2"/>
      <c r="G180" s="2"/>
      <c r="H180" s="2"/>
      <c r="I180" s="2"/>
      <c r="J180" s="2"/>
      <c r="K180" s="2"/>
      <c r="L180" s="2"/>
      <c r="M180" s="2"/>
      <c r="N180" s="2"/>
      <c r="O180" s="2"/>
      <c r="P180" s="2"/>
      <c r="Q180" s="2"/>
      <c r="R180" s="2"/>
      <c r="S180" s="2"/>
      <c r="T180" s="2"/>
      <c r="U180" s="2"/>
      <c r="V180" s="2"/>
      <c r="W180" s="2"/>
      <c r="X180" s="2"/>
      <c r="Y180" s="2"/>
    </row>
    <row r="181" spans="1:25" ht="14.25" customHeight="1" x14ac:dyDescent="0.3">
      <c r="A181" s="2"/>
      <c r="B181" s="1"/>
      <c r="C181" s="1"/>
      <c r="D181" s="1"/>
      <c r="E181" s="1"/>
      <c r="F181" s="2"/>
      <c r="G181" s="2"/>
      <c r="H181" s="2"/>
      <c r="I181" s="2"/>
      <c r="J181" s="2"/>
      <c r="K181" s="2"/>
      <c r="L181" s="2"/>
      <c r="M181" s="2"/>
      <c r="N181" s="2"/>
      <c r="O181" s="2"/>
      <c r="P181" s="2"/>
      <c r="Q181" s="2"/>
      <c r="R181" s="2"/>
      <c r="S181" s="2"/>
      <c r="T181" s="2"/>
      <c r="U181" s="2"/>
      <c r="V181" s="2"/>
      <c r="W181" s="2"/>
      <c r="X181" s="2"/>
      <c r="Y181" s="2"/>
    </row>
    <row r="182" spans="1:25" ht="14.25" customHeight="1" x14ac:dyDescent="0.3">
      <c r="A182" s="2"/>
      <c r="B182" s="1"/>
      <c r="C182" s="1"/>
      <c r="D182" s="1"/>
      <c r="E182" s="1"/>
      <c r="F182" s="2"/>
      <c r="G182" s="2"/>
      <c r="H182" s="2"/>
      <c r="I182" s="2"/>
      <c r="J182" s="2"/>
      <c r="K182" s="2"/>
      <c r="L182" s="2"/>
      <c r="M182" s="2"/>
      <c r="N182" s="2"/>
      <c r="O182" s="2"/>
      <c r="P182" s="2"/>
      <c r="Q182" s="2"/>
      <c r="R182" s="2"/>
      <c r="S182" s="2"/>
      <c r="T182" s="2"/>
      <c r="U182" s="2"/>
      <c r="V182" s="2"/>
      <c r="W182" s="2"/>
      <c r="X182" s="2"/>
      <c r="Y182" s="2"/>
    </row>
    <row r="183" spans="1:25" ht="14.25" customHeight="1" x14ac:dyDescent="0.3">
      <c r="A183" s="2"/>
      <c r="B183" s="1"/>
      <c r="C183" s="1"/>
      <c r="D183" s="1"/>
      <c r="E183" s="1"/>
      <c r="F183" s="2"/>
      <c r="G183" s="2"/>
      <c r="H183" s="2"/>
      <c r="I183" s="2"/>
      <c r="J183" s="2"/>
      <c r="K183" s="2"/>
      <c r="L183" s="2"/>
      <c r="M183" s="2"/>
      <c r="N183" s="2"/>
      <c r="O183" s="2"/>
      <c r="P183" s="2"/>
      <c r="Q183" s="2"/>
      <c r="R183" s="2"/>
      <c r="S183" s="2"/>
      <c r="T183" s="2"/>
      <c r="U183" s="2"/>
      <c r="V183" s="2"/>
      <c r="W183" s="2"/>
      <c r="X183" s="2"/>
      <c r="Y183" s="2"/>
    </row>
    <row r="184" spans="1:25" ht="14.25" customHeight="1" x14ac:dyDescent="0.3">
      <c r="A184" s="2"/>
      <c r="B184" s="1"/>
      <c r="C184" s="1"/>
      <c r="D184" s="1"/>
      <c r="E184" s="1"/>
      <c r="F184" s="2"/>
      <c r="G184" s="2"/>
      <c r="H184" s="2"/>
      <c r="I184" s="2"/>
      <c r="J184" s="2"/>
      <c r="K184" s="2"/>
      <c r="L184" s="2"/>
      <c r="M184" s="2"/>
      <c r="N184" s="2"/>
      <c r="O184" s="2"/>
      <c r="P184" s="2"/>
      <c r="Q184" s="2"/>
      <c r="R184" s="2"/>
      <c r="S184" s="2"/>
      <c r="T184" s="2"/>
      <c r="U184" s="2"/>
      <c r="V184" s="2"/>
      <c r="W184" s="2"/>
      <c r="X184" s="2"/>
      <c r="Y184" s="2"/>
    </row>
    <row r="185" spans="1:25" ht="14.25" customHeight="1" x14ac:dyDescent="0.3">
      <c r="A185" s="2"/>
      <c r="B185" s="1"/>
      <c r="C185" s="1"/>
      <c r="D185" s="1"/>
      <c r="E185" s="1"/>
      <c r="F185" s="2"/>
      <c r="G185" s="2"/>
      <c r="H185" s="2"/>
      <c r="I185" s="2"/>
      <c r="J185" s="2"/>
      <c r="K185" s="2"/>
      <c r="L185" s="2"/>
      <c r="M185" s="2"/>
      <c r="N185" s="2"/>
      <c r="O185" s="2"/>
      <c r="P185" s="2"/>
      <c r="Q185" s="2"/>
      <c r="R185" s="2"/>
      <c r="S185" s="2"/>
      <c r="T185" s="2"/>
      <c r="U185" s="2"/>
      <c r="V185" s="2"/>
      <c r="W185" s="2"/>
      <c r="X185" s="2"/>
      <c r="Y185" s="2"/>
    </row>
    <row r="186" spans="1:25" ht="14.25" customHeight="1" x14ac:dyDescent="0.3">
      <c r="A186" s="2"/>
      <c r="B186" s="1"/>
      <c r="C186" s="1"/>
      <c r="D186" s="1"/>
      <c r="E186" s="1"/>
      <c r="F186" s="2"/>
      <c r="G186" s="2"/>
      <c r="H186" s="2"/>
      <c r="I186" s="2"/>
      <c r="J186" s="2"/>
      <c r="K186" s="2"/>
      <c r="L186" s="2"/>
      <c r="M186" s="2"/>
      <c r="N186" s="2"/>
      <c r="O186" s="2"/>
      <c r="P186" s="2"/>
      <c r="Q186" s="2"/>
      <c r="R186" s="2"/>
      <c r="S186" s="2"/>
      <c r="T186" s="2"/>
      <c r="U186" s="2"/>
      <c r="V186" s="2"/>
      <c r="W186" s="2"/>
      <c r="X186" s="2"/>
      <c r="Y186" s="2"/>
    </row>
    <row r="187" spans="1:25" ht="14.25" customHeight="1" x14ac:dyDescent="0.3">
      <c r="A187" s="2"/>
      <c r="B187" s="1"/>
      <c r="C187" s="1"/>
      <c r="D187" s="1"/>
      <c r="E187" s="1"/>
      <c r="F187" s="2"/>
      <c r="G187" s="2"/>
      <c r="H187" s="2"/>
      <c r="I187" s="2"/>
      <c r="J187" s="2"/>
      <c r="K187" s="2"/>
      <c r="L187" s="2"/>
      <c r="M187" s="2"/>
      <c r="N187" s="2"/>
      <c r="O187" s="2"/>
      <c r="P187" s="2"/>
      <c r="Q187" s="2"/>
      <c r="R187" s="2"/>
      <c r="S187" s="2"/>
      <c r="T187" s="2"/>
      <c r="U187" s="2"/>
      <c r="V187" s="2"/>
      <c r="W187" s="2"/>
      <c r="X187" s="2"/>
      <c r="Y187" s="2"/>
    </row>
    <row r="188" spans="1:25" ht="14.25" customHeight="1" x14ac:dyDescent="0.3">
      <c r="A188" s="2"/>
      <c r="B188" s="1"/>
      <c r="C188" s="1"/>
      <c r="D188" s="1"/>
      <c r="E188" s="1"/>
      <c r="F188" s="2"/>
      <c r="G188" s="2"/>
      <c r="H188" s="2"/>
      <c r="I188" s="2"/>
      <c r="J188" s="2"/>
      <c r="K188" s="2"/>
      <c r="L188" s="2"/>
      <c r="M188" s="2"/>
      <c r="N188" s="2"/>
      <c r="O188" s="2"/>
      <c r="P188" s="2"/>
      <c r="Q188" s="2"/>
      <c r="R188" s="2"/>
      <c r="S188" s="2"/>
      <c r="T188" s="2"/>
      <c r="U188" s="2"/>
      <c r="V188" s="2"/>
      <c r="W188" s="2"/>
      <c r="X188" s="2"/>
      <c r="Y188" s="2"/>
    </row>
    <row r="189" spans="1:25" ht="14.25" customHeight="1" x14ac:dyDescent="0.3">
      <c r="A189" s="2"/>
      <c r="B189" s="1"/>
      <c r="C189" s="1"/>
      <c r="D189" s="1"/>
      <c r="E189" s="1"/>
      <c r="F189" s="2"/>
      <c r="G189" s="2"/>
      <c r="H189" s="2"/>
      <c r="I189" s="2"/>
      <c r="J189" s="2"/>
      <c r="K189" s="2"/>
      <c r="L189" s="2"/>
      <c r="M189" s="2"/>
      <c r="N189" s="2"/>
      <c r="O189" s="2"/>
      <c r="P189" s="2"/>
      <c r="Q189" s="2"/>
      <c r="R189" s="2"/>
      <c r="S189" s="2"/>
      <c r="T189" s="2"/>
      <c r="U189" s="2"/>
      <c r="V189" s="2"/>
      <c r="W189" s="2"/>
      <c r="X189" s="2"/>
      <c r="Y189" s="2"/>
    </row>
    <row r="190" spans="1:25" ht="14.25" customHeight="1" x14ac:dyDescent="0.3">
      <c r="A190" s="2"/>
      <c r="B190" s="1"/>
      <c r="C190" s="1"/>
      <c r="D190" s="1"/>
      <c r="E190" s="1"/>
      <c r="F190" s="2"/>
      <c r="G190" s="2"/>
      <c r="H190" s="2"/>
      <c r="I190" s="2"/>
      <c r="J190" s="2"/>
      <c r="K190" s="2"/>
      <c r="L190" s="2"/>
      <c r="M190" s="2"/>
      <c r="N190" s="2"/>
      <c r="O190" s="2"/>
      <c r="P190" s="2"/>
      <c r="Q190" s="2"/>
      <c r="R190" s="2"/>
      <c r="S190" s="2"/>
      <c r="T190" s="2"/>
      <c r="U190" s="2"/>
      <c r="V190" s="2"/>
      <c r="W190" s="2"/>
      <c r="X190" s="2"/>
      <c r="Y190" s="2"/>
    </row>
    <row r="191" spans="1:25" ht="14.25" customHeight="1" x14ac:dyDescent="0.3">
      <c r="A191" s="2"/>
      <c r="B191" s="1"/>
      <c r="C191" s="1"/>
      <c r="D191" s="1"/>
      <c r="E191" s="1"/>
      <c r="F191" s="2"/>
      <c r="G191" s="2"/>
      <c r="H191" s="2"/>
      <c r="I191" s="2"/>
      <c r="J191" s="2"/>
      <c r="K191" s="2"/>
      <c r="L191" s="2"/>
      <c r="M191" s="2"/>
      <c r="N191" s="2"/>
      <c r="O191" s="2"/>
      <c r="P191" s="2"/>
      <c r="Q191" s="2"/>
      <c r="R191" s="2"/>
      <c r="S191" s="2"/>
      <c r="T191" s="2"/>
      <c r="U191" s="2"/>
      <c r="V191" s="2"/>
      <c r="W191" s="2"/>
      <c r="X191" s="2"/>
      <c r="Y191" s="2"/>
    </row>
    <row r="192" spans="1:25" ht="14.25" customHeight="1" x14ac:dyDescent="0.3">
      <c r="A192" s="2"/>
      <c r="B192" s="1"/>
      <c r="C192" s="1"/>
      <c r="D192" s="1"/>
      <c r="E192" s="1"/>
      <c r="F192" s="2"/>
      <c r="G192" s="2"/>
      <c r="H192" s="2"/>
      <c r="I192" s="2"/>
      <c r="J192" s="2"/>
      <c r="K192" s="2"/>
      <c r="L192" s="2"/>
      <c r="M192" s="2"/>
      <c r="N192" s="2"/>
      <c r="O192" s="2"/>
      <c r="P192" s="2"/>
      <c r="Q192" s="2"/>
      <c r="R192" s="2"/>
      <c r="S192" s="2"/>
      <c r="T192" s="2"/>
      <c r="U192" s="2"/>
      <c r="V192" s="2"/>
      <c r="W192" s="2"/>
      <c r="X192" s="2"/>
      <c r="Y192" s="2"/>
    </row>
    <row r="193" spans="1:25" ht="14.25" customHeight="1" x14ac:dyDescent="0.3">
      <c r="A193" s="2"/>
      <c r="B193" s="1"/>
      <c r="C193" s="1"/>
      <c r="D193" s="1"/>
      <c r="E193" s="1"/>
      <c r="F193" s="2"/>
      <c r="G193" s="2"/>
      <c r="H193" s="2"/>
      <c r="I193" s="2"/>
      <c r="J193" s="2"/>
      <c r="K193" s="2"/>
      <c r="L193" s="2"/>
      <c r="M193" s="2"/>
      <c r="N193" s="2"/>
      <c r="O193" s="2"/>
      <c r="P193" s="2"/>
      <c r="Q193" s="2"/>
      <c r="R193" s="2"/>
      <c r="S193" s="2"/>
      <c r="T193" s="2"/>
      <c r="U193" s="2"/>
      <c r="V193" s="2"/>
      <c r="W193" s="2"/>
      <c r="X193" s="2"/>
      <c r="Y193" s="2"/>
    </row>
    <row r="194" spans="1:25" ht="14.25" customHeight="1" x14ac:dyDescent="0.3">
      <c r="A194" s="2"/>
      <c r="B194" s="1"/>
      <c r="C194" s="1"/>
      <c r="D194" s="1"/>
      <c r="E194" s="1"/>
      <c r="F194" s="2"/>
      <c r="G194" s="2"/>
      <c r="H194" s="2"/>
      <c r="I194" s="2"/>
      <c r="J194" s="2"/>
      <c r="K194" s="2"/>
      <c r="L194" s="2"/>
      <c r="M194" s="2"/>
      <c r="N194" s="2"/>
      <c r="O194" s="2"/>
      <c r="P194" s="2"/>
      <c r="Q194" s="2"/>
      <c r="R194" s="2"/>
      <c r="S194" s="2"/>
      <c r="T194" s="2"/>
      <c r="U194" s="2"/>
      <c r="V194" s="2"/>
      <c r="W194" s="2"/>
      <c r="X194" s="2"/>
      <c r="Y194" s="2"/>
    </row>
    <row r="195" spans="1:25" ht="14.25" customHeight="1" x14ac:dyDescent="0.3">
      <c r="A195" s="2"/>
      <c r="B195" s="1"/>
      <c r="C195" s="1"/>
      <c r="D195" s="1"/>
      <c r="E195" s="1"/>
      <c r="F195" s="2"/>
      <c r="G195" s="2"/>
      <c r="H195" s="2"/>
      <c r="I195" s="2"/>
      <c r="J195" s="2"/>
      <c r="K195" s="2"/>
      <c r="L195" s="2"/>
      <c r="M195" s="2"/>
      <c r="N195" s="2"/>
      <c r="O195" s="2"/>
      <c r="P195" s="2"/>
      <c r="Q195" s="2"/>
      <c r="R195" s="2"/>
      <c r="S195" s="2"/>
      <c r="T195" s="2"/>
      <c r="U195" s="2"/>
      <c r="V195" s="2"/>
      <c r="W195" s="2"/>
      <c r="X195" s="2"/>
      <c r="Y195" s="2"/>
    </row>
    <row r="196" spans="1:25" ht="14.25" customHeight="1" x14ac:dyDescent="0.3">
      <c r="A196" s="2"/>
      <c r="B196" s="1"/>
      <c r="C196" s="1"/>
      <c r="D196" s="1"/>
      <c r="E196" s="1"/>
      <c r="F196" s="2"/>
      <c r="G196" s="2"/>
      <c r="H196" s="2"/>
      <c r="I196" s="2"/>
      <c r="J196" s="2"/>
      <c r="K196" s="2"/>
      <c r="L196" s="2"/>
      <c r="M196" s="2"/>
      <c r="N196" s="2"/>
      <c r="O196" s="2"/>
      <c r="P196" s="2"/>
      <c r="Q196" s="2"/>
      <c r="R196" s="2"/>
      <c r="S196" s="2"/>
      <c r="T196" s="2"/>
      <c r="U196" s="2"/>
      <c r="V196" s="2"/>
      <c r="W196" s="2"/>
      <c r="X196" s="2"/>
      <c r="Y196" s="2"/>
    </row>
    <row r="197" spans="1:25" ht="14.25" customHeight="1" x14ac:dyDescent="0.3">
      <c r="A197" s="2"/>
      <c r="B197" s="1"/>
      <c r="C197" s="1"/>
      <c r="D197" s="1"/>
      <c r="E197" s="1"/>
      <c r="F197" s="2"/>
      <c r="G197" s="2"/>
      <c r="H197" s="2"/>
      <c r="I197" s="2"/>
      <c r="J197" s="2"/>
      <c r="K197" s="2"/>
      <c r="L197" s="2"/>
      <c r="M197" s="2"/>
      <c r="N197" s="2"/>
      <c r="O197" s="2"/>
      <c r="P197" s="2"/>
      <c r="Q197" s="2"/>
      <c r="R197" s="2"/>
      <c r="S197" s="2"/>
      <c r="T197" s="2"/>
      <c r="U197" s="2"/>
      <c r="V197" s="2"/>
      <c r="W197" s="2"/>
      <c r="X197" s="2"/>
      <c r="Y197" s="2"/>
    </row>
    <row r="198" spans="1:25" ht="14.25" customHeight="1" x14ac:dyDescent="0.3">
      <c r="A198" s="2"/>
      <c r="B198" s="1"/>
      <c r="C198" s="1"/>
      <c r="D198" s="1"/>
      <c r="E198" s="1"/>
      <c r="F198" s="2"/>
      <c r="G198" s="2"/>
      <c r="H198" s="2"/>
      <c r="I198" s="2"/>
      <c r="J198" s="2"/>
      <c r="K198" s="2"/>
      <c r="L198" s="2"/>
      <c r="M198" s="2"/>
      <c r="N198" s="2"/>
      <c r="O198" s="2"/>
      <c r="P198" s="2"/>
      <c r="Q198" s="2"/>
      <c r="R198" s="2"/>
      <c r="S198" s="2"/>
      <c r="T198" s="2"/>
      <c r="U198" s="2"/>
      <c r="V198" s="2"/>
      <c r="W198" s="2"/>
      <c r="X198" s="2"/>
      <c r="Y198" s="2"/>
    </row>
    <row r="199" spans="1:25" ht="14.25" customHeight="1" x14ac:dyDescent="0.3">
      <c r="A199" s="2"/>
      <c r="B199" s="1"/>
      <c r="C199" s="1"/>
      <c r="D199" s="1"/>
      <c r="E199" s="1"/>
      <c r="F199" s="2"/>
      <c r="G199" s="2"/>
      <c r="H199" s="2"/>
      <c r="I199" s="2"/>
      <c r="J199" s="2"/>
      <c r="K199" s="2"/>
      <c r="L199" s="2"/>
      <c r="M199" s="2"/>
      <c r="N199" s="2"/>
      <c r="O199" s="2"/>
      <c r="P199" s="2"/>
      <c r="Q199" s="2"/>
      <c r="R199" s="2"/>
      <c r="S199" s="2"/>
      <c r="T199" s="2"/>
      <c r="U199" s="2"/>
      <c r="V199" s="2"/>
      <c r="W199" s="2"/>
      <c r="X199" s="2"/>
      <c r="Y199" s="2"/>
    </row>
    <row r="200" spans="1:25" ht="14.25" customHeight="1" x14ac:dyDescent="0.3">
      <c r="A200" s="2"/>
      <c r="B200" s="1"/>
      <c r="C200" s="1"/>
      <c r="D200" s="1"/>
      <c r="E200" s="1"/>
      <c r="F200" s="2"/>
      <c r="G200" s="2"/>
      <c r="H200" s="2"/>
      <c r="I200" s="2"/>
      <c r="J200" s="2"/>
      <c r="K200" s="2"/>
      <c r="L200" s="2"/>
      <c r="M200" s="2"/>
      <c r="N200" s="2"/>
      <c r="O200" s="2"/>
      <c r="P200" s="2"/>
      <c r="Q200" s="2"/>
      <c r="R200" s="2"/>
      <c r="S200" s="2"/>
      <c r="T200" s="2"/>
      <c r="U200" s="2"/>
      <c r="V200" s="2"/>
      <c r="W200" s="2"/>
      <c r="X200" s="2"/>
      <c r="Y200" s="2"/>
    </row>
    <row r="201" spans="1:25" ht="14.25" customHeight="1" x14ac:dyDescent="0.3">
      <c r="A201" s="2"/>
      <c r="B201" s="1"/>
      <c r="C201" s="1"/>
      <c r="D201" s="1"/>
      <c r="E201" s="1"/>
      <c r="F201" s="2"/>
      <c r="G201" s="2"/>
      <c r="H201" s="2"/>
      <c r="I201" s="2"/>
      <c r="J201" s="2"/>
      <c r="K201" s="2"/>
      <c r="L201" s="2"/>
      <c r="M201" s="2"/>
      <c r="N201" s="2"/>
      <c r="O201" s="2"/>
      <c r="P201" s="2"/>
      <c r="Q201" s="2"/>
      <c r="R201" s="2"/>
      <c r="S201" s="2"/>
      <c r="T201" s="2"/>
      <c r="U201" s="2"/>
      <c r="V201" s="2"/>
      <c r="W201" s="2"/>
      <c r="X201" s="2"/>
      <c r="Y201" s="2"/>
    </row>
    <row r="202" spans="1:25" ht="14.25" customHeight="1" x14ac:dyDescent="0.3">
      <c r="A202" s="2"/>
      <c r="B202" s="1"/>
      <c r="C202" s="1"/>
      <c r="D202" s="1"/>
      <c r="E202" s="1"/>
      <c r="F202" s="2"/>
      <c r="G202" s="2"/>
      <c r="H202" s="2"/>
      <c r="I202" s="2"/>
      <c r="J202" s="2"/>
      <c r="K202" s="2"/>
      <c r="L202" s="2"/>
      <c r="M202" s="2"/>
      <c r="N202" s="2"/>
      <c r="O202" s="2"/>
      <c r="P202" s="2"/>
      <c r="Q202" s="2"/>
      <c r="R202" s="2"/>
      <c r="S202" s="2"/>
      <c r="T202" s="2"/>
      <c r="U202" s="2"/>
      <c r="V202" s="2"/>
      <c r="W202" s="2"/>
      <c r="X202" s="2"/>
      <c r="Y202" s="2"/>
    </row>
    <row r="203" spans="1:25" ht="14.25" customHeight="1" x14ac:dyDescent="0.3">
      <c r="A203" s="2"/>
      <c r="B203" s="1"/>
      <c r="C203" s="1"/>
      <c r="D203" s="1"/>
      <c r="E203" s="1"/>
      <c r="F203" s="2"/>
      <c r="G203" s="2"/>
      <c r="H203" s="2"/>
      <c r="I203" s="2"/>
      <c r="J203" s="2"/>
      <c r="K203" s="2"/>
      <c r="L203" s="2"/>
      <c r="M203" s="2"/>
      <c r="N203" s="2"/>
      <c r="O203" s="2"/>
      <c r="P203" s="2"/>
      <c r="Q203" s="2"/>
      <c r="R203" s="2"/>
      <c r="S203" s="2"/>
      <c r="T203" s="2"/>
      <c r="U203" s="2"/>
      <c r="V203" s="2"/>
      <c r="W203" s="2"/>
      <c r="X203" s="2"/>
      <c r="Y203" s="2"/>
    </row>
    <row r="204" spans="1:25" ht="14.25" customHeight="1" x14ac:dyDescent="0.3">
      <c r="A204" s="2"/>
      <c r="B204" s="1"/>
      <c r="C204" s="1"/>
      <c r="D204" s="1"/>
      <c r="E204" s="1"/>
      <c r="F204" s="2"/>
      <c r="G204" s="2"/>
      <c r="H204" s="2"/>
      <c r="I204" s="2"/>
      <c r="J204" s="2"/>
      <c r="K204" s="2"/>
      <c r="L204" s="2"/>
      <c r="M204" s="2"/>
      <c r="N204" s="2"/>
      <c r="O204" s="2"/>
      <c r="P204" s="2"/>
      <c r="Q204" s="2"/>
      <c r="R204" s="2"/>
      <c r="S204" s="2"/>
      <c r="T204" s="2"/>
      <c r="U204" s="2"/>
      <c r="V204" s="2"/>
      <c r="W204" s="2"/>
      <c r="X204" s="2"/>
      <c r="Y204" s="2"/>
    </row>
    <row r="205" spans="1:25" ht="14.25" customHeight="1" x14ac:dyDescent="0.3">
      <c r="A205" s="2"/>
      <c r="B205" s="1"/>
      <c r="C205" s="1"/>
      <c r="D205" s="1"/>
      <c r="E205" s="1"/>
      <c r="F205" s="2"/>
      <c r="G205" s="2"/>
      <c r="H205" s="2"/>
      <c r="I205" s="2"/>
      <c r="J205" s="2"/>
      <c r="K205" s="2"/>
      <c r="L205" s="2"/>
      <c r="M205" s="2"/>
      <c r="N205" s="2"/>
      <c r="O205" s="2"/>
      <c r="P205" s="2"/>
      <c r="Q205" s="2"/>
      <c r="R205" s="2"/>
      <c r="S205" s="2"/>
      <c r="T205" s="2"/>
      <c r="U205" s="2"/>
      <c r="V205" s="2"/>
      <c r="W205" s="2"/>
      <c r="X205" s="2"/>
      <c r="Y205" s="2"/>
    </row>
    <row r="206" spans="1:25" ht="14.25" customHeight="1" x14ac:dyDescent="0.3">
      <c r="A206" s="2"/>
      <c r="B206" s="1"/>
      <c r="C206" s="1"/>
      <c r="D206" s="1"/>
      <c r="E206" s="1"/>
      <c r="F206" s="2"/>
      <c r="G206" s="2"/>
      <c r="H206" s="2"/>
      <c r="I206" s="2"/>
      <c r="J206" s="2"/>
      <c r="K206" s="2"/>
      <c r="L206" s="2"/>
      <c r="M206" s="2"/>
      <c r="N206" s="2"/>
      <c r="O206" s="2"/>
      <c r="P206" s="2"/>
      <c r="Q206" s="2"/>
      <c r="R206" s="2"/>
      <c r="S206" s="2"/>
      <c r="T206" s="2"/>
      <c r="U206" s="2"/>
      <c r="V206" s="2"/>
      <c r="W206" s="2"/>
      <c r="X206" s="2"/>
      <c r="Y206" s="2"/>
    </row>
    <row r="207" spans="1:25" ht="14.25" customHeight="1" x14ac:dyDescent="0.3">
      <c r="A207" s="2"/>
      <c r="B207" s="1"/>
      <c r="C207" s="1"/>
      <c r="D207" s="1"/>
      <c r="E207" s="1"/>
      <c r="F207" s="2"/>
      <c r="G207" s="2"/>
      <c r="H207" s="2"/>
      <c r="I207" s="2"/>
      <c r="J207" s="2"/>
      <c r="K207" s="2"/>
      <c r="L207" s="2"/>
      <c r="M207" s="2"/>
      <c r="N207" s="2"/>
      <c r="O207" s="2"/>
      <c r="P207" s="2"/>
      <c r="Q207" s="2"/>
      <c r="R207" s="2"/>
      <c r="S207" s="2"/>
      <c r="T207" s="2"/>
      <c r="U207" s="2"/>
      <c r="V207" s="2"/>
      <c r="W207" s="2"/>
      <c r="X207" s="2"/>
      <c r="Y207" s="2"/>
    </row>
    <row r="208" spans="1:25" ht="14.25" customHeight="1" x14ac:dyDescent="0.3">
      <c r="A208" s="2"/>
      <c r="B208" s="1"/>
      <c r="C208" s="1"/>
      <c r="D208" s="1"/>
      <c r="E208" s="1"/>
      <c r="F208" s="2"/>
      <c r="G208" s="2"/>
      <c r="H208" s="2"/>
      <c r="I208" s="2"/>
      <c r="J208" s="2"/>
      <c r="K208" s="2"/>
      <c r="L208" s="2"/>
      <c r="M208" s="2"/>
      <c r="N208" s="2"/>
      <c r="O208" s="2"/>
      <c r="P208" s="2"/>
      <c r="Q208" s="2"/>
      <c r="R208" s="2"/>
      <c r="S208" s="2"/>
      <c r="T208" s="2"/>
      <c r="U208" s="2"/>
      <c r="V208" s="2"/>
      <c r="W208" s="2"/>
      <c r="X208" s="2"/>
      <c r="Y208" s="2"/>
    </row>
    <row r="209" spans="1:25" ht="14.25" customHeight="1" x14ac:dyDescent="0.3">
      <c r="A209" s="2"/>
      <c r="B209" s="1"/>
      <c r="C209" s="1"/>
      <c r="D209" s="1"/>
      <c r="E209" s="1"/>
      <c r="F209" s="2"/>
      <c r="G209" s="2"/>
      <c r="H209" s="2"/>
      <c r="I209" s="2"/>
      <c r="J209" s="2"/>
      <c r="K209" s="2"/>
      <c r="L209" s="2"/>
      <c r="M209" s="2"/>
      <c r="N209" s="2"/>
      <c r="O209" s="2"/>
      <c r="P209" s="2"/>
      <c r="Q209" s="2"/>
      <c r="R209" s="2"/>
      <c r="S209" s="2"/>
      <c r="T209" s="2"/>
      <c r="U209" s="2"/>
      <c r="V209" s="2"/>
      <c r="W209" s="2"/>
      <c r="X209" s="2"/>
      <c r="Y209" s="2"/>
    </row>
    <row r="210" spans="1:25" ht="14.25" customHeight="1" x14ac:dyDescent="0.3">
      <c r="A210" s="2"/>
      <c r="B210" s="1"/>
      <c r="C210" s="1"/>
      <c r="D210" s="1"/>
      <c r="E210" s="1"/>
      <c r="F210" s="2"/>
      <c r="G210" s="2"/>
      <c r="H210" s="2"/>
      <c r="I210" s="2"/>
      <c r="J210" s="2"/>
      <c r="K210" s="2"/>
      <c r="L210" s="2"/>
      <c r="M210" s="2"/>
      <c r="N210" s="2"/>
      <c r="O210" s="2"/>
      <c r="P210" s="2"/>
      <c r="Q210" s="2"/>
      <c r="R210" s="2"/>
      <c r="S210" s="2"/>
      <c r="T210" s="2"/>
      <c r="U210" s="2"/>
      <c r="V210" s="2"/>
      <c r="W210" s="2"/>
      <c r="X210" s="2"/>
      <c r="Y210" s="2"/>
    </row>
    <row r="211" spans="1:25" ht="14.25" customHeight="1" x14ac:dyDescent="0.3">
      <c r="A211" s="2"/>
      <c r="B211" s="1"/>
      <c r="C211" s="1"/>
      <c r="D211" s="1"/>
      <c r="E211" s="1"/>
      <c r="F211" s="2"/>
      <c r="G211" s="2"/>
      <c r="H211" s="2"/>
      <c r="I211" s="2"/>
      <c r="J211" s="2"/>
      <c r="K211" s="2"/>
      <c r="L211" s="2"/>
      <c r="M211" s="2"/>
      <c r="N211" s="2"/>
      <c r="O211" s="2"/>
      <c r="P211" s="2"/>
      <c r="Q211" s="2"/>
      <c r="R211" s="2"/>
      <c r="S211" s="2"/>
      <c r="T211" s="2"/>
      <c r="U211" s="2"/>
      <c r="V211" s="2"/>
      <c r="W211" s="2"/>
      <c r="X211" s="2"/>
      <c r="Y211" s="2"/>
    </row>
    <row r="212" spans="1:25" ht="14.25" customHeight="1" x14ac:dyDescent="0.3">
      <c r="A212" s="2"/>
      <c r="B212" s="1"/>
      <c r="C212" s="1"/>
      <c r="D212" s="1"/>
      <c r="E212" s="1"/>
      <c r="F212" s="2"/>
      <c r="G212" s="2"/>
      <c r="H212" s="2"/>
      <c r="I212" s="2"/>
      <c r="J212" s="2"/>
      <c r="K212" s="2"/>
      <c r="L212" s="2"/>
      <c r="M212" s="2"/>
      <c r="N212" s="2"/>
      <c r="O212" s="2"/>
      <c r="P212" s="2"/>
      <c r="Q212" s="2"/>
      <c r="R212" s="2"/>
      <c r="S212" s="2"/>
      <c r="T212" s="2"/>
      <c r="U212" s="2"/>
      <c r="V212" s="2"/>
      <c r="W212" s="2"/>
      <c r="X212" s="2"/>
      <c r="Y212" s="2"/>
    </row>
    <row r="213" spans="1:25" ht="14.25" customHeight="1" x14ac:dyDescent="0.3">
      <c r="A213" s="2"/>
      <c r="B213" s="1"/>
      <c r="C213" s="1"/>
      <c r="D213" s="1"/>
      <c r="E213" s="1"/>
      <c r="F213" s="2"/>
      <c r="G213" s="2"/>
      <c r="H213" s="2"/>
      <c r="I213" s="2"/>
      <c r="J213" s="2"/>
      <c r="K213" s="2"/>
      <c r="L213" s="2"/>
      <c r="M213" s="2"/>
      <c r="N213" s="2"/>
      <c r="O213" s="2"/>
      <c r="P213" s="2"/>
      <c r="Q213" s="2"/>
      <c r="R213" s="2"/>
      <c r="S213" s="2"/>
      <c r="T213" s="2"/>
      <c r="U213" s="2"/>
      <c r="V213" s="2"/>
      <c r="W213" s="2"/>
      <c r="X213" s="2"/>
      <c r="Y213" s="2"/>
    </row>
    <row r="214" spans="1:25" ht="14.25" customHeight="1" x14ac:dyDescent="0.3">
      <c r="A214" s="2"/>
      <c r="B214" s="1"/>
      <c r="C214" s="1"/>
      <c r="D214" s="1"/>
      <c r="E214" s="1"/>
      <c r="F214" s="2"/>
      <c r="G214" s="2"/>
      <c r="H214" s="2"/>
      <c r="I214" s="2"/>
      <c r="J214" s="2"/>
      <c r="K214" s="2"/>
      <c r="L214" s="2"/>
      <c r="M214" s="2"/>
      <c r="N214" s="2"/>
      <c r="O214" s="2"/>
      <c r="P214" s="2"/>
      <c r="Q214" s="2"/>
      <c r="R214" s="2"/>
      <c r="S214" s="2"/>
      <c r="T214" s="2"/>
      <c r="U214" s="2"/>
      <c r="V214" s="2"/>
      <c r="W214" s="2"/>
      <c r="X214" s="2"/>
      <c r="Y214" s="2"/>
    </row>
    <row r="215" spans="1:25" ht="14.25" customHeight="1" x14ac:dyDescent="0.3">
      <c r="A215" s="2"/>
      <c r="B215" s="1"/>
      <c r="C215" s="1"/>
      <c r="D215" s="1"/>
      <c r="E215" s="1"/>
      <c r="F215" s="2"/>
      <c r="G215" s="2"/>
      <c r="H215" s="2"/>
      <c r="I215" s="2"/>
      <c r="J215" s="2"/>
      <c r="K215" s="2"/>
      <c r="L215" s="2"/>
      <c r="M215" s="2"/>
      <c r="N215" s="2"/>
      <c r="O215" s="2"/>
      <c r="P215" s="2"/>
      <c r="Q215" s="2"/>
      <c r="R215" s="2"/>
      <c r="S215" s="2"/>
      <c r="T215" s="2"/>
      <c r="U215" s="2"/>
      <c r="V215" s="2"/>
      <c r="W215" s="2"/>
      <c r="X215" s="2"/>
      <c r="Y215" s="2"/>
    </row>
    <row r="216" spans="1:25" ht="14.25" customHeight="1" x14ac:dyDescent="0.3">
      <c r="A216" s="2"/>
      <c r="B216" s="1"/>
      <c r="C216" s="1"/>
      <c r="D216" s="1"/>
      <c r="E216" s="1"/>
      <c r="F216" s="2"/>
      <c r="G216" s="2"/>
      <c r="H216" s="2"/>
      <c r="I216" s="2"/>
      <c r="J216" s="2"/>
      <c r="K216" s="2"/>
      <c r="L216" s="2"/>
      <c r="M216" s="2"/>
      <c r="N216" s="2"/>
      <c r="O216" s="2"/>
      <c r="P216" s="2"/>
      <c r="Q216" s="2"/>
      <c r="R216" s="2"/>
      <c r="S216" s="2"/>
      <c r="T216" s="2"/>
      <c r="U216" s="2"/>
      <c r="V216" s="2"/>
      <c r="W216" s="2"/>
      <c r="X216" s="2"/>
      <c r="Y216" s="2"/>
    </row>
    <row r="217" spans="1:25" ht="14.25" customHeight="1" x14ac:dyDescent="0.3">
      <c r="A217" s="2"/>
      <c r="B217" s="1"/>
      <c r="C217" s="1"/>
      <c r="D217" s="1"/>
      <c r="E217" s="1"/>
      <c r="F217" s="2"/>
      <c r="G217" s="2"/>
      <c r="H217" s="2"/>
      <c r="I217" s="2"/>
      <c r="J217" s="2"/>
      <c r="K217" s="2"/>
      <c r="L217" s="2"/>
      <c r="M217" s="2"/>
      <c r="N217" s="2"/>
      <c r="O217" s="2"/>
      <c r="P217" s="2"/>
      <c r="Q217" s="2"/>
      <c r="R217" s="2"/>
      <c r="S217" s="2"/>
      <c r="T217" s="2"/>
      <c r="U217" s="2"/>
      <c r="V217" s="2"/>
      <c r="W217" s="2"/>
      <c r="X217" s="2"/>
      <c r="Y217" s="2"/>
    </row>
    <row r="218" spans="1:25" ht="14.25" customHeight="1" x14ac:dyDescent="0.3">
      <c r="A218" s="2"/>
      <c r="B218" s="1"/>
      <c r="C218" s="1"/>
      <c r="D218" s="1"/>
      <c r="E218" s="1"/>
      <c r="F218" s="2"/>
      <c r="G218" s="2"/>
      <c r="H218" s="2"/>
      <c r="I218" s="2"/>
      <c r="J218" s="2"/>
      <c r="K218" s="2"/>
      <c r="L218" s="2"/>
      <c r="M218" s="2"/>
      <c r="N218" s="2"/>
      <c r="O218" s="2"/>
      <c r="P218" s="2"/>
      <c r="Q218" s="2"/>
      <c r="R218" s="2"/>
      <c r="S218" s="2"/>
      <c r="T218" s="2"/>
      <c r="U218" s="2"/>
      <c r="V218" s="2"/>
      <c r="W218" s="2"/>
      <c r="X218" s="2"/>
      <c r="Y218" s="2"/>
    </row>
    <row r="219" spans="1:25" ht="14.25" customHeight="1" x14ac:dyDescent="0.3">
      <c r="A219" s="2"/>
      <c r="B219" s="1"/>
      <c r="C219" s="1"/>
      <c r="D219" s="1"/>
      <c r="E219" s="1"/>
      <c r="F219" s="2"/>
      <c r="G219" s="2"/>
      <c r="H219" s="2"/>
      <c r="I219" s="2"/>
      <c r="J219" s="2"/>
      <c r="K219" s="2"/>
      <c r="L219" s="2"/>
      <c r="M219" s="2"/>
      <c r="N219" s="2"/>
      <c r="O219" s="2"/>
      <c r="P219" s="2"/>
      <c r="Q219" s="2"/>
      <c r="R219" s="2"/>
      <c r="S219" s="2"/>
      <c r="T219" s="2"/>
      <c r="U219" s="2"/>
      <c r="V219" s="2"/>
      <c r="W219" s="2"/>
      <c r="X219" s="2"/>
      <c r="Y219" s="2"/>
    </row>
    <row r="220" spans="1:25" ht="14.25" customHeight="1" x14ac:dyDescent="0.3">
      <c r="A220" s="2"/>
      <c r="B220" s="1"/>
      <c r="C220" s="1"/>
      <c r="D220" s="1"/>
      <c r="E220" s="1"/>
      <c r="F220" s="2"/>
      <c r="G220" s="2"/>
      <c r="H220" s="2"/>
      <c r="I220" s="2"/>
      <c r="J220" s="2"/>
      <c r="K220" s="2"/>
      <c r="L220" s="2"/>
      <c r="M220" s="2"/>
      <c r="N220" s="2"/>
      <c r="O220" s="2"/>
      <c r="P220" s="2"/>
      <c r="Q220" s="2"/>
      <c r="R220" s="2"/>
      <c r="S220" s="2"/>
      <c r="T220" s="2"/>
      <c r="U220" s="2"/>
      <c r="V220" s="2"/>
      <c r="W220" s="2"/>
      <c r="X220" s="2"/>
      <c r="Y220" s="2"/>
    </row>
    <row r="221" spans="1:25" ht="14.25" customHeight="1" x14ac:dyDescent="0.3">
      <c r="A221" s="2"/>
      <c r="B221" s="1"/>
      <c r="C221" s="1"/>
      <c r="D221" s="1"/>
      <c r="E221" s="1"/>
      <c r="F221" s="2"/>
      <c r="G221" s="2"/>
      <c r="H221" s="2"/>
      <c r="I221" s="2"/>
      <c r="J221" s="2"/>
      <c r="K221" s="2"/>
      <c r="L221" s="2"/>
      <c r="M221" s="2"/>
      <c r="N221" s="2"/>
      <c r="O221" s="2"/>
      <c r="P221" s="2"/>
      <c r="Q221" s="2"/>
      <c r="R221" s="2"/>
      <c r="S221" s="2"/>
      <c r="T221" s="2"/>
      <c r="U221" s="2"/>
      <c r="V221" s="2"/>
      <c r="W221" s="2"/>
      <c r="X221" s="2"/>
      <c r="Y221" s="2"/>
    </row>
    <row r="222" spans="1:25" ht="14.25" customHeight="1" x14ac:dyDescent="0.3">
      <c r="A222" s="2"/>
      <c r="B222" s="1"/>
      <c r="C222" s="1"/>
      <c r="D222" s="1"/>
      <c r="E222" s="1"/>
      <c r="F222" s="2"/>
      <c r="G222" s="2"/>
      <c r="H222" s="2"/>
      <c r="I222" s="2"/>
      <c r="J222" s="2"/>
      <c r="K222" s="2"/>
      <c r="L222" s="2"/>
      <c r="M222" s="2"/>
      <c r="N222" s="2"/>
      <c r="O222" s="2"/>
      <c r="P222" s="2"/>
      <c r="Q222" s="2"/>
      <c r="R222" s="2"/>
      <c r="S222" s="2"/>
      <c r="T222" s="2"/>
      <c r="U222" s="2"/>
      <c r="V222" s="2"/>
      <c r="W222" s="2"/>
      <c r="X222" s="2"/>
      <c r="Y222" s="2"/>
    </row>
    <row r="223" spans="1:25" ht="14.25" customHeight="1" x14ac:dyDescent="0.3">
      <c r="A223" s="2"/>
      <c r="B223" s="1"/>
      <c r="C223" s="1"/>
      <c r="D223" s="1"/>
      <c r="E223" s="1"/>
      <c r="F223" s="2"/>
      <c r="G223" s="2"/>
      <c r="H223" s="2"/>
      <c r="I223" s="2"/>
      <c r="J223" s="2"/>
      <c r="K223" s="2"/>
      <c r="L223" s="2"/>
      <c r="M223" s="2"/>
      <c r="N223" s="2"/>
      <c r="O223" s="2"/>
      <c r="P223" s="2"/>
      <c r="Q223" s="2"/>
      <c r="R223" s="2"/>
      <c r="S223" s="2"/>
      <c r="T223" s="2"/>
      <c r="U223" s="2"/>
      <c r="V223" s="2"/>
      <c r="W223" s="2"/>
      <c r="X223" s="2"/>
      <c r="Y223" s="2"/>
    </row>
    <row r="224" spans="1:25" ht="14.25" customHeight="1" x14ac:dyDescent="0.3">
      <c r="A224" s="2"/>
      <c r="B224" s="1"/>
      <c r="C224" s="1"/>
      <c r="D224" s="1"/>
      <c r="E224" s="1"/>
      <c r="F224" s="2"/>
      <c r="G224" s="2"/>
      <c r="H224" s="2"/>
      <c r="I224" s="2"/>
      <c r="J224" s="2"/>
      <c r="K224" s="2"/>
      <c r="L224" s="2"/>
      <c r="M224" s="2"/>
      <c r="N224" s="2"/>
      <c r="O224" s="2"/>
      <c r="P224" s="2"/>
      <c r="Q224" s="2"/>
      <c r="R224" s="2"/>
      <c r="S224" s="2"/>
      <c r="T224" s="2"/>
      <c r="U224" s="2"/>
      <c r="V224" s="2"/>
      <c r="W224" s="2"/>
      <c r="X224" s="2"/>
      <c r="Y224" s="2"/>
    </row>
    <row r="225" spans="1:25" ht="14.25" customHeight="1" x14ac:dyDescent="0.3">
      <c r="A225" s="2"/>
      <c r="B225" s="1"/>
      <c r="C225" s="1"/>
      <c r="D225" s="1"/>
      <c r="E225" s="1"/>
      <c r="F225" s="2"/>
      <c r="G225" s="2"/>
      <c r="H225" s="2"/>
      <c r="I225" s="2"/>
      <c r="J225" s="2"/>
      <c r="K225" s="2"/>
      <c r="L225" s="2"/>
      <c r="M225" s="2"/>
      <c r="N225" s="2"/>
      <c r="O225" s="2"/>
      <c r="P225" s="2"/>
      <c r="Q225" s="2"/>
      <c r="R225" s="2"/>
      <c r="S225" s="2"/>
      <c r="T225" s="2"/>
      <c r="U225" s="2"/>
      <c r="V225" s="2"/>
      <c r="W225" s="2"/>
      <c r="X225" s="2"/>
      <c r="Y225" s="2"/>
    </row>
    <row r="226" spans="1:25" ht="14.25" customHeight="1" x14ac:dyDescent="0.3">
      <c r="A226" s="2"/>
      <c r="B226" s="1"/>
      <c r="C226" s="1"/>
      <c r="D226" s="1"/>
      <c r="E226" s="1"/>
      <c r="F226" s="2"/>
      <c r="G226" s="2"/>
      <c r="H226" s="2"/>
      <c r="I226" s="2"/>
      <c r="J226" s="2"/>
      <c r="K226" s="2"/>
      <c r="L226" s="2"/>
      <c r="M226" s="2"/>
      <c r="N226" s="2"/>
      <c r="O226" s="2"/>
      <c r="P226" s="2"/>
      <c r="Q226" s="2"/>
      <c r="R226" s="2"/>
      <c r="S226" s="2"/>
      <c r="T226" s="2"/>
      <c r="U226" s="2"/>
      <c r="V226" s="2"/>
      <c r="W226" s="2"/>
      <c r="X226" s="2"/>
      <c r="Y226" s="2"/>
    </row>
    <row r="227" spans="1:25" ht="14.25" customHeight="1" x14ac:dyDescent="0.3">
      <c r="A227" s="2"/>
      <c r="B227" s="1"/>
      <c r="C227" s="1"/>
      <c r="D227" s="1"/>
      <c r="E227" s="1"/>
      <c r="F227" s="2"/>
      <c r="G227" s="2"/>
      <c r="H227" s="2"/>
      <c r="I227" s="2"/>
      <c r="J227" s="2"/>
      <c r="K227" s="2"/>
      <c r="L227" s="2"/>
      <c r="M227" s="2"/>
      <c r="N227" s="2"/>
      <c r="O227" s="2"/>
      <c r="P227" s="2"/>
      <c r="Q227" s="2"/>
      <c r="R227" s="2"/>
      <c r="S227" s="2"/>
      <c r="T227" s="2"/>
      <c r="U227" s="2"/>
      <c r="V227" s="2"/>
      <c r="W227" s="2"/>
      <c r="X227" s="2"/>
      <c r="Y227" s="2"/>
    </row>
    <row r="228" spans="1:25" ht="14.25" customHeight="1" x14ac:dyDescent="0.3">
      <c r="A228" s="2"/>
      <c r="B228" s="1"/>
      <c r="C228" s="1"/>
      <c r="D228" s="1"/>
      <c r="E228" s="1"/>
      <c r="F228" s="2"/>
      <c r="G228" s="2"/>
      <c r="H228" s="2"/>
      <c r="I228" s="2"/>
      <c r="J228" s="2"/>
      <c r="K228" s="2"/>
      <c r="L228" s="2"/>
      <c r="M228" s="2"/>
      <c r="N228" s="2"/>
      <c r="O228" s="2"/>
      <c r="P228" s="2"/>
      <c r="Q228" s="2"/>
      <c r="R228" s="2"/>
      <c r="S228" s="2"/>
      <c r="T228" s="2"/>
      <c r="U228" s="2"/>
      <c r="V228" s="2"/>
      <c r="W228" s="2"/>
      <c r="X228" s="2"/>
      <c r="Y228" s="2"/>
    </row>
    <row r="229" spans="1:25" ht="14.25" customHeight="1" x14ac:dyDescent="0.3">
      <c r="A229" s="2"/>
      <c r="B229" s="1"/>
      <c r="C229" s="1"/>
      <c r="D229" s="1"/>
      <c r="E229" s="1"/>
      <c r="F229" s="2"/>
      <c r="G229" s="2"/>
      <c r="H229" s="2"/>
      <c r="I229" s="2"/>
      <c r="J229" s="2"/>
      <c r="K229" s="2"/>
      <c r="L229" s="2"/>
      <c r="M229" s="2"/>
      <c r="N229" s="2"/>
      <c r="O229" s="2"/>
      <c r="P229" s="2"/>
      <c r="Q229" s="2"/>
      <c r="R229" s="2"/>
      <c r="S229" s="2"/>
      <c r="T229" s="2"/>
      <c r="U229" s="2"/>
      <c r="V229" s="2"/>
      <c r="W229" s="2"/>
      <c r="X229" s="2"/>
      <c r="Y229" s="2"/>
    </row>
    <row r="230" spans="1:25" ht="14.25" customHeight="1" x14ac:dyDescent="0.3">
      <c r="A230" s="2"/>
      <c r="B230" s="1"/>
      <c r="C230" s="1"/>
      <c r="D230" s="1"/>
      <c r="E230" s="1"/>
      <c r="F230" s="2"/>
      <c r="G230" s="2"/>
      <c r="H230" s="2"/>
      <c r="I230" s="2"/>
      <c r="J230" s="2"/>
      <c r="K230" s="2"/>
      <c r="L230" s="2"/>
      <c r="M230" s="2"/>
      <c r="N230" s="2"/>
      <c r="O230" s="2"/>
      <c r="P230" s="2"/>
      <c r="Q230" s="2"/>
      <c r="R230" s="2"/>
      <c r="S230" s="2"/>
      <c r="T230" s="2"/>
      <c r="U230" s="2"/>
      <c r="V230" s="2"/>
      <c r="W230" s="2"/>
      <c r="X230" s="2"/>
      <c r="Y230" s="2"/>
    </row>
    <row r="231" spans="1:25" ht="14.25" customHeight="1" x14ac:dyDescent="0.3">
      <c r="A231" s="2"/>
      <c r="B231" s="1"/>
      <c r="C231" s="1"/>
      <c r="D231" s="1"/>
      <c r="E231" s="1"/>
      <c r="F231" s="2"/>
      <c r="G231" s="2"/>
      <c r="H231" s="2"/>
      <c r="I231" s="2"/>
      <c r="J231" s="2"/>
      <c r="K231" s="2"/>
      <c r="L231" s="2"/>
      <c r="M231" s="2"/>
      <c r="N231" s="2"/>
      <c r="O231" s="2"/>
      <c r="P231" s="2"/>
      <c r="Q231" s="2"/>
      <c r="R231" s="2"/>
      <c r="S231" s="2"/>
      <c r="T231" s="2"/>
      <c r="U231" s="2"/>
      <c r="V231" s="2"/>
      <c r="W231" s="2"/>
      <c r="X231" s="2"/>
      <c r="Y231" s="2"/>
    </row>
    <row r="232" spans="1:25" ht="14.25" customHeight="1" x14ac:dyDescent="0.3">
      <c r="A232" s="2"/>
      <c r="B232" s="1"/>
      <c r="C232" s="1"/>
      <c r="D232" s="1"/>
      <c r="E232" s="1"/>
      <c r="F232" s="2"/>
      <c r="G232" s="2"/>
      <c r="H232" s="2"/>
      <c r="I232" s="2"/>
      <c r="J232" s="2"/>
      <c r="K232" s="2"/>
      <c r="L232" s="2"/>
      <c r="M232" s="2"/>
      <c r="N232" s="2"/>
      <c r="O232" s="2"/>
      <c r="P232" s="2"/>
      <c r="Q232" s="2"/>
      <c r="R232" s="2"/>
      <c r="S232" s="2"/>
      <c r="T232" s="2"/>
      <c r="U232" s="2"/>
      <c r="V232" s="2"/>
      <c r="W232" s="2"/>
      <c r="X232" s="2"/>
      <c r="Y232" s="2"/>
    </row>
    <row r="233" spans="1:25" ht="14.25" customHeight="1" x14ac:dyDescent="0.3">
      <c r="A233" s="2"/>
      <c r="B233" s="1"/>
      <c r="C233" s="1"/>
      <c r="D233" s="1"/>
      <c r="E233" s="1"/>
      <c r="F233" s="2"/>
      <c r="G233" s="2"/>
      <c r="H233" s="2"/>
      <c r="I233" s="2"/>
      <c r="J233" s="2"/>
      <c r="K233" s="2"/>
      <c r="L233" s="2"/>
      <c r="M233" s="2"/>
      <c r="N233" s="2"/>
      <c r="O233" s="2"/>
      <c r="P233" s="2"/>
      <c r="Q233" s="2"/>
      <c r="R233" s="2"/>
      <c r="S233" s="2"/>
      <c r="T233" s="2"/>
      <c r="U233" s="2"/>
      <c r="V233" s="2"/>
      <c r="W233" s="2"/>
      <c r="X233" s="2"/>
      <c r="Y233" s="2"/>
    </row>
    <row r="234" spans="1:25" ht="14.25" customHeight="1" x14ac:dyDescent="0.3">
      <c r="A234" s="2"/>
      <c r="B234" s="1"/>
      <c r="C234" s="1"/>
      <c r="D234" s="1"/>
      <c r="E234" s="1"/>
      <c r="F234" s="2"/>
      <c r="G234" s="2"/>
      <c r="H234" s="2"/>
      <c r="I234" s="2"/>
      <c r="J234" s="2"/>
      <c r="K234" s="2"/>
      <c r="L234" s="2"/>
      <c r="M234" s="2"/>
      <c r="N234" s="2"/>
      <c r="O234" s="2"/>
      <c r="P234" s="2"/>
      <c r="Q234" s="2"/>
      <c r="R234" s="2"/>
      <c r="S234" s="2"/>
      <c r="T234" s="2"/>
      <c r="U234" s="2"/>
      <c r="V234" s="2"/>
      <c r="W234" s="2"/>
      <c r="X234" s="2"/>
      <c r="Y234" s="2"/>
    </row>
    <row r="235" spans="1:25" ht="14.25" customHeight="1" x14ac:dyDescent="0.3">
      <c r="A235" s="2"/>
      <c r="B235" s="1"/>
      <c r="C235" s="1"/>
      <c r="D235" s="1"/>
      <c r="E235" s="1"/>
      <c r="F235" s="2"/>
      <c r="G235" s="2"/>
      <c r="H235" s="2"/>
      <c r="I235" s="2"/>
      <c r="J235" s="2"/>
      <c r="K235" s="2"/>
      <c r="L235" s="2"/>
      <c r="M235" s="2"/>
      <c r="N235" s="2"/>
      <c r="O235" s="2"/>
      <c r="P235" s="2"/>
      <c r="Q235" s="2"/>
      <c r="R235" s="2"/>
      <c r="S235" s="2"/>
      <c r="T235" s="2"/>
      <c r="U235" s="2"/>
      <c r="V235" s="2"/>
      <c r="W235" s="2"/>
      <c r="X235" s="2"/>
      <c r="Y235" s="2"/>
    </row>
    <row r="236" spans="1:25" ht="14.25" customHeight="1" x14ac:dyDescent="0.3">
      <c r="A236" s="2"/>
      <c r="B236" s="1"/>
      <c r="C236" s="1"/>
      <c r="D236" s="1"/>
      <c r="E236" s="1"/>
      <c r="F236" s="2"/>
      <c r="G236" s="2"/>
      <c r="H236" s="2"/>
      <c r="I236" s="2"/>
      <c r="J236" s="2"/>
      <c r="K236" s="2"/>
      <c r="L236" s="2"/>
      <c r="M236" s="2"/>
      <c r="N236" s="2"/>
      <c r="O236" s="2"/>
      <c r="P236" s="2"/>
      <c r="Q236" s="2"/>
      <c r="R236" s="2"/>
      <c r="S236" s="2"/>
      <c r="T236" s="2"/>
      <c r="U236" s="2"/>
      <c r="V236" s="2"/>
      <c r="W236" s="2"/>
      <c r="X236" s="2"/>
      <c r="Y236" s="2"/>
    </row>
    <row r="237" spans="1:25" ht="14.25" customHeight="1" x14ac:dyDescent="0.3">
      <c r="A237" s="2"/>
      <c r="B237" s="1"/>
      <c r="C237" s="1"/>
      <c r="D237" s="1"/>
      <c r="E237" s="1"/>
      <c r="F237" s="2"/>
      <c r="G237" s="2"/>
      <c r="H237" s="2"/>
      <c r="I237" s="2"/>
      <c r="J237" s="2"/>
      <c r="K237" s="2"/>
      <c r="L237" s="2"/>
      <c r="M237" s="2"/>
      <c r="N237" s="2"/>
      <c r="O237" s="2"/>
      <c r="P237" s="2"/>
      <c r="Q237" s="2"/>
      <c r="R237" s="2"/>
      <c r="S237" s="2"/>
      <c r="T237" s="2"/>
      <c r="U237" s="2"/>
      <c r="V237" s="2"/>
      <c r="W237" s="2"/>
      <c r="X237" s="2"/>
      <c r="Y237" s="2"/>
    </row>
    <row r="238" spans="1:25" ht="14.25" customHeight="1" x14ac:dyDescent="0.3">
      <c r="A238" s="2"/>
      <c r="B238" s="1"/>
      <c r="C238" s="1"/>
      <c r="D238" s="1"/>
      <c r="E238" s="1"/>
      <c r="F238" s="2"/>
      <c r="G238" s="2"/>
      <c r="H238" s="2"/>
      <c r="I238" s="2"/>
      <c r="J238" s="2"/>
      <c r="K238" s="2"/>
      <c r="L238" s="2"/>
      <c r="M238" s="2"/>
      <c r="N238" s="2"/>
      <c r="O238" s="2"/>
      <c r="P238" s="2"/>
      <c r="Q238" s="2"/>
      <c r="R238" s="2"/>
      <c r="S238" s="2"/>
      <c r="T238" s="2"/>
      <c r="U238" s="2"/>
      <c r="V238" s="2"/>
      <c r="W238" s="2"/>
      <c r="X238" s="2"/>
      <c r="Y238" s="2"/>
    </row>
    <row r="239" spans="1:25" ht="14.25" customHeight="1" x14ac:dyDescent="0.3">
      <c r="A239" s="2"/>
      <c r="B239" s="1"/>
      <c r="C239" s="1"/>
      <c r="D239" s="1"/>
      <c r="E239" s="1"/>
      <c r="F239" s="2"/>
      <c r="G239" s="2"/>
      <c r="H239" s="2"/>
      <c r="I239" s="2"/>
      <c r="J239" s="2"/>
      <c r="K239" s="2"/>
      <c r="L239" s="2"/>
      <c r="M239" s="2"/>
      <c r="N239" s="2"/>
      <c r="O239" s="2"/>
      <c r="P239" s="2"/>
      <c r="Q239" s="2"/>
      <c r="R239" s="2"/>
      <c r="S239" s="2"/>
      <c r="T239" s="2"/>
      <c r="U239" s="2"/>
      <c r="V239" s="2"/>
      <c r="W239" s="2"/>
      <c r="X239" s="2"/>
      <c r="Y239" s="2"/>
    </row>
    <row r="240" spans="1:25" ht="14.25" customHeight="1" x14ac:dyDescent="0.3">
      <c r="A240" s="2"/>
      <c r="B240" s="1"/>
      <c r="C240" s="1"/>
      <c r="D240" s="1"/>
      <c r="E240" s="1"/>
      <c r="F240" s="2"/>
      <c r="G240" s="2"/>
      <c r="H240" s="2"/>
      <c r="I240" s="2"/>
      <c r="J240" s="2"/>
      <c r="K240" s="2"/>
      <c r="L240" s="2"/>
      <c r="M240" s="2"/>
      <c r="N240" s="2"/>
      <c r="O240" s="2"/>
      <c r="P240" s="2"/>
      <c r="Q240" s="2"/>
      <c r="R240" s="2"/>
      <c r="S240" s="2"/>
      <c r="T240" s="2"/>
      <c r="U240" s="2"/>
      <c r="V240" s="2"/>
      <c r="W240" s="2"/>
      <c r="X240" s="2"/>
      <c r="Y240" s="2"/>
    </row>
    <row r="241" spans="1:25" ht="14.25" customHeight="1" x14ac:dyDescent="0.3">
      <c r="A241" s="2"/>
      <c r="B241" s="1"/>
      <c r="C241" s="1"/>
      <c r="D241" s="1"/>
      <c r="E241" s="1"/>
      <c r="F241" s="2"/>
      <c r="G241" s="2"/>
      <c r="H241" s="2"/>
      <c r="I241" s="2"/>
      <c r="J241" s="2"/>
      <c r="K241" s="2"/>
      <c r="L241" s="2"/>
      <c r="M241" s="2"/>
      <c r="N241" s="2"/>
      <c r="O241" s="2"/>
      <c r="P241" s="2"/>
      <c r="Q241" s="2"/>
      <c r="R241" s="2"/>
      <c r="S241" s="2"/>
      <c r="T241" s="2"/>
      <c r="U241" s="2"/>
      <c r="V241" s="2"/>
      <c r="W241" s="2"/>
      <c r="X241" s="2"/>
      <c r="Y241" s="2"/>
    </row>
    <row r="242" spans="1:25" ht="14.25" customHeight="1" x14ac:dyDescent="0.3">
      <c r="A242" s="2"/>
      <c r="B242" s="1"/>
      <c r="C242" s="1"/>
      <c r="D242" s="1"/>
      <c r="E242" s="1"/>
      <c r="F242" s="2"/>
      <c r="G242" s="2"/>
      <c r="H242" s="2"/>
      <c r="I242" s="2"/>
      <c r="J242" s="2"/>
      <c r="K242" s="2"/>
      <c r="L242" s="2"/>
      <c r="M242" s="2"/>
      <c r="N242" s="2"/>
      <c r="O242" s="2"/>
      <c r="P242" s="2"/>
      <c r="Q242" s="2"/>
      <c r="R242" s="2"/>
      <c r="S242" s="2"/>
      <c r="T242" s="2"/>
      <c r="U242" s="2"/>
      <c r="V242" s="2"/>
      <c r="W242" s="2"/>
      <c r="X242" s="2"/>
      <c r="Y242" s="2"/>
    </row>
    <row r="243" spans="1:25" ht="14.25" customHeight="1" x14ac:dyDescent="0.3">
      <c r="A243" s="2"/>
      <c r="B243" s="1"/>
      <c r="C243" s="1"/>
      <c r="D243" s="1"/>
      <c r="E243" s="1"/>
      <c r="F243" s="2"/>
      <c r="G243" s="2"/>
      <c r="H243" s="2"/>
      <c r="I243" s="2"/>
      <c r="J243" s="2"/>
      <c r="K243" s="2"/>
      <c r="L243" s="2"/>
      <c r="M243" s="2"/>
      <c r="N243" s="2"/>
      <c r="O243" s="2"/>
      <c r="P243" s="2"/>
      <c r="Q243" s="2"/>
      <c r="R243" s="2"/>
      <c r="S243" s="2"/>
      <c r="T243" s="2"/>
      <c r="U243" s="2"/>
      <c r="V243" s="2"/>
      <c r="W243" s="2"/>
      <c r="X243" s="2"/>
      <c r="Y243" s="2"/>
    </row>
    <row r="244" spans="1:25" ht="14.25" customHeight="1" x14ac:dyDescent="0.3">
      <c r="A244" s="2"/>
      <c r="B244" s="1"/>
      <c r="C244" s="1"/>
      <c r="D244" s="1"/>
      <c r="E244" s="1"/>
      <c r="F244" s="2"/>
      <c r="G244" s="2"/>
      <c r="H244" s="2"/>
      <c r="I244" s="2"/>
      <c r="J244" s="2"/>
      <c r="K244" s="2"/>
      <c r="L244" s="2"/>
      <c r="M244" s="2"/>
      <c r="N244" s="2"/>
      <c r="O244" s="2"/>
      <c r="P244" s="2"/>
      <c r="Q244" s="2"/>
      <c r="R244" s="2"/>
      <c r="S244" s="2"/>
      <c r="T244" s="2"/>
      <c r="U244" s="2"/>
      <c r="V244" s="2"/>
      <c r="W244" s="2"/>
      <c r="X244" s="2"/>
      <c r="Y244" s="2"/>
    </row>
    <row r="245" spans="1:25" ht="14.25" customHeight="1" x14ac:dyDescent="0.3">
      <c r="A245" s="2"/>
      <c r="B245" s="1"/>
      <c r="C245" s="1"/>
      <c r="D245" s="1"/>
      <c r="E245" s="1"/>
      <c r="F245" s="2"/>
      <c r="G245" s="2"/>
      <c r="H245" s="2"/>
      <c r="I245" s="2"/>
      <c r="J245" s="2"/>
      <c r="K245" s="2"/>
      <c r="L245" s="2"/>
      <c r="M245" s="2"/>
      <c r="N245" s="2"/>
      <c r="O245" s="2"/>
      <c r="P245" s="2"/>
      <c r="Q245" s="2"/>
      <c r="R245" s="2"/>
      <c r="S245" s="2"/>
      <c r="T245" s="2"/>
      <c r="U245" s="2"/>
      <c r="V245" s="2"/>
      <c r="W245" s="2"/>
      <c r="X245" s="2"/>
      <c r="Y245" s="2"/>
    </row>
    <row r="246" spans="1:25" ht="14.25" customHeight="1" x14ac:dyDescent="0.3">
      <c r="A246" s="2"/>
      <c r="B246" s="1"/>
      <c r="C246" s="1"/>
      <c r="D246" s="1"/>
      <c r="E246" s="1"/>
      <c r="F246" s="2"/>
      <c r="G246" s="2"/>
      <c r="H246" s="2"/>
      <c r="I246" s="2"/>
      <c r="J246" s="2"/>
      <c r="K246" s="2"/>
      <c r="L246" s="2"/>
      <c r="M246" s="2"/>
      <c r="N246" s="2"/>
      <c r="O246" s="2"/>
      <c r="P246" s="2"/>
      <c r="Q246" s="2"/>
      <c r="R246" s="2"/>
      <c r="S246" s="2"/>
      <c r="T246" s="2"/>
      <c r="U246" s="2"/>
      <c r="V246" s="2"/>
      <c r="W246" s="2"/>
      <c r="X246" s="2"/>
      <c r="Y246" s="2"/>
    </row>
    <row r="247" spans="1:25" ht="14.25" customHeight="1" x14ac:dyDescent="0.3">
      <c r="A247" s="2"/>
      <c r="B247" s="1"/>
      <c r="C247" s="1"/>
      <c r="D247" s="1"/>
      <c r="E247" s="1"/>
      <c r="F247" s="2"/>
      <c r="G247" s="2"/>
      <c r="H247" s="2"/>
      <c r="I247" s="2"/>
      <c r="J247" s="2"/>
      <c r="K247" s="2"/>
      <c r="L247" s="2"/>
      <c r="M247" s="2"/>
      <c r="N247" s="2"/>
      <c r="O247" s="2"/>
      <c r="P247" s="2"/>
      <c r="Q247" s="2"/>
      <c r="R247" s="2"/>
      <c r="S247" s="2"/>
      <c r="T247" s="2"/>
      <c r="U247" s="2"/>
      <c r="V247" s="2"/>
      <c r="W247" s="2"/>
      <c r="X247" s="2"/>
      <c r="Y247" s="2"/>
    </row>
    <row r="248" spans="1:25" ht="14.25" customHeight="1" x14ac:dyDescent="0.3">
      <c r="A248" s="2"/>
      <c r="B248" s="1"/>
      <c r="C248" s="1"/>
      <c r="D248" s="1"/>
      <c r="E248" s="1"/>
      <c r="F248" s="2"/>
      <c r="G248" s="2"/>
      <c r="H248" s="2"/>
      <c r="I248" s="2"/>
      <c r="J248" s="2"/>
      <c r="K248" s="2"/>
      <c r="L248" s="2"/>
      <c r="M248" s="2"/>
      <c r="N248" s="2"/>
      <c r="O248" s="2"/>
      <c r="P248" s="2"/>
      <c r="Q248" s="2"/>
      <c r="R248" s="2"/>
      <c r="S248" s="2"/>
      <c r="T248" s="2"/>
      <c r="U248" s="2"/>
      <c r="V248" s="2"/>
      <c r="W248" s="2"/>
      <c r="X248" s="2"/>
      <c r="Y248" s="2"/>
    </row>
    <row r="249" spans="1:25" ht="14.25" customHeight="1" x14ac:dyDescent="0.3">
      <c r="A249" s="2"/>
      <c r="B249" s="1"/>
      <c r="C249" s="1"/>
      <c r="D249" s="1"/>
      <c r="E249" s="1"/>
      <c r="F249" s="2"/>
      <c r="G249" s="2"/>
      <c r="H249" s="2"/>
      <c r="I249" s="2"/>
      <c r="J249" s="2"/>
      <c r="K249" s="2"/>
      <c r="L249" s="2"/>
      <c r="M249" s="2"/>
      <c r="N249" s="2"/>
      <c r="O249" s="2"/>
      <c r="P249" s="2"/>
      <c r="Q249" s="2"/>
      <c r="R249" s="2"/>
      <c r="S249" s="2"/>
      <c r="T249" s="2"/>
      <c r="U249" s="2"/>
      <c r="V249" s="2"/>
      <c r="W249" s="2"/>
      <c r="X249" s="2"/>
      <c r="Y249" s="2"/>
    </row>
    <row r="250" spans="1:25" ht="14.25" customHeight="1" x14ac:dyDescent="0.3">
      <c r="A250" s="2"/>
      <c r="B250" s="1"/>
      <c r="C250" s="1"/>
      <c r="D250" s="1"/>
      <c r="E250" s="1"/>
      <c r="F250" s="2"/>
      <c r="G250" s="2"/>
      <c r="H250" s="2"/>
      <c r="I250" s="2"/>
      <c r="J250" s="2"/>
      <c r="K250" s="2"/>
      <c r="L250" s="2"/>
      <c r="M250" s="2"/>
      <c r="N250" s="2"/>
      <c r="O250" s="2"/>
      <c r="P250" s="2"/>
      <c r="Q250" s="2"/>
      <c r="R250" s="2"/>
      <c r="S250" s="2"/>
      <c r="T250" s="2"/>
      <c r="U250" s="2"/>
      <c r="V250" s="2"/>
      <c r="W250" s="2"/>
      <c r="X250" s="2"/>
      <c r="Y250" s="2"/>
    </row>
    <row r="251" spans="1:25" ht="14.25" customHeight="1" x14ac:dyDescent="0.3">
      <c r="A251" s="2"/>
      <c r="B251" s="1"/>
      <c r="C251" s="1"/>
      <c r="D251" s="1"/>
      <c r="E251" s="1"/>
      <c r="F251" s="2"/>
      <c r="G251" s="2"/>
      <c r="H251" s="2"/>
      <c r="I251" s="2"/>
      <c r="J251" s="2"/>
      <c r="K251" s="2"/>
      <c r="L251" s="2"/>
      <c r="M251" s="2"/>
      <c r="N251" s="2"/>
      <c r="O251" s="2"/>
      <c r="P251" s="2"/>
      <c r="Q251" s="2"/>
      <c r="R251" s="2"/>
      <c r="S251" s="2"/>
      <c r="T251" s="2"/>
      <c r="U251" s="2"/>
      <c r="V251" s="2"/>
      <c r="W251" s="2"/>
      <c r="X251" s="2"/>
      <c r="Y251" s="2"/>
    </row>
    <row r="252" spans="1:25" ht="14.25" customHeight="1" x14ac:dyDescent="0.3">
      <c r="A252" s="2"/>
      <c r="B252" s="1"/>
      <c r="C252" s="1"/>
      <c r="D252" s="1"/>
      <c r="E252" s="1"/>
      <c r="F252" s="2"/>
      <c r="G252" s="2"/>
      <c r="H252" s="2"/>
      <c r="I252" s="2"/>
      <c r="J252" s="2"/>
      <c r="K252" s="2"/>
      <c r="L252" s="2"/>
      <c r="M252" s="2"/>
      <c r="N252" s="2"/>
      <c r="O252" s="2"/>
      <c r="P252" s="2"/>
      <c r="Q252" s="2"/>
      <c r="R252" s="2"/>
      <c r="S252" s="2"/>
      <c r="T252" s="2"/>
      <c r="U252" s="2"/>
      <c r="V252" s="2"/>
      <c r="W252" s="2"/>
      <c r="X252" s="2"/>
      <c r="Y252" s="2"/>
    </row>
    <row r="253" spans="1:25" ht="14.25" customHeight="1" x14ac:dyDescent="0.3">
      <c r="A253" s="2"/>
      <c r="B253" s="1"/>
      <c r="C253" s="1"/>
      <c r="D253" s="1"/>
      <c r="E253" s="1"/>
      <c r="F253" s="2"/>
      <c r="G253" s="2"/>
      <c r="H253" s="2"/>
      <c r="I253" s="2"/>
      <c r="J253" s="2"/>
      <c r="K253" s="2"/>
      <c r="L253" s="2"/>
      <c r="M253" s="2"/>
      <c r="N253" s="2"/>
      <c r="O253" s="2"/>
      <c r="P253" s="2"/>
      <c r="Q253" s="2"/>
      <c r="R253" s="2"/>
      <c r="S253" s="2"/>
      <c r="T253" s="2"/>
      <c r="U253" s="2"/>
      <c r="V253" s="2"/>
      <c r="W253" s="2"/>
      <c r="X253" s="2"/>
      <c r="Y253" s="2"/>
    </row>
    <row r="254" spans="1:25" ht="14.25" customHeight="1" x14ac:dyDescent="0.3">
      <c r="A254" s="2"/>
      <c r="B254" s="1"/>
      <c r="C254" s="1"/>
      <c r="D254" s="1"/>
      <c r="E254" s="1"/>
      <c r="F254" s="2"/>
      <c r="G254" s="2"/>
      <c r="H254" s="2"/>
      <c r="I254" s="2"/>
      <c r="J254" s="2"/>
      <c r="K254" s="2"/>
      <c r="L254" s="2"/>
      <c r="M254" s="2"/>
      <c r="N254" s="2"/>
      <c r="O254" s="2"/>
      <c r="P254" s="2"/>
      <c r="Q254" s="2"/>
      <c r="R254" s="2"/>
      <c r="S254" s="2"/>
      <c r="T254" s="2"/>
      <c r="U254" s="2"/>
      <c r="V254" s="2"/>
      <c r="W254" s="2"/>
      <c r="X254" s="2"/>
      <c r="Y254" s="2"/>
    </row>
    <row r="255" spans="1:25" ht="14.25" customHeight="1" x14ac:dyDescent="0.3">
      <c r="A255" s="2"/>
      <c r="B255" s="1"/>
      <c r="C255" s="1"/>
      <c r="D255" s="1"/>
      <c r="E255" s="1"/>
      <c r="F255" s="2"/>
      <c r="G255" s="2"/>
      <c r="H255" s="2"/>
      <c r="I255" s="2"/>
      <c r="J255" s="2"/>
      <c r="K255" s="2"/>
      <c r="L255" s="2"/>
      <c r="M255" s="2"/>
      <c r="N255" s="2"/>
      <c r="O255" s="2"/>
      <c r="P255" s="2"/>
      <c r="Q255" s="2"/>
      <c r="R255" s="2"/>
      <c r="S255" s="2"/>
      <c r="T255" s="2"/>
      <c r="U255" s="2"/>
      <c r="V255" s="2"/>
      <c r="W255" s="2"/>
      <c r="X255" s="2"/>
      <c r="Y255" s="2"/>
    </row>
    <row r="256" spans="1:25" ht="14.25" customHeight="1" x14ac:dyDescent="0.3">
      <c r="A256" s="2"/>
      <c r="B256" s="1"/>
      <c r="C256" s="1"/>
      <c r="D256" s="1"/>
      <c r="E256" s="1"/>
      <c r="F256" s="2"/>
      <c r="G256" s="2"/>
      <c r="H256" s="2"/>
      <c r="I256" s="2"/>
      <c r="J256" s="2"/>
      <c r="K256" s="2"/>
      <c r="L256" s="2"/>
      <c r="M256" s="2"/>
      <c r="N256" s="2"/>
      <c r="O256" s="2"/>
      <c r="P256" s="2"/>
      <c r="Q256" s="2"/>
      <c r="R256" s="2"/>
      <c r="S256" s="2"/>
      <c r="T256" s="2"/>
      <c r="U256" s="2"/>
      <c r="V256" s="2"/>
      <c r="W256" s="2"/>
      <c r="X256" s="2"/>
      <c r="Y256" s="2"/>
    </row>
    <row r="257" spans="1:25" ht="14.25" customHeight="1" x14ac:dyDescent="0.3">
      <c r="A257" s="2"/>
      <c r="B257" s="1"/>
      <c r="C257" s="1"/>
      <c r="D257" s="1"/>
      <c r="E257" s="1"/>
      <c r="F257" s="2"/>
      <c r="G257" s="2"/>
      <c r="H257" s="2"/>
      <c r="I257" s="2"/>
      <c r="J257" s="2"/>
      <c r="K257" s="2"/>
      <c r="L257" s="2"/>
      <c r="M257" s="2"/>
      <c r="N257" s="2"/>
      <c r="O257" s="2"/>
      <c r="P257" s="2"/>
      <c r="Q257" s="2"/>
      <c r="R257" s="2"/>
      <c r="S257" s="2"/>
      <c r="T257" s="2"/>
      <c r="U257" s="2"/>
      <c r="V257" s="2"/>
      <c r="W257" s="2"/>
      <c r="X257" s="2"/>
      <c r="Y257" s="2"/>
    </row>
    <row r="258" spans="1:25" ht="14.25" customHeight="1" x14ac:dyDescent="0.3">
      <c r="A258" s="2"/>
      <c r="B258" s="1"/>
      <c r="C258" s="1"/>
      <c r="D258" s="1"/>
      <c r="E258" s="1"/>
      <c r="F258" s="2"/>
      <c r="G258" s="2"/>
      <c r="H258" s="2"/>
      <c r="I258" s="2"/>
      <c r="J258" s="2"/>
      <c r="K258" s="2"/>
      <c r="L258" s="2"/>
      <c r="M258" s="2"/>
      <c r="N258" s="2"/>
      <c r="O258" s="2"/>
      <c r="P258" s="2"/>
      <c r="Q258" s="2"/>
      <c r="R258" s="2"/>
      <c r="S258" s="2"/>
      <c r="T258" s="2"/>
      <c r="U258" s="2"/>
      <c r="V258" s="2"/>
      <c r="W258" s="2"/>
      <c r="X258" s="2"/>
      <c r="Y258" s="2"/>
    </row>
    <row r="259" spans="1:25" ht="14.25" customHeight="1" x14ac:dyDescent="0.3">
      <c r="A259" s="2"/>
      <c r="B259" s="1"/>
      <c r="C259" s="1"/>
      <c r="D259" s="1"/>
      <c r="E259" s="1"/>
      <c r="F259" s="2"/>
      <c r="G259" s="2"/>
      <c r="H259" s="2"/>
      <c r="I259" s="2"/>
      <c r="J259" s="2"/>
      <c r="K259" s="2"/>
      <c r="L259" s="2"/>
      <c r="M259" s="2"/>
      <c r="N259" s="2"/>
      <c r="O259" s="2"/>
      <c r="P259" s="2"/>
      <c r="Q259" s="2"/>
      <c r="R259" s="2"/>
      <c r="S259" s="2"/>
      <c r="T259" s="2"/>
      <c r="U259" s="2"/>
      <c r="V259" s="2"/>
      <c r="W259" s="2"/>
      <c r="X259" s="2"/>
      <c r="Y259" s="2"/>
    </row>
    <row r="260" spans="1:25" ht="14.25" customHeight="1" x14ac:dyDescent="0.3">
      <c r="A260" s="2"/>
      <c r="B260" s="1"/>
      <c r="C260" s="1"/>
      <c r="D260" s="1"/>
      <c r="E260" s="1"/>
      <c r="F260" s="2"/>
      <c r="G260" s="2"/>
      <c r="H260" s="2"/>
      <c r="I260" s="2"/>
      <c r="J260" s="2"/>
      <c r="K260" s="2"/>
      <c r="L260" s="2"/>
      <c r="M260" s="2"/>
      <c r="N260" s="2"/>
      <c r="O260" s="2"/>
      <c r="P260" s="2"/>
      <c r="Q260" s="2"/>
      <c r="R260" s="2"/>
      <c r="S260" s="2"/>
      <c r="T260" s="2"/>
      <c r="U260" s="2"/>
      <c r="V260" s="2"/>
      <c r="W260" s="2"/>
      <c r="X260" s="2"/>
      <c r="Y260" s="2"/>
    </row>
    <row r="261" spans="1:25" ht="14.25" customHeight="1" x14ac:dyDescent="0.3">
      <c r="A261" s="2"/>
      <c r="B261" s="1"/>
      <c r="C261" s="1"/>
      <c r="D261" s="1"/>
      <c r="E261" s="1"/>
      <c r="F261" s="2"/>
      <c r="G261" s="2"/>
      <c r="H261" s="2"/>
      <c r="I261" s="2"/>
      <c r="J261" s="2"/>
      <c r="K261" s="2"/>
      <c r="L261" s="2"/>
      <c r="M261" s="2"/>
      <c r="N261" s="2"/>
      <c r="O261" s="2"/>
      <c r="P261" s="2"/>
      <c r="Q261" s="2"/>
      <c r="R261" s="2"/>
      <c r="S261" s="2"/>
      <c r="T261" s="2"/>
      <c r="U261" s="2"/>
      <c r="V261" s="2"/>
      <c r="W261" s="2"/>
      <c r="X261" s="2"/>
      <c r="Y261" s="2"/>
    </row>
    <row r="262" spans="1:25" ht="14.25" customHeight="1" x14ac:dyDescent="0.3">
      <c r="A262" s="2"/>
      <c r="B262" s="1"/>
      <c r="C262" s="1"/>
      <c r="D262" s="1"/>
      <c r="E262" s="1"/>
      <c r="F262" s="2"/>
      <c r="G262" s="2"/>
      <c r="H262" s="2"/>
      <c r="I262" s="2"/>
      <c r="J262" s="2"/>
      <c r="K262" s="2"/>
      <c r="L262" s="2"/>
      <c r="M262" s="2"/>
      <c r="N262" s="2"/>
      <c r="O262" s="2"/>
      <c r="P262" s="2"/>
      <c r="Q262" s="2"/>
      <c r="R262" s="2"/>
      <c r="S262" s="2"/>
      <c r="T262" s="2"/>
      <c r="U262" s="2"/>
      <c r="V262" s="2"/>
      <c r="W262" s="2"/>
      <c r="X262" s="2"/>
      <c r="Y262" s="2"/>
    </row>
    <row r="263" spans="1:25" ht="14.25" customHeight="1" x14ac:dyDescent="0.3">
      <c r="A263" s="2"/>
      <c r="B263" s="1"/>
      <c r="C263" s="1"/>
      <c r="D263" s="1"/>
      <c r="E263" s="1"/>
      <c r="F263" s="2"/>
      <c r="G263" s="2"/>
      <c r="H263" s="2"/>
      <c r="I263" s="2"/>
      <c r="J263" s="2"/>
      <c r="K263" s="2"/>
      <c r="L263" s="2"/>
      <c r="M263" s="2"/>
      <c r="N263" s="2"/>
      <c r="O263" s="2"/>
      <c r="P263" s="2"/>
      <c r="Q263" s="2"/>
      <c r="R263" s="2"/>
      <c r="S263" s="2"/>
      <c r="T263" s="2"/>
      <c r="U263" s="2"/>
      <c r="V263" s="2"/>
      <c r="W263" s="2"/>
      <c r="X263" s="2"/>
      <c r="Y263" s="2"/>
    </row>
    <row r="264" spans="1:25" ht="14.25" customHeight="1" x14ac:dyDescent="0.3">
      <c r="A264" s="2"/>
      <c r="B264" s="1"/>
      <c r="C264" s="1"/>
      <c r="D264" s="1"/>
      <c r="E264" s="1"/>
      <c r="F264" s="2"/>
      <c r="G264" s="2"/>
      <c r="H264" s="2"/>
      <c r="I264" s="2"/>
      <c r="J264" s="2"/>
      <c r="K264" s="2"/>
      <c r="L264" s="2"/>
      <c r="M264" s="2"/>
      <c r="N264" s="2"/>
      <c r="O264" s="2"/>
      <c r="P264" s="2"/>
      <c r="Q264" s="2"/>
      <c r="R264" s="2"/>
      <c r="S264" s="2"/>
      <c r="T264" s="2"/>
      <c r="U264" s="2"/>
      <c r="V264" s="2"/>
      <c r="W264" s="2"/>
      <c r="X264" s="2"/>
      <c r="Y264" s="2"/>
    </row>
    <row r="265" spans="1:25" ht="14.25" customHeight="1" x14ac:dyDescent="0.3">
      <c r="A265" s="2"/>
      <c r="B265" s="1"/>
      <c r="C265" s="1"/>
      <c r="D265" s="1"/>
      <c r="E265" s="1"/>
      <c r="F265" s="2"/>
      <c r="G265" s="2"/>
      <c r="H265" s="2"/>
      <c r="I265" s="2"/>
      <c r="J265" s="2"/>
      <c r="K265" s="2"/>
      <c r="L265" s="2"/>
      <c r="M265" s="2"/>
      <c r="N265" s="2"/>
      <c r="O265" s="2"/>
      <c r="P265" s="2"/>
      <c r="Q265" s="2"/>
      <c r="R265" s="2"/>
      <c r="S265" s="2"/>
      <c r="T265" s="2"/>
      <c r="U265" s="2"/>
      <c r="V265" s="2"/>
      <c r="W265" s="2"/>
      <c r="X265" s="2"/>
      <c r="Y265" s="2"/>
    </row>
    <row r="266" spans="1:25" ht="14.25" customHeight="1" x14ac:dyDescent="0.3">
      <c r="A266" s="2"/>
      <c r="B266" s="1"/>
      <c r="C266" s="1"/>
      <c r="D266" s="1"/>
      <c r="E266" s="1"/>
      <c r="F266" s="2"/>
      <c r="G266" s="2"/>
      <c r="H266" s="2"/>
      <c r="I266" s="2"/>
      <c r="J266" s="2"/>
      <c r="K266" s="2"/>
      <c r="L266" s="2"/>
      <c r="M266" s="2"/>
      <c r="N266" s="2"/>
      <c r="O266" s="2"/>
      <c r="P266" s="2"/>
      <c r="Q266" s="2"/>
      <c r="R266" s="2"/>
      <c r="S266" s="2"/>
      <c r="T266" s="2"/>
      <c r="U266" s="2"/>
      <c r="V266" s="2"/>
      <c r="W266" s="2"/>
      <c r="X266" s="2"/>
      <c r="Y266" s="2"/>
    </row>
    <row r="267" spans="1:25" ht="14.25" customHeight="1" x14ac:dyDescent="0.3">
      <c r="A267" s="2"/>
      <c r="B267" s="1"/>
      <c r="C267" s="1"/>
      <c r="D267" s="1"/>
      <c r="E267" s="1"/>
      <c r="F267" s="2"/>
      <c r="G267" s="2"/>
      <c r="H267" s="2"/>
      <c r="I267" s="2"/>
      <c r="J267" s="2"/>
      <c r="K267" s="2"/>
      <c r="L267" s="2"/>
      <c r="M267" s="2"/>
      <c r="N267" s="2"/>
      <c r="O267" s="2"/>
      <c r="P267" s="2"/>
      <c r="Q267" s="2"/>
      <c r="R267" s="2"/>
      <c r="S267" s="2"/>
      <c r="T267" s="2"/>
      <c r="U267" s="2"/>
      <c r="V267" s="2"/>
      <c r="W267" s="2"/>
      <c r="X267" s="2"/>
      <c r="Y267" s="2"/>
    </row>
    <row r="268" spans="1:25" ht="14.25" customHeight="1" x14ac:dyDescent="0.3">
      <c r="A268" s="2"/>
      <c r="B268" s="1"/>
      <c r="C268" s="1"/>
      <c r="D268" s="1"/>
      <c r="E268" s="1"/>
      <c r="F268" s="2"/>
      <c r="G268" s="2"/>
      <c r="H268" s="2"/>
      <c r="I268" s="2"/>
      <c r="J268" s="2"/>
      <c r="K268" s="2"/>
      <c r="L268" s="2"/>
      <c r="M268" s="2"/>
      <c r="N268" s="2"/>
      <c r="O268" s="2"/>
      <c r="P268" s="2"/>
      <c r="Q268" s="2"/>
      <c r="R268" s="2"/>
      <c r="S268" s="2"/>
      <c r="T268" s="2"/>
      <c r="U268" s="2"/>
      <c r="V268" s="2"/>
      <c r="W268" s="2"/>
      <c r="X268" s="2"/>
      <c r="Y268" s="2"/>
    </row>
    <row r="269" spans="1:25" ht="14.25" customHeight="1" x14ac:dyDescent="0.3">
      <c r="A269" s="2"/>
      <c r="B269" s="1"/>
      <c r="C269" s="1"/>
      <c r="D269" s="1"/>
      <c r="E269" s="1"/>
      <c r="F269" s="2"/>
      <c r="G269" s="2"/>
      <c r="H269" s="2"/>
      <c r="I269" s="2"/>
      <c r="J269" s="2"/>
      <c r="K269" s="2"/>
      <c r="L269" s="2"/>
      <c r="M269" s="2"/>
      <c r="N269" s="2"/>
      <c r="O269" s="2"/>
      <c r="P269" s="2"/>
      <c r="Q269" s="2"/>
      <c r="R269" s="2"/>
      <c r="S269" s="2"/>
      <c r="T269" s="2"/>
      <c r="U269" s="2"/>
      <c r="V269" s="2"/>
      <c r="W269" s="2"/>
      <c r="X269" s="2"/>
      <c r="Y269" s="2"/>
    </row>
    <row r="270" spans="1:25" ht="14.25" customHeight="1" x14ac:dyDescent="0.3">
      <c r="A270" s="2"/>
      <c r="B270" s="1"/>
      <c r="C270" s="1"/>
      <c r="D270" s="1"/>
      <c r="E270" s="1"/>
      <c r="F270" s="2"/>
      <c r="G270" s="2"/>
      <c r="H270" s="2"/>
      <c r="I270" s="2"/>
      <c r="J270" s="2"/>
      <c r="K270" s="2"/>
      <c r="L270" s="2"/>
      <c r="M270" s="2"/>
      <c r="N270" s="2"/>
      <c r="O270" s="2"/>
      <c r="P270" s="2"/>
      <c r="Q270" s="2"/>
      <c r="R270" s="2"/>
      <c r="S270" s="2"/>
      <c r="T270" s="2"/>
      <c r="U270" s="2"/>
      <c r="V270" s="2"/>
      <c r="W270" s="2"/>
      <c r="X270" s="2"/>
      <c r="Y270" s="2"/>
    </row>
    <row r="271" spans="1:25" ht="14.25" customHeight="1" x14ac:dyDescent="0.3">
      <c r="A271" s="2"/>
      <c r="B271" s="1"/>
      <c r="C271" s="1"/>
      <c r="D271" s="1"/>
      <c r="E271" s="1"/>
      <c r="F271" s="2"/>
      <c r="G271" s="2"/>
      <c r="H271" s="2"/>
      <c r="I271" s="2"/>
      <c r="J271" s="2"/>
      <c r="K271" s="2"/>
      <c r="L271" s="2"/>
      <c r="M271" s="2"/>
      <c r="N271" s="2"/>
      <c r="O271" s="2"/>
      <c r="P271" s="2"/>
      <c r="Q271" s="2"/>
      <c r="R271" s="2"/>
      <c r="S271" s="2"/>
      <c r="T271" s="2"/>
      <c r="U271" s="2"/>
      <c r="V271" s="2"/>
      <c r="W271" s="2"/>
      <c r="X271" s="2"/>
      <c r="Y271" s="2"/>
    </row>
    <row r="272" spans="1:25" ht="14.25" customHeight="1" x14ac:dyDescent="0.3">
      <c r="A272" s="2"/>
      <c r="B272" s="1"/>
      <c r="C272" s="1"/>
      <c r="D272" s="1"/>
      <c r="E272" s="1"/>
      <c r="F272" s="2"/>
      <c r="G272" s="2"/>
      <c r="H272" s="2"/>
      <c r="I272" s="2"/>
      <c r="J272" s="2"/>
      <c r="K272" s="2"/>
      <c r="L272" s="2"/>
      <c r="M272" s="2"/>
      <c r="N272" s="2"/>
      <c r="O272" s="2"/>
      <c r="P272" s="2"/>
      <c r="Q272" s="2"/>
      <c r="R272" s="2"/>
      <c r="S272" s="2"/>
      <c r="T272" s="2"/>
      <c r="U272" s="2"/>
      <c r="V272" s="2"/>
      <c r="W272" s="2"/>
      <c r="X272" s="2"/>
      <c r="Y272" s="2"/>
    </row>
    <row r="273" spans="1:25" ht="14.25" customHeight="1" x14ac:dyDescent="0.3">
      <c r="A273" s="2"/>
      <c r="B273" s="1"/>
      <c r="C273" s="1"/>
      <c r="D273" s="1"/>
      <c r="E273" s="1"/>
      <c r="F273" s="2"/>
      <c r="G273" s="2"/>
      <c r="H273" s="2"/>
      <c r="I273" s="2"/>
      <c r="J273" s="2"/>
      <c r="K273" s="2"/>
      <c r="L273" s="2"/>
      <c r="M273" s="2"/>
      <c r="N273" s="2"/>
      <c r="O273" s="2"/>
      <c r="P273" s="2"/>
      <c r="Q273" s="2"/>
      <c r="R273" s="2"/>
      <c r="S273" s="2"/>
      <c r="T273" s="2"/>
      <c r="U273" s="2"/>
      <c r="V273" s="2"/>
      <c r="W273" s="2"/>
      <c r="X273" s="2"/>
      <c r="Y273" s="2"/>
    </row>
    <row r="274" spans="1:25" ht="14.25" customHeight="1" x14ac:dyDescent="0.3">
      <c r="A274" s="2"/>
      <c r="B274" s="1"/>
      <c r="C274" s="1"/>
      <c r="D274" s="1"/>
      <c r="E274" s="1"/>
      <c r="F274" s="2"/>
      <c r="G274" s="2"/>
      <c r="H274" s="2"/>
      <c r="I274" s="2"/>
      <c r="J274" s="2"/>
      <c r="K274" s="2"/>
      <c r="L274" s="2"/>
      <c r="M274" s="2"/>
      <c r="N274" s="2"/>
      <c r="O274" s="2"/>
      <c r="P274" s="2"/>
      <c r="Q274" s="2"/>
      <c r="R274" s="2"/>
      <c r="S274" s="2"/>
      <c r="T274" s="2"/>
      <c r="U274" s="2"/>
      <c r="V274" s="2"/>
      <c r="W274" s="2"/>
      <c r="X274" s="2"/>
      <c r="Y274" s="2"/>
    </row>
    <row r="275" spans="1:25" ht="14.25" customHeight="1" x14ac:dyDescent="0.3">
      <c r="A275" s="2"/>
      <c r="B275" s="1"/>
      <c r="C275" s="1"/>
      <c r="D275" s="1"/>
      <c r="E275" s="1"/>
      <c r="F275" s="2"/>
      <c r="G275" s="2"/>
      <c r="H275" s="2"/>
      <c r="I275" s="2"/>
      <c r="J275" s="2"/>
      <c r="K275" s="2"/>
      <c r="L275" s="2"/>
      <c r="M275" s="2"/>
      <c r="N275" s="2"/>
      <c r="O275" s="2"/>
      <c r="P275" s="2"/>
      <c r="Q275" s="2"/>
      <c r="R275" s="2"/>
      <c r="S275" s="2"/>
      <c r="T275" s="2"/>
      <c r="U275" s="2"/>
      <c r="V275" s="2"/>
      <c r="W275" s="2"/>
      <c r="X275" s="2"/>
      <c r="Y275" s="2"/>
    </row>
    <row r="276" spans="1:25" ht="14.25" customHeight="1" x14ac:dyDescent="0.3">
      <c r="A276" s="2"/>
      <c r="B276" s="1"/>
      <c r="C276" s="1"/>
      <c r="D276" s="1"/>
      <c r="E276" s="1"/>
      <c r="F276" s="2"/>
      <c r="G276" s="2"/>
      <c r="H276" s="2"/>
      <c r="I276" s="2"/>
      <c r="J276" s="2"/>
      <c r="K276" s="2"/>
      <c r="L276" s="2"/>
      <c r="M276" s="2"/>
      <c r="N276" s="2"/>
      <c r="O276" s="2"/>
      <c r="P276" s="2"/>
      <c r="Q276" s="2"/>
      <c r="R276" s="2"/>
      <c r="S276" s="2"/>
      <c r="T276" s="2"/>
      <c r="U276" s="2"/>
      <c r="V276" s="2"/>
      <c r="W276" s="2"/>
      <c r="X276" s="2"/>
      <c r="Y276" s="2"/>
    </row>
    <row r="277" spans="1:25" ht="14.25" customHeight="1" x14ac:dyDescent="0.3">
      <c r="A277" s="2"/>
      <c r="B277" s="1"/>
      <c r="C277" s="1"/>
      <c r="D277" s="1"/>
      <c r="E277" s="1"/>
      <c r="F277" s="2"/>
      <c r="G277" s="2"/>
      <c r="H277" s="2"/>
      <c r="I277" s="2"/>
      <c r="J277" s="2"/>
      <c r="K277" s="2"/>
      <c r="L277" s="2"/>
      <c r="M277" s="2"/>
      <c r="N277" s="2"/>
      <c r="O277" s="2"/>
      <c r="P277" s="2"/>
      <c r="Q277" s="2"/>
      <c r="R277" s="2"/>
      <c r="S277" s="2"/>
      <c r="T277" s="2"/>
      <c r="U277" s="2"/>
      <c r="V277" s="2"/>
      <c r="W277" s="2"/>
      <c r="X277" s="2"/>
      <c r="Y277" s="2"/>
    </row>
    <row r="278" spans="1:25" ht="14.25" customHeight="1" x14ac:dyDescent="0.3">
      <c r="A278" s="2"/>
      <c r="B278" s="1"/>
      <c r="C278" s="1"/>
      <c r="D278" s="1"/>
      <c r="E278" s="1"/>
      <c r="F278" s="2"/>
      <c r="G278" s="2"/>
      <c r="H278" s="2"/>
      <c r="I278" s="2"/>
      <c r="J278" s="2"/>
      <c r="K278" s="2"/>
      <c r="L278" s="2"/>
      <c r="M278" s="2"/>
      <c r="N278" s="2"/>
      <c r="O278" s="2"/>
      <c r="P278" s="2"/>
      <c r="Q278" s="2"/>
      <c r="R278" s="2"/>
      <c r="S278" s="2"/>
      <c r="T278" s="2"/>
      <c r="U278" s="2"/>
      <c r="V278" s="2"/>
      <c r="W278" s="2"/>
      <c r="X278" s="2"/>
      <c r="Y278" s="2"/>
    </row>
    <row r="279" spans="1:25" ht="14.25" customHeight="1" x14ac:dyDescent="0.3">
      <c r="A279" s="2"/>
      <c r="B279" s="1"/>
      <c r="C279" s="1"/>
      <c r="D279" s="1"/>
      <c r="E279" s="1"/>
      <c r="F279" s="2"/>
      <c r="G279" s="2"/>
      <c r="H279" s="2"/>
      <c r="I279" s="2"/>
      <c r="J279" s="2"/>
      <c r="K279" s="2"/>
      <c r="L279" s="2"/>
      <c r="M279" s="2"/>
      <c r="N279" s="2"/>
      <c r="O279" s="2"/>
      <c r="P279" s="2"/>
      <c r="Q279" s="2"/>
      <c r="R279" s="2"/>
      <c r="S279" s="2"/>
      <c r="T279" s="2"/>
      <c r="U279" s="2"/>
      <c r="V279" s="2"/>
      <c r="W279" s="2"/>
      <c r="X279" s="2"/>
      <c r="Y279" s="2"/>
    </row>
    <row r="280" spans="1:25" ht="14.25" customHeight="1" x14ac:dyDescent="0.3">
      <c r="A280" s="2"/>
      <c r="B280" s="1"/>
      <c r="C280" s="1"/>
      <c r="D280" s="1"/>
      <c r="E280" s="1"/>
      <c r="F280" s="2"/>
      <c r="G280" s="2"/>
      <c r="H280" s="2"/>
      <c r="I280" s="2"/>
      <c r="J280" s="2"/>
      <c r="K280" s="2"/>
      <c r="L280" s="2"/>
      <c r="M280" s="2"/>
      <c r="N280" s="2"/>
      <c r="O280" s="2"/>
      <c r="P280" s="2"/>
      <c r="Q280" s="2"/>
      <c r="R280" s="2"/>
      <c r="S280" s="2"/>
      <c r="T280" s="2"/>
      <c r="U280" s="2"/>
      <c r="V280" s="2"/>
      <c r="W280" s="2"/>
      <c r="X280" s="2"/>
      <c r="Y280" s="2"/>
    </row>
    <row r="281" spans="1:25" ht="14.25" customHeight="1" x14ac:dyDescent="0.3">
      <c r="A281" s="2"/>
      <c r="B281" s="1"/>
      <c r="C281" s="1"/>
      <c r="D281" s="1"/>
      <c r="E281" s="1"/>
      <c r="F281" s="2"/>
      <c r="G281" s="2"/>
      <c r="H281" s="2"/>
      <c r="I281" s="2"/>
      <c r="J281" s="2"/>
      <c r="K281" s="2"/>
      <c r="L281" s="2"/>
      <c r="M281" s="2"/>
      <c r="N281" s="2"/>
      <c r="O281" s="2"/>
      <c r="P281" s="2"/>
      <c r="Q281" s="2"/>
      <c r="R281" s="2"/>
      <c r="S281" s="2"/>
      <c r="T281" s="2"/>
      <c r="U281" s="2"/>
      <c r="V281" s="2"/>
      <c r="W281" s="2"/>
      <c r="X281" s="2"/>
      <c r="Y281" s="2"/>
    </row>
    <row r="282" spans="1:25" ht="14.25" customHeight="1" x14ac:dyDescent="0.3">
      <c r="A282" s="2"/>
      <c r="B282" s="1"/>
      <c r="C282" s="1"/>
      <c r="D282" s="1"/>
      <c r="E282" s="1"/>
      <c r="F282" s="2"/>
      <c r="G282" s="2"/>
      <c r="H282" s="2"/>
      <c r="I282" s="2"/>
      <c r="J282" s="2"/>
      <c r="K282" s="2"/>
      <c r="L282" s="2"/>
      <c r="M282" s="2"/>
      <c r="N282" s="2"/>
      <c r="O282" s="2"/>
      <c r="P282" s="2"/>
      <c r="Q282" s="2"/>
      <c r="R282" s="2"/>
      <c r="S282" s="2"/>
      <c r="T282" s="2"/>
      <c r="U282" s="2"/>
      <c r="V282" s="2"/>
      <c r="W282" s="2"/>
      <c r="X282" s="2"/>
      <c r="Y282" s="2"/>
    </row>
    <row r="283" spans="1:25" ht="14.25" customHeight="1" x14ac:dyDescent="0.3">
      <c r="A283" s="2"/>
      <c r="B283" s="1"/>
      <c r="C283" s="1"/>
      <c r="D283" s="1"/>
      <c r="E283" s="1"/>
      <c r="F283" s="2"/>
      <c r="G283" s="2"/>
      <c r="H283" s="2"/>
      <c r="I283" s="2"/>
      <c r="J283" s="2"/>
      <c r="K283" s="2"/>
      <c r="L283" s="2"/>
      <c r="M283" s="2"/>
      <c r="N283" s="2"/>
      <c r="O283" s="2"/>
      <c r="P283" s="2"/>
      <c r="Q283" s="2"/>
      <c r="R283" s="2"/>
      <c r="S283" s="2"/>
      <c r="T283" s="2"/>
      <c r="U283" s="2"/>
      <c r="V283" s="2"/>
      <c r="W283" s="2"/>
      <c r="X283" s="2"/>
      <c r="Y283" s="2"/>
    </row>
    <row r="284" spans="1:25" ht="14.25" customHeight="1" x14ac:dyDescent="0.3">
      <c r="A284" s="2"/>
      <c r="B284" s="1"/>
      <c r="C284" s="1"/>
      <c r="D284" s="1"/>
      <c r="E284" s="1"/>
      <c r="F284" s="2"/>
      <c r="G284" s="2"/>
      <c r="H284" s="2"/>
      <c r="I284" s="2"/>
      <c r="J284" s="2"/>
      <c r="K284" s="2"/>
      <c r="L284" s="2"/>
      <c r="M284" s="2"/>
      <c r="N284" s="2"/>
      <c r="O284" s="2"/>
      <c r="P284" s="2"/>
      <c r="Q284" s="2"/>
      <c r="R284" s="2"/>
      <c r="S284" s="2"/>
      <c r="T284" s="2"/>
      <c r="U284" s="2"/>
      <c r="V284" s="2"/>
      <c r="W284" s="2"/>
      <c r="X284" s="2"/>
      <c r="Y284" s="2"/>
    </row>
    <row r="285" spans="1:25" ht="14.25" customHeight="1" x14ac:dyDescent="0.3">
      <c r="A285" s="2"/>
      <c r="B285" s="1"/>
      <c r="C285" s="1"/>
      <c r="D285" s="1"/>
      <c r="E285" s="1"/>
      <c r="F285" s="2"/>
      <c r="G285" s="2"/>
      <c r="H285" s="2"/>
      <c r="I285" s="2"/>
      <c r="J285" s="2"/>
      <c r="K285" s="2"/>
      <c r="L285" s="2"/>
      <c r="M285" s="2"/>
      <c r="N285" s="2"/>
      <c r="O285" s="2"/>
      <c r="P285" s="2"/>
      <c r="Q285" s="2"/>
      <c r="R285" s="2"/>
      <c r="S285" s="2"/>
      <c r="T285" s="2"/>
      <c r="U285" s="2"/>
      <c r="V285" s="2"/>
      <c r="W285" s="2"/>
      <c r="X285" s="2"/>
      <c r="Y285" s="2"/>
    </row>
    <row r="286" spans="1:25" ht="14.25" customHeight="1" x14ac:dyDescent="0.3">
      <c r="A286" s="2"/>
      <c r="B286" s="1"/>
      <c r="C286" s="1"/>
      <c r="D286" s="1"/>
      <c r="E286" s="1"/>
      <c r="F286" s="2"/>
      <c r="G286" s="2"/>
      <c r="H286" s="2"/>
      <c r="I286" s="2"/>
      <c r="J286" s="2"/>
      <c r="K286" s="2"/>
      <c r="L286" s="2"/>
      <c r="M286" s="2"/>
      <c r="N286" s="2"/>
      <c r="O286" s="2"/>
      <c r="P286" s="2"/>
      <c r="Q286" s="2"/>
      <c r="R286" s="2"/>
      <c r="S286" s="2"/>
      <c r="T286" s="2"/>
      <c r="U286" s="2"/>
      <c r="V286" s="2"/>
      <c r="W286" s="2"/>
      <c r="X286" s="2"/>
      <c r="Y286" s="2"/>
    </row>
    <row r="287" spans="1:25" ht="14.25" customHeight="1" x14ac:dyDescent="0.3">
      <c r="A287" s="2"/>
      <c r="B287" s="1"/>
      <c r="C287" s="1"/>
      <c r="D287" s="1"/>
      <c r="E287" s="1"/>
      <c r="F287" s="2"/>
      <c r="G287" s="2"/>
      <c r="H287" s="2"/>
      <c r="I287" s="2"/>
      <c r="J287" s="2"/>
      <c r="K287" s="2"/>
      <c r="L287" s="2"/>
      <c r="M287" s="2"/>
      <c r="N287" s="2"/>
      <c r="O287" s="2"/>
      <c r="P287" s="2"/>
      <c r="Q287" s="2"/>
      <c r="R287" s="2"/>
      <c r="S287" s="2"/>
      <c r="T287" s="2"/>
      <c r="U287" s="2"/>
      <c r="V287" s="2"/>
      <c r="W287" s="2"/>
      <c r="X287" s="2"/>
      <c r="Y287" s="2"/>
    </row>
    <row r="288" spans="1:25" ht="14.25" customHeight="1" x14ac:dyDescent="0.3">
      <c r="A288" s="2"/>
      <c r="B288" s="1"/>
      <c r="C288" s="1"/>
      <c r="D288" s="1"/>
      <c r="E288" s="1"/>
      <c r="F288" s="2"/>
      <c r="G288" s="2"/>
      <c r="H288" s="2"/>
      <c r="I288" s="2"/>
      <c r="J288" s="2"/>
      <c r="K288" s="2"/>
      <c r="L288" s="2"/>
      <c r="M288" s="2"/>
      <c r="N288" s="2"/>
      <c r="O288" s="2"/>
      <c r="P288" s="2"/>
      <c r="Q288" s="2"/>
      <c r="R288" s="2"/>
      <c r="S288" s="2"/>
      <c r="T288" s="2"/>
      <c r="U288" s="2"/>
      <c r="V288" s="2"/>
      <c r="W288" s="2"/>
      <c r="X288" s="2"/>
      <c r="Y288" s="2"/>
    </row>
    <row r="289" spans="1:25" ht="14.25" customHeight="1" x14ac:dyDescent="0.3">
      <c r="A289" s="2"/>
      <c r="B289" s="1"/>
      <c r="C289" s="1"/>
      <c r="D289" s="1"/>
      <c r="E289" s="1"/>
      <c r="F289" s="2"/>
      <c r="G289" s="2"/>
      <c r="H289" s="2"/>
      <c r="I289" s="2"/>
      <c r="J289" s="2"/>
      <c r="K289" s="2"/>
      <c r="L289" s="2"/>
      <c r="M289" s="2"/>
      <c r="N289" s="2"/>
      <c r="O289" s="2"/>
      <c r="P289" s="2"/>
      <c r="Q289" s="2"/>
      <c r="R289" s="2"/>
      <c r="S289" s="2"/>
      <c r="T289" s="2"/>
      <c r="U289" s="2"/>
      <c r="V289" s="2"/>
      <c r="W289" s="2"/>
      <c r="X289" s="2"/>
      <c r="Y289" s="2"/>
    </row>
    <row r="290" spans="1:25" ht="14.25" customHeight="1" x14ac:dyDescent="0.3">
      <c r="A290" s="2"/>
      <c r="B290" s="1"/>
      <c r="C290" s="1"/>
      <c r="D290" s="1"/>
      <c r="E290" s="1"/>
      <c r="F290" s="2"/>
      <c r="G290" s="2"/>
      <c r="H290" s="2"/>
      <c r="I290" s="2"/>
      <c r="J290" s="2"/>
      <c r="K290" s="2"/>
      <c r="L290" s="2"/>
      <c r="M290" s="2"/>
      <c r="N290" s="2"/>
      <c r="O290" s="2"/>
      <c r="P290" s="2"/>
      <c r="Q290" s="2"/>
      <c r="R290" s="2"/>
      <c r="S290" s="2"/>
      <c r="T290" s="2"/>
      <c r="U290" s="2"/>
      <c r="V290" s="2"/>
      <c r="W290" s="2"/>
      <c r="X290" s="2"/>
      <c r="Y290" s="2"/>
    </row>
    <row r="291" spans="1:25" ht="14.25" customHeight="1" x14ac:dyDescent="0.3">
      <c r="A291" s="2"/>
      <c r="B291" s="1"/>
      <c r="C291" s="1"/>
      <c r="D291" s="1"/>
      <c r="E291" s="1"/>
      <c r="F291" s="2"/>
      <c r="G291" s="2"/>
      <c r="H291" s="2"/>
      <c r="I291" s="2"/>
      <c r="J291" s="2"/>
      <c r="K291" s="2"/>
      <c r="L291" s="2"/>
      <c r="M291" s="2"/>
      <c r="N291" s="2"/>
      <c r="O291" s="2"/>
      <c r="P291" s="2"/>
      <c r="Q291" s="2"/>
      <c r="R291" s="2"/>
      <c r="S291" s="2"/>
      <c r="T291" s="2"/>
      <c r="U291" s="2"/>
      <c r="V291" s="2"/>
      <c r="W291" s="2"/>
      <c r="X291" s="2"/>
      <c r="Y291" s="2"/>
    </row>
    <row r="292" spans="1:25" ht="14.25" customHeight="1" x14ac:dyDescent="0.3">
      <c r="A292" s="2"/>
      <c r="B292" s="1"/>
      <c r="C292" s="1"/>
      <c r="D292" s="1"/>
      <c r="E292" s="1"/>
      <c r="F292" s="2"/>
      <c r="G292" s="2"/>
      <c r="H292" s="2"/>
      <c r="I292" s="2"/>
      <c r="J292" s="2"/>
      <c r="K292" s="2"/>
      <c r="L292" s="2"/>
      <c r="M292" s="2"/>
      <c r="N292" s="2"/>
      <c r="O292" s="2"/>
      <c r="P292" s="2"/>
      <c r="Q292" s="2"/>
      <c r="R292" s="2"/>
      <c r="S292" s="2"/>
      <c r="T292" s="2"/>
      <c r="U292" s="2"/>
      <c r="V292" s="2"/>
      <c r="W292" s="2"/>
      <c r="X292" s="2"/>
      <c r="Y292" s="2"/>
    </row>
    <row r="293" spans="1:25" ht="14.25" customHeight="1" x14ac:dyDescent="0.3">
      <c r="A293" s="2"/>
      <c r="B293" s="1"/>
      <c r="C293" s="1"/>
      <c r="D293" s="1"/>
      <c r="E293" s="1"/>
      <c r="F293" s="2"/>
      <c r="G293" s="2"/>
      <c r="H293" s="2"/>
      <c r="I293" s="2"/>
      <c r="J293" s="2"/>
      <c r="K293" s="2"/>
      <c r="L293" s="2"/>
      <c r="M293" s="2"/>
      <c r="N293" s="2"/>
      <c r="O293" s="2"/>
      <c r="P293" s="2"/>
      <c r="Q293" s="2"/>
      <c r="R293" s="2"/>
      <c r="S293" s="2"/>
      <c r="T293" s="2"/>
      <c r="U293" s="2"/>
      <c r="V293" s="2"/>
      <c r="W293" s="2"/>
      <c r="X293" s="2"/>
      <c r="Y293" s="2"/>
    </row>
    <row r="294" spans="1:25" ht="14.25" customHeight="1" x14ac:dyDescent="0.3">
      <c r="A294" s="2"/>
      <c r="B294" s="1"/>
      <c r="C294" s="1"/>
      <c r="D294" s="1"/>
      <c r="E294" s="1"/>
      <c r="F294" s="2"/>
      <c r="G294" s="2"/>
      <c r="H294" s="2"/>
      <c r="I294" s="2"/>
      <c r="J294" s="2"/>
      <c r="K294" s="2"/>
      <c r="L294" s="2"/>
      <c r="M294" s="2"/>
      <c r="N294" s="2"/>
      <c r="O294" s="2"/>
      <c r="P294" s="2"/>
      <c r="Q294" s="2"/>
      <c r="R294" s="2"/>
      <c r="S294" s="2"/>
      <c r="T294" s="2"/>
      <c r="U294" s="2"/>
      <c r="V294" s="2"/>
      <c r="W294" s="2"/>
      <c r="X294" s="2"/>
      <c r="Y294" s="2"/>
    </row>
    <row r="295" spans="1:25" ht="14.25" customHeight="1" x14ac:dyDescent="0.3">
      <c r="A295" s="2"/>
      <c r="B295" s="1"/>
      <c r="C295" s="1"/>
      <c r="D295" s="1"/>
      <c r="E295" s="1"/>
      <c r="F295" s="2"/>
      <c r="G295" s="2"/>
      <c r="H295" s="2"/>
      <c r="I295" s="2"/>
      <c r="J295" s="2"/>
      <c r="K295" s="2"/>
      <c r="L295" s="2"/>
      <c r="M295" s="2"/>
      <c r="N295" s="2"/>
      <c r="O295" s="2"/>
      <c r="P295" s="2"/>
      <c r="Q295" s="2"/>
      <c r="R295" s="2"/>
      <c r="S295" s="2"/>
      <c r="T295" s="2"/>
      <c r="U295" s="2"/>
      <c r="V295" s="2"/>
      <c r="W295" s="2"/>
      <c r="X295" s="2"/>
      <c r="Y295" s="2"/>
    </row>
    <row r="296" spans="1:25" ht="14.25" customHeight="1" x14ac:dyDescent="0.3">
      <c r="A296" s="2"/>
      <c r="B296" s="1"/>
      <c r="C296" s="1"/>
      <c r="D296" s="1"/>
      <c r="E296" s="1"/>
      <c r="F296" s="2"/>
      <c r="G296" s="2"/>
      <c r="H296" s="2"/>
      <c r="I296" s="2"/>
      <c r="J296" s="2"/>
      <c r="K296" s="2"/>
      <c r="L296" s="2"/>
      <c r="M296" s="2"/>
      <c r="N296" s="2"/>
      <c r="O296" s="2"/>
      <c r="P296" s="2"/>
      <c r="Q296" s="2"/>
      <c r="R296" s="2"/>
      <c r="S296" s="2"/>
      <c r="T296" s="2"/>
      <c r="U296" s="2"/>
      <c r="V296" s="2"/>
      <c r="W296" s="2"/>
      <c r="X296" s="2"/>
      <c r="Y296" s="2"/>
    </row>
    <row r="297" spans="1:25" ht="14.25" customHeight="1" x14ac:dyDescent="0.3">
      <c r="A297" s="2"/>
      <c r="B297" s="1"/>
      <c r="C297" s="1"/>
      <c r="D297" s="1"/>
      <c r="E297" s="1"/>
      <c r="F297" s="2"/>
      <c r="G297" s="2"/>
      <c r="H297" s="2"/>
      <c r="I297" s="2"/>
      <c r="J297" s="2"/>
      <c r="K297" s="2"/>
      <c r="L297" s="2"/>
      <c r="M297" s="2"/>
      <c r="N297" s="2"/>
      <c r="O297" s="2"/>
      <c r="P297" s="2"/>
      <c r="Q297" s="2"/>
      <c r="R297" s="2"/>
      <c r="S297" s="2"/>
      <c r="T297" s="2"/>
      <c r="U297" s="2"/>
      <c r="V297" s="2"/>
      <c r="W297" s="2"/>
      <c r="X297" s="2"/>
      <c r="Y297" s="2"/>
    </row>
    <row r="298" spans="1:25" ht="14.25" customHeight="1" x14ac:dyDescent="0.3">
      <c r="A298" s="2"/>
      <c r="B298" s="1"/>
      <c r="C298" s="1"/>
      <c r="D298" s="1"/>
      <c r="E298" s="1"/>
      <c r="F298" s="2"/>
      <c r="G298" s="2"/>
      <c r="H298" s="2"/>
      <c r="I298" s="2"/>
      <c r="J298" s="2"/>
      <c r="K298" s="2"/>
      <c r="L298" s="2"/>
      <c r="M298" s="2"/>
      <c r="N298" s="2"/>
      <c r="O298" s="2"/>
      <c r="P298" s="2"/>
      <c r="Q298" s="2"/>
      <c r="R298" s="2"/>
      <c r="S298" s="2"/>
      <c r="T298" s="2"/>
      <c r="U298" s="2"/>
      <c r="V298" s="2"/>
      <c r="W298" s="2"/>
      <c r="X298" s="2"/>
      <c r="Y298" s="2"/>
    </row>
    <row r="299" spans="1:25" ht="14.25" customHeight="1" x14ac:dyDescent="0.3">
      <c r="A299" s="2"/>
      <c r="B299" s="1"/>
      <c r="C299" s="1"/>
      <c r="D299" s="1"/>
      <c r="E299" s="1"/>
      <c r="F299" s="2"/>
      <c r="G299" s="2"/>
      <c r="H299" s="2"/>
      <c r="I299" s="2"/>
      <c r="J299" s="2"/>
      <c r="K299" s="2"/>
      <c r="L299" s="2"/>
      <c r="M299" s="2"/>
      <c r="N299" s="2"/>
      <c r="O299" s="2"/>
      <c r="P299" s="2"/>
      <c r="Q299" s="2"/>
      <c r="R299" s="2"/>
      <c r="S299" s="2"/>
      <c r="T299" s="2"/>
      <c r="U299" s="2"/>
      <c r="V299" s="2"/>
      <c r="W299" s="2"/>
      <c r="X299" s="2"/>
      <c r="Y299" s="2"/>
    </row>
    <row r="300" spans="1:25" ht="14.25" customHeight="1" x14ac:dyDescent="0.3">
      <c r="A300" s="2"/>
      <c r="B300" s="1"/>
      <c r="C300" s="1"/>
      <c r="D300" s="1"/>
      <c r="E300" s="1"/>
      <c r="F300" s="2"/>
      <c r="G300" s="2"/>
      <c r="H300" s="2"/>
      <c r="I300" s="2"/>
      <c r="J300" s="2"/>
      <c r="K300" s="2"/>
      <c r="L300" s="2"/>
      <c r="M300" s="2"/>
      <c r="N300" s="2"/>
      <c r="O300" s="2"/>
      <c r="P300" s="2"/>
      <c r="Q300" s="2"/>
      <c r="R300" s="2"/>
      <c r="S300" s="2"/>
      <c r="T300" s="2"/>
      <c r="U300" s="2"/>
      <c r="V300" s="2"/>
      <c r="W300" s="2"/>
      <c r="X300" s="2"/>
      <c r="Y300" s="2"/>
    </row>
    <row r="301" spans="1:25" ht="14.25" customHeight="1" x14ac:dyDescent="0.3">
      <c r="A301" s="2"/>
      <c r="B301" s="1"/>
      <c r="C301" s="1"/>
      <c r="D301" s="1"/>
      <c r="E301" s="1"/>
      <c r="F301" s="2"/>
      <c r="G301" s="2"/>
      <c r="H301" s="2"/>
      <c r="I301" s="2"/>
      <c r="J301" s="2"/>
      <c r="K301" s="2"/>
      <c r="L301" s="2"/>
      <c r="M301" s="2"/>
      <c r="N301" s="2"/>
      <c r="O301" s="2"/>
      <c r="P301" s="2"/>
      <c r="Q301" s="2"/>
      <c r="R301" s="2"/>
      <c r="S301" s="2"/>
      <c r="T301" s="2"/>
      <c r="U301" s="2"/>
      <c r="V301" s="2"/>
      <c r="W301" s="2"/>
      <c r="X301" s="2"/>
      <c r="Y301" s="2"/>
    </row>
    <row r="302" spans="1:25" ht="14.25" customHeight="1" x14ac:dyDescent="0.3">
      <c r="A302" s="2"/>
      <c r="B302" s="1"/>
      <c r="C302" s="1"/>
      <c r="D302" s="1"/>
      <c r="E302" s="1"/>
      <c r="F302" s="2"/>
      <c r="G302" s="2"/>
      <c r="H302" s="2"/>
      <c r="I302" s="2"/>
      <c r="J302" s="2"/>
      <c r="K302" s="2"/>
      <c r="L302" s="2"/>
      <c r="M302" s="2"/>
      <c r="N302" s="2"/>
      <c r="O302" s="2"/>
      <c r="P302" s="2"/>
      <c r="Q302" s="2"/>
      <c r="R302" s="2"/>
      <c r="S302" s="2"/>
      <c r="T302" s="2"/>
      <c r="U302" s="2"/>
      <c r="V302" s="2"/>
      <c r="W302" s="2"/>
      <c r="X302" s="2"/>
      <c r="Y302" s="2"/>
    </row>
    <row r="303" spans="1:25" ht="14.25" customHeight="1" x14ac:dyDescent="0.3">
      <c r="A303" s="2"/>
      <c r="B303" s="1"/>
      <c r="C303" s="1"/>
      <c r="D303" s="1"/>
      <c r="E303" s="1"/>
      <c r="F303" s="2"/>
      <c r="G303" s="2"/>
      <c r="H303" s="2"/>
      <c r="I303" s="2"/>
      <c r="J303" s="2"/>
      <c r="K303" s="2"/>
      <c r="L303" s="2"/>
      <c r="M303" s="2"/>
      <c r="N303" s="2"/>
      <c r="O303" s="2"/>
      <c r="P303" s="2"/>
      <c r="Q303" s="2"/>
      <c r="R303" s="2"/>
      <c r="S303" s="2"/>
      <c r="T303" s="2"/>
      <c r="U303" s="2"/>
      <c r="V303" s="2"/>
      <c r="W303" s="2"/>
      <c r="X303" s="2"/>
      <c r="Y303" s="2"/>
    </row>
    <row r="304" spans="1:25" ht="14.25" customHeight="1" x14ac:dyDescent="0.3">
      <c r="A304" s="2"/>
      <c r="B304" s="1"/>
      <c r="C304" s="1"/>
      <c r="D304" s="1"/>
      <c r="E304" s="1"/>
      <c r="F304" s="2"/>
      <c r="G304" s="2"/>
      <c r="H304" s="2"/>
      <c r="I304" s="2"/>
      <c r="J304" s="2"/>
      <c r="K304" s="2"/>
      <c r="L304" s="2"/>
      <c r="M304" s="2"/>
      <c r="N304" s="2"/>
      <c r="O304" s="2"/>
      <c r="P304" s="2"/>
      <c r="Q304" s="2"/>
      <c r="R304" s="2"/>
      <c r="S304" s="2"/>
      <c r="T304" s="2"/>
      <c r="U304" s="2"/>
      <c r="V304" s="2"/>
      <c r="W304" s="2"/>
      <c r="X304" s="2"/>
      <c r="Y304" s="2"/>
    </row>
    <row r="305" spans="1:25" ht="14.25" customHeight="1" x14ac:dyDescent="0.3">
      <c r="A305" s="2"/>
      <c r="B305" s="1"/>
      <c r="C305" s="1"/>
      <c r="D305" s="1"/>
      <c r="E305" s="1"/>
      <c r="F305" s="2"/>
      <c r="G305" s="2"/>
      <c r="H305" s="2"/>
      <c r="I305" s="2"/>
      <c r="J305" s="2"/>
      <c r="K305" s="2"/>
      <c r="L305" s="2"/>
      <c r="M305" s="2"/>
      <c r="N305" s="2"/>
      <c r="O305" s="2"/>
      <c r="P305" s="2"/>
      <c r="Q305" s="2"/>
      <c r="R305" s="2"/>
      <c r="S305" s="2"/>
      <c r="T305" s="2"/>
      <c r="U305" s="2"/>
      <c r="V305" s="2"/>
      <c r="W305" s="2"/>
      <c r="X305" s="2"/>
      <c r="Y305" s="2"/>
    </row>
    <row r="306" spans="1:25" ht="14.25" customHeight="1" x14ac:dyDescent="0.3">
      <c r="A306" s="2"/>
      <c r="B306" s="1"/>
      <c r="C306" s="1"/>
      <c r="D306" s="1"/>
      <c r="E306" s="1"/>
      <c r="F306" s="2"/>
      <c r="G306" s="2"/>
      <c r="H306" s="2"/>
      <c r="I306" s="2"/>
      <c r="J306" s="2"/>
      <c r="K306" s="2"/>
      <c r="L306" s="2"/>
      <c r="M306" s="2"/>
      <c r="N306" s="2"/>
      <c r="O306" s="2"/>
      <c r="P306" s="2"/>
      <c r="Q306" s="2"/>
      <c r="R306" s="2"/>
      <c r="S306" s="2"/>
      <c r="T306" s="2"/>
      <c r="U306" s="2"/>
      <c r="V306" s="2"/>
      <c r="W306" s="2"/>
      <c r="X306" s="2"/>
      <c r="Y306" s="2"/>
    </row>
    <row r="307" spans="1:25" ht="14.25" customHeight="1" x14ac:dyDescent="0.3">
      <c r="A307" s="2"/>
      <c r="B307" s="1"/>
      <c r="C307" s="1"/>
      <c r="D307" s="1"/>
      <c r="E307" s="1"/>
      <c r="F307" s="2"/>
      <c r="G307" s="2"/>
      <c r="H307" s="2"/>
      <c r="I307" s="2"/>
      <c r="J307" s="2"/>
      <c r="K307" s="2"/>
      <c r="L307" s="2"/>
      <c r="M307" s="2"/>
      <c r="N307" s="2"/>
      <c r="O307" s="2"/>
      <c r="P307" s="2"/>
      <c r="Q307" s="2"/>
      <c r="R307" s="2"/>
      <c r="S307" s="2"/>
      <c r="T307" s="2"/>
      <c r="U307" s="2"/>
      <c r="V307" s="2"/>
      <c r="W307" s="2"/>
      <c r="X307" s="2"/>
      <c r="Y307" s="2"/>
    </row>
    <row r="308" spans="1:25" ht="14.25" customHeight="1" x14ac:dyDescent="0.3">
      <c r="A308" s="2"/>
      <c r="B308" s="1"/>
      <c r="C308" s="1"/>
      <c r="D308" s="1"/>
      <c r="E308" s="1"/>
      <c r="F308" s="2"/>
      <c r="G308" s="2"/>
      <c r="H308" s="2"/>
      <c r="I308" s="2"/>
      <c r="J308" s="2"/>
      <c r="K308" s="2"/>
      <c r="L308" s="2"/>
      <c r="M308" s="2"/>
      <c r="N308" s="2"/>
      <c r="O308" s="2"/>
      <c r="P308" s="2"/>
      <c r="Q308" s="2"/>
      <c r="R308" s="2"/>
      <c r="S308" s="2"/>
      <c r="T308" s="2"/>
      <c r="U308" s="2"/>
      <c r="V308" s="2"/>
      <c r="W308" s="2"/>
      <c r="X308" s="2"/>
      <c r="Y308" s="2"/>
    </row>
    <row r="309" spans="1:25" ht="14.25" customHeight="1" x14ac:dyDescent="0.3">
      <c r="A309" s="2"/>
      <c r="B309" s="1"/>
      <c r="C309" s="1"/>
      <c r="D309" s="1"/>
      <c r="E309" s="1"/>
      <c r="F309" s="2"/>
      <c r="G309" s="2"/>
      <c r="H309" s="2"/>
      <c r="I309" s="2"/>
      <c r="J309" s="2"/>
      <c r="K309" s="2"/>
      <c r="L309" s="2"/>
      <c r="M309" s="2"/>
      <c r="N309" s="2"/>
      <c r="O309" s="2"/>
      <c r="P309" s="2"/>
      <c r="Q309" s="2"/>
      <c r="R309" s="2"/>
      <c r="S309" s="2"/>
      <c r="T309" s="2"/>
      <c r="U309" s="2"/>
      <c r="V309" s="2"/>
      <c r="W309" s="2"/>
      <c r="X309" s="2"/>
      <c r="Y309" s="2"/>
    </row>
    <row r="310" spans="1:25" ht="14.25" customHeight="1" x14ac:dyDescent="0.3">
      <c r="A310" s="2"/>
      <c r="B310" s="1"/>
      <c r="C310" s="1"/>
      <c r="D310" s="1"/>
      <c r="E310" s="1"/>
      <c r="F310" s="2"/>
      <c r="G310" s="2"/>
      <c r="H310" s="2"/>
      <c r="I310" s="2"/>
      <c r="J310" s="2"/>
      <c r="K310" s="2"/>
      <c r="L310" s="2"/>
      <c r="M310" s="2"/>
      <c r="N310" s="2"/>
      <c r="O310" s="2"/>
      <c r="P310" s="2"/>
      <c r="Q310" s="2"/>
      <c r="R310" s="2"/>
      <c r="S310" s="2"/>
      <c r="T310" s="2"/>
      <c r="U310" s="2"/>
      <c r="V310" s="2"/>
      <c r="W310" s="2"/>
      <c r="X310" s="2"/>
      <c r="Y310" s="2"/>
    </row>
    <row r="311" spans="1:25" ht="14.25" customHeight="1" x14ac:dyDescent="0.3">
      <c r="A311" s="2"/>
      <c r="B311" s="1"/>
      <c r="C311" s="1"/>
      <c r="D311" s="1"/>
      <c r="E311" s="1"/>
      <c r="F311" s="2"/>
      <c r="G311" s="2"/>
      <c r="H311" s="2"/>
      <c r="I311" s="2"/>
      <c r="J311" s="2"/>
      <c r="K311" s="2"/>
      <c r="L311" s="2"/>
      <c r="M311" s="2"/>
      <c r="N311" s="2"/>
      <c r="O311" s="2"/>
      <c r="P311" s="2"/>
      <c r="Q311" s="2"/>
      <c r="R311" s="2"/>
      <c r="S311" s="2"/>
      <c r="T311" s="2"/>
      <c r="U311" s="2"/>
      <c r="V311" s="2"/>
      <c r="W311" s="2"/>
      <c r="X311" s="2"/>
      <c r="Y311" s="2"/>
    </row>
    <row r="312" spans="1:25" ht="14.25" customHeight="1" x14ac:dyDescent="0.3">
      <c r="A312" s="2"/>
      <c r="B312" s="1"/>
      <c r="C312" s="1"/>
      <c r="D312" s="1"/>
      <c r="E312" s="1"/>
      <c r="F312" s="2"/>
      <c r="G312" s="2"/>
      <c r="H312" s="2"/>
      <c r="I312" s="2"/>
      <c r="J312" s="2"/>
      <c r="K312" s="2"/>
      <c r="L312" s="2"/>
      <c r="M312" s="2"/>
      <c r="N312" s="2"/>
      <c r="O312" s="2"/>
      <c r="P312" s="2"/>
      <c r="Q312" s="2"/>
      <c r="R312" s="2"/>
      <c r="S312" s="2"/>
      <c r="T312" s="2"/>
      <c r="U312" s="2"/>
      <c r="V312" s="2"/>
      <c r="W312" s="2"/>
      <c r="X312" s="2"/>
      <c r="Y312" s="2"/>
    </row>
    <row r="313" spans="1:25" ht="14.25" customHeight="1" x14ac:dyDescent="0.3">
      <c r="A313" s="2"/>
      <c r="B313" s="1"/>
      <c r="C313" s="1"/>
      <c r="D313" s="1"/>
      <c r="E313" s="1"/>
      <c r="F313" s="2"/>
      <c r="G313" s="2"/>
      <c r="H313" s="2"/>
      <c r="I313" s="2"/>
      <c r="J313" s="2"/>
      <c r="K313" s="2"/>
      <c r="L313" s="2"/>
      <c r="M313" s="2"/>
      <c r="N313" s="2"/>
      <c r="O313" s="2"/>
      <c r="P313" s="2"/>
      <c r="Q313" s="2"/>
      <c r="R313" s="2"/>
      <c r="S313" s="2"/>
      <c r="T313" s="2"/>
      <c r="U313" s="2"/>
      <c r="V313" s="2"/>
      <c r="W313" s="2"/>
      <c r="X313" s="2"/>
      <c r="Y313" s="2"/>
    </row>
    <row r="314" spans="1:25" ht="14.25" customHeight="1" x14ac:dyDescent="0.3">
      <c r="A314" s="2"/>
      <c r="B314" s="1"/>
      <c r="C314" s="1"/>
      <c r="D314" s="1"/>
      <c r="E314" s="1"/>
      <c r="F314" s="2"/>
      <c r="G314" s="2"/>
      <c r="H314" s="2"/>
      <c r="I314" s="2"/>
      <c r="J314" s="2"/>
      <c r="K314" s="2"/>
      <c r="L314" s="2"/>
      <c r="M314" s="2"/>
      <c r="N314" s="2"/>
      <c r="O314" s="2"/>
      <c r="P314" s="2"/>
      <c r="Q314" s="2"/>
      <c r="R314" s="2"/>
      <c r="S314" s="2"/>
      <c r="T314" s="2"/>
      <c r="U314" s="2"/>
      <c r="V314" s="2"/>
      <c r="W314" s="2"/>
      <c r="X314" s="2"/>
      <c r="Y314" s="2"/>
    </row>
    <row r="315" spans="1:25" ht="14.25" customHeight="1" x14ac:dyDescent="0.3">
      <c r="A315" s="2"/>
      <c r="B315" s="1"/>
      <c r="C315" s="1"/>
      <c r="D315" s="1"/>
      <c r="E315" s="1"/>
      <c r="F315" s="2"/>
      <c r="G315" s="2"/>
      <c r="H315" s="2"/>
      <c r="I315" s="2"/>
      <c r="J315" s="2"/>
      <c r="K315" s="2"/>
      <c r="L315" s="2"/>
      <c r="M315" s="2"/>
      <c r="N315" s="2"/>
      <c r="O315" s="2"/>
      <c r="P315" s="2"/>
      <c r="Q315" s="2"/>
      <c r="R315" s="2"/>
      <c r="S315" s="2"/>
      <c r="T315" s="2"/>
      <c r="U315" s="2"/>
      <c r="V315" s="2"/>
      <c r="W315" s="2"/>
      <c r="X315" s="2"/>
      <c r="Y315" s="2"/>
    </row>
    <row r="316" spans="1:25" ht="14.25" customHeight="1" x14ac:dyDescent="0.3">
      <c r="A316" s="2"/>
      <c r="B316" s="1"/>
      <c r="C316" s="1"/>
      <c r="D316" s="1"/>
      <c r="E316" s="1"/>
      <c r="F316" s="2"/>
      <c r="G316" s="2"/>
      <c r="H316" s="2"/>
      <c r="I316" s="2"/>
      <c r="J316" s="2"/>
      <c r="K316" s="2"/>
      <c r="L316" s="2"/>
      <c r="M316" s="2"/>
      <c r="N316" s="2"/>
      <c r="O316" s="2"/>
      <c r="P316" s="2"/>
      <c r="Q316" s="2"/>
      <c r="R316" s="2"/>
      <c r="S316" s="2"/>
      <c r="T316" s="2"/>
      <c r="U316" s="2"/>
      <c r="V316" s="2"/>
      <c r="W316" s="2"/>
      <c r="X316" s="2"/>
      <c r="Y316" s="2"/>
    </row>
    <row r="317" spans="1:25" ht="14.25" customHeight="1" x14ac:dyDescent="0.3">
      <c r="A317" s="2"/>
      <c r="B317" s="1"/>
      <c r="C317" s="1"/>
      <c r="D317" s="1"/>
      <c r="E317" s="1"/>
      <c r="F317" s="2"/>
      <c r="G317" s="2"/>
      <c r="H317" s="2"/>
      <c r="I317" s="2"/>
      <c r="J317" s="2"/>
      <c r="K317" s="2"/>
      <c r="L317" s="2"/>
      <c r="M317" s="2"/>
      <c r="N317" s="2"/>
      <c r="O317" s="2"/>
      <c r="P317" s="2"/>
      <c r="Q317" s="2"/>
      <c r="R317" s="2"/>
      <c r="S317" s="2"/>
      <c r="T317" s="2"/>
      <c r="U317" s="2"/>
      <c r="V317" s="2"/>
      <c r="W317" s="2"/>
      <c r="X317" s="2"/>
      <c r="Y317" s="2"/>
    </row>
    <row r="318" spans="1:25" ht="14.25" customHeight="1" x14ac:dyDescent="0.3">
      <c r="A318" s="2"/>
      <c r="B318" s="1"/>
      <c r="C318" s="1"/>
      <c r="D318" s="1"/>
      <c r="E318" s="1"/>
      <c r="F318" s="2"/>
      <c r="G318" s="2"/>
      <c r="H318" s="2"/>
      <c r="I318" s="2"/>
      <c r="J318" s="2"/>
      <c r="K318" s="2"/>
      <c r="L318" s="2"/>
      <c r="M318" s="2"/>
      <c r="N318" s="2"/>
      <c r="O318" s="2"/>
      <c r="P318" s="2"/>
      <c r="Q318" s="2"/>
      <c r="R318" s="2"/>
      <c r="S318" s="2"/>
      <c r="T318" s="2"/>
      <c r="U318" s="2"/>
      <c r="V318" s="2"/>
      <c r="W318" s="2"/>
      <c r="X318" s="2"/>
      <c r="Y318" s="2"/>
    </row>
    <row r="319" spans="1:25" ht="14.25" customHeight="1" x14ac:dyDescent="0.3">
      <c r="A319" s="2"/>
      <c r="B319" s="1"/>
      <c r="C319" s="1"/>
      <c r="D319" s="1"/>
      <c r="E319" s="1"/>
      <c r="F319" s="2"/>
      <c r="G319" s="2"/>
      <c r="H319" s="2"/>
      <c r="I319" s="2"/>
      <c r="J319" s="2"/>
      <c r="K319" s="2"/>
      <c r="L319" s="2"/>
      <c r="M319" s="2"/>
      <c r="N319" s="2"/>
      <c r="O319" s="2"/>
      <c r="P319" s="2"/>
      <c r="Q319" s="2"/>
      <c r="R319" s="2"/>
      <c r="S319" s="2"/>
      <c r="T319" s="2"/>
      <c r="U319" s="2"/>
      <c r="V319" s="2"/>
      <c r="W319" s="2"/>
      <c r="X319" s="2"/>
      <c r="Y319" s="2"/>
    </row>
    <row r="320" spans="1:25" ht="14.25" customHeight="1" x14ac:dyDescent="0.3">
      <c r="A320" s="2"/>
      <c r="B320" s="1"/>
      <c r="C320" s="1"/>
      <c r="D320" s="1"/>
      <c r="E320" s="1"/>
      <c r="F320" s="2"/>
      <c r="G320" s="2"/>
      <c r="H320" s="2"/>
      <c r="I320" s="2"/>
      <c r="J320" s="2"/>
      <c r="K320" s="2"/>
      <c r="L320" s="2"/>
      <c r="M320" s="2"/>
      <c r="N320" s="2"/>
      <c r="O320" s="2"/>
      <c r="P320" s="2"/>
      <c r="Q320" s="2"/>
      <c r="R320" s="2"/>
      <c r="S320" s="2"/>
      <c r="T320" s="2"/>
      <c r="U320" s="2"/>
      <c r="V320" s="2"/>
      <c r="W320" s="2"/>
      <c r="X320" s="2"/>
      <c r="Y320" s="2"/>
    </row>
    <row r="321" spans="1:25" ht="14.25" customHeight="1" x14ac:dyDescent="0.3">
      <c r="A321" s="2"/>
      <c r="B321" s="1"/>
      <c r="C321" s="1"/>
      <c r="D321" s="1"/>
      <c r="E321" s="1"/>
      <c r="F321" s="2"/>
      <c r="G321" s="2"/>
      <c r="H321" s="2"/>
      <c r="I321" s="2"/>
      <c r="J321" s="2"/>
      <c r="K321" s="2"/>
      <c r="L321" s="2"/>
      <c r="M321" s="2"/>
      <c r="N321" s="2"/>
      <c r="O321" s="2"/>
      <c r="P321" s="2"/>
      <c r="Q321" s="2"/>
      <c r="R321" s="2"/>
      <c r="S321" s="2"/>
      <c r="T321" s="2"/>
      <c r="U321" s="2"/>
      <c r="V321" s="2"/>
      <c r="W321" s="2"/>
      <c r="X321" s="2"/>
      <c r="Y321" s="2"/>
    </row>
    <row r="322" spans="1:25" ht="14.25" customHeight="1" x14ac:dyDescent="0.3">
      <c r="A322" s="2"/>
      <c r="B322" s="1"/>
      <c r="C322" s="1"/>
      <c r="D322" s="1"/>
      <c r="E322" s="1"/>
      <c r="F322" s="2"/>
      <c r="G322" s="2"/>
      <c r="H322" s="2"/>
      <c r="I322" s="2"/>
      <c r="J322" s="2"/>
      <c r="K322" s="2"/>
      <c r="L322" s="2"/>
      <c r="M322" s="2"/>
      <c r="N322" s="2"/>
      <c r="O322" s="2"/>
      <c r="P322" s="2"/>
      <c r="Q322" s="2"/>
      <c r="R322" s="2"/>
      <c r="S322" s="2"/>
      <c r="T322" s="2"/>
      <c r="U322" s="2"/>
      <c r="V322" s="2"/>
      <c r="W322" s="2"/>
      <c r="X322" s="2"/>
      <c r="Y322" s="2"/>
    </row>
    <row r="323" spans="1:25" ht="14.25" customHeight="1" x14ac:dyDescent="0.3">
      <c r="A323" s="2"/>
      <c r="B323" s="1"/>
      <c r="C323" s="1"/>
      <c r="D323" s="1"/>
      <c r="E323" s="1"/>
      <c r="F323" s="2"/>
      <c r="G323" s="2"/>
      <c r="H323" s="2"/>
      <c r="I323" s="2"/>
      <c r="J323" s="2"/>
      <c r="K323" s="2"/>
      <c r="L323" s="2"/>
      <c r="M323" s="2"/>
      <c r="N323" s="2"/>
      <c r="O323" s="2"/>
      <c r="P323" s="2"/>
      <c r="Q323" s="2"/>
      <c r="R323" s="2"/>
      <c r="S323" s="2"/>
      <c r="T323" s="2"/>
      <c r="U323" s="2"/>
      <c r="V323" s="2"/>
      <c r="W323" s="2"/>
      <c r="X323" s="2"/>
      <c r="Y323" s="2"/>
    </row>
    <row r="324" spans="1:25" ht="14.25" customHeight="1" x14ac:dyDescent="0.3">
      <c r="A324" s="2"/>
      <c r="B324" s="1"/>
      <c r="C324" s="1"/>
      <c r="D324" s="1"/>
      <c r="E324" s="1"/>
      <c r="F324" s="2"/>
      <c r="G324" s="2"/>
      <c r="H324" s="2"/>
      <c r="I324" s="2"/>
      <c r="J324" s="2"/>
      <c r="K324" s="2"/>
      <c r="L324" s="2"/>
      <c r="M324" s="2"/>
      <c r="N324" s="2"/>
      <c r="O324" s="2"/>
      <c r="P324" s="2"/>
      <c r="Q324" s="2"/>
      <c r="R324" s="2"/>
      <c r="S324" s="2"/>
      <c r="T324" s="2"/>
      <c r="U324" s="2"/>
      <c r="V324" s="2"/>
      <c r="W324" s="2"/>
      <c r="X324" s="2"/>
      <c r="Y324" s="2"/>
    </row>
    <row r="325" spans="1:25" ht="14.25" customHeight="1" x14ac:dyDescent="0.3">
      <c r="A325" s="2"/>
      <c r="B325" s="1"/>
      <c r="C325" s="1"/>
      <c r="D325" s="1"/>
      <c r="E325" s="1"/>
      <c r="F325" s="2"/>
      <c r="G325" s="2"/>
      <c r="H325" s="2"/>
      <c r="I325" s="2"/>
      <c r="J325" s="2"/>
      <c r="K325" s="2"/>
      <c r="L325" s="2"/>
      <c r="M325" s="2"/>
      <c r="N325" s="2"/>
      <c r="O325" s="2"/>
      <c r="P325" s="2"/>
      <c r="Q325" s="2"/>
      <c r="R325" s="2"/>
      <c r="S325" s="2"/>
      <c r="T325" s="2"/>
      <c r="U325" s="2"/>
      <c r="V325" s="2"/>
      <c r="W325" s="2"/>
      <c r="X325" s="2"/>
      <c r="Y325" s="2"/>
    </row>
    <row r="326" spans="1:25" ht="14.25" customHeight="1" x14ac:dyDescent="0.3">
      <c r="A326" s="2"/>
      <c r="B326" s="1"/>
      <c r="C326" s="1"/>
      <c r="D326" s="1"/>
      <c r="E326" s="1"/>
      <c r="F326" s="2"/>
      <c r="G326" s="2"/>
      <c r="H326" s="2"/>
      <c r="I326" s="2"/>
      <c r="J326" s="2"/>
      <c r="K326" s="2"/>
      <c r="L326" s="2"/>
      <c r="M326" s="2"/>
      <c r="N326" s="2"/>
      <c r="O326" s="2"/>
      <c r="P326" s="2"/>
      <c r="Q326" s="2"/>
      <c r="R326" s="2"/>
      <c r="S326" s="2"/>
      <c r="T326" s="2"/>
      <c r="U326" s="2"/>
      <c r="V326" s="2"/>
      <c r="W326" s="2"/>
      <c r="X326" s="2"/>
      <c r="Y326" s="2"/>
    </row>
    <row r="327" spans="1:25" ht="14.25" customHeight="1" x14ac:dyDescent="0.3">
      <c r="A327" s="2"/>
      <c r="B327" s="1"/>
      <c r="C327" s="1"/>
      <c r="D327" s="1"/>
      <c r="E327" s="1"/>
      <c r="F327" s="2"/>
      <c r="G327" s="2"/>
      <c r="H327" s="2"/>
      <c r="I327" s="2"/>
      <c r="J327" s="2"/>
      <c r="K327" s="2"/>
      <c r="L327" s="2"/>
      <c r="M327" s="2"/>
      <c r="N327" s="2"/>
      <c r="O327" s="2"/>
      <c r="P327" s="2"/>
      <c r="Q327" s="2"/>
      <c r="R327" s="2"/>
      <c r="S327" s="2"/>
      <c r="T327" s="2"/>
      <c r="U327" s="2"/>
      <c r="V327" s="2"/>
      <c r="W327" s="2"/>
      <c r="X327" s="2"/>
      <c r="Y327" s="2"/>
    </row>
    <row r="328" spans="1:25" ht="14.25" customHeight="1" x14ac:dyDescent="0.3">
      <c r="A328" s="2"/>
      <c r="B328" s="1"/>
      <c r="C328" s="1"/>
      <c r="D328" s="1"/>
      <c r="E328" s="1"/>
      <c r="F328" s="2"/>
      <c r="G328" s="2"/>
      <c r="H328" s="2"/>
      <c r="I328" s="2"/>
      <c r="J328" s="2"/>
      <c r="K328" s="2"/>
      <c r="L328" s="2"/>
      <c r="M328" s="2"/>
      <c r="N328" s="2"/>
      <c r="O328" s="2"/>
      <c r="P328" s="2"/>
      <c r="Q328" s="2"/>
      <c r="R328" s="2"/>
      <c r="S328" s="2"/>
      <c r="T328" s="2"/>
      <c r="U328" s="2"/>
      <c r="V328" s="2"/>
      <c r="W328" s="2"/>
      <c r="X328" s="2"/>
      <c r="Y328" s="2"/>
    </row>
    <row r="329" spans="1:25" ht="14.25" customHeight="1" x14ac:dyDescent="0.3">
      <c r="A329" s="2"/>
      <c r="B329" s="1"/>
      <c r="C329" s="1"/>
      <c r="D329" s="1"/>
      <c r="E329" s="1"/>
      <c r="F329" s="2"/>
      <c r="G329" s="2"/>
      <c r="H329" s="2"/>
      <c r="I329" s="2"/>
      <c r="J329" s="2"/>
      <c r="K329" s="2"/>
      <c r="L329" s="2"/>
      <c r="M329" s="2"/>
      <c r="N329" s="2"/>
      <c r="O329" s="2"/>
      <c r="P329" s="2"/>
      <c r="Q329" s="2"/>
      <c r="R329" s="2"/>
      <c r="S329" s="2"/>
      <c r="T329" s="2"/>
      <c r="U329" s="2"/>
      <c r="V329" s="2"/>
      <c r="W329" s="2"/>
      <c r="X329" s="2"/>
      <c r="Y329" s="2"/>
    </row>
    <row r="330" spans="1:25" ht="14.25" customHeight="1" x14ac:dyDescent="0.3">
      <c r="A330" s="2"/>
      <c r="B330" s="1"/>
      <c r="C330" s="1"/>
      <c r="D330" s="1"/>
      <c r="E330" s="1"/>
      <c r="F330" s="2"/>
      <c r="G330" s="2"/>
      <c r="H330" s="2"/>
      <c r="I330" s="2"/>
      <c r="J330" s="2"/>
      <c r="K330" s="2"/>
      <c r="L330" s="2"/>
      <c r="M330" s="2"/>
      <c r="N330" s="2"/>
      <c r="O330" s="2"/>
      <c r="P330" s="2"/>
      <c r="Q330" s="2"/>
      <c r="R330" s="2"/>
      <c r="S330" s="2"/>
      <c r="T330" s="2"/>
      <c r="U330" s="2"/>
      <c r="V330" s="2"/>
      <c r="W330" s="2"/>
      <c r="X330" s="2"/>
      <c r="Y330" s="2"/>
    </row>
    <row r="331" spans="1:25" ht="14.25" customHeight="1" x14ac:dyDescent="0.3">
      <c r="A331" s="2"/>
      <c r="B331" s="1"/>
      <c r="C331" s="1"/>
      <c r="D331" s="1"/>
      <c r="E331" s="1"/>
      <c r="F331" s="2"/>
      <c r="G331" s="2"/>
      <c r="H331" s="2"/>
      <c r="I331" s="2"/>
      <c r="J331" s="2"/>
      <c r="K331" s="2"/>
      <c r="L331" s="2"/>
      <c r="M331" s="2"/>
      <c r="N331" s="2"/>
      <c r="O331" s="2"/>
      <c r="P331" s="2"/>
      <c r="Q331" s="2"/>
      <c r="R331" s="2"/>
      <c r="S331" s="2"/>
      <c r="T331" s="2"/>
      <c r="U331" s="2"/>
      <c r="V331" s="2"/>
      <c r="W331" s="2"/>
      <c r="X331" s="2"/>
      <c r="Y331" s="2"/>
    </row>
    <row r="332" spans="1:25" ht="14.25" customHeight="1" x14ac:dyDescent="0.3">
      <c r="A332" s="2"/>
      <c r="B332" s="1"/>
      <c r="C332" s="1"/>
      <c r="D332" s="1"/>
      <c r="E332" s="1"/>
      <c r="F332" s="2"/>
      <c r="G332" s="2"/>
      <c r="H332" s="2"/>
      <c r="I332" s="2"/>
      <c r="J332" s="2"/>
      <c r="K332" s="2"/>
      <c r="L332" s="2"/>
      <c r="M332" s="2"/>
      <c r="N332" s="2"/>
      <c r="O332" s="2"/>
      <c r="P332" s="2"/>
      <c r="Q332" s="2"/>
      <c r="R332" s="2"/>
      <c r="S332" s="2"/>
      <c r="T332" s="2"/>
      <c r="U332" s="2"/>
      <c r="V332" s="2"/>
      <c r="W332" s="2"/>
      <c r="X332" s="2"/>
      <c r="Y332" s="2"/>
    </row>
    <row r="333" spans="1:25" ht="14.25" customHeight="1" x14ac:dyDescent="0.3">
      <c r="A333" s="2"/>
      <c r="B333" s="1"/>
      <c r="C333" s="1"/>
      <c r="D333" s="1"/>
      <c r="E333" s="1"/>
      <c r="F333" s="2"/>
      <c r="G333" s="2"/>
      <c r="H333" s="2"/>
      <c r="I333" s="2"/>
      <c r="J333" s="2"/>
      <c r="K333" s="2"/>
      <c r="L333" s="2"/>
      <c r="M333" s="2"/>
      <c r="N333" s="2"/>
      <c r="O333" s="2"/>
      <c r="P333" s="2"/>
      <c r="Q333" s="2"/>
      <c r="R333" s="2"/>
      <c r="S333" s="2"/>
      <c r="T333" s="2"/>
      <c r="U333" s="2"/>
      <c r="V333" s="2"/>
      <c r="W333" s="2"/>
      <c r="X333" s="2"/>
      <c r="Y333" s="2"/>
    </row>
    <row r="334" spans="1:25" ht="14.25" customHeight="1" x14ac:dyDescent="0.3">
      <c r="A334" s="2"/>
      <c r="B334" s="1"/>
      <c r="C334" s="1"/>
      <c r="D334" s="1"/>
      <c r="E334" s="1"/>
      <c r="F334" s="2"/>
      <c r="G334" s="2"/>
      <c r="H334" s="2"/>
      <c r="I334" s="2"/>
      <c r="J334" s="2"/>
      <c r="K334" s="2"/>
      <c r="L334" s="2"/>
      <c r="M334" s="2"/>
      <c r="N334" s="2"/>
      <c r="O334" s="2"/>
      <c r="P334" s="2"/>
      <c r="Q334" s="2"/>
      <c r="R334" s="2"/>
      <c r="S334" s="2"/>
      <c r="T334" s="2"/>
      <c r="U334" s="2"/>
      <c r="V334" s="2"/>
      <c r="W334" s="2"/>
      <c r="X334" s="2"/>
      <c r="Y334" s="2"/>
    </row>
    <row r="335" spans="1:25" ht="14.25" customHeight="1" x14ac:dyDescent="0.3">
      <c r="A335" s="2"/>
      <c r="B335" s="1"/>
      <c r="C335" s="1"/>
      <c r="D335" s="1"/>
      <c r="E335" s="1"/>
      <c r="F335" s="2"/>
      <c r="G335" s="2"/>
      <c r="H335" s="2"/>
      <c r="I335" s="2"/>
      <c r="J335" s="2"/>
      <c r="K335" s="2"/>
      <c r="L335" s="2"/>
      <c r="M335" s="2"/>
      <c r="N335" s="2"/>
      <c r="O335" s="2"/>
      <c r="P335" s="2"/>
      <c r="Q335" s="2"/>
      <c r="R335" s="2"/>
      <c r="S335" s="2"/>
      <c r="T335" s="2"/>
      <c r="U335" s="2"/>
      <c r="V335" s="2"/>
      <c r="W335" s="2"/>
      <c r="X335" s="2"/>
      <c r="Y335" s="2"/>
    </row>
    <row r="336" spans="1:25" ht="14.25" customHeight="1" x14ac:dyDescent="0.3">
      <c r="A336" s="2"/>
      <c r="B336" s="1"/>
      <c r="C336" s="1"/>
      <c r="D336" s="1"/>
      <c r="E336" s="1"/>
      <c r="F336" s="2"/>
      <c r="G336" s="2"/>
      <c r="H336" s="2"/>
      <c r="I336" s="2"/>
      <c r="J336" s="2"/>
      <c r="K336" s="2"/>
      <c r="L336" s="2"/>
      <c r="M336" s="2"/>
      <c r="N336" s="2"/>
      <c r="O336" s="2"/>
      <c r="P336" s="2"/>
      <c r="Q336" s="2"/>
      <c r="R336" s="2"/>
      <c r="S336" s="2"/>
      <c r="T336" s="2"/>
      <c r="U336" s="2"/>
      <c r="V336" s="2"/>
      <c r="W336" s="2"/>
      <c r="X336" s="2"/>
      <c r="Y336" s="2"/>
    </row>
    <row r="337" spans="1:25" ht="14.25" customHeight="1" x14ac:dyDescent="0.3">
      <c r="A337" s="2"/>
      <c r="B337" s="1"/>
      <c r="C337" s="1"/>
      <c r="D337" s="1"/>
      <c r="E337" s="1"/>
      <c r="F337" s="2"/>
      <c r="G337" s="2"/>
      <c r="H337" s="2"/>
      <c r="I337" s="2"/>
      <c r="J337" s="2"/>
      <c r="K337" s="2"/>
      <c r="L337" s="2"/>
      <c r="M337" s="2"/>
      <c r="N337" s="2"/>
      <c r="O337" s="2"/>
      <c r="P337" s="2"/>
      <c r="Q337" s="2"/>
      <c r="R337" s="2"/>
      <c r="S337" s="2"/>
      <c r="T337" s="2"/>
      <c r="U337" s="2"/>
      <c r="V337" s="2"/>
      <c r="W337" s="2"/>
      <c r="X337" s="2"/>
      <c r="Y337" s="2"/>
    </row>
    <row r="338" spans="1:25" ht="14.25" customHeight="1" x14ac:dyDescent="0.3">
      <c r="A338" s="2"/>
      <c r="B338" s="1"/>
      <c r="C338" s="1"/>
      <c r="D338" s="1"/>
      <c r="E338" s="1"/>
      <c r="F338" s="2"/>
      <c r="G338" s="2"/>
      <c r="H338" s="2"/>
      <c r="I338" s="2"/>
      <c r="J338" s="2"/>
      <c r="K338" s="2"/>
      <c r="L338" s="2"/>
      <c r="M338" s="2"/>
      <c r="N338" s="2"/>
      <c r="O338" s="2"/>
      <c r="P338" s="2"/>
      <c r="Q338" s="2"/>
      <c r="R338" s="2"/>
      <c r="S338" s="2"/>
      <c r="T338" s="2"/>
      <c r="U338" s="2"/>
      <c r="V338" s="2"/>
      <c r="W338" s="2"/>
      <c r="X338" s="2"/>
      <c r="Y338" s="2"/>
    </row>
    <row r="339" spans="1:25" ht="14.25" customHeight="1" x14ac:dyDescent="0.3">
      <c r="A339" s="2"/>
      <c r="B339" s="1"/>
      <c r="C339" s="1"/>
      <c r="D339" s="1"/>
      <c r="E339" s="1"/>
      <c r="F339" s="2"/>
      <c r="G339" s="2"/>
      <c r="H339" s="2"/>
      <c r="I339" s="2"/>
      <c r="J339" s="2"/>
      <c r="K339" s="2"/>
      <c r="L339" s="2"/>
      <c r="M339" s="2"/>
      <c r="N339" s="2"/>
      <c r="O339" s="2"/>
      <c r="P339" s="2"/>
      <c r="Q339" s="2"/>
      <c r="R339" s="2"/>
      <c r="S339" s="2"/>
      <c r="T339" s="2"/>
      <c r="U339" s="2"/>
      <c r="V339" s="2"/>
      <c r="W339" s="2"/>
      <c r="X339" s="2"/>
      <c r="Y339" s="2"/>
    </row>
    <row r="340" spans="1:25" ht="14.25" customHeight="1" x14ac:dyDescent="0.3">
      <c r="A340" s="2"/>
      <c r="B340" s="1"/>
      <c r="C340" s="1"/>
      <c r="D340" s="1"/>
      <c r="E340" s="1"/>
      <c r="F340" s="2"/>
      <c r="G340" s="2"/>
      <c r="H340" s="2"/>
      <c r="I340" s="2"/>
      <c r="J340" s="2"/>
      <c r="K340" s="2"/>
      <c r="L340" s="2"/>
      <c r="M340" s="2"/>
      <c r="N340" s="2"/>
      <c r="O340" s="2"/>
      <c r="P340" s="2"/>
      <c r="Q340" s="2"/>
      <c r="R340" s="2"/>
      <c r="S340" s="2"/>
      <c r="T340" s="2"/>
      <c r="U340" s="2"/>
      <c r="V340" s="2"/>
      <c r="W340" s="2"/>
      <c r="X340" s="2"/>
      <c r="Y340" s="2"/>
    </row>
    <row r="341" spans="1:25" ht="14.25" customHeight="1" x14ac:dyDescent="0.3">
      <c r="A341" s="2"/>
      <c r="B341" s="1"/>
      <c r="C341" s="1"/>
      <c r="D341" s="1"/>
      <c r="E341" s="1"/>
      <c r="F341" s="2"/>
      <c r="G341" s="2"/>
      <c r="H341" s="2"/>
      <c r="I341" s="2"/>
      <c r="J341" s="2"/>
      <c r="K341" s="2"/>
      <c r="L341" s="2"/>
      <c r="M341" s="2"/>
      <c r="N341" s="2"/>
      <c r="O341" s="2"/>
      <c r="P341" s="2"/>
      <c r="Q341" s="2"/>
      <c r="R341" s="2"/>
      <c r="S341" s="2"/>
      <c r="T341" s="2"/>
      <c r="U341" s="2"/>
      <c r="V341" s="2"/>
      <c r="W341" s="2"/>
      <c r="X341" s="2"/>
      <c r="Y341" s="2"/>
    </row>
    <row r="342" spans="1:25" ht="14.25" customHeight="1" x14ac:dyDescent="0.3">
      <c r="A342" s="2"/>
      <c r="B342" s="1"/>
      <c r="C342" s="1"/>
      <c r="D342" s="1"/>
      <c r="E342" s="1"/>
      <c r="F342" s="2"/>
      <c r="G342" s="2"/>
      <c r="H342" s="2"/>
      <c r="I342" s="2"/>
      <c r="J342" s="2"/>
      <c r="K342" s="2"/>
      <c r="L342" s="2"/>
      <c r="M342" s="2"/>
      <c r="N342" s="2"/>
      <c r="O342" s="2"/>
      <c r="P342" s="2"/>
      <c r="Q342" s="2"/>
      <c r="R342" s="2"/>
      <c r="S342" s="2"/>
      <c r="T342" s="2"/>
      <c r="U342" s="2"/>
      <c r="V342" s="2"/>
      <c r="W342" s="2"/>
      <c r="X342" s="2"/>
      <c r="Y342" s="2"/>
    </row>
    <row r="343" spans="1:25" ht="14.25" customHeight="1" x14ac:dyDescent="0.3">
      <c r="A343" s="2"/>
      <c r="B343" s="1"/>
      <c r="C343" s="1"/>
      <c r="D343" s="1"/>
      <c r="E343" s="1"/>
      <c r="F343" s="2"/>
      <c r="G343" s="2"/>
      <c r="H343" s="2"/>
      <c r="I343" s="2"/>
      <c r="J343" s="2"/>
      <c r="K343" s="2"/>
      <c r="L343" s="2"/>
      <c r="M343" s="2"/>
      <c r="N343" s="2"/>
      <c r="O343" s="2"/>
      <c r="P343" s="2"/>
      <c r="Q343" s="2"/>
      <c r="R343" s="2"/>
      <c r="S343" s="2"/>
      <c r="T343" s="2"/>
      <c r="U343" s="2"/>
      <c r="V343" s="2"/>
      <c r="W343" s="2"/>
      <c r="X343" s="2"/>
      <c r="Y343" s="2"/>
    </row>
    <row r="344" spans="1:25" ht="14.25" customHeight="1" x14ac:dyDescent="0.3">
      <c r="A344" s="2"/>
      <c r="B344" s="1"/>
      <c r="C344" s="1"/>
      <c r="D344" s="1"/>
      <c r="E344" s="1"/>
      <c r="F344" s="2"/>
      <c r="G344" s="2"/>
      <c r="H344" s="2"/>
      <c r="I344" s="2"/>
      <c r="J344" s="2"/>
      <c r="K344" s="2"/>
      <c r="L344" s="2"/>
      <c r="M344" s="2"/>
      <c r="N344" s="2"/>
      <c r="O344" s="2"/>
      <c r="P344" s="2"/>
      <c r="Q344" s="2"/>
      <c r="R344" s="2"/>
      <c r="S344" s="2"/>
      <c r="T344" s="2"/>
      <c r="U344" s="2"/>
      <c r="V344" s="2"/>
      <c r="W344" s="2"/>
      <c r="X344" s="2"/>
      <c r="Y344" s="2"/>
    </row>
    <row r="345" spans="1:25" ht="14.25" customHeight="1" x14ac:dyDescent="0.3">
      <c r="A345" s="2"/>
      <c r="B345" s="1"/>
      <c r="C345" s="1"/>
      <c r="D345" s="1"/>
      <c r="E345" s="1"/>
      <c r="F345" s="2"/>
      <c r="G345" s="2"/>
      <c r="H345" s="2"/>
      <c r="I345" s="2"/>
      <c r="J345" s="2"/>
      <c r="K345" s="2"/>
      <c r="L345" s="2"/>
      <c r="M345" s="2"/>
      <c r="N345" s="2"/>
      <c r="O345" s="2"/>
      <c r="P345" s="2"/>
      <c r="Q345" s="2"/>
      <c r="R345" s="2"/>
      <c r="S345" s="2"/>
      <c r="T345" s="2"/>
      <c r="U345" s="2"/>
      <c r="V345" s="2"/>
      <c r="W345" s="2"/>
      <c r="X345" s="2"/>
      <c r="Y345" s="2"/>
    </row>
    <row r="346" spans="1:25" ht="14.25" customHeight="1" x14ac:dyDescent="0.3">
      <c r="A346" s="2"/>
      <c r="B346" s="1"/>
      <c r="C346" s="1"/>
      <c r="D346" s="1"/>
      <c r="E346" s="1"/>
      <c r="F346" s="2"/>
      <c r="G346" s="2"/>
      <c r="H346" s="2"/>
      <c r="I346" s="2"/>
      <c r="J346" s="2"/>
      <c r="K346" s="2"/>
      <c r="L346" s="2"/>
      <c r="M346" s="2"/>
      <c r="N346" s="2"/>
      <c r="O346" s="2"/>
      <c r="P346" s="2"/>
      <c r="Q346" s="2"/>
      <c r="R346" s="2"/>
      <c r="S346" s="2"/>
      <c r="T346" s="2"/>
      <c r="U346" s="2"/>
      <c r="V346" s="2"/>
      <c r="W346" s="2"/>
      <c r="X346" s="2"/>
      <c r="Y346" s="2"/>
    </row>
    <row r="347" spans="1:25" ht="14.25" customHeight="1" x14ac:dyDescent="0.3">
      <c r="A347" s="2"/>
      <c r="B347" s="1"/>
      <c r="C347" s="1"/>
      <c r="D347" s="1"/>
      <c r="E347" s="1"/>
      <c r="F347" s="2"/>
      <c r="G347" s="2"/>
      <c r="H347" s="2"/>
      <c r="I347" s="2"/>
      <c r="J347" s="2"/>
      <c r="K347" s="2"/>
      <c r="L347" s="2"/>
      <c r="M347" s="2"/>
      <c r="N347" s="2"/>
      <c r="O347" s="2"/>
      <c r="P347" s="2"/>
      <c r="Q347" s="2"/>
      <c r="R347" s="2"/>
      <c r="S347" s="2"/>
      <c r="T347" s="2"/>
      <c r="U347" s="2"/>
      <c r="V347" s="2"/>
      <c r="W347" s="2"/>
      <c r="X347" s="2"/>
      <c r="Y347" s="2"/>
    </row>
    <row r="348" spans="1:25" ht="14.25" customHeight="1" x14ac:dyDescent="0.3">
      <c r="A348" s="2"/>
      <c r="B348" s="1"/>
      <c r="C348" s="1"/>
      <c r="D348" s="1"/>
      <c r="E348" s="1"/>
      <c r="F348" s="2"/>
      <c r="G348" s="2"/>
      <c r="H348" s="2"/>
      <c r="I348" s="2"/>
      <c r="J348" s="2"/>
      <c r="K348" s="2"/>
      <c r="L348" s="2"/>
      <c r="M348" s="2"/>
      <c r="N348" s="2"/>
      <c r="O348" s="2"/>
      <c r="P348" s="2"/>
      <c r="Q348" s="2"/>
      <c r="R348" s="2"/>
      <c r="S348" s="2"/>
      <c r="T348" s="2"/>
      <c r="U348" s="2"/>
      <c r="V348" s="2"/>
      <c r="W348" s="2"/>
      <c r="X348" s="2"/>
      <c r="Y348" s="2"/>
    </row>
    <row r="349" spans="1:25" ht="14.25" customHeight="1" x14ac:dyDescent="0.3">
      <c r="A349" s="2"/>
      <c r="B349" s="1"/>
      <c r="C349" s="1"/>
      <c r="D349" s="1"/>
      <c r="E349" s="1"/>
      <c r="F349" s="2"/>
      <c r="G349" s="2"/>
      <c r="H349" s="2"/>
      <c r="I349" s="2"/>
      <c r="J349" s="2"/>
      <c r="K349" s="2"/>
      <c r="L349" s="2"/>
      <c r="M349" s="2"/>
      <c r="N349" s="2"/>
      <c r="O349" s="2"/>
      <c r="P349" s="2"/>
      <c r="Q349" s="2"/>
      <c r="R349" s="2"/>
      <c r="S349" s="2"/>
      <c r="T349" s="2"/>
      <c r="U349" s="2"/>
      <c r="V349" s="2"/>
      <c r="W349" s="2"/>
      <c r="X349" s="2"/>
      <c r="Y349" s="2"/>
    </row>
    <row r="350" spans="1:25" ht="14.25" customHeight="1" x14ac:dyDescent="0.3">
      <c r="A350" s="2"/>
      <c r="B350" s="1"/>
      <c r="C350" s="1"/>
      <c r="D350" s="1"/>
      <c r="E350" s="1"/>
      <c r="F350" s="2"/>
      <c r="G350" s="2"/>
      <c r="H350" s="2"/>
      <c r="I350" s="2"/>
      <c r="J350" s="2"/>
      <c r="K350" s="2"/>
      <c r="L350" s="2"/>
      <c r="M350" s="2"/>
      <c r="N350" s="2"/>
      <c r="O350" s="2"/>
      <c r="P350" s="2"/>
      <c r="Q350" s="2"/>
      <c r="R350" s="2"/>
      <c r="S350" s="2"/>
      <c r="T350" s="2"/>
      <c r="U350" s="2"/>
      <c r="V350" s="2"/>
      <c r="W350" s="2"/>
      <c r="X350" s="2"/>
      <c r="Y350" s="2"/>
    </row>
    <row r="351" spans="1:25" ht="14.25" customHeight="1" x14ac:dyDescent="0.3">
      <c r="A351" s="2"/>
      <c r="B351" s="1"/>
      <c r="C351" s="1"/>
      <c r="D351" s="1"/>
      <c r="E351" s="1"/>
      <c r="F351" s="2"/>
      <c r="G351" s="2"/>
      <c r="H351" s="2"/>
      <c r="I351" s="2"/>
      <c r="J351" s="2"/>
      <c r="K351" s="2"/>
      <c r="L351" s="2"/>
      <c r="M351" s="2"/>
      <c r="N351" s="2"/>
      <c r="O351" s="2"/>
      <c r="P351" s="2"/>
      <c r="Q351" s="2"/>
      <c r="R351" s="2"/>
      <c r="S351" s="2"/>
      <c r="T351" s="2"/>
      <c r="U351" s="2"/>
      <c r="V351" s="2"/>
      <c r="W351" s="2"/>
      <c r="X351" s="2"/>
      <c r="Y351" s="2"/>
    </row>
    <row r="352" spans="1:25" ht="14.25" customHeight="1" x14ac:dyDescent="0.3">
      <c r="A352" s="2"/>
      <c r="B352" s="1"/>
      <c r="C352" s="1"/>
      <c r="D352" s="1"/>
      <c r="E352" s="1"/>
      <c r="F352" s="2"/>
      <c r="G352" s="2"/>
      <c r="H352" s="2"/>
      <c r="I352" s="2"/>
      <c r="J352" s="2"/>
      <c r="K352" s="2"/>
      <c r="L352" s="2"/>
      <c r="M352" s="2"/>
      <c r="N352" s="2"/>
      <c r="O352" s="2"/>
      <c r="P352" s="2"/>
      <c r="Q352" s="2"/>
      <c r="R352" s="2"/>
      <c r="S352" s="2"/>
      <c r="T352" s="2"/>
      <c r="U352" s="2"/>
      <c r="V352" s="2"/>
      <c r="W352" s="2"/>
      <c r="X352" s="2"/>
      <c r="Y352" s="2"/>
    </row>
    <row r="353" spans="1:25" ht="14.25" customHeight="1" x14ac:dyDescent="0.3">
      <c r="A353" s="2"/>
      <c r="B353" s="1"/>
      <c r="C353" s="1"/>
      <c r="D353" s="1"/>
      <c r="E353" s="1"/>
      <c r="F353" s="2"/>
      <c r="G353" s="2"/>
      <c r="H353" s="2"/>
      <c r="I353" s="2"/>
      <c r="J353" s="2"/>
      <c r="K353" s="2"/>
      <c r="L353" s="2"/>
      <c r="M353" s="2"/>
      <c r="N353" s="2"/>
      <c r="O353" s="2"/>
      <c r="P353" s="2"/>
      <c r="Q353" s="2"/>
      <c r="R353" s="2"/>
      <c r="S353" s="2"/>
      <c r="T353" s="2"/>
      <c r="U353" s="2"/>
      <c r="V353" s="2"/>
      <c r="W353" s="2"/>
      <c r="X353" s="2"/>
      <c r="Y353" s="2"/>
    </row>
    <row r="354" spans="1:25" ht="14.25" customHeight="1" x14ac:dyDescent="0.3">
      <c r="A354" s="2"/>
      <c r="B354" s="1"/>
      <c r="C354" s="1"/>
      <c r="D354" s="1"/>
      <c r="E354" s="1"/>
      <c r="F354" s="2"/>
      <c r="G354" s="2"/>
      <c r="H354" s="2"/>
      <c r="I354" s="2"/>
      <c r="J354" s="2"/>
      <c r="K354" s="2"/>
      <c r="L354" s="2"/>
      <c r="M354" s="2"/>
      <c r="N354" s="2"/>
      <c r="O354" s="2"/>
      <c r="P354" s="2"/>
      <c r="Q354" s="2"/>
      <c r="R354" s="2"/>
      <c r="S354" s="2"/>
      <c r="T354" s="2"/>
      <c r="U354" s="2"/>
      <c r="V354" s="2"/>
      <c r="W354" s="2"/>
      <c r="X354" s="2"/>
      <c r="Y354" s="2"/>
    </row>
    <row r="355" spans="1:25" ht="14.25" customHeight="1" x14ac:dyDescent="0.3">
      <c r="A355" s="2"/>
      <c r="B355" s="1"/>
      <c r="C355" s="1"/>
      <c r="D355" s="1"/>
      <c r="E355" s="1"/>
      <c r="F355" s="2"/>
      <c r="G355" s="2"/>
      <c r="H355" s="2"/>
      <c r="I355" s="2"/>
      <c r="J355" s="2"/>
      <c r="K355" s="2"/>
      <c r="L355" s="2"/>
      <c r="M355" s="2"/>
      <c r="N355" s="2"/>
      <c r="O355" s="2"/>
      <c r="P355" s="2"/>
      <c r="Q355" s="2"/>
      <c r="R355" s="2"/>
      <c r="S355" s="2"/>
      <c r="T355" s="2"/>
      <c r="U355" s="2"/>
      <c r="V355" s="2"/>
      <c r="W355" s="2"/>
      <c r="X355" s="2"/>
      <c r="Y355" s="2"/>
    </row>
    <row r="356" spans="1:25" ht="14.25" customHeight="1" x14ac:dyDescent="0.3">
      <c r="A356" s="2"/>
      <c r="B356" s="1"/>
      <c r="C356" s="1"/>
      <c r="D356" s="1"/>
      <c r="E356" s="1"/>
      <c r="F356" s="2"/>
      <c r="G356" s="2"/>
      <c r="H356" s="2"/>
      <c r="I356" s="2"/>
      <c r="J356" s="2"/>
      <c r="K356" s="2"/>
      <c r="L356" s="2"/>
      <c r="M356" s="2"/>
      <c r="N356" s="2"/>
      <c r="O356" s="2"/>
      <c r="P356" s="2"/>
      <c r="Q356" s="2"/>
      <c r="R356" s="2"/>
      <c r="S356" s="2"/>
      <c r="T356" s="2"/>
      <c r="U356" s="2"/>
      <c r="V356" s="2"/>
      <c r="W356" s="2"/>
      <c r="X356" s="2"/>
      <c r="Y356" s="2"/>
    </row>
    <row r="357" spans="1:25" ht="14.25" customHeight="1" x14ac:dyDescent="0.3">
      <c r="A357" s="2"/>
      <c r="B357" s="1"/>
      <c r="C357" s="1"/>
      <c r="D357" s="1"/>
      <c r="E357" s="1"/>
      <c r="F357" s="2"/>
      <c r="G357" s="2"/>
      <c r="H357" s="2"/>
      <c r="I357" s="2"/>
      <c r="J357" s="2"/>
      <c r="K357" s="2"/>
      <c r="L357" s="2"/>
      <c r="M357" s="2"/>
      <c r="N357" s="2"/>
      <c r="O357" s="2"/>
      <c r="P357" s="2"/>
      <c r="Q357" s="2"/>
      <c r="R357" s="2"/>
      <c r="S357" s="2"/>
      <c r="T357" s="2"/>
      <c r="U357" s="2"/>
      <c r="V357" s="2"/>
      <c r="W357" s="2"/>
      <c r="X357" s="2"/>
      <c r="Y357" s="2"/>
    </row>
    <row r="358" spans="1:25" ht="14.25" customHeight="1" x14ac:dyDescent="0.3">
      <c r="A358" s="2"/>
      <c r="B358" s="1"/>
      <c r="C358" s="1"/>
      <c r="D358" s="1"/>
      <c r="E358" s="1"/>
      <c r="F358" s="2"/>
      <c r="G358" s="2"/>
      <c r="H358" s="2"/>
      <c r="I358" s="2"/>
      <c r="J358" s="2"/>
      <c r="K358" s="2"/>
      <c r="L358" s="2"/>
      <c r="M358" s="2"/>
      <c r="N358" s="2"/>
      <c r="O358" s="2"/>
      <c r="P358" s="2"/>
      <c r="Q358" s="2"/>
      <c r="R358" s="2"/>
      <c r="S358" s="2"/>
      <c r="T358" s="2"/>
      <c r="U358" s="2"/>
      <c r="V358" s="2"/>
      <c r="W358" s="2"/>
      <c r="X358" s="2"/>
      <c r="Y358" s="2"/>
    </row>
    <row r="359" spans="1:25" ht="14.25" customHeight="1" x14ac:dyDescent="0.3">
      <c r="A359" s="2"/>
      <c r="B359" s="1"/>
      <c r="C359" s="1"/>
      <c r="D359" s="1"/>
      <c r="E359" s="1"/>
      <c r="F359" s="2"/>
      <c r="G359" s="2"/>
      <c r="H359" s="2"/>
      <c r="I359" s="2"/>
      <c r="J359" s="2"/>
      <c r="K359" s="2"/>
      <c r="L359" s="2"/>
      <c r="M359" s="2"/>
      <c r="N359" s="2"/>
      <c r="O359" s="2"/>
      <c r="P359" s="2"/>
      <c r="Q359" s="2"/>
      <c r="R359" s="2"/>
      <c r="S359" s="2"/>
      <c r="T359" s="2"/>
      <c r="U359" s="2"/>
      <c r="V359" s="2"/>
      <c r="W359" s="2"/>
      <c r="X359" s="2"/>
      <c r="Y359" s="2"/>
    </row>
    <row r="360" spans="1:25" ht="14.25" customHeight="1" x14ac:dyDescent="0.3">
      <c r="A360" s="2"/>
      <c r="B360" s="1"/>
      <c r="C360" s="1"/>
      <c r="D360" s="1"/>
      <c r="E360" s="1"/>
      <c r="F360" s="2"/>
      <c r="G360" s="2"/>
      <c r="H360" s="2"/>
      <c r="I360" s="2"/>
      <c r="J360" s="2"/>
      <c r="K360" s="2"/>
      <c r="L360" s="2"/>
      <c r="M360" s="2"/>
      <c r="N360" s="2"/>
      <c r="O360" s="2"/>
      <c r="P360" s="2"/>
      <c r="Q360" s="2"/>
      <c r="R360" s="2"/>
      <c r="S360" s="2"/>
      <c r="T360" s="2"/>
      <c r="U360" s="2"/>
      <c r="V360" s="2"/>
      <c r="W360" s="2"/>
      <c r="X360" s="2"/>
      <c r="Y360" s="2"/>
    </row>
    <row r="361" spans="1:25" ht="14.25" customHeight="1" x14ac:dyDescent="0.3">
      <c r="A361" s="2"/>
      <c r="B361" s="1"/>
      <c r="C361" s="1"/>
      <c r="D361" s="1"/>
      <c r="E361" s="1"/>
      <c r="F361" s="2"/>
      <c r="G361" s="2"/>
      <c r="H361" s="2"/>
      <c r="I361" s="2"/>
      <c r="J361" s="2"/>
      <c r="K361" s="2"/>
      <c r="L361" s="2"/>
      <c r="M361" s="2"/>
      <c r="N361" s="2"/>
      <c r="O361" s="2"/>
      <c r="P361" s="2"/>
      <c r="Q361" s="2"/>
      <c r="R361" s="2"/>
      <c r="S361" s="2"/>
      <c r="T361" s="2"/>
      <c r="U361" s="2"/>
      <c r="V361" s="2"/>
      <c r="W361" s="2"/>
      <c r="X361" s="2"/>
      <c r="Y361" s="2"/>
    </row>
    <row r="362" spans="1:25" ht="14.25" customHeight="1" x14ac:dyDescent="0.3">
      <c r="A362" s="2"/>
      <c r="B362" s="1"/>
      <c r="C362" s="1"/>
      <c r="D362" s="1"/>
      <c r="E362" s="1"/>
      <c r="F362" s="2"/>
      <c r="G362" s="2"/>
      <c r="H362" s="2"/>
      <c r="I362" s="2"/>
      <c r="J362" s="2"/>
      <c r="K362" s="2"/>
      <c r="L362" s="2"/>
      <c r="M362" s="2"/>
      <c r="N362" s="2"/>
      <c r="O362" s="2"/>
      <c r="P362" s="2"/>
      <c r="Q362" s="2"/>
      <c r="R362" s="2"/>
      <c r="S362" s="2"/>
      <c r="T362" s="2"/>
      <c r="U362" s="2"/>
      <c r="V362" s="2"/>
      <c r="W362" s="2"/>
      <c r="X362" s="2"/>
      <c r="Y362" s="2"/>
    </row>
    <row r="363" spans="1:25" ht="14.25" customHeight="1" x14ac:dyDescent="0.3">
      <c r="A363" s="2"/>
      <c r="B363" s="1"/>
      <c r="C363" s="1"/>
      <c r="D363" s="1"/>
      <c r="E363" s="1"/>
      <c r="F363" s="2"/>
      <c r="G363" s="2"/>
      <c r="H363" s="2"/>
      <c r="I363" s="2"/>
      <c r="J363" s="2"/>
      <c r="K363" s="2"/>
      <c r="L363" s="2"/>
      <c r="M363" s="2"/>
      <c r="N363" s="2"/>
      <c r="O363" s="2"/>
      <c r="P363" s="2"/>
      <c r="Q363" s="2"/>
      <c r="R363" s="2"/>
      <c r="S363" s="2"/>
      <c r="T363" s="2"/>
      <c r="U363" s="2"/>
      <c r="V363" s="2"/>
      <c r="W363" s="2"/>
      <c r="X363" s="2"/>
      <c r="Y363" s="2"/>
    </row>
    <row r="364" spans="1:25" ht="14.25" customHeight="1" x14ac:dyDescent="0.3">
      <c r="A364" s="2"/>
      <c r="B364" s="1"/>
      <c r="C364" s="1"/>
      <c r="D364" s="1"/>
      <c r="E364" s="1"/>
      <c r="F364" s="2"/>
      <c r="G364" s="2"/>
      <c r="H364" s="2"/>
      <c r="I364" s="2"/>
      <c r="J364" s="2"/>
      <c r="K364" s="2"/>
      <c r="L364" s="2"/>
      <c r="M364" s="2"/>
      <c r="N364" s="2"/>
      <c r="O364" s="2"/>
      <c r="P364" s="2"/>
      <c r="Q364" s="2"/>
      <c r="R364" s="2"/>
      <c r="S364" s="2"/>
      <c r="T364" s="2"/>
      <c r="U364" s="2"/>
      <c r="V364" s="2"/>
      <c r="W364" s="2"/>
      <c r="X364" s="2"/>
      <c r="Y364" s="2"/>
    </row>
    <row r="365" spans="1:25" ht="14.25" customHeight="1" x14ac:dyDescent="0.3">
      <c r="A365" s="2"/>
      <c r="B365" s="1"/>
      <c r="C365" s="1"/>
      <c r="D365" s="1"/>
      <c r="E365" s="1"/>
      <c r="F365" s="2"/>
      <c r="G365" s="2"/>
      <c r="H365" s="2"/>
      <c r="I365" s="2"/>
      <c r="J365" s="2"/>
      <c r="K365" s="2"/>
      <c r="L365" s="2"/>
      <c r="M365" s="2"/>
      <c r="N365" s="2"/>
      <c r="O365" s="2"/>
      <c r="P365" s="2"/>
      <c r="Q365" s="2"/>
      <c r="R365" s="2"/>
      <c r="S365" s="2"/>
      <c r="T365" s="2"/>
      <c r="U365" s="2"/>
      <c r="V365" s="2"/>
      <c r="W365" s="2"/>
      <c r="X365" s="2"/>
      <c r="Y365" s="2"/>
    </row>
    <row r="366" spans="1:25" ht="14.25" customHeight="1" x14ac:dyDescent="0.3">
      <c r="A366" s="2"/>
      <c r="B366" s="1"/>
      <c r="C366" s="1"/>
      <c r="D366" s="1"/>
      <c r="E366" s="1"/>
      <c r="F366" s="2"/>
      <c r="G366" s="2"/>
      <c r="H366" s="2"/>
      <c r="I366" s="2"/>
      <c r="J366" s="2"/>
      <c r="K366" s="2"/>
      <c r="L366" s="2"/>
      <c r="M366" s="2"/>
      <c r="N366" s="2"/>
      <c r="O366" s="2"/>
      <c r="P366" s="2"/>
      <c r="Q366" s="2"/>
      <c r="R366" s="2"/>
      <c r="S366" s="2"/>
      <c r="T366" s="2"/>
      <c r="U366" s="2"/>
      <c r="V366" s="2"/>
      <c r="W366" s="2"/>
      <c r="X366" s="2"/>
      <c r="Y366" s="2"/>
    </row>
    <row r="367" spans="1:25" ht="14.25" customHeight="1" x14ac:dyDescent="0.3">
      <c r="A367" s="2"/>
      <c r="B367" s="1"/>
      <c r="C367" s="1"/>
      <c r="D367" s="1"/>
      <c r="E367" s="1"/>
      <c r="F367" s="2"/>
      <c r="G367" s="2"/>
      <c r="H367" s="2"/>
      <c r="I367" s="2"/>
      <c r="J367" s="2"/>
      <c r="K367" s="2"/>
      <c r="L367" s="2"/>
      <c r="M367" s="2"/>
      <c r="N367" s="2"/>
      <c r="O367" s="2"/>
      <c r="P367" s="2"/>
      <c r="Q367" s="2"/>
      <c r="R367" s="2"/>
      <c r="S367" s="2"/>
      <c r="T367" s="2"/>
      <c r="U367" s="2"/>
      <c r="V367" s="2"/>
      <c r="W367" s="2"/>
      <c r="X367" s="2"/>
      <c r="Y367" s="2"/>
    </row>
    <row r="368" spans="1:25" ht="14.25" customHeight="1" x14ac:dyDescent="0.3">
      <c r="A368" s="2"/>
      <c r="B368" s="1"/>
      <c r="C368" s="1"/>
      <c r="D368" s="1"/>
      <c r="E368" s="1"/>
      <c r="F368" s="2"/>
      <c r="G368" s="2"/>
      <c r="H368" s="2"/>
      <c r="I368" s="2"/>
      <c r="J368" s="2"/>
      <c r="K368" s="2"/>
      <c r="L368" s="2"/>
      <c r="M368" s="2"/>
      <c r="N368" s="2"/>
      <c r="O368" s="2"/>
      <c r="P368" s="2"/>
      <c r="Q368" s="2"/>
      <c r="R368" s="2"/>
      <c r="S368" s="2"/>
      <c r="T368" s="2"/>
      <c r="U368" s="2"/>
      <c r="V368" s="2"/>
      <c r="W368" s="2"/>
      <c r="X368" s="2"/>
      <c r="Y368" s="2"/>
    </row>
    <row r="369" spans="1:25" ht="14.25" customHeight="1" x14ac:dyDescent="0.3">
      <c r="A369" s="2"/>
      <c r="B369" s="1"/>
      <c r="C369" s="1"/>
      <c r="D369" s="1"/>
      <c r="E369" s="1"/>
      <c r="F369" s="2"/>
      <c r="G369" s="2"/>
      <c r="H369" s="2"/>
      <c r="I369" s="2"/>
      <c r="J369" s="2"/>
      <c r="K369" s="2"/>
      <c r="L369" s="2"/>
      <c r="M369" s="2"/>
      <c r="N369" s="2"/>
      <c r="O369" s="2"/>
      <c r="P369" s="2"/>
      <c r="Q369" s="2"/>
      <c r="R369" s="2"/>
      <c r="S369" s="2"/>
      <c r="T369" s="2"/>
      <c r="U369" s="2"/>
      <c r="V369" s="2"/>
      <c r="W369" s="2"/>
      <c r="X369" s="2"/>
      <c r="Y369" s="2"/>
    </row>
    <row r="370" spans="1:25" ht="14.25" customHeight="1" x14ac:dyDescent="0.3">
      <c r="A370" s="2"/>
      <c r="B370" s="1"/>
      <c r="C370" s="1"/>
      <c r="D370" s="1"/>
      <c r="E370" s="1"/>
      <c r="F370" s="2"/>
      <c r="G370" s="2"/>
      <c r="H370" s="2"/>
      <c r="I370" s="2"/>
      <c r="J370" s="2"/>
      <c r="K370" s="2"/>
      <c r="L370" s="2"/>
      <c r="M370" s="2"/>
      <c r="N370" s="2"/>
      <c r="O370" s="2"/>
      <c r="P370" s="2"/>
      <c r="Q370" s="2"/>
      <c r="R370" s="2"/>
      <c r="S370" s="2"/>
      <c r="T370" s="2"/>
      <c r="U370" s="2"/>
      <c r="V370" s="2"/>
      <c r="W370" s="2"/>
      <c r="X370" s="2"/>
      <c r="Y370" s="2"/>
    </row>
    <row r="371" spans="1:25" ht="14.25" customHeight="1" x14ac:dyDescent="0.3">
      <c r="A371" s="2"/>
      <c r="B371" s="1"/>
      <c r="C371" s="1"/>
      <c r="D371" s="1"/>
      <c r="E371" s="1"/>
      <c r="F371" s="2"/>
      <c r="G371" s="2"/>
      <c r="H371" s="2"/>
      <c r="I371" s="2"/>
      <c r="J371" s="2"/>
      <c r="K371" s="2"/>
      <c r="L371" s="2"/>
      <c r="M371" s="2"/>
      <c r="N371" s="2"/>
      <c r="O371" s="2"/>
      <c r="P371" s="2"/>
      <c r="Q371" s="2"/>
      <c r="R371" s="2"/>
      <c r="S371" s="2"/>
      <c r="T371" s="2"/>
      <c r="U371" s="2"/>
      <c r="V371" s="2"/>
      <c r="W371" s="2"/>
      <c r="X371" s="2"/>
      <c r="Y371" s="2"/>
    </row>
    <row r="372" spans="1:25" ht="14.25" customHeight="1" x14ac:dyDescent="0.3">
      <c r="A372" s="2"/>
      <c r="B372" s="1"/>
      <c r="C372" s="1"/>
      <c r="D372" s="1"/>
      <c r="E372" s="1"/>
      <c r="F372" s="2"/>
      <c r="G372" s="2"/>
      <c r="H372" s="2"/>
      <c r="I372" s="2"/>
      <c r="J372" s="2"/>
      <c r="K372" s="2"/>
      <c r="L372" s="2"/>
      <c r="M372" s="2"/>
      <c r="N372" s="2"/>
      <c r="O372" s="2"/>
      <c r="P372" s="2"/>
      <c r="Q372" s="2"/>
      <c r="R372" s="2"/>
      <c r="S372" s="2"/>
      <c r="T372" s="2"/>
      <c r="U372" s="2"/>
      <c r="V372" s="2"/>
      <c r="W372" s="2"/>
      <c r="X372" s="2"/>
      <c r="Y372" s="2"/>
    </row>
    <row r="373" spans="1:25" ht="14.25" customHeight="1" x14ac:dyDescent="0.3">
      <c r="A373" s="2"/>
      <c r="B373" s="1"/>
      <c r="C373" s="1"/>
      <c r="D373" s="1"/>
      <c r="E373" s="1"/>
      <c r="F373" s="2"/>
      <c r="G373" s="2"/>
      <c r="H373" s="2"/>
      <c r="I373" s="2"/>
      <c r="J373" s="2"/>
      <c r="K373" s="2"/>
      <c r="L373" s="2"/>
      <c r="M373" s="2"/>
      <c r="N373" s="2"/>
      <c r="O373" s="2"/>
      <c r="P373" s="2"/>
      <c r="Q373" s="2"/>
      <c r="R373" s="2"/>
      <c r="S373" s="2"/>
      <c r="T373" s="2"/>
      <c r="U373" s="2"/>
      <c r="V373" s="2"/>
      <c r="W373" s="2"/>
      <c r="X373" s="2"/>
      <c r="Y373" s="2"/>
    </row>
    <row r="374" spans="1:25" ht="14.25" customHeight="1" x14ac:dyDescent="0.3">
      <c r="A374" s="2"/>
      <c r="B374" s="1"/>
      <c r="C374" s="1"/>
      <c r="D374" s="1"/>
      <c r="E374" s="1"/>
      <c r="F374" s="2"/>
      <c r="G374" s="2"/>
      <c r="H374" s="2"/>
      <c r="I374" s="2"/>
      <c r="J374" s="2"/>
      <c r="K374" s="2"/>
      <c r="L374" s="2"/>
      <c r="M374" s="2"/>
      <c r="N374" s="2"/>
      <c r="O374" s="2"/>
      <c r="P374" s="2"/>
      <c r="Q374" s="2"/>
      <c r="R374" s="2"/>
      <c r="S374" s="2"/>
      <c r="T374" s="2"/>
      <c r="U374" s="2"/>
      <c r="V374" s="2"/>
      <c r="W374" s="2"/>
      <c r="X374" s="2"/>
      <c r="Y374" s="2"/>
    </row>
    <row r="375" spans="1:25" ht="14.25" customHeight="1" x14ac:dyDescent="0.3">
      <c r="A375" s="2"/>
      <c r="B375" s="1"/>
      <c r="C375" s="1"/>
      <c r="D375" s="1"/>
      <c r="E375" s="1"/>
      <c r="F375" s="2"/>
      <c r="G375" s="2"/>
      <c r="H375" s="2"/>
      <c r="I375" s="2"/>
      <c r="J375" s="2"/>
      <c r="K375" s="2"/>
      <c r="L375" s="2"/>
      <c r="M375" s="2"/>
      <c r="N375" s="2"/>
      <c r="O375" s="2"/>
      <c r="P375" s="2"/>
      <c r="Q375" s="2"/>
      <c r="R375" s="2"/>
      <c r="S375" s="2"/>
      <c r="T375" s="2"/>
      <c r="U375" s="2"/>
      <c r="V375" s="2"/>
      <c r="W375" s="2"/>
      <c r="X375" s="2"/>
      <c r="Y375" s="2"/>
    </row>
    <row r="376" spans="1:25" ht="14.25" customHeight="1" x14ac:dyDescent="0.3">
      <c r="A376" s="2"/>
      <c r="B376" s="1"/>
      <c r="C376" s="1"/>
      <c r="D376" s="1"/>
      <c r="E376" s="1"/>
      <c r="F376" s="2"/>
      <c r="G376" s="2"/>
      <c r="H376" s="2"/>
      <c r="I376" s="2"/>
      <c r="J376" s="2"/>
      <c r="K376" s="2"/>
      <c r="L376" s="2"/>
      <c r="M376" s="2"/>
      <c r="N376" s="2"/>
      <c r="O376" s="2"/>
      <c r="P376" s="2"/>
      <c r="Q376" s="2"/>
      <c r="R376" s="2"/>
      <c r="S376" s="2"/>
      <c r="T376" s="2"/>
      <c r="U376" s="2"/>
      <c r="V376" s="2"/>
      <c r="W376" s="2"/>
      <c r="X376" s="2"/>
      <c r="Y376" s="2"/>
    </row>
    <row r="377" spans="1:25" ht="14.25" customHeight="1" x14ac:dyDescent="0.3">
      <c r="A377" s="2"/>
      <c r="B377" s="1"/>
      <c r="C377" s="1"/>
      <c r="D377" s="1"/>
      <c r="E377" s="1"/>
      <c r="F377" s="2"/>
      <c r="G377" s="2"/>
      <c r="H377" s="2"/>
      <c r="I377" s="2"/>
      <c r="J377" s="2"/>
      <c r="K377" s="2"/>
      <c r="L377" s="2"/>
      <c r="M377" s="2"/>
      <c r="N377" s="2"/>
      <c r="O377" s="2"/>
      <c r="P377" s="2"/>
      <c r="Q377" s="2"/>
      <c r="R377" s="2"/>
      <c r="S377" s="2"/>
      <c r="T377" s="2"/>
      <c r="U377" s="2"/>
      <c r="V377" s="2"/>
      <c r="W377" s="2"/>
      <c r="X377" s="2"/>
      <c r="Y377" s="2"/>
    </row>
    <row r="378" spans="1:25" ht="14.25" customHeight="1" x14ac:dyDescent="0.3">
      <c r="A378" s="2"/>
      <c r="B378" s="1"/>
      <c r="C378" s="1"/>
      <c r="D378" s="1"/>
      <c r="E378" s="1"/>
      <c r="F378" s="2"/>
      <c r="G378" s="2"/>
      <c r="H378" s="2"/>
      <c r="I378" s="2"/>
      <c r="J378" s="2"/>
      <c r="K378" s="2"/>
      <c r="L378" s="2"/>
      <c r="M378" s="2"/>
      <c r="N378" s="2"/>
      <c r="O378" s="2"/>
      <c r="P378" s="2"/>
      <c r="Q378" s="2"/>
      <c r="R378" s="2"/>
      <c r="S378" s="2"/>
      <c r="T378" s="2"/>
      <c r="U378" s="2"/>
      <c r="V378" s="2"/>
      <c r="W378" s="2"/>
      <c r="X378" s="2"/>
      <c r="Y378" s="2"/>
    </row>
    <row r="379" spans="1:25" ht="14.25" customHeight="1" x14ac:dyDescent="0.3">
      <c r="A379" s="2"/>
      <c r="B379" s="1"/>
      <c r="C379" s="1"/>
      <c r="D379" s="1"/>
      <c r="E379" s="1"/>
      <c r="F379" s="2"/>
      <c r="G379" s="2"/>
      <c r="H379" s="2"/>
      <c r="I379" s="2"/>
      <c r="J379" s="2"/>
      <c r="K379" s="2"/>
      <c r="L379" s="2"/>
      <c r="M379" s="2"/>
      <c r="N379" s="2"/>
      <c r="O379" s="2"/>
      <c r="P379" s="2"/>
      <c r="Q379" s="2"/>
      <c r="R379" s="2"/>
      <c r="S379" s="2"/>
      <c r="T379" s="2"/>
      <c r="U379" s="2"/>
      <c r="V379" s="2"/>
      <c r="W379" s="2"/>
      <c r="X379" s="2"/>
      <c r="Y379" s="2"/>
    </row>
    <row r="380" spans="1:25" ht="14.25" customHeight="1" x14ac:dyDescent="0.3">
      <c r="A380" s="2"/>
      <c r="B380" s="1"/>
      <c r="C380" s="1"/>
      <c r="D380" s="1"/>
      <c r="E380" s="1"/>
      <c r="F380" s="2"/>
      <c r="G380" s="2"/>
      <c r="H380" s="2"/>
      <c r="I380" s="2"/>
      <c r="J380" s="2"/>
      <c r="K380" s="2"/>
      <c r="L380" s="2"/>
      <c r="M380" s="2"/>
      <c r="N380" s="2"/>
      <c r="O380" s="2"/>
      <c r="P380" s="2"/>
      <c r="Q380" s="2"/>
      <c r="R380" s="2"/>
      <c r="S380" s="2"/>
      <c r="T380" s="2"/>
      <c r="U380" s="2"/>
      <c r="V380" s="2"/>
      <c r="W380" s="2"/>
      <c r="X380" s="2"/>
      <c r="Y380" s="2"/>
    </row>
    <row r="381" spans="1:25" ht="14.25" customHeight="1" x14ac:dyDescent="0.3">
      <c r="A381" s="2"/>
      <c r="B381" s="1"/>
      <c r="C381" s="1"/>
      <c r="D381" s="1"/>
      <c r="E381" s="1"/>
      <c r="F381" s="2"/>
      <c r="G381" s="2"/>
      <c r="H381" s="2"/>
      <c r="I381" s="2"/>
      <c r="J381" s="2"/>
      <c r="K381" s="2"/>
      <c r="L381" s="2"/>
      <c r="M381" s="2"/>
      <c r="N381" s="2"/>
      <c r="O381" s="2"/>
      <c r="P381" s="2"/>
      <c r="Q381" s="2"/>
      <c r="R381" s="2"/>
      <c r="S381" s="2"/>
      <c r="T381" s="2"/>
      <c r="U381" s="2"/>
      <c r="V381" s="2"/>
      <c r="W381" s="2"/>
      <c r="X381" s="2"/>
      <c r="Y381" s="2"/>
    </row>
    <row r="382" spans="1:25" ht="14.25" customHeight="1" x14ac:dyDescent="0.3">
      <c r="A382" s="2"/>
      <c r="B382" s="1"/>
      <c r="C382" s="1"/>
      <c r="D382" s="1"/>
      <c r="E382" s="1"/>
      <c r="F382" s="2"/>
      <c r="G382" s="2"/>
      <c r="H382" s="2"/>
      <c r="I382" s="2"/>
      <c r="J382" s="2"/>
      <c r="K382" s="2"/>
      <c r="L382" s="2"/>
      <c r="M382" s="2"/>
      <c r="N382" s="2"/>
      <c r="O382" s="2"/>
      <c r="P382" s="2"/>
      <c r="Q382" s="2"/>
      <c r="R382" s="2"/>
      <c r="S382" s="2"/>
      <c r="T382" s="2"/>
      <c r="U382" s="2"/>
      <c r="V382" s="2"/>
      <c r="W382" s="2"/>
      <c r="X382" s="2"/>
      <c r="Y382" s="2"/>
    </row>
    <row r="383" spans="1:25" ht="14.25" customHeight="1" x14ac:dyDescent="0.3">
      <c r="A383" s="2"/>
      <c r="B383" s="1"/>
      <c r="C383" s="1"/>
      <c r="D383" s="1"/>
      <c r="E383" s="1"/>
      <c r="F383" s="2"/>
      <c r="G383" s="2"/>
      <c r="H383" s="2"/>
      <c r="I383" s="2"/>
      <c r="J383" s="2"/>
      <c r="K383" s="2"/>
      <c r="L383" s="2"/>
      <c r="M383" s="2"/>
      <c r="N383" s="2"/>
      <c r="O383" s="2"/>
      <c r="P383" s="2"/>
      <c r="Q383" s="2"/>
      <c r="R383" s="2"/>
      <c r="S383" s="2"/>
      <c r="T383" s="2"/>
      <c r="U383" s="2"/>
      <c r="V383" s="2"/>
      <c r="W383" s="2"/>
      <c r="X383" s="2"/>
      <c r="Y383" s="2"/>
    </row>
    <row r="384" spans="1:25" ht="14.25" customHeight="1" x14ac:dyDescent="0.3">
      <c r="A384" s="2"/>
      <c r="B384" s="1"/>
      <c r="C384" s="1"/>
      <c r="D384" s="1"/>
      <c r="E384" s="1"/>
      <c r="F384" s="2"/>
      <c r="G384" s="2"/>
      <c r="H384" s="2"/>
      <c r="I384" s="2"/>
      <c r="J384" s="2"/>
      <c r="K384" s="2"/>
      <c r="L384" s="2"/>
      <c r="M384" s="2"/>
      <c r="N384" s="2"/>
      <c r="O384" s="2"/>
      <c r="P384" s="2"/>
      <c r="Q384" s="2"/>
      <c r="R384" s="2"/>
      <c r="S384" s="2"/>
      <c r="T384" s="2"/>
      <c r="U384" s="2"/>
      <c r="V384" s="2"/>
      <c r="W384" s="2"/>
      <c r="X384" s="2"/>
      <c r="Y384" s="2"/>
    </row>
    <row r="385" spans="1:25" ht="14.25" customHeight="1" x14ac:dyDescent="0.3">
      <c r="A385" s="2"/>
      <c r="B385" s="1"/>
      <c r="C385" s="1"/>
      <c r="D385" s="1"/>
      <c r="E385" s="1"/>
      <c r="F385" s="2"/>
      <c r="G385" s="2"/>
      <c r="H385" s="2"/>
      <c r="I385" s="2"/>
      <c r="J385" s="2"/>
      <c r="K385" s="2"/>
      <c r="L385" s="2"/>
      <c r="M385" s="2"/>
      <c r="N385" s="2"/>
      <c r="O385" s="2"/>
      <c r="P385" s="2"/>
      <c r="Q385" s="2"/>
      <c r="R385" s="2"/>
      <c r="S385" s="2"/>
      <c r="T385" s="2"/>
      <c r="U385" s="2"/>
      <c r="V385" s="2"/>
      <c r="W385" s="2"/>
      <c r="X385" s="2"/>
      <c r="Y385" s="2"/>
    </row>
    <row r="386" spans="1:25" ht="14.25" customHeight="1" x14ac:dyDescent="0.3">
      <c r="A386" s="2"/>
      <c r="B386" s="1"/>
      <c r="C386" s="1"/>
      <c r="D386" s="1"/>
      <c r="E386" s="1"/>
      <c r="F386" s="2"/>
      <c r="G386" s="2"/>
      <c r="H386" s="2"/>
      <c r="I386" s="2"/>
      <c r="J386" s="2"/>
      <c r="K386" s="2"/>
      <c r="L386" s="2"/>
      <c r="M386" s="2"/>
      <c r="N386" s="2"/>
      <c r="O386" s="2"/>
      <c r="P386" s="2"/>
      <c r="Q386" s="2"/>
      <c r="R386" s="2"/>
      <c r="S386" s="2"/>
      <c r="T386" s="2"/>
      <c r="U386" s="2"/>
      <c r="V386" s="2"/>
      <c r="W386" s="2"/>
      <c r="X386" s="2"/>
      <c r="Y386" s="2"/>
    </row>
    <row r="387" spans="1:25" ht="14.25" customHeight="1" x14ac:dyDescent="0.3">
      <c r="A387" s="2"/>
      <c r="B387" s="1"/>
      <c r="C387" s="1"/>
      <c r="D387" s="1"/>
      <c r="E387" s="1"/>
      <c r="F387" s="2"/>
      <c r="G387" s="2"/>
      <c r="H387" s="2"/>
      <c r="I387" s="2"/>
      <c r="J387" s="2"/>
      <c r="K387" s="2"/>
      <c r="L387" s="2"/>
      <c r="M387" s="2"/>
      <c r="N387" s="2"/>
      <c r="O387" s="2"/>
      <c r="P387" s="2"/>
      <c r="Q387" s="2"/>
      <c r="R387" s="2"/>
      <c r="S387" s="2"/>
      <c r="T387" s="2"/>
      <c r="U387" s="2"/>
      <c r="V387" s="2"/>
      <c r="W387" s="2"/>
      <c r="X387" s="2"/>
      <c r="Y387" s="2"/>
    </row>
    <row r="388" spans="1:25" ht="14.25" customHeight="1" x14ac:dyDescent="0.3">
      <c r="A388" s="2"/>
      <c r="B388" s="1"/>
      <c r="C388" s="1"/>
      <c r="D388" s="1"/>
      <c r="E388" s="1"/>
      <c r="F388" s="2"/>
      <c r="G388" s="2"/>
      <c r="H388" s="2"/>
      <c r="I388" s="2"/>
      <c r="J388" s="2"/>
      <c r="K388" s="2"/>
      <c r="L388" s="2"/>
      <c r="M388" s="2"/>
      <c r="N388" s="2"/>
      <c r="O388" s="2"/>
      <c r="P388" s="2"/>
      <c r="Q388" s="2"/>
      <c r="R388" s="2"/>
      <c r="S388" s="2"/>
      <c r="T388" s="2"/>
      <c r="U388" s="2"/>
      <c r="V388" s="2"/>
      <c r="W388" s="2"/>
      <c r="X388" s="2"/>
      <c r="Y388" s="2"/>
    </row>
    <row r="389" spans="1:25" ht="14.25" customHeight="1" x14ac:dyDescent="0.3">
      <c r="A389" s="2"/>
      <c r="B389" s="1"/>
      <c r="C389" s="1"/>
      <c r="D389" s="1"/>
      <c r="E389" s="1"/>
      <c r="F389" s="2"/>
      <c r="G389" s="2"/>
      <c r="H389" s="2"/>
      <c r="I389" s="2"/>
      <c r="J389" s="2"/>
      <c r="K389" s="2"/>
      <c r="L389" s="2"/>
      <c r="M389" s="2"/>
      <c r="N389" s="2"/>
      <c r="O389" s="2"/>
      <c r="P389" s="2"/>
      <c r="Q389" s="2"/>
      <c r="R389" s="2"/>
      <c r="S389" s="2"/>
      <c r="T389" s="2"/>
      <c r="U389" s="2"/>
      <c r="V389" s="2"/>
      <c r="W389" s="2"/>
      <c r="X389" s="2"/>
      <c r="Y389" s="2"/>
    </row>
    <row r="390" spans="1:25" ht="14.25" customHeight="1" x14ac:dyDescent="0.3">
      <c r="A390" s="2"/>
      <c r="B390" s="1"/>
      <c r="C390" s="1"/>
      <c r="D390" s="1"/>
      <c r="E390" s="1"/>
      <c r="F390" s="2"/>
      <c r="G390" s="2"/>
      <c r="H390" s="2"/>
      <c r="I390" s="2"/>
      <c r="J390" s="2"/>
      <c r="K390" s="2"/>
      <c r="L390" s="2"/>
      <c r="M390" s="2"/>
      <c r="N390" s="2"/>
      <c r="O390" s="2"/>
      <c r="P390" s="2"/>
      <c r="Q390" s="2"/>
      <c r="R390" s="2"/>
      <c r="S390" s="2"/>
      <c r="T390" s="2"/>
      <c r="U390" s="2"/>
      <c r="V390" s="2"/>
      <c r="W390" s="2"/>
      <c r="X390" s="2"/>
      <c r="Y390" s="2"/>
    </row>
    <row r="391" spans="1:25" ht="14.25" customHeight="1" x14ac:dyDescent="0.3">
      <c r="A391" s="2"/>
      <c r="B391" s="1"/>
      <c r="C391" s="1"/>
      <c r="D391" s="1"/>
      <c r="E391" s="1"/>
      <c r="F391" s="2"/>
      <c r="G391" s="2"/>
      <c r="H391" s="2"/>
      <c r="I391" s="2"/>
      <c r="J391" s="2"/>
      <c r="K391" s="2"/>
      <c r="L391" s="2"/>
      <c r="M391" s="2"/>
      <c r="N391" s="2"/>
      <c r="O391" s="2"/>
      <c r="P391" s="2"/>
      <c r="Q391" s="2"/>
      <c r="R391" s="2"/>
      <c r="S391" s="2"/>
      <c r="T391" s="2"/>
      <c r="U391" s="2"/>
      <c r="V391" s="2"/>
      <c r="W391" s="2"/>
      <c r="X391" s="2"/>
      <c r="Y391" s="2"/>
    </row>
    <row r="392" spans="1:25" ht="14.25" customHeight="1" x14ac:dyDescent="0.3">
      <c r="A392" s="2"/>
      <c r="B392" s="1"/>
      <c r="C392" s="1"/>
      <c r="D392" s="1"/>
      <c r="E392" s="1"/>
      <c r="F392" s="2"/>
      <c r="G392" s="2"/>
      <c r="H392" s="2"/>
      <c r="I392" s="2"/>
      <c r="J392" s="2"/>
      <c r="K392" s="2"/>
      <c r="L392" s="2"/>
      <c r="M392" s="2"/>
      <c r="N392" s="2"/>
      <c r="O392" s="2"/>
      <c r="P392" s="2"/>
      <c r="Q392" s="2"/>
      <c r="R392" s="2"/>
      <c r="S392" s="2"/>
      <c r="T392" s="2"/>
      <c r="U392" s="2"/>
      <c r="V392" s="2"/>
      <c r="W392" s="2"/>
      <c r="X392" s="2"/>
      <c r="Y392" s="2"/>
    </row>
    <row r="393" spans="1:25" ht="14.25" customHeight="1" x14ac:dyDescent="0.3">
      <c r="A393" s="2"/>
      <c r="B393" s="1"/>
      <c r="C393" s="1"/>
      <c r="D393" s="1"/>
      <c r="E393" s="1"/>
      <c r="F393" s="2"/>
      <c r="G393" s="2"/>
      <c r="H393" s="2"/>
      <c r="I393" s="2"/>
      <c r="J393" s="2"/>
      <c r="K393" s="2"/>
      <c r="L393" s="2"/>
      <c r="M393" s="2"/>
      <c r="N393" s="2"/>
      <c r="O393" s="2"/>
      <c r="P393" s="2"/>
      <c r="Q393" s="2"/>
      <c r="R393" s="2"/>
      <c r="S393" s="2"/>
      <c r="T393" s="2"/>
      <c r="U393" s="2"/>
      <c r="V393" s="2"/>
      <c r="W393" s="2"/>
      <c r="X393" s="2"/>
      <c r="Y393" s="2"/>
    </row>
    <row r="394" spans="1:25" ht="14.25" customHeight="1" x14ac:dyDescent="0.3">
      <c r="A394" s="2"/>
      <c r="B394" s="1"/>
      <c r="C394" s="1"/>
      <c r="D394" s="1"/>
      <c r="E394" s="1"/>
      <c r="F394" s="2"/>
      <c r="G394" s="2"/>
      <c r="H394" s="2"/>
      <c r="I394" s="2"/>
      <c r="J394" s="2"/>
      <c r="K394" s="2"/>
      <c r="L394" s="2"/>
      <c r="M394" s="2"/>
      <c r="N394" s="2"/>
      <c r="O394" s="2"/>
      <c r="P394" s="2"/>
      <c r="Q394" s="2"/>
      <c r="R394" s="2"/>
      <c r="S394" s="2"/>
      <c r="T394" s="2"/>
      <c r="U394" s="2"/>
      <c r="V394" s="2"/>
      <c r="W394" s="2"/>
      <c r="X394" s="2"/>
      <c r="Y394" s="2"/>
    </row>
    <row r="395" spans="1:25" ht="14.25" customHeight="1" x14ac:dyDescent="0.3">
      <c r="A395" s="2"/>
      <c r="B395" s="1"/>
      <c r="C395" s="1"/>
      <c r="D395" s="1"/>
      <c r="E395" s="1"/>
      <c r="F395" s="2"/>
      <c r="G395" s="2"/>
      <c r="H395" s="2"/>
      <c r="I395" s="2"/>
      <c r="J395" s="2"/>
      <c r="K395" s="2"/>
      <c r="L395" s="2"/>
      <c r="M395" s="2"/>
      <c r="N395" s="2"/>
      <c r="O395" s="2"/>
      <c r="P395" s="2"/>
      <c r="Q395" s="2"/>
      <c r="R395" s="2"/>
      <c r="S395" s="2"/>
      <c r="T395" s="2"/>
      <c r="U395" s="2"/>
      <c r="V395" s="2"/>
      <c r="W395" s="2"/>
      <c r="X395" s="2"/>
      <c r="Y395" s="2"/>
    </row>
    <row r="396" spans="1:25" ht="14.25" customHeight="1" x14ac:dyDescent="0.3">
      <c r="A396" s="2"/>
      <c r="B396" s="1"/>
      <c r="C396" s="1"/>
      <c r="D396" s="1"/>
      <c r="E396" s="1"/>
      <c r="F396" s="2"/>
      <c r="G396" s="2"/>
      <c r="H396" s="2"/>
      <c r="I396" s="2"/>
      <c r="J396" s="2"/>
      <c r="K396" s="2"/>
      <c r="L396" s="2"/>
      <c r="M396" s="2"/>
      <c r="N396" s="2"/>
      <c r="O396" s="2"/>
      <c r="P396" s="2"/>
      <c r="Q396" s="2"/>
      <c r="R396" s="2"/>
      <c r="S396" s="2"/>
      <c r="T396" s="2"/>
      <c r="U396" s="2"/>
      <c r="V396" s="2"/>
      <c r="W396" s="2"/>
      <c r="X396" s="2"/>
      <c r="Y396" s="2"/>
    </row>
    <row r="397" spans="1:25" ht="14.25" customHeight="1" x14ac:dyDescent="0.3">
      <c r="A397" s="2"/>
      <c r="B397" s="1"/>
      <c r="C397" s="1"/>
      <c r="D397" s="1"/>
      <c r="E397" s="1"/>
      <c r="F397" s="2"/>
      <c r="G397" s="2"/>
      <c r="H397" s="2"/>
      <c r="I397" s="2"/>
      <c r="J397" s="2"/>
      <c r="K397" s="2"/>
      <c r="L397" s="2"/>
      <c r="M397" s="2"/>
      <c r="N397" s="2"/>
      <c r="O397" s="2"/>
      <c r="P397" s="2"/>
      <c r="Q397" s="2"/>
      <c r="R397" s="2"/>
      <c r="S397" s="2"/>
      <c r="T397" s="2"/>
      <c r="U397" s="2"/>
      <c r="V397" s="2"/>
      <c r="W397" s="2"/>
      <c r="X397" s="2"/>
      <c r="Y397" s="2"/>
    </row>
    <row r="398" spans="1:25" ht="14.25" customHeight="1" x14ac:dyDescent="0.3">
      <c r="A398" s="2"/>
      <c r="B398" s="1"/>
      <c r="C398" s="1"/>
      <c r="D398" s="1"/>
      <c r="E398" s="1"/>
      <c r="F398" s="2"/>
      <c r="G398" s="2"/>
      <c r="H398" s="2"/>
      <c r="I398" s="2"/>
      <c r="J398" s="2"/>
      <c r="K398" s="2"/>
      <c r="L398" s="2"/>
      <c r="M398" s="2"/>
      <c r="N398" s="2"/>
      <c r="O398" s="2"/>
      <c r="P398" s="2"/>
      <c r="Q398" s="2"/>
      <c r="R398" s="2"/>
      <c r="S398" s="2"/>
      <c r="T398" s="2"/>
      <c r="U398" s="2"/>
      <c r="V398" s="2"/>
      <c r="W398" s="2"/>
      <c r="X398" s="2"/>
      <c r="Y398" s="2"/>
    </row>
    <row r="399" spans="1:25" ht="14.25" customHeight="1" x14ac:dyDescent="0.3">
      <c r="A399" s="2"/>
      <c r="B399" s="1"/>
      <c r="C399" s="1"/>
      <c r="D399" s="1"/>
      <c r="E399" s="1"/>
      <c r="F399" s="2"/>
      <c r="G399" s="2"/>
      <c r="H399" s="2"/>
      <c r="I399" s="2"/>
      <c r="J399" s="2"/>
      <c r="K399" s="2"/>
      <c r="L399" s="2"/>
      <c r="M399" s="2"/>
      <c r="N399" s="2"/>
      <c r="O399" s="2"/>
      <c r="P399" s="2"/>
      <c r="Q399" s="2"/>
      <c r="R399" s="2"/>
      <c r="S399" s="2"/>
      <c r="T399" s="2"/>
      <c r="U399" s="2"/>
      <c r="V399" s="2"/>
      <c r="W399" s="2"/>
      <c r="X399" s="2"/>
      <c r="Y399" s="2"/>
    </row>
    <row r="400" spans="1:25" ht="14.25" customHeight="1" x14ac:dyDescent="0.3">
      <c r="A400" s="2"/>
      <c r="B400" s="1"/>
      <c r="C400" s="1"/>
      <c r="D400" s="1"/>
      <c r="E400" s="1"/>
      <c r="F400" s="2"/>
      <c r="G400" s="2"/>
      <c r="H400" s="2"/>
      <c r="I400" s="2"/>
      <c r="J400" s="2"/>
      <c r="K400" s="2"/>
      <c r="L400" s="2"/>
      <c r="M400" s="2"/>
      <c r="N400" s="2"/>
      <c r="O400" s="2"/>
      <c r="P400" s="2"/>
      <c r="Q400" s="2"/>
      <c r="R400" s="2"/>
      <c r="S400" s="2"/>
      <c r="T400" s="2"/>
      <c r="U400" s="2"/>
      <c r="V400" s="2"/>
      <c r="W400" s="2"/>
      <c r="X400" s="2"/>
      <c r="Y400" s="2"/>
    </row>
    <row r="401" spans="1:25" ht="14.25" customHeight="1" x14ac:dyDescent="0.3">
      <c r="A401" s="2"/>
      <c r="B401" s="1"/>
      <c r="C401" s="1"/>
      <c r="D401" s="1"/>
      <c r="E401" s="1"/>
      <c r="F401" s="2"/>
      <c r="G401" s="2"/>
      <c r="H401" s="2"/>
      <c r="I401" s="2"/>
      <c r="J401" s="2"/>
      <c r="K401" s="2"/>
      <c r="L401" s="2"/>
      <c r="M401" s="2"/>
      <c r="N401" s="2"/>
      <c r="O401" s="2"/>
      <c r="P401" s="2"/>
      <c r="Q401" s="2"/>
      <c r="R401" s="2"/>
      <c r="S401" s="2"/>
      <c r="T401" s="2"/>
      <c r="U401" s="2"/>
      <c r="V401" s="2"/>
      <c r="W401" s="2"/>
      <c r="X401" s="2"/>
      <c r="Y401" s="2"/>
    </row>
    <row r="402" spans="1:25" ht="14.25" customHeight="1" x14ac:dyDescent="0.3">
      <c r="A402" s="2"/>
      <c r="B402" s="1"/>
      <c r="C402" s="1"/>
      <c r="D402" s="1"/>
      <c r="E402" s="1"/>
      <c r="F402" s="2"/>
      <c r="G402" s="2"/>
      <c r="H402" s="2"/>
      <c r="I402" s="2"/>
      <c r="J402" s="2"/>
      <c r="K402" s="2"/>
      <c r="L402" s="2"/>
      <c r="M402" s="2"/>
      <c r="N402" s="2"/>
      <c r="O402" s="2"/>
      <c r="P402" s="2"/>
      <c r="Q402" s="2"/>
      <c r="R402" s="2"/>
      <c r="S402" s="2"/>
      <c r="T402" s="2"/>
      <c r="U402" s="2"/>
      <c r="V402" s="2"/>
      <c r="W402" s="2"/>
      <c r="X402" s="2"/>
      <c r="Y402" s="2"/>
    </row>
    <row r="403" spans="1:25" ht="14.25" customHeight="1" x14ac:dyDescent="0.3">
      <c r="A403" s="2"/>
      <c r="B403" s="1"/>
      <c r="C403" s="1"/>
      <c r="D403" s="1"/>
      <c r="E403" s="1"/>
      <c r="F403" s="2"/>
      <c r="G403" s="2"/>
      <c r="H403" s="2"/>
      <c r="I403" s="2"/>
      <c r="J403" s="2"/>
      <c r="K403" s="2"/>
      <c r="L403" s="2"/>
      <c r="M403" s="2"/>
      <c r="N403" s="2"/>
      <c r="O403" s="2"/>
      <c r="P403" s="2"/>
      <c r="Q403" s="2"/>
      <c r="R403" s="2"/>
      <c r="S403" s="2"/>
      <c r="T403" s="2"/>
      <c r="U403" s="2"/>
      <c r="V403" s="2"/>
      <c r="W403" s="2"/>
      <c r="X403" s="2"/>
      <c r="Y403" s="2"/>
    </row>
    <row r="404" spans="1:25" ht="14.25" customHeight="1" x14ac:dyDescent="0.3">
      <c r="A404" s="2"/>
      <c r="B404" s="1"/>
      <c r="C404" s="1"/>
      <c r="D404" s="1"/>
      <c r="E404" s="1"/>
      <c r="F404" s="2"/>
      <c r="G404" s="2"/>
      <c r="H404" s="2"/>
      <c r="I404" s="2"/>
      <c r="J404" s="2"/>
      <c r="K404" s="2"/>
      <c r="L404" s="2"/>
      <c r="M404" s="2"/>
      <c r="N404" s="2"/>
      <c r="O404" s="2"/>
      <c r="P404" s="2"/>
      <c r="Q404" s="2"/>
      <c r="R404" s="2"/>
      <c r="S404" s="2"/>
      <c r="T404" s="2"/>
      <c r="U404" s="2"/>
      <c r="V404" s="2"/>
      <c r="W404" s="2"/>
      <c r="X404" s="2"/>
      <c r="Y404" s="2"/>
    </row>
    <row r="405" spans="1:25" ht="14.25" customHeight="1" x14ac:dyDescent="0.3">
      <c r="A405" s="2"/>
      <c r="B405" s="1"/>
      <c r="C405" s="1"/>
      <c r="D405" s="1"/>
      <c r="E405" s="1"/>
      <c r="F405" s="2"/>
      <c r="G405" s="2"/>
      <c r="H405" s="2"/>
      <c r="I405" s="2"/>
      <c r="J405" s="2"/>
      <c r="K405" s="2"/>
      <c r="L405" s="2"/>
      <c r="M405" s="2"/>
      <c r="N405" s="2"/>
      <c r="O405" s="2"/>
      <c r="P405" s="2"/>
      <c r="Q405" s="2"/>
      <c r="R405" s="2"/>
      <c r="S405" s="2"/>
      <c r="T405" s="2"/>
      <c r="U405" s="2"/>
      <c r="V405" s="2"/>
      <c r="W405" s="2"/>
      <c r="X405" s="2"/>
      <c r="Y405" s="2"/>
    </row>
    <row r="406" spans="1:25" ht="14.25" customHeight="1" x14ac:dyDescent="0.3">
      <c r="A406" s="2"/>
      <c r="B406" s="1"/>
      <c r="C406" s="1"/>
      <c r="D406" s="1"/>
      <c r="E406" s="1"/>
      <c r="F406" s="2"/>
      <c r="G406" s="2"/>
      <c r="H406" s="2"/>
      <c r="I406" s="2"/>
      <c r="J406" s="2"/>
      <c r="K406" s="2"/>
      <c r="L406" s="2"/>
      <c r="M406" s="2"/>
      <c r="N406" s="2"/>
      <c r="O406" s="2"/>
      <c r="P406" s="2"/>
      <c r="Q406" s="2"/>
      <c r="R406" s="2"/>
      <c r="S406" s="2"/>
      <c r="T406" s="2"/>
      <c r="U406" s="2"/>
      <c r="V406" s="2"/>
      <c r="W406" s="2"/>
      <c r="X406" s="2"/>
      <c r="Y406" s="2"/>
    </row>
    <row r="407" spans="1:25" ht="14.25" customHeight="1" x14ac:dyDescent="0.3">
      <c r="A407" s="2"/>
      <c r="B407" s="1"/>
      <c r="C407" s="1"/>
      <c r="D407" s="1"/>
      <c r="E407" s="1"/>
      <c r="F407" s="2"/>
      <c r="G407" s="2"/>
      <c r="H407" s="2"/>
      <c r="I407" s="2"/>
      <c r="J407" s="2"/>
      <c r="K407" s="2"/>
      <c r="L407" s="2"/>
      <c r="M407" s="2"/>
      <c r="N407" s="2"/>
      <c r="O407" s="2"/>
      <c r="P407" s="2"/>
      <c r="Q407" s="2"/>
      <c r="R407" s="2"/>
      <c r="S407" s="2"/>
      <c r="T407" s="2"/>
      <c r="U407" s="2"/>
      <c r="V407" s="2"/>
      <c r="W407" s="2"/>
      <c r="X407" s="2"/>
      <c r="Y407" s="2"/>
    </row>
    <row r="408" spans="1:25" ht="14.25" customHeight="1" x14ac:dyDescent="0.3">
      <c r="A408" s="2"/>
      <c r="B408" s="1"/>
      <c r="C408" s="1"/>
      <c r="D408" s="1"/>
      <c r="E408" s="1"/>
      <c r="F408" s="2"/>
      <c r="G408" s="2"/>
      <c r="H408" s="2"/>
      <c r="I408" s="2"/>
      <c r="J408" s="2"/>
      <c r="K408" s="2"/>
      <c r="L408" s="2"/>
      <c r="M408" s="2"/>
      <c r="N408" s="2"/>
      <c r="O408" s="2"/>
      <c r="P408" s="2"/>
      <c r="Q408" s="2"/>
      <c r="R408" s="2"/>
      <c r="S408" s="2"/>
      <c r="T408" s="2"/>
      <c r="U408" s="2"/>
      <c r="V408" s="2"/>
      <c r="W408" s="2"/>
      <c r="X408" s="2"/>
      <c r="Y408" s="2"/>
    </row>
    <row r="409" spans="1:25" ht="14.25" customHeight="1" x14ac:dyDescent="0.3">
      <c r="A409" s="2"/>
      <c r="B409" s="1"/>
      <c r="C409" s="1"/>
      <c r="D409" s="1"/>
      <c r="E409" s="1"/>
      <c r="F409" s="2"/>
      <c r="G409" s="2"/>
      <c r="H409" s="2"/>
      <c r="I409" s="2"/>
      <c r="J409" s="2"/>
      <c r="K409" s="2"/>
      <c r="L409" s="2"/>
      <c r="M409" s="2"/>
      <c r="N409" s="2"/>
      <c r="O409" s="2"/>
      <c r="P409" s="2"/>
      <c r="Q409" s="2"/>
      <c r="R409" s="2"/>
      <c r="S409" s="2"/>
      <c r="T409" s="2"/>
      <c r="U409" s="2"/>
      <c r="V409" s="2"/>
      <c r="W409" s="2"/>
      <c r="X409" s="2"/>
      <c r="Y409" s="2"/>
    </row>
    <row r="410" spans="1:25" ht="14.25" customHeight="1" x14ac:dyDescent="0.3">
      <c r="A410" s="2"/>
      <c r="B410" s="1"/>
      <c r="C410" s="1"/>
      <c r="D410" s="1"/>
      <c r="E410" s="1"/>
      <c r="F410" s="2"/>
      <c r="G410" s="2"/>
      <c r="H410" s="2"/>
      <c r="I410" s="2"/>
      <c r="J410" s="2"/>
      <c r="K410" s="2"/>
      <c r="L410" s="2"/>
      <c r="M410" s="2"/>
      <c r="N410" s="2"/>
      <c r="O410" s="2"/>
      <c r="P410" s="2"/>
      <c r="Q410" s="2"/>
      <c r="R410" s="2"/>
      <c r="S410" s="2"/>
      <c r="T410" s="2"/>
      <c r="U410" s="2"/>
      <c r="V410" s="2"/>
      <c r="W410" s="2"/>
      <c r="X410" s="2"/>
      <c r="Y410" s="2"/>
    </row>
    <row r="411" spans="1:25" ht="14.25" customHeight="1" x14ac:dyDescent="0.3">
      <c r="A411" s="2"/>
      <c r="B411" s="1"/>
      <c r="C411" s="1"/>
      <c r="D411" s="1"/>
      <c r="E411" s="1"/>
      <c r="F411" s="2"/>
      <c r="G411" s="2"/>
      <c r="H411" s="2"/>
      <c r="I411" s="2"/>
      <c r="J411" s="2"/>
      <c r="K411" s="2"/>
      <c r="L411" s="2"/>
      <c r="M411" s="2"/>
      <c r="N411" s="2"/>
      <c r="O411" s="2"/>
      <c r="P411" s="2"/>
      <c r="Q411" s="2"/>
      <c r="R411" s="2"/>
      <c r="S411" s="2"/>
      <c r="T411" s="2"/>
      <c r="U411" s="2"/>
      <c r="V411" s="2"/>
      <c r="W411" s="2"/>
      <c r="X411" s="2"/>
      <c r="Y411" s="2"/>
    </row>
    <row r="412" spans="1:25" ht="14.25" customHeight="1" x14ac:dyDescent="0.3">
      <c r="A412" s="2"/>
      <c r="B412" s="1"/>
      <c r="C412" s="1"/>
      <c r="D412" s="1"/>
      <c r="E412" s="1"/>
      <c r="F412" s="2"/>
      <c r="G412" s="2"/>
      <c r="H412" s="2"/>
      <c r="I412" s="2"/>
      <c r="J412" s="2"/>
      <c r="K412" s="2"/>
      <c r="L412" s="2"/>
      <c r="M412" s="2"/>
      <c r="N412" s="2"/>
      <c r="O412" s="2"/>
      <c r="P412" s="2"/>
      <c r="Q412" s="2"/>
      <c r="R412" s="2"/>
      <c r="S412" s="2"/>
      <c r="T412" s="2"/>
      <c r="U412" s="2"/>
      <c r="V412" s="2"/>
      <c r="W412" s="2"/>
      <c r="X412" s="2"/>
      <c r="Y412" s="2"/>
    </row>
    <row r="413" spans="1:25" ht="14.25" customHeight="1" x14ac:dyDescent="0.3">
      <c r="A413" s="2"/>
      <c r="B413" s="1"/>
      <c r="C413" s="1"/>
      <c r="D413" s="1"/>
      <c r="E413" s="1"/>
      <c r="F413" s="2"/>
      <c r="G413" s="2"/>
      <c r="H413" s="2"/>
      <c r="I413" s="2"/>
      <c r="J413" s="2"/>
      <c r="K413" s="2"/>
      <c r="L413" s="2"/>
      <c r="M413" s="2"/>
      <c r="N413" s="2"/>
      <c r="O413" s="2"/>
      <c r="P413" s="2"/>
      <c r="Q413" s="2"/>
      <c r="R413" s="2"/>
      <c r="S413" s="2"/>
      <c r="T413" s="2"/>
      <c r="U413" s="2"/>
      <c r="V413" s="2"/>
      <c r="W413" s="2"/>
      <c r="X413" s="2"/>
      <c r="Y413" s="2"/>
    </row>
    <row r="414" spans="1:25" ht="14.25" customHeight="1" x14ac:dyDescent="0.3">
      <c r="A414" s="2"/>
      <c r="B414" s="1"/>
      <c r="C414" s="1"/>
      <c r="D414" s="1"/>
      <c r="E414" s="1"/>
      <c r="F414" s="2"/>
      <c r="G414" s="2"/>
      <c r="H414" s="2"/>
      <c r="I414" s="2"/>
      <c r="J414" s="2"/>
      <c r="K414" s="2"/>
      <c r="L414" s="2"/>
      <c r="M414" s="2"/>
      <c r="N414" s="2"/>
      <c r="O414" s="2"/>
      <c r="P414" s="2"/>
      <c r="Q414" s="2"/>
      <c r="R414" s="2"/>
      <c r="S414" s="2"/>
      <c r="T414" s="2"/>
      <c r="U414" s="2"/>
      <c r="V414" s="2"/>
      <c r="W414" s="2"/>
      <c r="X414" s="2"/>
      <c r="Y414" s="2"/>
    </row>
    <row r="415" spans="1:25" ht="14.25" customHeight="1" x14ac:dyDescent="0.3">
      <c r="A415" s="2"/>
      <c r="B415" s="1"/>
      <c r="C415" s="1"/>
      <c r="D415" s="1"/>
      <c r="E415" s="1"/>
      <c r="F415" s="2"/>
      <c r="G415" s="2"/>
      <c r="H415" s="2"/>
      <c r="I415" s="2"/>
      <c r="J415" s="2"/>
      <c r="K415" s="2"/>
      <c r="L415" s="2"/>
      <c r="M415" s="2"/>
      <c r="N415" s="2"/>
      <c r="O415" s="2"/>
      <c r="P415" s="2"/>
      <c r="Q415" s="2"/>
      <c r="R415" s="2"/>
      <c r="S415" s="2"/>
      <c r="T415" s="2"/>
      <c r="U415" s="2"/>
      <c r="V415" s="2"/>
      <c r="W415" s="2"/>
      <c r="X415" s="2"/>
      <c r="Y415" s="2"/>
    </row>
    <row r="416" spans="1:25" ht="14.25" customHeight="1" x14ac:dyDescent="0.3">
      <c r="A416" s="2"/>
      <c r="B416" s="1"/>
      <c r="C416" s="1"/>
      <c r="D416" s="1"/>
      <c r="E416" s="1"/>
      <c r="F416" s="2"/>
      <c r="G416" s="2"/>
      <c r="H416" s="2"/>
      <c r="I416" s="2"/>
      <c r="J416" s="2"/>
      <c r="K416" s="2"/>
      <c r="L416" s="2"/>
      <c r="M416" s="2"/>
      <c r="N416" s="2"/>
      <c r="O416" s="2"/>
      <c r="P416" s="2"/>
      <c r="Q416" s="2"/>
      <c r="R416" s="2"/>
      <c r="S416" s="2"/>
      <c r="T416" s="2"/>
      <c r="U416" s="2"/>
      <c r="V416" s="2"/>
      <c r="W416" s="2"/>
      <c r="X416" s="2"/>
      <c r="Y416" s="2"/>
    </row>
    <row r="417" spans="1:25" ht="14.25" customHeight="1" x14ac:dyDescent="0.3">
      <c r="A417" s="2"/>
      <c r="B417" s="1"/>
      <c r="C417" s="1"/>
      <c r="D417" s="1"/>
      <c r="E417" s="1"/>
      <c r="F417" s="2"/>
      <c r="G417" s="2"/>
      <c r="H417" s="2"/>
      <c r="I417" s="2"/>
      <c r="J417" s="2"/>
      <c r="K417" s="2"/>
      <c r="L417" s="2"/>
      <c r="M417" s="2"/>
      <c r="N417" s="2"/>
      <c r="O417" s="2"/>
      <c r="P417" s="2"/>
      <c r="Q417" s="2"/>
      <c r="R417" s="2"/>
      <c r="S417" s="2"/>
      <c r="T417" s="2"/>
      <c r="U417" s="2"/>
      <c r="V417" s="2"/>
      <c r="W417" s="2"/>
      <c r="X417" s="2"/>
      <c r="Y417" s="2"/>
    </row>
    <row r="418" spans="1:25" ht="14.25" customHeight="1" x14ac:dyDescent="0.3">
      <c r="A418" s="2"/>
      <c r="B418" s="1"/>
      <c r="C418" s="1"/>
      <c r="D418" s="1"/>
      <c r="E418" s="1"/>
      <c r="F418" s="2"/>
      <c r="G418" s="2"/>
      <c r="H418" s="2"/>
      <c r="I418" s="2"/>
      <c r="J418" s="2"/>
      <c r="K418" s="2"/>
      <c r="L418" s="2"/>
      <c r="M418" s="2"/>
      <c r="N418" s="2"/>
      <c r="O418" s="2"/>
      <c r="P418" s="2"/>
      <c r="Q418" s="2"/>
      <c r="R418" s="2"/>
      <c r="S418" s="2"/>
      <c r="T418" s="2"/>
      <c r="U418" s="2"/>
      <c r="V418" s="2"/>
      <c r="W418" s="2"/>
      <c r="X418" s="2"/>
      <c r="Y418" s="2"/>
    </row>
    <row r="419" spans="1:25" ht="14.25" customHeight="1" x14ac:dyDescent="0.3">
      <c r="A419" s="2"/>
      <c r="B419" s="1"/>
      <c r="C419" s="1"/>
      <c r="D419" s="1"/>
      <c r="E419" s="1"/>
      <c r="F419" s="2"/>
      <c r="G419" s="2"/>
      <c r="H419" s="2"/>
      <c r="I419" s="2"/>
      <c r="J419" s="2"/>
      <c r="K419" s="2"/>
      <c r="L419" s="2"/>
      <c r="M419" s="2"/>
      <c r="N419" s="2"/>
      <c r="O419" s="2"/>
      <c r="P419" s="2"/>
      <c r="Q419" s="2"/>
      <c r="R419" s="2"/>
      <c r="S419" s="2"/>
      <c r="T419" s="2"/>
      <c r="U419" s="2"/>
      <c r="V419" s="2"/>
      <c r="W419" s="2"/>
      <c r="X419" s="2"/>
      <c r="Y419" s="2"/>
    </row>
    <row r="420" spans="1:25" ht="14.25" customHeight="1" x14ac:dyDescent="0.3">
      <c r="A420" s="2"/>
      <c r="B420" s="1"/>
      <c r="C420" s="1"/>
      <c r="D420" s="1"/>
      <c r="E420" s="1"/>
      <c r="F420" s="2"/>
      <c r="G420" s="2"/>
      <c r="H420" s="2"/>
      <c r="I420" s="2"/>
      <c r="J420" s="2"/>
      <c r="K420" s="2"/>
      <c r="L420" s="2"/>
      <c r="M420" s="2"/>
      <c r="N420" s="2"/>
      <c r="O420" s="2"/>
      <c r="P420" s="2"/>
      <c r="Q420" s="2"/>
      <c r="R420" s="2"/>
      <c r="S420" s="2"/>
      <c r="T420" s="2"/>
      <c r="U420" s="2"/>
      <c r="V420" s="2"/>
      <c r="W420" s="2"/>
      <c r="X420" s="2"/>
      <c r="Y420" s="2"/>
    </row>
    <row r="421" spans="1:25" ht="14.25" customHeight="1" x14ac:dyDescent="0.3">
      <c r="A421" s="2"/>
      <c r="B421" s="1"/>
      <c r="C421" s="1"/>
      <c r="D421" s="1"/>
      <c r="E421" s="1"/>
      <c r="F421" s="2"/>
      <c r="G421" s="2"/>
      <c r="H421" s="2"/>
      <c r="I421" s="2"/>
      <c r="J421" s="2"/>
      <c r="K421" s="2"/>
      <c r="L421" s="2"/>
      <c r="M421" s="2"/>
      <c r="N421" s="2"/>
      <c r="O421" s="2"/>
      <c r="P421" s="2"/>
      <c r="Q421" s="2"/>
      <c r="R421" s="2"/>
      <c r="S421" s="2"/>
      <c r="T421" s="2"/>
      <c r="U421" s="2"/>
      <c r="V421" s="2"/>
      <c r="W421" s="2"/>
      <c r="X421" s="2"/>
      <c r="Y421" s="2"/>
    </row>
    <row r="422" spans="1:25" ht="14.25" customHeight="1" x14ac:dyDescent="0.3">
      <c r="A422" s="2"/>
      <c r="B422" s="1"/>
      <c r="C422" s="1"/>
      <c r="D422" s="1"/>
      <c r="E422" s="1"/>
      <c r="F422" s="2"/>
      <c r="G422" s="2"/>
      <c r="H422" s="2"/>
      <c r="I422" s="2"/>
      <c r="J422" s="2"/>
      <c r="K422" s="2"/>
      <c r="L422" s="2"/>
      <c r="M422" s="2"/>
      <c r="N422" s="2"/>
      <c r="O422" s="2"/>
      <c r="P422" s="2"/>
      <c r="Q422" s="2"/>
      <c r="R422" s="2"/>
      <c r="S422" s="2"/>
      <c r="T422" s="2"/>
      <c r="U422" s="2"/>
      <c r="V422" s="2"/>
      <c r="W422" s="2"/>
      <c r="X422" s="2"/>
      <c r="Y422" s="2"/>
    </row>
    <row r="423" spans="1:25" ht="14.25" customHeight="1" x14ac:dyDescent="0.3">
      <c r="A423" s="2"/>
      <c r="B423" s="1"/>
      <c r="C423" s="1"/>
      <c r="D423" s="1"/>
      <c r="E423" s="1"/>
      <c r="F423" s="2"/>
      <c r="G423" s="2"/>
      <c r="H423" s="2"/>
      <c r="I423" s="2"/>
      <c r="J423" s="2"/>
      <c r="K423" s="2"/>
      <c r="L423" s="2"/>
      <c r="M423" s="2"/>
      <c r="N423" s="2"/>
      <c r="O423" s="2"/>
      <c r="P423" s="2"/>
      <c r="Q423" s="2"/>
      <c r="R423" s="2"/>
      <c r="S423" s="2"/>
      <c r="T423" s="2"/>
      <c r="U423" s="2"/>
      <c r="V423" s="2"/>
      <c r="W423" s="2"/>
      <c r="X423" s="2"/>
      <c r="Y423" s="2"/>
    </row>
    <row r="424" spans="1:25" ht="14.25" customHeight="1" x14ac:dyDescent="0.3">
      <c r="A424" s="2"/>
      <c r="B424" s="1"/>
      <c r="C424" s="1"/>
      <c r="D424" s="1"/>
      <c r="E424" s="1"/>
      <c r="F424" s="2"/>
      <c r="G424" s="2"/>
      <c r="H424" s="2"/>
      <c r="I424" s="2"/>
      <c r="J424" s="2"/>
      <c r="K424" s="2"/>
      <c r="L424" s="2"/>
      <c r="M424" s="2"/>
      <c r="N424" s="2"/>
      <c r="O424" s="2"/>
      <c r="P424" s="2"/>
      <c r="Q424" s="2"/>
      <c r="R424" s="2"/>
      <c r="S424" s="2"/>
      <c r="T424" s="2"/>
      <c r="U424" s="2"/>
      <c r="V424" s="2"/>
      <c r="W424" s="2"/>
      <c r="X424" s="2"/>
      <c r="Y424" s="2"/>
    </row>
    <row r="425" spans="1:25" ht="14.25" customHeight="1" x14ac:dyDescent="0.3">
      <c r="A425" s="2"/>
      <c r="B425" s="1"/>
      <c r="C425" s="1"/>
      <c r="D425" s="1"/>
      <c r="E425" s="1"/>
      <c r="F425" s="2"/>
      <c r="G425" s="2"/>
      <c r="H425" s="2"/>
      <c r="I425" s="2"/>
      <c r="J425" s="2"/>
      <c r="K425" s="2"/>
      <c r="L425" s="2"/>
      <c r="M425" s="2"/>
      <c r="N425" s="2"/>
      <c r="O425" s="2"/>
      <c r="P425" s="2"/>
      <c r="Q425" s="2"/>
      <c r="R425" s="2"/>
      <c r="S425" s="2"/>
      <c r="T425" s="2"/>
      <c r="U425" s="2"/>
      <c r="V425" s="2"/>
      <c r="W425" s="2"/>
      <c r="X425" s="2"/>
      <c r="Y425" s="2"/>
    </row>
    <row r="426" spans="1:25" ht="14.25" customHeight="1" x14ac:dyDescent="0.3">
      <c r="A426" s="2"/>
      <c r="B426" s="1"/>
      <c r="C426" s="1"/>
      <c r="D426" s="1"/>
      <c r="E426" s="1"/>
      <c r="F426" s="2"/>
      <c r="G426" s="2"/>
      <c r="H426" s="2"/>
      <c r="I426" s="2"/>
      <c r="J426" s="2"/>
      <c r="K426" s="2"/>
      <c r="L426" s="2"/>
      <c r="M426" s="2"/>
      <c r="N426" s="2"/>
      <c r="O426" s="2"/>
      <c r="P426" s="2"/>
      <c r="Q426" s="2"/>
      <c r="R426" s="2"/>
      <c r="S426" s="2"/>
      <c r="T426" s="2"/>
      <c r="U426" s="2"/>
      <c r="V426" s="2"/>
      <c r="W426" s="2"/>
      <c r="X426" s="2"/>
      <c r="Y426" s="2"/>
    </row>
    <row r="427" spans="1:25" ht="14.25" customHeight="1" x14ac:dyDescent="0.3">
      <c r="A427" s="2"/>
      <c r="B427" s="1"/>
      <c r="C427" s="1"/>
      <c r="D427" s="1"/>
      <c r="E427" s="1"/>
      <c r="F427" s="2"/>
      <c r="G427" s="2"/>
      <c r="H427" s="2"/>
      <c r="I427" s="2"/>
      <c r="J427" s="2"/>
      <c r="K427" s="2"/>
      <c r="L427" s="2"/>
      <c r="M427" s="2"/>
      <c r="N427" s="2"/>
      <c r="O427" s="2"/>
      <c r="P427" s="2"/>
      <c r="Q427" s="2"/>
      <c r="R427" s="2"/>
      <c r="S427" s="2"/>
      <c r="T427" s="2"/>
      <c r="U427" s="2"/>
      <c r="V427" s="2"/>
      <c r="W427" s="2"/>
      <c r="X427" s="2"/>
      <c r="Y427" s="2"/>
    </row>
    <row r="428" spans="1:25" ht="14.25" customHeight="1" x14ac:dyDescent="0.3">
      <c r="A428" s="2"/>
      <c r="B428" s="1"/>
      <c r="C428" s="1"/>
      <c r="D428" s="1"/>
      <c r="E428" s="1"/>
      <c r="F428" s="2"/>
      <c r="G428" s="2"/>
      <c r="H428" s="2"/>
      <c r="I428" s="2"/>
      <c r="J428" s="2"/>
      <c r="K428" s="2"/>
      <c r="L428" s="2"/>
      <c r="M428" s="2"/>
      <c r="N428" s="2"/>
      <c r="O428" s="2"/>
      <c r="P428" s="2"/>
      <c r="Q428" s="2"/>
      <c r="R428" s="2"/>
      <c r="S428" s="2"/>
      <c r="T428" s="2"/>
      <c r="U428" s="2"/>
      <c r="V428" s="2"/>
      <c r="W428" s="2"/>
      <c r="X428" s="2"/>
      <c r="Y428" s="2"/>
    </row>
    <row r="429" spans="1:25" ht="14.25" customHeight="1" x14ac:dyDescent="0.3">
      <c r="A429" s="2"/>
      <c r="B429" s="1"/>
      <c r="C429" s="1"/>
      <c r="D429" s="1"/>
      <c r="E429" s="1"/>
      <c r="F429" s="2"/>
      <c r="G429" s="2"/>
      <c r="H429" s="2"/>
      <c r="I429" s="2"/>
      <c r="J429" s="2"/>
      <c r="K429" s="2"/>
      <c r="L429" s="2"/>
      <c r="M429" s="2"/>
      <c r="N429" s="2"/>
      <c r="O429" s="2"/>
      <c r="P429" s="2"/>
      <c r="Q429" s="2"/>
      <c r="R429" s="2"/>
      <c r="S429" s="2"/>
      <c r="T429" s="2"/>
      <c r="U429" s="2"/>
      <c r="V429" s="2"/>
      <c r="W429" s="2"/>
      <c r="X429" s="2"/>
      <c r="Y429" s="2"/>
    </row>
    <row r="430" spans="1:25" ht="14.25" customHeight="1" x14ac:dyDescent="0.3">
      <c r="A430" s="2"/>
      <c r="B430" s="1"/>
      <c r="C430" s="1"/>
      <c r="D430" s="1"/>
      <c r="E430" s="1"/>
      <c r="F430" s="2"/>
      <c r="G430" s="2"/>
      <c r="H430" s="2"/>
      <c r="I430" s="2"/>
      <c r="J430" s="2"/>
      <c r="K430" s="2"/>
      <c r="L430" s="2"/>
      <c r="M430" s="2"/>
      <c r="N430" s="2"/>
      <c r="O430" s="2"/>
      <c r="P430" s="2"/>
      <c r="Q430" s="2"/>
      <c r="R430" s="2"/>
      <c r="S430" s="2"/>
      <c r="T430" s="2"/>
      <c r="U430" s="2"/>
      <c r="V430" s="2"/>
      <c r="W430" s="2"/>
      <c r="X430" s="2"/>
      <c r="Y430" s="2"/>
    </row>
    <row r="431" spans="1:25" ht="14.25" customHeight="1" x14ac:dyDescent="0.3">
      <c r="A431" s="2"/>
      <c r="B431" s="1"/>
      <c r="C431" s="1"/>
      <c r="D431" s="1"/>
      <c r="E431" s="1"/>
      <c r="F431" s="2"/>
      <c r="G431" s="2"/>
      <c r="H431" s="2"/>
      <c r="I431" s="2"/>
      <c r="J431" s="2"/>
      <c r="K431" s="2"/>
      <c r="L431" s="2"/>
      <c r="M431" s="2"/>
      <c r="N431" s="2"/>
      <c r="O431" s="2"/>
      <c r="P431" s="2"/>
      <c r="Q431" s="2"/>
      <c r="R431" s="2"/>
      <c r="S431" s="2"/>
      <c r="T431" s="2"/>
      <c r="U431" s="2"/>
      <c r="V431" s="2"/>
      <c r="W431" s="2"/>
      <c r="X431" s="2"/>
      <c r="Y431" s="2"/>
    </row>
    <row r="432" spans="1:25" ht="14.25" customHeight="1" x14ac:dyDescent="0.3">
      <c r="A432" s="2"/>
      <c r="B432" s="1"/>
      <c r="C432" s="1"/>
      <c r="D432" s="1"/>
      <c r="E432" s="1"/>
      <c r="F432" s="2"/>
      <c r="G432" s="2"/>
      <c r="H432" s="2"/>
      <c r="I432" s="2"/>
      <c r="J432" s="2"/>
      <c r="K432" s="2"/>
      <c r="L432" s="2"/>
      <c r="M432" s="2"/>
      <c r="N432" s="2"/>
      <c r="O432" s="2"/>
      <c r="P432" s="2"/>
      <c r="Q432" s="2"/>
      <c r="R432" s="2"/>
      <c r="S432" s="2"/>
      <c r="T432" s="2"/>
      <c r="U432" s="2"/>
      <c r="V432" s="2"/>
      <c r="W432" s="2"/>
      <c r="X432" s="2"/>
      <c r="Y432" s="2"/>
    </row>
    <row r="433" spans="1:25" ht="14.25" customHeight="1" x14ac:dyDescent="0.3">
      <c r="A433" s="2"/>
      <c r="B433" s="1"/>
      <c r="C433" s="1"/>
      <c r="D433" s="1"/>
      <c r="E433" s="1"/>
      <c r="F433" s="2"/>
      <c r="G433" s="2"/>
      <c r="H433" s="2"/>
      <c r="I433" s="2"/>
      <c r="J433" s="2"/>
      <c r="K433" s="2"/>
      <c r="L433" s="2"/>
      <c r="M433" s="2"/>
      <c r="N433" s="2"/>
      <c r="O433" s="2"/>
      <c r="P433" s="2"/>
      <c r="Q433" s="2"/>
      <c r="R433" s="2"/>
      <c r="S433" s="2"/>
      <c r="T433" s="2"/>
      <c r="U433" s="2"/>
      <c r="V433" s="2"/>
      <c r="W433" s="2"/>
      <c r="X433" s="2"/>
      <c r="Y433" s="2"/>
    </row>
    <row r="434" spans="1:25" ht="14.25" customHeight="1" x14ac:dyDescent="0.3">
      <c r="A434" s="2"/>
      <c r="B434" s="1"/>
      <c r="C434" s="1"/>
      <c r="D434" s="1"/>
      <c r="E434" s="1"/>
      <c r="F434" s="2"/>
      <c r="G434" s="2"/>
      <c r="H434" s="2"/>
      <c r="I434" s="2"/>
      <c r="J434" s="2"/>
      <c r="K434" s="2"/>
      <c r="L434" s="2"/>
      <c r="M434" s="2"/>
      <c r="N434" s="2"/>
      <c r="O434" s="2"/>
      <c r="P434" s="2"/>
      <c r="Q434" s="2"/>
      <c r="R434" s="2"/>
      <c r="S434" s="2"/>
      <c r="T434" s="2"/>
      <c r="U434" s="2"/>
      <c r="V434" s="2"/>
      <c r="W434" s="2"/>
      <c r="X434" s="2"/>
      <c r="Y434" s="2"/>
    </row>
    <row r="435" spans="1:25" ht="14.25" customHeight="1" x14ac:dyDescent="0.3">
      <c r="A435" s="2"/>
      <c r="B435" s="1"/>
      <c r="C435" s="1"/>
      <c r="D435" s="1"/>
      <c r="E435" s="1"/>
      <c r="F435" s="2"/>
      <c r="G435" s="2"/>
      <c r="H435" s="2"/>
      <c r="I435" s="2"/>
      <c r="J435" s="2"/>
      <c r="K435" s="2"/>
      <c r="L435" s="2"/>
      <c r="M435" s="2"/>
      <c r="N435" s="2"/>
      <c r="O435" s="2"/>
      <c r="P435" s="2"/>
      <c r="Q435" s="2"/>
      <c r="R435" s="2"/>
      <c r="S435" s="2"/>
      <c r="T435" s="2"/>
      <c r="U435" s="2"/>
      <c r="V435" s="2"/>
      <c r="W435" s="2"/>
      <c r="X435" s="2"/>
      <c r="Y435" s="2"/>
    </row>
    <row r="436" spans="1:25" ht="14.25" customHeight="1" x14ac:dyDescent="0.3">
      <c r="A436" s="2"/>
      <c r="B436" s="1"/>
      <c r="C436" s="1"/>
      <c r="D436" s="1"/>
      <c r="E436" s="1"/>
      <c r="F436" s="2"/>
      <c r="G436" s="2"/>
      <c r="H436" s="2"/>
      <c r="I436" s="2"/>
      <c r="J436" s="2"/>
      <c r="K436" s="2"/>
      <c r="L436" s="2"/>
      <c r="M436" s="2"/>
      <c r="N436" s="2"/>
      <c r="O436" s="2"/>
      <c r="P436" s="2"/>
      <c r="Q436" s="2"/>
      <c r="R436" s="2"/>
      <c r="S436" s="2"/>
      <c r="T436" s="2"/>
      <c r="U436" s="2"/>
      <c r="V436" s="2"/>
      <c r="W436" s="2"/>
      <c r="X436" s="2"/>
      <c r="Y436" s="2"/>
    </row>
    <row r="437" spans="1:25" ht="14.25" customHeight="1" x14ac:dyDescent="0.3">
      <c r="A437" s="2"/>
      <c r="B437" s="1"/>
      <c r="C437" s="1"/>
      <c r="D437" s="1"/>
      <c r="E437" s="1"/>
      <c r="F437" s="2"/>
      <c r="G437" s="2"/>
      <c r="H437" s="2"/>
      <c r="I437" s="2"/>
      <c r="J437" s="2"/>
      <c r="K437" s="2"/>
      <c r="L437" s="2"/>
      <c r="M437" s="2"/>
      <c r="N437" s="2"/>
      <c r="O437" s="2"/>
      <c r="P437" s="2"/>
      <c r="Q437" s="2"/>
      <c r="R437" s="2"/>
      <c r="S437" s="2"/>
      <c r="T437" s="2"/>
      <c r="U437" s="2"/>
      <c r="V437" s="2"/>
      <c r="W437" s="2"/>
      <c r="X437" s="2"/>
      <c r="Y437" s="2"/>
    </row>
    <row r="438" spans="1:25" ht="14.25" customHeight="1" x14ac:dyDescent="0.3">
      <c r="A438" s="2"/>
      <c r="B438" s="1"/>
      <c r="C438" s="1"/>
      <c r="D438" s="1"/>
      <c r="E438" s="1"/>
      <c r="F438" s="2"/>
      <c r="G438" s="2"/>
      <c r="H438" s="2"/>
      <c r="I438" s="2"/>
      <c r="J438" s="2"/>
      <c r="K438" s="2"/>
      <c r="L438" s="2"/>
      <c r="M438" s="2"/>
      <c r="N438" s="2"/>
      <c r="O438" s="2"/>
      <c r="P438" s="2"/>
      <c r="Q438" s="2"/>
      <c r="R438" s="2"/>
      <c r="S438" s="2"/>
      <c r="T438" s="2"/>
      <c r="U438" s="2"/>
      <c r="V438" s="2"/>
      <c r="W438" s="2"/>
      <c r="X438" s="2"/>
      <c r="Y438" s="2"/>
    </row>
    <row r="439" spans="1:25" ht="14.25" customHeight="1" x14ac:dyDescent="0.3">
      <c r="A439" s="2"/>
      <c r="B439" s="1"/>
      <c r="C439" s="1"/>
      <c r="D439" s="1"/>
      <c r="E439" s="1"/>
      <c r="F439" s="2"/>
      <c r="G439" s="2"/>
      <c r="H439" s="2"/>
      <c r="I439" s="2"/>
      <c r="J439" s="2"/>
      <c r="K439" s="2"/>
      <c r="L439" s="2"/>
      <c r="M439" s="2"/>
      <c r="N439" s="2"/>
      <c r="O439" s="2"/>
      <c r="P439" s="2"/>
      <c r="Q439" s="2"/>
      <c r="R439" s="2"/>
      <c r="S439" s="2"/>
      <c r="T439" s="2"/>
      <c r="U439" s="2"/>
      <c r="V439" s="2"/>
      <c r="W439" s="2"/>
      <c r="X439" s="2"/>
      <c r="Y439" s="2"/>
    </row>
    <row r="440" spans="1:25" ht="14.25" customHeight="1" x14ac:dyDescent="0.3">
      <c r="A440" s="2"/>
      <c r="B440" s="1"/>
      <c r="C440" s="1"/>
      <c r="D440" s="1"/>
      <c r="E440" s="1"/>
      <c r="F440" s="2"/>
      <c r="G440" s="2"/>
      <c r="H440" s="2"/>
      <c r="I440" s="2"/>
      <c r="J440" s="2"/>
      <c r="K440" s="2"/>
      <c r="L440" s="2"/>
      <c r="M440" s="2"/>
      <c r="N440" s="2"/>
      <c r="O440" s="2"/>
      <c r="P440" s="2"/>
      <c r="Q440" s="2"/>
      <c r="R440" s="2"/>
      <c r="S440" s="2"/>
      <c r="T440" s="2"/>
      <c r="U440" s="2"/>
      <c r="V440" s="2"/>
      <c r="W440" s="2"/>
      <c r="X440" s="2"/>
      <c r="Y440" s="2"/>
    </row>
    <row r="441" spans="1:25" ht="14.25" customHeight="1" x14ac:dyDescent="0.3">
      <c r="A441" s="2"/>
      <c r="B441" s="1"/>
      <c r="C441" s="1"/>
      <c r="D441" s="1"/>
      <c r="E441" s="1"/>
      <c r="F441" s="2"/>
      <c r="G441" s="2"/>
      <c r="H441" s="2"/>
      <c r="I441" s="2"/>
      <c r="J441" s="2"/>
      <c r="K441" s="2"/>
      <c r="L441" s="2"/>
      <c r="M441" s="2"/>
      <c r="N441" s="2"/>
      <c r="O441" s="2"/>
      <c r="P441" s="2"/>
      <c r="Q441" s="2"/>
      <c r="R441" s="2"/>
      <c r="S441" s="2"/>
      <c r="T441" s="2"/>
      <c r="U441" s="2"/>
      <c r="V441" s="2"/>
      <c r="W441" s="2"/>
      <c r="X441" s="2"/>
      <c r="Y441" s="2"/>
    </row>
    <row r="442" spans="1:25" ht="14.25" customHeight="1" x14ac:dyDescent="0.3">
      <c r="A442" s="2"/>
      <c r="B442" s="1"/>
      <c r="C442" s="1"/>
      <c r="D442" s="1"/>
      <c r="E442" s="1"/>
      <c r="F442" s="2"/>
      <c r="G442" s="2"/>
      <c r="H442" s="2"/>
      <c r="I442" s="2"/>
      <c r="J442" s="2"/>
      <c r="K442" s="2"/>
      <c r="L442" s="2"/>
      <c r="M442" s="2"/>
      <c r="N442" s="2"/>
      <c r="O442" s="2"/>
      <c r="P442" s="2"/>
      <c r="Q442" s="2"/>
      <c r="R442" s="2"/>
      <c r="S442" s="2"/>
      <c r="T442" s="2"/>
      <c r="U442" s="2"/>
      <c r="V442" s="2"/>
      <c r="W442" s="2"/>
      <c r="X442" s="2"/>
      <c r="Y442" s="2"/>
    </row>
    <row r="443" spans="1:25" ht="14.25" customHeight="1" x14ac:dyDescent="0.3">
      <c r="A443" s="2"/>
      <c r="B443" s="1"/>
      <c r="C443" s="1"/>
      <c r="D443" s="1"/>
      <c r="E443" s="1"/>
      <c r="F443" s="2"/>
      <c r="G443" s="2"/>
      <c r="H443" s="2"/>
      <c r="I443" s="2"/>
      <c r="J443" s="2"/>
      <c r="K443" s="2"/>
      <c r="L443" s="2"/>
      <c r="M443" s="2"/>
      <c r="N443" s="2"/>
      <c r="O443" s="2"/>
      <c r="P443" s="2"/>
      <c r="Q443" s="2"/>
      <c r="R443" s="2"/>
      <c r="S443" s="2"/>
      <c r="T443" s="2"/>
      <c r="U443" s="2"/>
      <c r="V443" s="2"/>
      <c r="W443" s="2"/>
      <c r="X443" s="2"/>
      <c r="Y443" s="2"/>
    </row>
    <row r="444" spans="1:25" ht="14.25" customHeight="1" x14ac:dyDescent="0.3">
      <c r="A444" s="2"/>
      <c r="B444" s="1"/>
      <c r="C444" s="1"/>
      <c r="D444" s="1"/>
      <c r="E444" s="1"/>
      <c r="F444" s="2"/>
      <c r="G444" s="2"/>
      <c r="H444" s="2"/>
      <c r="I444" s="2"/>
      <c r="J444" s="2"/>
      <c r="K444" s="2"/>
      <c r="L444" s="2"/>
      <c r="M444" s="2"/>
      <c r="N444" s="2"/>
      <c r="O444" s="2"/>
      <c r="P444" s="2"/>
      <c r="Q444" s="2"/>
      <c r="R444" s="2"/>
      <c r="S444" s="2"/>
      <c r="T444" s="2"/>
      <c r="U444" s="2"/>
      <c r="V444" s="2"/>
      <c r="W444" s="2"/>
      <c r="X444" s="2"/>
      <c r="Y444" s="2"/>
    </row>
    <row r="445" spans="1:25" ht="14.25" customHeight="1" x14ac:dyDescent="0.3">
      <c r="A445" s="2"/>
      <c r="B445" s="1"/>
      <c r="C445" s="1"/>
      <c r="D445" s="1"/>
      <c r="E445" s="1"/>
      <c r="F445" s="2"/>
      <c r="G445" s="2"/>
      <c r="H445" s="2"/>
      <c r="I445" s="2"/>
      <c r="J445" s="2"/>
      <c r="K445" s="2"/>
      <c r="L445" s="2"/>
      <c r="M445" s="2"/>
      <c r="N445" s="2"/>
      <c r="O445" s="2"/>
      <c r="P445" s="2"/>
      <c r="Q445" s="2"/>
      <c r="R445" s="2"/>
      <c r="S445" s="2"/>
      <c r="T445" s="2"/>
      <c r="U445" s="2"/>
      <c r="V445" s="2"/>
      <c r="W445" s="2"/>
      <c r="X445" s="2"/>
      <c r="Y445" s="2"/>
    </row>
    <row r="446" spans="1:25" ht="14.25" customHeight="1" x14ac:dyDescent="0.3">
      <c r="A446" s="2"/>
      <c r="B446" s="1"/>
      <c r="C446" s="1"/>
      <c r="D446" s="1"/>
      <c r="E446" s="1"/>
      <c r="F446" s="2"/>
      <c r="G446" s="2"/>
      <c r="H446" s="2"/>
      <c r="I446" s="2"/>
      <c r="J446" s="2"/>
      <c r="K446" s="2"/>
      <c r="L446" s="2"/>
      <c r="M446" s="2"/>
      <c r="N446" s="2"/>
      <c r="O446" s="2"/>
      <c r="P446" s="2"/>
      <c r="Q446" s="2"/>
      <c r="R446" s="2"/>
      <c r="S446" s="2"/>
      <c r="T446" s="2"/>
      <c r="U446" s="2"/>
      <c r="V446" s="2"/>
      <c r="W446" s="2"/>
      <c r="X446" s="2"/>
      <c r="Y446" s="2"/>
    </row>
    <row r="447" spans="1:25" ht="14.25" customHeight="1" x14ac:dyDescent="0.3">
      <c r="A447" s="2"/>
      <c r="B447" s="1"/>
      <c r="C447" s="1"/>
      <c r="D447" s="1"/>
      <c r="E447" s="1"/>
      <c r="F447" s="2"/>
      <c r="G447" s="2"/>
      <c r="H447" s="2"/>
      <c r="I447" s="2"/>
      <c r="J447" s="2"/>
      <c r="K447" s="2"/>
      <c r="L447" s="2"/>
      <c r="M447" s="2"/>
      <c r="N447" s="2"/>
      <c r="O447" s="2"/>
      <c r="P447" s="2"/>
      <c r="Q447" s="2"/>
      <c r="R447" s="2"/>
      <c r="S447" s="2"/>
      <c r="T447" s="2"/>
      <c r="U447" s="2"/>
      <c r="V447" s="2"/>
      <c r="W447" s="2"/>
      <c r="X447" s="2"/>
      <c r="Y447" s="2"/>
    </row>
    <row r="448" spans="1:25" ht="14.25" customHeight="1" x14ac:dyDescent="0.3">
      <c r="A448" s="2"/>
      <c r="B448" s="1"/>
      <c r="C448" s="1"/>
      <c r="D448" s="1"/>
      <c r="E448" s="1"/>
      <c r="F448" s="2"/>
      <c r="G448" s="2"/>
      <c r="H448" s="2"/>
      <c r="I448" s="2"/>
      <c r="J448" s="2"/>
      <c r="K448" s="2"/>
      <c r="L448" s="2"/>
      <c r="M448" s="2"/>
      <c r="N448" s="2"/>
      <c r="O448" s="2"/>
      <c r="P448" s="2"/>
      <c r="Q448" s="2"/>
      <c r="R448" s="2"/>
      <c r="S448" s="2"/>
      <c r="T448" s="2"/>
      <c r="U448" s="2"/>
      <c r="V448" s="2"/>
      <c r="W448" s="2"/>
      <c r="X448" s="2"/>
      <c r="Y448" s="2"/>
    </row>
    <row r="449" spans="1:25" ht="14.25" customHeight="1" x14ac:dyDescent="0.3">
      <c r="A449" s="2"/>
      <c r="B449" s="1"/>
      <c r="C449" s="1"/>
      <c r="D449" s="1"/>
      <c r="E449" s="1"/>
      <c r="F449" s="2"/>
      <c r="G449" s="2"/>
      <c r="H449" s="2"/>
      <c r="I449" s="2"/>
      <c r="J449" s="2"/>
      <c r="K449" s="2"/>
      <c r="L449" s="2"/>
      <c r="M449" s="2"/>
      <c r="N449" s="2"/>
      <c r="O449" s="2"/>
      <c r="P449" s="2"/>
      <c r="Q449" s="2"/>
      <c r="R449" s="2"/>
      <c r="S449" s="2"/>
      <c r="T449" s="2"/>
      <c r="U449" s="2"/>
      <c r="V449" s="2"/>
      <c r="W449" s="2"/>
      <c r="X449" s="2"/>
      <c r="Y449" s="2"/>
    </row>
    <row r="450" spans="1:25" ht="14.25" customHeight="1" x14ac:dyDescent="0.3">
      <c r="A450" s="2"/>
      <c r="B450" s="1"/>
      <c r="C450" s="1"/>
      <c r="D450" s="1"/>
      <c r="E450" s="1"/>
      <c r="F450" s="2"/>
      <c r="G450" s="2"/>
      <c r="H450" s="2"/>
      <c r="I450" s="2"/>
      <c r="J450" s="2"/>
      <c r="K450" s="2"/>
      <c r="L450" s="2"/>
      <c r="M450" s="2"/>
      <c r="N450" s="2"/>
      <c r="O450" s="2"/>
      <c r="P450" s="2"/>
      <c r="Q450" s="2"/>
      <c r="R450" s="2"/>
      <c r="S450" s="2"/>
      <c r="T450" s="2"/>
      <c r="U450" s="2"/>
      <c r="V450" s="2"/>
      <c r="W450" s="2"/>
      <c r="X450" s="2"/>
      <c r="Y450" s="2"/>
    </row>
    <row r="451" spans="1:25" ht="14.25" customHeight="1" x14ac:dyDescent="0.3">
      <c r="A451" s="2"/>
      <c r="B451" s="1"/>
      <c r="C451" s="1"/>
      <c r="D451" s="1"/>
      <c r="E451" s="1"/>
      <c r="F451" s="2"/>
      <c r="G451" s="2"/>
      <c r="H451" s="2"/>
      <c r="I451" s="2"/>
      <c r="J451" s="2"/>
      <c r="K451" s="2"/>
      <c r="L451" s="2"/>
      <c r="M451" s="2"/>
      <c r="N451" s="2"/>
      <c r="O451" s="2"/>
      <c r="P451" s="2"/>
      <c r="Q451" s="2"/>
      <c r="R451" s="2"/>
      <c r="S451" s="2"/>
      <c r="T451" s="2"/>
      <c r="U451" s="2"/>
      <c r="V451" s="2"/>
      <c r="W451" s="2"/>
      <c r="X451" s="2"/>
      <c r="Y451" s="2"/>
    </row>
    <row r="452" spans="1:25" ht="14.25" customHeight="1" x14ac:dyDescent="0.3">
      <c r="A452" s="2"/>
      <c r="B452" s="1"/>
      <c r="C452" s="1"/>
      <c r="D452" s="1"/>
      <c r="E452" s="1"/>
      <c r="F452" s="2"/>
      <c r="G452" s="2"/>
      <c r="H452" s="2"/>
      <c r="I452" s="2"/>
      <c r="J452" s="2"/>
      <c r="K452" s="2"/>
      <c r="L452" s="2"/>
      <c r="M452" s="2"/>
      <c r="N452" s="2"/>
      <c r="O452" s="2"/>
      <c r="P452" s="2"/>
      <c r="Q452" s="2"/>
      <c r="R452" s="2"/>
      <c r="S452" s="2"/>
      <c r="T452" s="2"/>
      <c r="U452" s="2"/>
      <c r="V452" s="2"/>
      <c r="W452" s="2"/>
      <c r="X452" s="2"/>
      <c r="Y452" s="2"/>
    </row>
    <row r="453" spans="1:25" ht="14.25" customHeight="1" x14ac:dyDescent="0.3">
      <c r="A453" s="2"/>
      <c r="B453" s="1"/>
      <c r="C453" s="1"/>
      <c r="D453" s="1"/>
      <c r="E453" s="1"/>
      <c r="F453" s="2"/>
      <c r="G453" s="2"/>
      <c r="H453" s="2"/>
      <c r="I453" s="2"/>
      <c r="J453" s="2"/>
      <c r="K453" s="2"/>
      <c r="L453" s="2"/>
      <c r="M453" s="2"/>
      <c r="N453" s="2"/>
      <c r="O453" s="2"/>
      <c r="P453" s="2"/>
      <c r="Q453" s="2"/>
      <c r="R453" s="2"/>
      <c r="S453" s="2"/>
      <c r="T453" s="2"/>
      <c r="U453" s="2"/>
      <c r="V453" s="2"/>
      <c r="W453" s="2"/>
      <c r="X453" s="2"/>
      <c r="Y453" s="2"/>
    </row>
    <row r="454" spans="1:25" ht="14.25" customHeight="1" x14ac:dyDescent="0.3">
      <c r="A454" s="2"/>
      <c r="B454" s="1"/>
      <c r="C454" s="1"/>
      <c r="D454" s="1"/>
      <c r="E454" s="1"/>
      <c r="F454" s="2"/>
      <c r="G454" s="2"/>
      <c r="H454" s="2"/>
      <c r="I454" s="2"/>
      <c r="J454" s="2"/>
      <c r="K454" s="2"/>
      <c r="L454" s="2"/>
      <c r="M454" s="2"/>
      <c r="N454" s="2"/>
      <c r="O454" s="2"/>
      <c r="P454" s="2"/>
      <c r="Q454" s="2"/>
      <c r="R454" s="2"/>
      <c r="S454" s="2"/>
      <c r="T454" s="2"/>
      <c r="U454" s="2"/>
      <c r="V454" s="2"/>
      <c r="W454" s="2"/>
      <c r="X454" s="2"/>
      <c r="Y454" s="2"/>
    </row>
    <row r="455" spans="1:25" ht="14.25" customHeight="1" x14ac:dyDescent="0.3">
      <c r="A455" s="2"/>
      <c r="B455" s="1"/>
      <c r="C455" s="1"/>
      <c r="D455" s="1"/>
      <c r="E455" s="1"/>
      <c r="F455" s="2"/>
      <c r="G455" s="2"/>
      <c r="H455" s="2"/>
      <c r="I455" s="2"/>
      <c r="J455" s="2"/>
      <c r="K455" s="2"/>
      <c r="L455" s="2"/>
      <c r="M455" s="2"/>
      <c r="N455" s="2"/>
      <c r="O455" s="2"/>
      <c r="P455" s="2"/>
      <c r="Q455" s="2"/>
      <c r="R455" s="2"/>
      <c r="S455" s="2"/>
      <c r="T455" s="2"/>
      <c r="U455" s="2"/>
      <c r="V455" s="2"/>
      <c r="W455" s="2"/>
      <c r="X455" s="2"/>
      <c r="Y455" s="2"/>
    </row>
    <row r="456" spans="1:25" ht="14.25" customHeight="1" x14ac:dyDescent="0.3">
      <c r="A456" s="2"/>
      <c r="B456" s="1"/>
      <c r="C456" s="1"/>
      <c r="D456" s="1"/>
      <c r="E456" s="1"/>
      <c r="F456" s="2"/>
      <c r="G456" s="2"/>
      <c r="H456" s="2"/>
      <c r="I456" s="2"/>
      <c r="J456" s="2"/>
      <c r="K456" s="2"/>
      <c r="L456" s="2"/>
      <c r="M456" s="2"/>
      <c r="N456" s="2"/>
      <c r="O456" s="2"/>
      <c r="P456" s="2"/>
      <c r="Q456" s="2"/>
      <c r="R456" s="2"/>
      <c r="S456" s="2"/>
      <c r="T456" s="2"/>
      <c r="U456" s="2"/>
      <c r="V456" s="2"/>
      <c r="W456" s="2"/>
      <c r="X456" s="2"/>
      <c r="Y456" s="2"/>
    </row>
    <row r="457" spans="1:25" ht="14.25" customHeight="1" x14ac:dyDescent="0.3">
      <c r="A457" s="2"/>
      <c r="B457" s="1"/>
      <c r="C457" s="1"/>
      <c r="D457" s="1"/>
      <c r="E457" s="1"/>
      <c r="F457" s="2"/>
      <c r="G457" s="2"/>
      <c r="H457" s="2"/>
      <c r="I457" s="2"/>
      <c r="J457" s="2"/>
      <c r="K457" s="2"/>
      <c r="L457" s="2"/>
      <c r="M457" s="2"/>
      <c r="N457" s="2"/>
      <c r="O457" s="2"/>
      <c r="P457" s="2"/>
      <c r="Q457" s="2"/>
      <c r="R457" s="2"/>
      <c r="S457" s="2"/>
      <c r="T457" s="2"/>
      <c r="U457" s="2"/>
      <c r="V457" s="2"/>
      <c r="W457" s="2"/>
      <c r="X457" s="2"/>
      <c r="Y457" s="2"/>
    </row>
    <row r="458" spans="1:25" ht="14.25" customHeight="1" x14ac:dyDescent="0.3">
      <c r="A458" s="2"/>
      <c r="B458" s="1"/>
      <c r="C458" s="1"/>
      <c r="D458" s="1"/>
      <c r="E458" s="1"/>
      <c r="F458" s="2"/>
      <c r="G458" s="2"/>
      <c r="H458" s="2"/>
      <c r="I458" s="2"/>
      <c r="J458" s="2"/>
      <c r="K458" s="2"/>
      <c r="L458" s="2"/>
      <c r="M458" s="2"/>
      <c r="N458" s="2"/>
      <c r="O458" s="2"/>
      <c r="P458" s="2"/>
      <c r="Q458" s="2"/>
      <c r="R458" s="2"/>
      <c r="S458" s="2"/>
      <c r="T458" s="2"/>
      <c r="U458" s="2"/>
      <c r="V458" s="2"/>
      <c r="W458" s="2"/>
      <c r="X458" s="2"/>
      <c r="Y458" s="2"/>
    </row>
    <row r="459" spans="1:25" ht="14.25" customHeight="1" x14ac:dyDescent="0.3">
      <c r="A459" s="2"/>
      <c r="B459" s="1"/>
      <c r="C459" s="1"/>
      <c r="D459" s="1"/>
      <c r="E459" s="1"/>
      <c r="F459" s="2"/>
      <c r="G459" s="2"/>
      <c r="H459" s="2"/>
      <c r="I459" s="2"/>
      <c r="J459" s="2"/>
      <c r="K459" s="2"/>
      <c r="L459" s="2"/>
      <c r="M459" s="2"/>
      <c r="N459" s="2"/>
      <c r="O459" s="2"/>
      <c r="P459" s="2"/>
      <c r="Q459" s="2"/>
      <c r="R459" s="2"/>
      <c r="S459" s="2"/>
      <c r="T459" s="2"/>
      <c r="U459" s="2"/>
      <c r="V459" s="2"/>
      <c r="W459" s="2"/>
      <c r="X459" s="2"/>
      <c r="Y459" s="2"/>
    </row>
    <row r="460" spans="1:25" ht="14.25" customHeight="1" x14ac:dyDescent="0.3">
      <c r="A460" s="2"/>
      <c r="B460" s="1"/>
      <c r="C460" s="1"/>
      <c r="D460" s="1"/>
      <c r="E460" s="1"/>
      <c r="F460" s="2"/>
      <c r="G460" s="2"/>
      <c r="H460" s="2"/>
      <c r="I460" s="2"/>
      <c r="J460" s="2"/>
      <c r="K460" s="2"/>
      <c r="L460" s="2"/>
      <c r="M460" s="2"/>
      <c r="N460" s="2"/>
      <c r="O460" s="2"/>
      <c r="P460" s="2"/>
      <c r="Q460" s="2"/>
      <c r="R460" s="2"/>
      <c r="S460" s="2"/>
      <c r="T460" s="2"/>
      <c r="U460" s="2"/>
      <c r="V460" s="2"/>
      <c r="W460" s="2"/>
      <c r="X460" s="2"/>
      <c r="Y460" s="2"/>
    </row>
    <row r="461" spans="1:25" ht="14.25" customHeight="1" x14ac:dyDescent="0.3">
      <c r="A461" s="2"/>
      <c r="B461" s="1"/>
      <c r="C461" s="1"/>
      <c r="D461" s="1"/>
      <c r="E461" s="1"/>
      <c r="F461" s="2"/>
      <c r="G461" s="2"/>
      <c r="H461" s="2"/>
      <c r="I461" s="2"/>
      <c r="J461" s="2"/>
      <c r="K461" s="2"/>
      <c r="L461" s="2"/>
      <c r="M461" s="2"/>
      <c r="N461" s="2"/>
      <c r="O461" s="2"/>
      <c r="P461" s="2"/>
      <c r="Q461" s="2"/>
      <c r="R461" s="2"/>
      <c r="S461" s="2"/>
      <c r="T461" s="2"/>
      <c r="U461" s="2"/>
      <c r="V461" s="2"/>
      <c r="W461" s="2"/>
      <c r="X461" s="2"/>
      <c r="Y461" s="2"/>
    </row>
    <row r="462" spans="1:25" ht="14.25" customHeight="1" x14ac:dyDescent="0.3">
      <c r="A462" s="2"/>
      <c r="B462" s="1"/>
      <c r="C462" s="1"/>
      <c r="D462" s="1"/>
      <c r="E462" s="1"/>
      <c r="F462" s="2"/>
      <c r="G462" s="2"/>
      <c r="H462" s="2"/>
      <c r="I462" s="2"/>
      <c r="J462" s="2"/>
      <c r="K462" s="2"/>
      <c r="L462" s="2"/>
      <c r="M462" s="2"/>
      <c r="N462" s="2"/>
      <c r="O462" s="2"/>
      <c r="P462" s="2"/>
      <c r="Q462" s="2"/>
      <c r="R462" s="2"/>
      <c r="S462" s="2"/>
      <c r="T462" s="2"/>
      <c r="U462" s="2"/>
      <c r="V462" s="2"/>
      <c r="W462" s="2"/>
      <c r="X462" s="2"/>
      <c r="Y462" s="2"/>
    </row>
    <row r="463" spans="1:25" ht="14.25" customHeight="1" x14ac:dyDescent="0.3">
      <c r="A463" s="2"/>
      <c r="B463" s="1"/>
      <c r="C463" s="1"/>
      <c r="D463" s="1"/>
      <c r="E463" s="1"/>
      <c r="F463" s="2"/>
      <c r="G463" s="2"/>
      <c r="H463" s="2"/>
      <c r="I463" s="2"/>
      <c r="J463" s="2"/>
      <c r="K463" s="2"/>
      <c r="L463" s="2"/>
      <c r="M463" s="2"/>
      <c r="N463" s="2"/>
      <c r="O463" s="2"/>
      <c r="P463" s="2"/>
      <c r="Q463" s="2"/>
      <c r="R463" s="2"/>
      <c r="S463" s="2"/>
      <c r="T463" s="2"/>
      <c r="U463" s="2"/>
      <c r="V463" s="2"/>
      <c r="W463" s="2"/>
      <c r="X463" s="2"/>
      <c r="Y463" s="2"/>
    </row>
    <row r="464" spans="1:25" ht="14.25" customHeight="1" x14ac:dyDescent="0.3">
      <c r="A464" s="2"/>
      <c r="B464" s="1"/>
      <c r="C464" s="1"/>
      <c r="D464" s="1"/>
      <c r="E464" s="1"/>
      <c r="F464" s="2"/>
      <c r="G464" s="2"/>
      <c r="H464" s="2"/>
      <c r="I464" s="2"/>
      <c r="J464" s="2"/>
      <c r="K464" s="2"/>
      <c r="L464" s="2"/>
      <c r="M464" s="2"/>
      <c r="N464" s="2"/>
      <c r="O464" s="2"/>
      <c r="P464" s="2"/>
      <c r="Q464" s="2"/>
      <c r="R464" s="2"/>
      <c r="S464" s="2"/>
      <c r="T464" s="2"/>
      <c r="U464" s="2"/>
      <c r="V464" s="2"/>
      <c r="W464" s="2"/>
      <c r="X464" s="2"/>
      <c r="Y464" s="2"/>
    </row>
    <row r="465" spans="1:25" ht="14.25" customHeight="1" x14ac:dyDescent="0.3">
      <c r="A465" s="2"/>
      <c r="B465" s="1"/>
      <c r="C465" s="1"/>
      <c r="D465" s="1"/>
      <c r="E465" s="1"/>
      <c r="F465" s="2"/>
      <c r="G465" s="2"/>
      <c r="H465" s="2"/>
      <c r="I465" s="2"/>
      <c r="J465" s="2"/>
      <c r="K465" s="2"/>
      <c r="L465" s="2"/>
      <c r="M465" s="2"/>
      <c r="N465" s="2"/>
      <c r="O465" s="2"/>
      <c r="P465" s="2"/>
      <c r="Q465" s="2"/>
      <c r="R465" s="2"/>
      <c r="S465" s="2"/>
      <c r="T465" s="2"/>
      <c r="U465" s="2"/>
      <c r="V465" s="2"/>
      <c r="W465" s="2"/>
      <c r="X465" s="2"/>
      <c r="Y465" s="2"/>
    </row>
    <row r="466" spans="1:25" ht="14.25" customHeight="1" x14ac:dyDescent="0.3">
      <c r="A466" s="2"/>
      <c r="B466" s="1"/>
      <c r="C466" s="1"/>
      <c r="D466" s="1"/>
      <c r="E466" s="1"/>
      <c r="F466" s="2"/>
      <c r="G466" s="2"/>
      <c r="H466" s="2"/>
      <c r="I466" s="2"/>
      <c r="J466" s="2"/>
      <c r="K466" s="2"/>
      <c r="L466" s="2"/>
      <c r="M466" s="2"/>
      <c r="N466" s="2"/>
      <c r="O466" s="2"/>
      <c r="P466" s="2"/>
      <c r="Q466" s="2"/>
      <c r="R466" s="2"/>
      <c r="S466" s="2"/>
      <c r="T466" s="2"/>
      <c r="U466" s="2"/>
      <c r="V466" s="2"/>
      <c r="W466" s="2"/>
      <c r="X466" s="2"/>
      <c r="Y466" s="2"/>
    </row>
    <row r="467" spans="1:25" ht="14.25" customHeight="1" x14ac:dyDescent="0.3">
      <c r="A467" s="2"/>
      <c r="B467" s="1"/>
      <c r="C467" s="1"/>
      <c r="D467" s="1"/>
      <c r="E467" s="1"/>
      <c r="F467" s="2"/>
      <c r="G467" s="2"/>
      <c r="H467" s="2"/>
      <c r="I467" s="2"/>
      <c r="J467" s="2"/>
      <c r="K467" s="2"/>
      <c r="L467" s="2"/>
      <c r="M467" s="2"/>
      <c r="N467" s="2"/>
      <c r="O467" s="2"/>
      <c r="P467" s="2"/>
      <c r="Q467" s="2"/>
      <c r="R467" s="2"/>
      <c r="S467" s="2"/>
      <c r="T467" s="2"/>
      <c r="U467" s="2"/>
      <c r="V467" s="2"/>
      <c r="W467" s="2"/>
      <c r="X467" s="2"/>
      <c r="Y467" s="2"/>
    </row>
    <row r="468" spans="1:25" ht="14.25" customHeight="1" x14ac:dyDescent="0.3">
      <c r="A468" s="2"/>
      <c r="B468" s="1"/>
      <c r="C468" s="1"/>
      <c r="D468" s="1"/>
      <c r="E468" s="1"/>
      <c r="F468" s="2"/>
      <c r="G468" s="2"/>
      <c r="H468" s="2"/>
      <c r="I468" s="2"/>
      <c r="J468" s="2"/>
      <c r="K468" s="2"/>
      <c r="L468" s="2"/>
      <c r="M468" s="2"/>
      <c r="N468" s="2"/>
      <c r="O468" s="2"/>
      <c r="P468" s="2"/>
      <c r="Q468" s="2"/>
      <c r="R468" s="2"/>
      <c r="S468" s="2"/>
      <c r="T468" s="2"/>
      <c r="U468" s="2"/>
      <c r="V468" s="2"/>
      <c r="W468" s="2"/>
      <c r="X468" s="2"/>
      <c r="Y468" s="2"/>
    </row>
    <row r="469" spans="1:25" ht="14.25" customHeight="1" x14ac:dyDescent="0.3">
      <c r="A469" s="2"/>
      <c r="B469" s="1"/>
      <c r="C469" s="1"/>
      <c r="D469" s="1"/>
      <c r="E469" s="1"/>
      <c r="F469" s="2"/>
      <c r="G469" s="2"/>
      <c r="H469" s="2"/>
      <c r="I469" s="2"/>
      <c r="J469" s="2"/>
      <c r="K469" s="2"/>
      <c r="L469" s="2"/>
      <c r="M469" s="2"/>
      <c r="N469" s="2"/>
      <c r="O469" s="2"/>
      <c r="P469" s="2"/>
      <c r="Q469" s="2"/>
      <c r="R469" s="2"/>
      <c r="S469" s="2"/>
      <c r="T469" s="2"/>
      <c r="U469" s="2"/>
      <c r="V469" s="2"/>
      <c r="W469" s="2"/>
      <c r="X469" s="2"/>
      <c r="Y469" s="2"/>
    </row>
    <row r="470" spans="1:25" ht="14.25" customHeight="1" x14ac:dyDescent="0.3">
      <c r="A470" s="2"/>
      <c r="B470" s="1"/>
      <c r="C470" s="1"/>
      <c r="D470" s="1"/>
      <c r="E470" s="1"/>
      <c r="F470" s="2"/>
      <c r="G470" s="2"/>
      <c r="H470" s="2"/>
      <c r="I470" s="2"/>
      <c r="J470" s="2"/>
      <c r="K470" s="2"/>
      <c r="L470" s="2"/>
      <c r="M470" s="2"/>
      <c r="N470" s="2"/>
      <c r="O470" s="2"/>
      <c r="P470" s="2"/>
      <c r="Q470" s="2"/>
      <c r="R470" s="2"/>
      <c r="S470" s="2"/>
      <c r="T470" s="2"/>
      <c r="U470" s="2"/>
      <c r="V470" s="2"/>
      <c r="W470" s="2"/>
      <c r="X470" s="2"/>
      <c r="Y470" s="2"/>
    </row>
    <row r="471" spans="1:25" ht="14.25" customHeight="1" x14ac:dyDescent="0.3">
      <c r="A471" s="2"/>
      <c r="B471" s="1"/>
      <c r="C471" s="1"/>
      <c r="D471" s="1"/>
      <c r="E471" s="1"/>
      <c r="F471" s="2"/>
      <c r="G471" s="2"/>
      <c r="H471" s="2"/>
      <c r="I471" s="2"/>
      <c r="J471" s="2"/>
      <c r="K471" s="2"/>
      <c r="L471" s="2"/>
      <c r="M471" s="2"/>
      <c r="N471" s="2"/>
      <c r="O471" s="2"/>
      <c r="P471" s="2"/>
      <c r="Q471" s="2"/>
      <c r="R471" s="2"/>
      <c r="S471" s="2"/>
      <c r="T471" s="2"/>
      <c r="U471" s="2"/>
      <c r="V471" s="2"/>
      <c r="W471" s="2"/>
      <c r="X471" s="2"/>
      <c r="Y471" s="2"/>
    </row>
    <row r="472" spans="1:25" ht="14.25" customHeight="1" x14ac:dyDescent="0.3">
      <c r="A472" s="2"/>
      <c r="B472" s="1"/>
      <c r="C472" s="1"/>
      <c r="D472" s="1"/>
      <c r="E472" s="1"/>
      <c r="F472" s="2"/>
      <c r="G472" s="2"/>
      <c r="H472" s="2"/>
      <c r="I472" s="2"/>
      <c r="J472" s="2"/>
      <c r="K472" s="2"/>
      <c r="L472" s="2"/>
      <c r="M472" s="2"/>
      <c r="N472" s="2"/>
      <c r="O472" s="2"/>
      <c r="P472" s="2"/>
      <c r="Q472" s="2"/>
      <c r="R472" s="2"/>
      <c r="S472" s="2"/>
      <c r="T472" s="2"/>
      <c r="U472" s="2"/>
      <c r="V472" s="2"/>
      <c r="W472" s="2"/>
      <c r="X472" s="2"/>
      <c r="Y472" s="2"/>
    </row>
    <row r="473" spans="1:25" ht="14.25" customHeight="1" x14ac:dyDescent="0.3">
      <c r="A473" s="2"/>
      <c r="B473" s="1"/>
      <c r="C473" s="1"/>
      <c r="D473" s="1"/>
      <c r="E473" s="1"/>
      <c r="F473" s="2"/>
      <c r="G473" s="2"/>
      <c r="H473" s="2"/>
      <c r="I473" s="2"/>
      <c r="J473" s="2"/>
      <c r="K473" s="2"/>
      <c r="L473" s="2"/>
      <c r="M473" s="2"/>
      <c r="N473" s="2"/>
      <c r="O473" s="2"/>
      <c r="P473" s="2"/>
      <c r="Q473" s="2"/>
      <c r="R473" s="2"/>
      <c r="S473" s="2"/>
      <c r="T473" s="2"/>
      <c r="U473" s="2"/>
      <c r="V473" s="2"/>
      <c r="W473" s="2"/>
      <c r="X473" s="2"/>
      <c r="Y473" s="2"/>
    </row>
    <row r="474" spans="1:25" ht="14.25" customHeight="1" x14ac:dyDescent="0.3">
      <c r="A474" s="2"/>
      <c r="B474" s="1"/>
      <c r="C474" s="1"/>
      <c r="D474" s="1"/>
      <c r="E474" s="1"/>
      <c r="F474" s="2"/>
      <c r="G474" s="2"/>
      <c r="H474" s="2"/>
      <c r="I474" s="2"/>
      <c r="J474" s="2"/>
      <c r="K474" s="2"/>
      <c r="L474" s="2"/>
      <c r="M474" s="2"/>
      <c r="N474" s="2"/>
      <c r="O474" s="2"/>
      <c r="P474" s="2"/>
      <c r="Q474" s="2"/>
      <c r="R474" s="2"/>
      <c r="S474" s="2"/>
      <c r="T474" s="2"/>
      <c r="U474" s="2"/>
      <c r="V474" s="2"/>
      <c r="W474" s="2"/>
      <c r="X474" s="2"/>
      <c r="Y474" s="2"/>
    </row>
    <row r="475" spans="1:25" ht="14.25" customHeight="1" x14ac:dyDescent="0.3">
      <c r="A475" s="2"/>
      <c r="B475" s="1"/>
      <c r="C475" s="1"/>
      <c r="D475" s="1"/>
      <c r="E475" s="1"/>
      <c r="F475" s="2"/>
      <c r="G475" s="2"/>
      <c r="H475" s="2"/>
      <c r="I475" s="2"/>
      <c r="J475" s="2"/>
      <c r="K475" s="2"/>
      <c r="L475" s="2"/>
      <c r="M475" s="2"/>
      <c r="N475" s="2"/>
      <c r="O475" s="2"/>
      <c r="P475" s="2"/>
      <c r="Q475" s="2"/>
      <c r="R475" s="2"/>
      <c r="S475" s="2"/>
      <c r="T475" s="2"/>
      <c r="U475" s="2"/>
      <c r="V475" s="2"/>
      <c r="W475" s="2"/>
      <c r="X475" s="2"/>
      <c r="Y475" s="2"/>
    </row>
    <row r="476" spans="1:25" ht="14.25" customHeight="1" x14ac:dyDescent="0.3">
      <c r="A476" s="2"/>
      <c r="B476" s="1"/>
      <c r="C476" s="1"/>
      <c r="D476" s="1"/>
      <c r="E476" s="1"/>
      <c r="F476" s="2"/>
      <c r="G476" s="2"/>
      <c r="H476" s="2"/>
      <c r="I476" s="2"/>
      <c r="J476" s="2"/>
      <c r="K476" s="2"/>
      <c r="L476" s="2"/>
      <c r="M476" s="2"/>
      <c r="N476" s="2"/>
      <c r="O476" s="2"/>
      <c r="P476" s="2"/>
      <c r="Q476" s="2"/>
      <c r="R476" s="2"/>
      <c r="S476" s="2"/>
      <c r="T476" s="2"/>
      <c r="U476" s="2"/>
      <c r="V476" s="2"/>
      <c r="W476" s="2"/>
      <c r="X476" s="2"/>
      <c r="Y476" s="2"/>
    </row>
    <row r="477" spans="1:25" ht="14.25" customHeight="1" x14ac:dyDescent="0.3">
      <c r="A477" s="2"/>
      <c r="B477" s="1"/>
      <c r="C477" s="1"/>
      <c r="D477" s="1"/>
      <c r="E477" s="1"/>
      <c r="F477" s="2"/>
      <c r="G477" s="2"/>
      <c r="H477" s="2"/>
      <c r="I477" s="2"/>
      <c r="J477" s="2"/>
      <c r="K477" s="2"/>
      <c r="L477" s="2"/>
      <c r="M477" s="2"/>
      <c r="N477" s="2"/>
      <c r="O477" s="2"/>
      <c r="P477" s="2"/>
      <c r="Q477" s="2"/>
      <c r="R477" s="2"/>
      <c r="S477" s="2"/>
      <c r="T477" s="2"/>
      <c r="U477" s="2"/>
      <c r="V477" s="2"/>
      <c r="W477" s="2"/>
      <c r="X477" s="2"/>
      <c r="Y477" s="2"/>
    </row>
    <row r="478" spans="1:25" ht="14.25" customHeight="1" x14ac:dyDescent="0.3">
      <c r="A478" s="2"/>
      <c r="B478" s="1"/>
      <c r="C478" s="1"/>
      <c r="D478" s="1"/>
      <c r="E478" s="1"/>
      <c r="F478" s="2"/>
      <c r="G478" s="2"/>
      <c r="H478" s="2"/>
      <c r="I478" s="2"/>
      <c r="J478" s="2"/>
      <c r="K478" s="2"/>
      <c r="L478" s="2"/>
      <c r="M478" s="2"/>
      <c r="N478" s="2"/>
      <c r="O478" s="2"/>
      <c r="P478" s="2"/>
      <c r="Q478" s="2"/>
      <c r="R478" s="2"/>
      <c r="S478" s="2"/>
      <c r="T478" s="2"/>
      <c r="U478" s="2"/>
      <c r="V478" s="2"/>
      <c r="W478" s="2"/>
      <c r="X478" s="2"/>
      <c r="Y478" s="2"/>
    </row>
    <row r="479" spans="1:25" ht="14.25" customHeight="1" x14ac:dyDescent="0.3">
      <c r="A479" s="2"/>
      <c r="B479" s="1"/>
      <c r="C479" s="1"/>
      <c r="D479" s="1"/>
      <c r="E479" s="1"/>
      <c r="F479" s="2"/>
      <c r="G479" s="2"/>
      <c r="H479" s="2"/>
      <c r="I479" s="2"/>
      <c r="J479" s="2"/>
      <c r="K479" s="2"/>
      <c r="L479" s="2"/>
      <c r="M479" s="2"/>
      <c r="N479" s="2"/>
      <c r="O479" s="2"/>
      <c r="P479" s="2"/>
      <c r="Q479" s="2"/>
      <c r="R479" s="2"/>
      <c r="S479" s="2"/>
      <c r="T479" s="2"/>
      <c r="U479" s="2"/>
      <c r="V479" s="2"/>
      <c r="W479" s="2"/>
      <c r="X479" s="2"/>
      <c r="Y479" s="2"/>
    </row>
    <row r="480" spans="1:25" ht="14.25" customHeight="1" x14ac:dyDescent="0.3">
      <c r="A480" s="2"/>
      <c r="B480" s="1"/>
      <c r="C480" s="1"/>
      <c r="D480" s="1"/>
      <c r="E480" s="1"/>
      <c r="F480" s="2"/>
      <c r="G480" s="2"/>
      <c r="H480" s="2"/>
      <c r="I480" s="2"/>
      <c r="J480" s="2"/>
      <c r="K480" s="2"/>
      <c r="L480" s="2"/>
      <c r="M480" s="2"/>
      <c r="N480" s="2"/>
      <c r="O480" s="2"/>
      <c r="P480" s="2"/>
      <c r="Q480" s="2"/>
      <c r="R480" s="2"/>
      <c r="S480" s="2"/>
      <c r="T480" s="2"/>
      <c r="U480" s="2"/>
      <c r="V480" s="2"/>
      <c r="W480" s="2"/>
      <c r="X480" s="2"/>
      <c r="Y480" s="2"/>
    </row>
    <row r="481" spans="1:25" ht="14.25" customHeight="1" x14ac:dyDescent="0.3">
      <c r="A481" s="2"/>
      <c r="B481" s="1"/>
      <c r="C481" s="1"/>
      <c r="D481" s="1"/>
      <c r="E481" s="1"/>
      <c r="F481" s="2"/>
      <c r="G481" s="2"/>
      <c r="H481" s="2"/>
      <c r="I481" s="2"/>
      <c r="J481" s="2"/>
      <c r="K481" s="2"/>
      <c r="L481" s="2"/>
      <c r="M481" s="2"/>
      <c r="N481" s="2"/>
      <c r="O481" s="2"/>
      <c r="P481" s="2"/>
      <c r="Q481" s="2"/>
      <c r="R481" s="2"/>
      <c r="S481" s="2"/>
      <c r="T481" s="2"/>
      <c r="U481" s="2"/>
      <c r="V481" s="2"/>
      <c r="W481" s="2"/>
      <c r="X481" s="2"/>
      <c r="Y481" s="2"/>
    </row>
    <row r="482" spans="1:25" ht="14.25" customHeight="1" x14ac:dyDescent="0.3">
      <c r="A482" s="2"/>
      <c r="B482" s="1"/>
      <c r="C482" s="1"/>
      <c r="D482" s="1"/>
      <c r="E482" s="1"/>
      <c r="F482" s="2"/>
      <c r="G482" s="2"/>
      <c r="H482" s="2"/>
      <c r="I482" s="2"/>
      <c r="J482" s="2"/>
      <c r="K482" s="2"/>
      <c r="L482" s="2"/>
      <c r="M482" s="2"/>
      <c r="N482" s="2"/>
      <c r="O482" s="2"/>
      <c r="P482" s="2"/>
      <c r="Q482" s="2"/>
      <c r="R482" s="2"/>
      <c r="S482" s="2"/>
      <c r="T482" s="2"/>
      <c r="U482" s="2"/>
      <c r="V482" s="2"/>
      <c r="W482" s="2"/>
      <c r="X482" s="2"/>
      <c r="Y482" s="2"/>
    </row>
    <row r="483" spans="1:25" ht="14.25" customHeight="1" x14ac:dyDescent="0.3">
      <c r="A483" s="2"/>
      <c r="B483" s="1"/>
      <c r="C483" s="1"/>
      <c r="D483" s="1"/>
      <c r="E483" s="1"/>
      <c r="F483" s="2"/>
      <c r="G483" s="2"/>
      <c r="H483" s="2"/>
      <c r="I483" s="2"/>
      <c r="J483" s="2"/>
      <c r="K483" s="2"/>
      <c r="L483" s="2"/>
      <c r="M483" s="2"/>
      <c r="N483" s="2"/>
      <c r="O483" s="2"/>
      <c r="P483" s="2"/>
      <c r="Q483" s="2"/>
      <c r="R483" s="2"/>
      <c r="S483" s="2"/>
      <c r="T483" s="2"/>
      <c r="U483" s="2"/>
      <c r="V483" s="2"/>
      <c r="W483" s="2"/>
      <c r="X483" s="2"/>
      <c r="Y483" s="2"/>
    </row>
    <row r="484" spans="1:25" ht="14.25" customHeight="1" x14ac:dyDescent="0.3">
      <c r="A484" s="2"/>
      <c r="B484" s="1"/>
      <c r="C484" s="1"/>
      <c r="D484" s="1"/>
      <c r="E484" s="1"/>
      <c r="F484" s="2"/>
      <c r="G484" s="2"/>
      <c r="H484" s="2"/>
      <c r="I484" s="2"/>
      <c r="J484" s="2"/>
      <c r="K484" s="2"/>
      <c r="L484" s="2"/>
      <c r="M484" s="2"/>
      <c r="N484" s="2"/>
      <c r="O484" s="2"/>
      <c r="P484" s="2"/>
      <c r="Q484" s="2"/>
      <c r="R484" s="2"/>
      <c r="S484" s="2"/>
      <c r="T484" s="2"/>
      <c r="U484" s="2"/>
      <c r="V484" s="2"/>
      <c r="W484" s="2"/>
      <c r="X484" s="2"/>
      <c r="Y484" s="2"/>
    </row>
    <row r="485" spans="1:25" ht="14.25" customHeight="1" x14ac:dyDescent="0.3">
      <c r="A485" s="2"/>
      <c r="B485" s="1"/>
      <c r="C485" s="1"/>
      <c r="D485" s="1"/>
      <c r="E485" s="1"/>
      <c r="F485" s="2"/>
      <c r="G485" s="2"/>
      <c r="H485" s="2"/>
      <c r="I485" s="2"/>
      <c r="J485" s="2"/>
      <c r="K485" s="2"/>
      <c r="L485" s="2"/>
      <c r="M485" s="2"/>
      <c r="N485" s="2"/>
      <c r="O485" s="2"/>
      <c r="P485" s="2"/>
      <c r="Q485" s="2"/>
      <c r="R485" s="2"/>
      <c r="S485" s="2"/>
      <c r="T485" s="2"/>
      <c r="U485" s="2"/>
      <c r="V485" s="2"/>
      <c r="W485" s="2"/>
      <c r="X485" s="2"/>
      <c r="Y485" s="2"/>
    </row>
    <row r="486" spans="1:25" ht="14.25" customHeight="1" x14ac:dyDescent="0.3">
      <c r="A486" s="2"/>
      <c r="B486" s="1"/>
      <c r="C486" s="1"/>
      <c r="D486" s="1"/>
      <c r="E486" s="1"/>
      <c r="F486" s="2"/>
      <c r="G486" s="2"/>
      <c r="H486" s="2"/>
      <c r="I486" s="2"/>
      <c r="J486" s="2"/>
      <c r="K486" s="2"/>
      <c r="L486" s="2"/>
      <c r="M486" s="2"/>
      <c r="N486" s="2"/>
      <c r="O486" s="2"/>
      <c r="P486" s="2"/>
      <c r="Q486" s="2"/>
      <c r="R486" s="2"/>
      <c r="S486" s="2"/>
      <c r="T486" s="2"/>
      <c r="U486" s="2"/>
      <c r="V486" s="2"/>
      <c r="W486" s="2"/>
      <c r="X486" s="2"/>
      <c r="Y486" s="2"/>
    </row>
    <row r="487" spans="1:25" ht="14.25" customHeight="1" x14ac:dyDescent="0.3">
      <c r="A487" s="2"/>
      <c r="B487" s="1"/>
      <c r="C487" s="1"/>
      <c r="D487" s="1"/>
      <c r="E487" s="1"/>
      <c r="F487" s="2"/>
      <c r="G487" s="2"/>
      <c r="H487" s="2"/>
      <c r="I487" s="2"/>
      <c r="J487" s="2"/>
      <c r="K487" s="2"/>
      <c r="L487" s="2"/>
      <c r="M487" s="2"/>
      <c r="N487" s="2"/>
      <c r="O487" s="2"/>
      <c r="P487" s="2"/>
      <c r="Q487" s="2"/>
      <c r="R487" s="2"/>
      <c r="S487" s="2"/>
      <c r="T487" s="2"/>
      <c r="U487" s="2"/>
      <c r="V487" s="2"/>
      <c r="W487" s="2"/>
      <c r="X487" s="2"/>
      <c r="Y487" s="2"/>
    </row>
    <row r="488" spans="1:25" ht="14.25" customHeight="1" x14ac:dyDescent="0.3">
      <c r="A488" s="2"/>
      <c r="B488" s="1"/>
      <c r="C488" s="1"/>
      <c r="D488" s="1"/>
      <c r="E488" s="1"/>
      <c r="F488" s="2"/>
      <c r="G488" s="2"/>
      <c r="H488" s="2"/>
      <c r="I488" s="2"/>
      <c r="J488" s="2"/>
      <c r="K488" s="2"/>
      <c r="L488" s="2"/>
      <c r="M488" s="2"/>
      <c r="N488" s="2"/>
      <c r="O488" s="2"/>
      <c r="P488" s="2"/>
      <c r="Q488" s="2"/>
      <c r="R488" s="2"/>
      <c r="S488" s="2"/>
      <c r="T488" s="2"/>
      <c r="U488" s="2"/>
      <c r="V488" s="2"/>
      <c r="W488" s="2"/>
      <c r="X488" s="2"/>
      <c r="Y488" s="2"/>
    </row>
    <row r="489" spans="1:25" ht="14.25" customHeight="1" x14ac:dyDescent="0.3">
      <c r="A489" s="2"/>
      <c r="B489" s="1"/>
      <c r="C489" s="1"/>
      <c r="D489" s="1"/>
      <c r="E489" s="1"/>
      <c r="F489" s="2"/>
      <c r="G489" s="2"/>
      <c r="H489" s="2"/>
      <c r="I489" s="2"/>
      <c r="J489" s="2"/>
      <c r="K489" s="2"/>
      <c r="L489" s="2"/>
      <c r="M489" s="2"/>
      <c r="N489" s="2"/>
      <c r="O489" s="2"/>
      <c r="P489" s="2"/>
      <c r="Q489" s="2"/>
      <c r="R489" s="2"/>
      <c r="S489" s="2"/>
      <c r="T489" s="2"/>
      <c r="U489" s="2"/>
      <c r="V489" s="2"/>
      <c r="W489" s="2"/>
      <c r="X489" s="2"/>
      <c r="Y489" s="2"/>
    </row>
    <row r="490" spans="1:25" ht="14.25" customHeight="1" x14ac:dyDescent="0.3">
      <c r="A490" s="2"/>
      <c r="B490" s="1"/>
      <c r="C490" s="1"/>
      <c r="D490" s="1"/>
      <c r="E490" s="1"/>
      <c r="F490" s="2"/>
      <c r="G490" s="2"/>
      <c r="H490" s="2"/>
      <c r="I490" s="2"/>
      <c r="J490" s="2"/>
      <c r="K490" s="2"/>
      <c r="L490" s="2"/>
      <c r="M490" s="2"/>
      <c r="N490" s="2"/>
      <c r="O490" s="2"/>
      <c r="P490" s="2"/>
      <c r="Q490" s="2"/>
      <c r="R490" s="2"/>
      <c r="S490" s="2"/>
      <c r="T490" s="2"/>
      <c r="U490" s="2"/>
      <c r="V490" s="2"/>
      <c r="W490" s="2"/>
      <c r="X490" s="2"/>
      <c r="Y490" s="2"/>
    </row>
    <row r="491" spans="1:25" ht="14.25" customHeight="1" x14ac:dyDescent="0.3">
      <c r="A491" s="2"/>
      <c r="B491" s="1"/>
      <c r="C491" s="1"/>
      <c r="D491" s="1"/>
      <c r="E491" s="1"/>
      <c r="F491" s="2"/>
      <c r="G491" s="2"/>
      <c r="H491" s="2"/>
      <c r="I491" s="2"/>
      <c r="J491" s="2"/>
      <c r="K491" s="2"/>
      <c r="L491" s="2"/>
      <c r="M491" s="2"/>
      <c r="N491" s="2"/>
      <c r="O491" s="2"/>
      <c r="P491" s="2"/>
      <c r="Q491" s="2"/>
      <c r="R491" s="2"/>
      <c r="S491" s="2"/>
      <c r="T491" s="2"/>
      <c r="U491" s="2"/>
      <c r="V491" s="2"/>
      <c r="W491" s="2"/>
      <c r="X491" s="2"/>
      <c r="Y491" s="2"/>
    </row>
    <row r="492" spans="1:25" ht="14.25" customHeight="1" x14ac:dyDescent="0.3">
      <c r="A492" s="2"/>
      <c r="B492" s="1"/>
      <c r="C492" s="1"/>
      <c r="D492" s="1"/>
      <c r="E492" s="1"/>
      <c r="F492" s="2"/>
      <c r="G492" s="2"/>
      <c r="H492" s="2"/>
      <c r="I492" s="2"/>
      <c r="J492" s="2"/>
      <c r="K492" s="2"/>
      <c r="L492" s="2"/>
      <c r="M492" s="2"/>
      <c r="N492" s="2"/>
      <c r="O492" s="2"/>
      <c r="P492" s="2"/>
      <c r="Q492" s="2"/>
      <c r="R492" s="2"/>
      <c r="S492" s="2"/>
      <c r="T492" s="2"/>
      <c r="U492" s="2"/>
      <c r="V492" s="2"/>
      <c r="W492" s="2"/>
      <c r="X492" s="2"/>
      <c r="Y492" s="2"/>
    </row>
    <row r="493" spans="1:25" ht="14.25" customHeight="1" x14ac:dyDescent="0.3">
      <c r="A493" s="2"/>
      <c r="B493" s="1"/>
      <c r="C493" s="1"/>
      <c r="D493" s="1"/>
      <c r="E493" s="1"/>
      <c r="F493" s="2"/>
      <c r="G493" s="2"/>
      <c r="H493" s="2"/>
      <c r="I493" s="2"/>
      <c r="J493" s="2"/>
      <c r="K493" s="2"/>
      <c r="L493" s="2"/>
      <c r="M493" s="2"/>
      <c r="N493" s="2"/>
      <c r="O493" s="2"/>
      <c r="P493" s="2"/>
      <c r="Q493" s="2"/>
      <c r="R493" s="2"/>
      <c r="S493" s="2"/>
      <c r="T493" s="2"/>
      <c r="U493" s="2"/>
      <c r="V493" s="2"/>
      <c r="W493" s="2"/>
      <c r="X493" s="2"/>
      <c r="Y493" s="2"/>
    </row>
    <row r="494" spans="1:25" ht="14.25" customHeight="1" x14ac:dyDescent="0.3">
      <c r="A494" s="2"/>
      <c r="B494" s="1"/>
      <c r="C494" s="1"/>
      <c r="D494" s="1"/>
      <c r="E494" s="1"/>
      <c r="F494" s="2"/>
      <c r="G494" s="2"/>
      <c r="H494" s="2"/>
      <c r="I494" s="2"/>
      <c r="J494" s="2"/>
      <c r="K494" s="2"/>
      <c r="L494" s="2"/>
      <c r="M494" s="2"/>
      <c r="N494" s="2"/>
      <c r="O494" s="2"/>
      <c r="P494" s="2"/>
      <c r="Q494" s="2"/>
      <c r="R494" s="2"/>
      <c r="S494" s="2"/>
      <c r="T494" s="2"/>
      <c r="U494" s="2"/>
      <c r="V494" s="2"/>
      <c r="W494" s="2"/>
      <c r="X494" s="2"/>
      <c r="Y494" s="2"/>
    </row>
    <row r="495" spans="1:25" ht="14.25" customHeight="1" x14ac:dyDescent="0.3">
      <c r="A495" s="2"/>
      <c r="B495" s="1"/>
      <c r="C495" s="1"/>
      <c r="D495" s="1"/>
      <c r="E495" s="1"/>
      <c r="F495" s="2"/>
      <c r="G495" s="2"/>
      <c r="H495" s="2"/>
      <c r="I495" s="2"/>
      <c r="J495" s="2"/>
      <c r="K495" s="2"/>
      <c r="L495" s="2"/>
      <c r="M495" s="2"/>
      <c r="N495" s="2"/>
      <c r="O495" s="2"/>
      <c r="P495" s="2"/>
      <c r="Q495" s="2"/>
      <c r="R495" s="2"/>
      <c r="S495" s="2"/>
      <c r="T495" s="2"/>
      <c r="U495" s="2"/>
      <c r="V495" s="2"/>
      <c r="W495" s="2"/>
      <c r="X495" s="2"/>
      <c r="Y495" s="2"/>
    </row>
    <row r="496" spans="1:25" ht="14.25" customHeight="1" x14ac:dyDescent="0.3">
      <c r="A496" s="2"/>
      <c r="B496" s="1"/>
      <c r="C496" s="1"/>
      <c r="D496" s="1"/>
      <c r="E496" s="1"/>
      <c r="F496" s="2"/>
      <c r="G496" s="2"/>
      <c r="H496" s="2"/>
      <c r="I496" s="2"/>
      <c r="J496" s="2"/>
      <c r="K496" s="2"/>
      <c r="L496" s="2"/>
      <c r="M496" s="2"/>
      <c r="N496" s="2"/>
      <c r="O496" s="2"/>
      <c r="P496" s="2"/>
      <c r="Q496" s="2"/>
      <c r="R496" s="2"/>
      <c r="S496" s="2"/>
      <c r="T496" s="2"/>
      <c r="U496" s="2"/>
      <c r="V496" s="2"/>
      <c r="W496" s="2"/>
      <c r="X496" s="2"/>
      <c r="Y496" s="2"/>
    </row>
    <row r="497" spans="1:25" ht="14.25" customHeight="1" x14ac:dyDescent="0.3">
      <c r="A497" s="2"/>
      <c r="B497" s="1"/>
      <c r="C497" s="1"/>
      <c r="D497" s="1"/>
      <c r="E497" s="1"/>
      <c r="F497" s="2"/>
      <c r="G497" s="2"/>
      <c r="H497" s="2"/>
      <c r="I497" s="2"/>
      <c r="J497" s="2"/>
      <c r="K497" s="2"/>
      <c r="L497" s="2"/>
      <c r="M497" s="2"/>
      <c r="N497" s="2"/>
      <c r="O497" s="2"/>
      <c r="P497" s="2"/>
      <c r="Q497" s="2"/>
      <c r="R497" s="2"/>
      <c r="S497" s="2"/>
      <c r="T497" s="2"/>
      <c r="U497" s="2"/>
      <c r="V497" s="2"/>
      <c r="W497" s="2"/>
      <c r="X497" s="2"/>
      <c r="Y497" s="2"/>
    </row>
    <row r="498" spans="1:25" ht="14.25" customHeight="1" x14ac:dyDescent="0.3">
      <c r="A498" s="2"/>
      <c r="B498" s="1"/>
      <c r="C498" s="1"/>
      <c r="D498" s="1"/>
      <c r="E498" s="1"/>
      <c r="F498" s="2"/>
      <c r="G498" s="2"/>
      <c r="H498" s="2"/>
      <c r="I498" s="2"/>
      <c r="J498" s="2"/>
      <c r="K498" s="2"/>
      <c r="L498" s="2"/>
      <c r="M498" s="2"/>
      <c r="N498" s="2"/>
      <c r="O498" s="2"/>
      <c r="P498" s="2"/>
      <c r="Q498" s="2"/>
      <c r="R498" s="2"/>
      <c r="S498" s="2"/>
      <c r="T498" s="2"/>
      <c r="U498" s="2"/>
      <c r="V498" s="2"/>
      <c r="W498" s="2"/>
      <c r="X498" s="2"/>
      <c r="Y498" s="2"/>
    </row>
    <row r="499" spans="1:25" ht="14.25" customHeight="1" x14ac:dyDescent="0.3">
      <c r="A499" s="2"/>
      <c r="B499" s="1"/>
      <c r="C499" s="1"/>
      <c r="D499" s="1"/>
      <c r="E499" s="1"/>
      <c r="F499" s="2"/>
      <c r="G499" s="2"/>
      <c r="H499" s="2"/>
      <c r="I499" s="2"/>
      <c r="J499" s="2"/>
      <c r="K499" s="2"/>
      <c r="L499" s="2"/>
      <c r="M499" s="2"/>
      <c r="N499" s="2"/>
      <c r="O499" s="2"/>
      <c r="P499" s="2"/>
      <c r="Q499" s="2"/>
      <c r="R499" s="2"/>
      <c r="S499" s="2"/>
      <c r="T499" s="2"/>
      <c r="U499" s="2"/>
      <c r="V499" s="2"/>
      <c r="W499" s="2"/>
      <c r="X499" s="2"/>
      <c r="Y499" s="2"/>
    </row>
    <row r="500" spans="1:25" ht="14.25" customHeight="1" x14ac:dyDescent="0.3">
      <c r="A500" s="2"/>
      <c r="B500" s="1"/>
      <c r="C500" s="1"/>
      <c r="D500" s="1"/>
      <c r="E500" s="1"/>
      <c r="F500" s="2"/>
      <c r="G500" s="2"/>
      <c r="H500" s="2"/>
      <c r="I500" s="2"/>
      <c r="J500" s="2"/>
      <c r="K500" s="2"/>
      <c r="L500" s="2"/>
      <c r="M500" s="2"/>
      <c r="N500" s="2"/>
      <c r="O500" s="2"/>
      <c r="P500" s="2"/>
      <c r="Q500" s="2"/>
      <c r="R500" s="2"/>
      <c r="S500" s="2"/>
      <c r="T500" s="2"/>
      <c r="U500" s="2"/>
      <c r="V500" s="2"/>
      <c r="W500" s="2"/>
      <c r="X500" s="2"/>
      <c r="Y500" s="2"/>
    </row>
    <row r="501" spans="1:25" ht="14.25" customHeight="1" x14ac:dyDescent="0.3">
      <c r="A501" s="2"/>
      <c r="B501" s="1"/>
      <c r="C501" s="1"/>
      <c r="D501" s="1"/>
      <c r="E501" s="1"/>
      <c r="F501" s="2"/>
      <c r="G501" s="2"/>
      <c r="H501" s="2"/>
      <c r="I501" s="2"/>
      <c r="J501" s="2"/>
      <c r="K501" s="2"/>
      <c r="L501" s="2"/>
      <c r="M501" s="2"/>
      <c r="N501" s="2"/>
      <c r="O501" s="2"/>
      <c r="P501" s="2"/>
      <c r="Q501" s="2"/>
      <c r="R501" s="2"/>
      <c r="S501" s="2"/>
      <c r="T501" s="2"/>
      <c r="U501" s="2"/>
      <c r="V501" s="2"/>
      <c r="W501" s="2"/>
      <c r="X501" s="2"/>
      <c r="Y501" s="2"/>
    </row>
    <row r="502" spans="1:25" ht="14.25" customHeight="1" x14ac:dyDescent="0.3">
      <c r="A502" s="2"/>
      <c r="B502" s="1"/>
      <c r="C502" s="1"/>
      <c r="D502" s="1"/>
      <c r="E502" s="1"/>
      <c r="F502" s="2"/>
      <c r="G502" s="2"/>
      <c r="H502" s="2"/>
      <c r="I502" s="2"/>
      <c r="J502" s="2"/>
      <c r="K502" s="2"/>
      <c r="L502" s="2"/>
      <c r="M502" s="2"/>
      <c r="N502" s="2"/>
      <c r="O502" s="2"/>
      <c r="P502" s="2"/>
      <c r="Q502" s="2"/>
      <c r="R502" s="2"/>
      <c r="S502" s="2"/>
      <c r="T502" s="2"/>
      <c r="U502" s="2"/>
      <c r="V502" s="2"/>
      <c r="W502" s="2"/>
      <c r="X502" s="2"/>
      <c r="Y502" s="2"/>
    </row>
    <row r="503" spans="1:25" ht="14.25" customHeight="1" x14ac:dyDescent="0.3">
      <c r="A503" s="2"/>
      <c r="B503" s="1"/>
      <c r="C503" s="1"/>
      <c r="D503" s="1"/>
      <c r="E503" s="1"/>
      <c r="F503" s="2"/>
      <c r="G503" s="2"/>
      <c r="H503" s="2"/>
      <c r="I503" s="2"/>
      <c r="J503" s="2"/>
      <c r="K503" s="2"/>
      <c r="L503" s="2"/>
      <c r="M503" s="2"/>
      <c r="N503" s="2"/>
      <c r="O503" s="2"/>
      <c r="P503" s="2"/>
      <c r="Q503" s="2"/>
      <c r="R503" s="2"/>
      <c r="S503" s="2"/>
      <c r="T503" s="2"/>
      <c r="U503" s="2"/>
      <c r="V503" s="2"/>
      <c r="W503" s="2"/>
      <c r="X503" s="2"/>
      <c r="Y503" s="2"/>
    </row>
    <row r="504" spans="1:25" ht="14.25" customHeight="1" x14ac:dyDescent="0.3">
      <c r="A504" s="2"/>
      <c r="B504" s="1"/>
      <c r="C504" s="1"/>
      <c r="D504" s="1"/>
      <c r="E504" s="1"/>
      <c r="F504" s="2"/>
      <c r="G504" s="2"/>
      <c r="H504" s="2"/>
      <c r="I504" s="2"/>
      <c r="J504" s="2"/>
      <c r="K504" s="2"/>
      <c r="L504" s="2"/>
      <c r="M504" s="2"/>
      <c r="N504" s="2"/>
      <c r="O504" s="2"/>
      <c r="P504" s="2"/>
      <c r="Q504" s="2"/>
      <c r="R504" s="2"/>
      <c r="S504" s="2"/>
      <c r="T504" s="2"/>
      <c r="U504" s="2"/>
      <c r="V504" s="2"/>
      <c r="W504" s="2"/>
      <c r="X504" s="2"/>
      <c r="Y504" s="2"/>
    </row>
    <row r="505" spans="1:25" ht="14.25" customHeight="1" x14ac:dyDescent="0.3">
      <c r="A505" s="2"/>
      <c r="B505" s="1"/>
      <c r="C505" s="1"/>
      <c r="D505" s="1"/>
      <c r="E505" s="1"/>
      <c r="F505" s="2"/>
      <c r="G505" s="2"/>
      <c r="H505" s="2"/>
      <c r="I505" s="2"/>
      <c r="J505" s="2"/>
      <c r="K505" s="2"/>
      <c r="L505" s="2"/>
      <c r="M505" s="2"/>
      <c r="N505" s="2"/>
      <c r="O505" s="2"/>
      <c r="P505" s="2"/>
      <c r="Q505" s="2"/>
      <c r="R505" s="2"/>
      <c r="S505" s="2"/>
      <c r="T505" s="2"/>
      <c r="U505" s="2"/>
      <c r="V505" s="2"/>
      <c r="W505" s="2"/>
      <c r="X505" s="2"/>
      <c r="Y505" s="2"/>
    </row>
    <row r="506" spans="1:25" ht="14.25" customHeight="1" x14ac:dyDescent="0.3">
      <c r="A506" s="2"/>
      <c r="B506" s="1"/>
      <c r="C506" s="1"/>
      <c r="D506" s="1"/>
      <c r="E506" s="1"/>
      <c r="F506" s="2"/>
      <c r="G506" s="2"/>
      <c r="H506" s="2"/>
      <c r="I506" s="2"/>
      <c r="J506" s="2"/>
      <c r="K506" s="2"/>
      <c r="L506" s="2"/>
      <c r="M506" s="2"/>
      <c r="N506" s="2"/>
      <c r="O506" s="2"/>
      <c r="P506" s="2"/>
      <c r="Q506" s="2"/>
      <c r="R506" s="2"/>
      <c r="S506" s="2"/>
      <c r="T506" s="2"/>
      <c r="U506" s="2"/>
      <c r="V506" s="2"/>
      <c r="W506" s="2"/>
      <c r="X506" s="2"/>
      <c r="Y506" s="2"/>
    </row>
    <row r="507" spans="1:25" ht="14.25" customHeight="1" x14ac:dyDescent="0.3">
      <c r="A507" s="2"/>
      <c r="B507" s="1"/>
      <c r="C507" s="1"/>
      <c r="D507" s="1"/>
      <c r="E507" s="1"/>
      <c r="F507" s="2"/>
      <c r="G507" s="2"/>
      <c r="H507" s="2"/>
      <c r="I507" s="2"/>
      <c r="J507" s="2"/>
      <c r="K507" s="2"/>
      <c r="L507" s="2"/>
      <c r="M507" s="2"/>
      <c r="N507" s="2"/>
      <c r="O507" s="2"/>
      <c r="P507" s="2"/>
      <c r="Q507" s="2"/>
      <c r="R507" s="2"/>
      <c r="S507" s="2"/>
      <c r="T507" s="2"/>
      <c r="U507" s="2"/>
      <c r="V507" s="2"/>
      <c r="W507" s="2"/>
      <c r="X507" s="2"/>
      <c r="Y507" s="2"/>
    </row>
    <row r="508" spans="1:25" ht="14.25" customHeight="1" x14ac:dyDescent="0.3">
      <c r="A508" s="2"/>
      <c r="B508" s="1"/>
      <c r="C508" s="1"/>
      <c r="D508" s="1"/>
      <c r="E508" s="1"/>
      <c r="F508" s="2"/>
      <c r="G508" s="2"/>
      <c r="H508" s="2"/>
      <c r="I508" s="2"/>
      <c r="J508" s="2"/>
      <c r="K508" s="2"/>
      <c r="L508" s="2"/>
      <c r="M508" s="2"/>
      <c r="N508" s="2"/>
      <c r="O508" s="2"/>
      <c r="P508" s="2"/>
      <c r="Q508" s="2"/>
      <c r="R508" s="2"/>
      <c r="S508" s="2"/>
      <c r="T508" s="2"/>
      <c r="U508" s="2"/>
      <c r="V508" s="2"/>
      <c r="W508" s="2"/>
      <c r="X508" s="2"/>
      <c r="Y508" s="2"/>
    </row>
    <row r="509" spans="1:25" ht="14.25" customHeight="1" x14ac:dyDescent="0.3">
      <c r="A509" s="2"/>
      <c r="B509" s="1"/>
      <c r="C509" s="1"/>
      <c r="D509" s="1"/>
      <c r="E509" s="1"/>
      <c r="F509" s="2"/>
      <c r="G509" s="2"/>
      <c r="H509" s="2"/>
      <c r="I509" s="2"/>
      <c r="J509" s="2"/>
      <c r="K509" s="2"/>
      <c r="L509" s="2"/>
      <c r="M509" s="2"/>
      <c r="N509" s="2"/>
      <c r="O509" s="2"/>
      <c r="P509" s="2"/>
      <c r="Q509" s="2"/>
      <c r="R509" s="2"/>
      <c r="S509" s="2"/>
      <c r="T509" s="2"/>
      <c r="U509" s="2"/>
      <c r="V509" s="2"/>
      <c r="W509" s="2"/>
      <c r="X509" s="2"/>
      <c r="Y509" s="2"/>
    </row>
    <row r="510" spans="1:25" ht="14.25" customHeight="1" x14ac:dyDescent="0.3">
      <c r="A510" s="2"/>
      <c r="B510" s="1"/>
      <c r="C510" s="1"/>
      <c r="D510" s="1"/>
      <c r="E510" s="1"/>
      <c r="F510" s="2"/>
      <c r="G510" s="2"/>
      <c r="H510" s="2"/>
      <c r="I510" s="2"/>
      <c r="J510" s="2"/>
      <c r="K510" s="2"/>
      <c r="L510" s="2"/>
      <c r="M510" s="2"/>
      <c r="N510" s="2"/>
      <c r="O510" s="2"/>
      <c r="P510" s="2"/>
      <c r="Q510" s="2"/>
      <c r="R510" s="2"/>
      <c r="S510" s="2"/>
      <c r="T510" s="2"/>
      <c r="U510" s="2"/>
      <c r="V510" s="2"/>
      <c r="W510" s="2"/>
      <c r="X510" s="2"/>
      <c r="Y510" s="2"/>
    </row>
    <row r="511" spans="1:25" ht="14.25" customHeight="1" x14ac:dyDescent="0.3">
      <c r="A511" s="2"/>
      <c r="B511" s="1"/>
      <c r="C511" s="1"/>
      <c r="D511" s="1"/>
      <c r="E511" s="1"/>
      <c r="F511" s="2"/>
      <c r="G511" s="2"/>
      <c r="H511" s="2"/>
      <c r="I511" s="2"/>
      <c r="J511" s="2"/>
      <c r="K511" s="2"/>
      <c r="L511" s="2"/>
      <c r="M511" s="2"/>
      <c r="N511" s="2"/>
      <c r="O511" s="2"/>
      <c r="P511" s="2"/>
      <c r="Q511" s="2"/>
      <c r="R511" s="2"/>
      <c r="S511" s="2"/>
      <c r="T511" s="2"/>
      <c r="U511" s="2"/>
      <c r="V511" s="2"/>
      <c r="W511" s="2"/>
      <c r="X511" s="2"/>
      <c r="Y511" s="2"/>
    </row>
    <row r="512" spans="1:25" ht="14.25" customHeight="1" x14ac:dyDescent="0.3">
      <c r="A512" s="2"/>
      <c r="B512" s="1"/>
      <c r="C512" s="1"/>
      <c r="D512" s="1"/>
      <c r="E512" s="1"/>
      <c r="F512" s="2"/>
      <c r="G512" s="2"/>
      <c r="H512" s="2"/>
      <c r="I512" s="2"/>
      <c r="J512" s="2"/>
      <c r="K512" s="2"/>
      <c r="L512" s="2"/>
      <c r="M512" s="2"/>
      <c r="N512" s="2"/>
      <c r="O512" s="2"/>
      <c r="P512" s="2"/>
      <c r="Q512" s="2"/>
      <c r="R512" s="2"/>
      <c r="S512" s="2"/>
      <c r="T512" s="2"/>
      <c r="U512" s="2"/>
      <c r="V512" s="2"/>
      <c r="W512" s="2"/>
      <c r="X512" s="2"/>
      <c r="Y512" s="2"/>
    </row>
    <row r="513" spans="1:25" ht="14.25" customHeight="1" x14ac:dyDescent="0.3">
      <c r="A513" s="2"/>
      <c r="B513" s="1"/>
      <c r="C513" s="1"/>
      <c r="D513" s="1"/>
      <c r="E513" s="1"/>
      <c r="F513" s="2"/>
      <c r="G513" s="2"/>
      <c r="H513" s="2"/>
      <c r="I513" s="2"/>
      <c r="J513" s="2"/>
      <c r="K513" s="2"/>
      <c r="L513" s="2"/>
      <c r="M513" s="2"/>
      <c r="N513" s="2"/>
      <c r="O513" s="2"/>
      <c r="P513" s="2"/>
      <c r="Q513" s="2"/>
      <c r="R513" s="2"/>
      <c r="S513" s="2"/>
      <c r="T513" s="2"/>
      <c r="U513" s="2"/>
      <c r="V513" s="2"/>
      <c r="W513" s="2"/>
      <c r="X513" s="2"/>
      <c r="Y513" s="2"/>
    </row>
    <row r="514" spans="1:25" ht="14.25" customHeight="1" x14ac:dyDescent="0.3">
      <c r="A514" s="2"/>
      <c r="B514" s="1"/>
      <c r="C514" s="1"/>
      <c r="D514" s="1"/>
      <c r="E514" s="1"/>
      <c r="F514" s="2"/>
      <c r="G514" s="2"/>
      <c r="H514" s="2"/>
      <c r="I514" s="2"/>
      <c r="J514" s="2"/>
      <c r="K514" s="2"/>
      <c r="L514" s="2"/>
      <c r="M514" s="2"/>
      <c r="N514" s="2"/>
      <c r="O514" s="2"/>
      <c r="P514" s="2"/>
      <c r="Q514" s="2"/>
      <c r="R514" s="2"/>
      <c r="S514" s="2"/>
      <c r="T514" s="2"/>
      <c r="U514" s="2"/>
      <c r="V514" s="2"/>
      <c r="W514" s="2"/>
      <c r="X514" s="2"/>
      <c r="Y514" s="2"/>
    </row>
    <row r="515" spans="1:25" ht="14.25" customHeight="1" x14ac:dyDescent="0.3">
      <c r="A515" s="2"/>
      <c r="B515" s="1"/>
      <c r="C515" s="1"/>
      <c r="D515" s="1"/>
      <c r="E515" s="1"/>
      <c r="F515" s="2"/>
      <c r="G515" s="2"/>
      <c r="H515" s="2"/>
      <c r="I515" s="2"/>
      <c r="J515" s="2"/>
      <c r="K515" s="2"/>
      <c r="L515" s="2"/>
      <c r="M515" s="2"/>
      <c r="N515" s="2"/>
      <c r="O515" s="2"/>
      <c r="P515" s="2"/>
      <c r="Q515" s="2"/>
      <c r="R515" s="2"/>
      <c r="S515" s="2"/>
      <c r="T515" s="2"/>
      <c r="U515" s="2"/>
      <c r="V515" s="2"/>
      <c r="W515" s="2"/>
      <c r="X515" s="2"/>
      <c r="Y515" s="2"/>
    </row>
    <row r="516" spans="1:25" ht="14.25" customHeight="1" x14ac:dyDescent="0.3">
      <c r="A516" s="2"/>
      <c r="B516" s="1"/>
      <c r="C516" s="1"/>
      <c r="D516" s="1"/>
      <c r="E516" s="1"/>
      <c r="F516" s="2"/>
      <c r="G516" s="2"/>
      <c r="H516" s="2"/>
      <c r="I516" s="2"/>
      <c r="J516" s="2"/>
      <c r="K516" s="2"/>
      <c r="L516" s="2"/>
      <c r="M516" s="2"/>
      <c r="N516" s="2"/>
      <c r="O516" s="2"/>
      <c r="P516" s="2"/>
      <c r="Q516" s="2"/>
      <c r="R516" s="2"/>
      <c r="S516" s="2"/>
      <c r="T516" s="2"/>
      <c r="U516" s="2"/>
      <c r="V516" s="2"/>
      <c r="W516" s="2"/>
      <c r="X516" s="2"/>
      <c r="Y516" s="2"/>
    </row>
    <row r="517" spans="1:25" ht="14.25" customHeight="1" x14ac:dyDescent="0.3">
      <c r="A517" s="2"/>
      <c r="B517" s="1"/>
      <c r="C517" s="1"/>
      <c r="D517" s="1"/>
      <c r="E517" s="1"/>
      <c r="F517" s="2"/>
      <c r="G517" s="2"/>
      <c r="H517" s="2"/>
      <c r="I517" s="2"/>
      <c r="J517" s="2"/>
      <c r="K517" s="2"/>
      <c r="L517" s="2"/>
      <c r="M517" s="2"/>
      <c r="N517" s="2"/>
      <c r="O517" s="2"/>
      <c r="P517" s="2"/>
      <c r="Q517" s="2"/>
      <c r="R517" s="2"/>
      <c r="S517" s="2"/>
      <c r="T517" s="2"/>
      <c r="U517" s="2"/>
      <c r="V517" s="2"/>
      <c r="W517" s="2"/>
      <c r="X517" s="2"/>
      <c r="Y517" s="2"/>
    </row>
    <row r="518" spans="1:25" ht="14.25" customHeight="1" x14ac:dyDescent="0.3">
      <c r="A518" s="2"/>
      <c r="B518" s="1"/>
      <c r="C518" s="1"/>
      <c r="D518" s="1"/>
      <c r="E518" s="1"/>
      <c r="F518" s="2"/>
      <c r="G518" s="2"/>
      <c r="H518" s="2"/>
      <c r="I518" s="2"/>
      <c r="J518" s="2"/>
      <c r="K518" s="2"/>
      <c r="L518" s="2"/>
      <c r="M518" s="2"/>
      <c r="N518" s="2"/>
      <c r="O518" s="2"/>
      <c r="P518" s="2"/>
      <c r="Q518" s="2"/>
      <c r="R518" s="2"/>
      <c r="S518" s="2"/>
      <c r="T518" s="2"/>
      <c r="U518" s="2"/>
      <c r="V518" s="2"/>
      <c r="W518" s="2"/>
      <c r="X518" s="2"/>
      <c r="Y518" s="2"/>
    </row>
    <row r="519" spans="1:25" ht="14.25" customHeight="1" x14ac:dyDescent="0.3">
      <c r="A519" s="2"/>
      <c r="B519" s="1"/>
      <c r="C519" s="1"/>
      <c r="D519" s="1"/>
      <c r="E519" s="1"/>
      <c r="F519" s="2"/>
      <c r="G519" s="2"/>
      <c r="H519" s="2"/>
      <c r="I519" s="2"/>
      <c r="J519" s="2"/>
      <c r="K519" s="2"/>
      <c r="L519" s="2"/>
      <c r="M519" s="2"/>
      <c r="N519" s="2"/>
      <c r="O519" s="2"/>
      <c r="P519" s="2"/>
      <c r="Q519" s="2"/>
      <c r="R519" s="2"/>
      <c r="S519" s="2"/>
      <c r="T519" s="2"/>
      <c r="U519" s="2"/>
      <c r="V519" s="2"/>
      <c r="W519" s="2"/>
      <c r="X519" s="2"/>
      <c r="Y519" s="2"/>
    </row>
    <row r="520" spans="1:25" ht="14.25" customHeight="1" x14ac:dyDescent="0.3">
      <c r="A520" s="2"/>
      <c r="B520" s="1"/>
      <c r="C520" s="1"/>
      <c r="D520" s="1"/>
      <c r="E520" s="1"/>
      <c r="F520" s="2"/>
      <c r="G520" s="2"/>
      <c r="H520" s="2"/>
      <c r="I520" s="2"/>
      <c r="J520" s="2"/>
      <c r="K520" s="2"/>
      <c r="L520" s="2"/>
      <c r="M520" s="2"/>
      <c r="N520" s="2"/>
      <c r="O520" s="2"/>
      <c r="P520" s="2"/>
      <c r="Q520" s="2"/>
      <c r="R520" s="2"/>
      <c r="S520" s="2"/>
      <c r="T520" s="2"/>
      <c r="U520" s="2"/>
      <c r="V520" s="2"/>
      <c r="W520" s="2"/>
      <c r="X520" s="2"/>
      <c r="Y520" s="2"/>
    </row>
    <row r="521" spans="1:25" ht="14.25" customHeight="1" x14ac:dyDescent="0.3">
      <c r="A521" s="2"/>
      <c r="B521" s="1"/>
      <c r="C521" s="1"/>
      <c r="D521" s="1"/>
      <c r="E521" s="1"/>
      <c r="F521" s="2"/>
      <c r="G521" s="2"/>
      <c r="H521" s="2"/>
      <c r="I521" s="2"/>
      <c r="J521" s="2"/>
      <c r="K521" s="2"/>
      <c r="L521" s="2"/>
      <c r="M521" s="2"/>
      <c r="N521" s="2"/>
      <c r="O521" s="2"/>
      <c r="P521" s="2"/>
      <c r="Q521" s="2"/>
      <c r="R521" s="2"/>
      <c r="S521" s="2"/>
      <c r="T521" s="2"/>
      <c r="U521" s="2"/>
      <c r="V521" s="2"/>
      <c r="W521" s="2"/>
      <c r="X521" s="2"/>
      <c r="Y521" s="2"/>
    </row>
    <row r="522" spans="1:25" ht="14.25" customHeight="1" x14ac:dyDescent="0.3">
      <c r="A522" s="2"/>
      <c r="B522" s="1"/>
      <c r="C522" s="1"/>
      <c r="D522" s="1"/>
      <c r="E522" s="1"/>
      <c r="F522" s="2"/>
      <c r="G522" s="2"/>
      <c r="H522" s="2"/>
      <c r="I522" s="2"/>
      <c r="J522" s="2"/>
      <c r="K522" s="2"/>
      <c r="L522" s="2"/>
      <c r="M522" s="2"/>
      <c r="N522" s="2"/>
      <c r="O522" s="2"/>
      <c r="P522" s="2"/>
      <c r="Q522" s="2"/>
      <c r="R522" s="2"/>
      <c r="S522" s="2"/>
      <c r="T522" s="2"/>
      <c r="U522" s="2"/>
      <c r="V522" s="2"/>
      <c r="W522" s="2"/>
      <c r="X522" s="2"/>
      <c r="Y522" s="2"/>
    </row>
    <row r="523" spans="1:25" ht="14.25" customHeight="1" x14ac:dyDescent="0.3">
      <c r="A523" s="2"/>
      <c r="B523" s="1"/>
      <c r="C523" s="1"/>
      <c r="D523" s="1"/>
      <c r="E523" s="1"/>
      <c r="F523" s="2"/>
      <c r="G523" s="2"/>
      <c r="H523" s="2"/>
      <c r="I523" s="2"/>
      <c r="J523" s="2"/>
      <c r="K523" s="2"/>
      <c r="L523" s="2"/>
      <c r="M523" s="2"/>
      <c r="N523" s="2"/>
      <c r="O523" s="2"/>
      <c r="P523" s="2"/>
      <c r="Q523" s="2"/>
      <c r="R523" s="2"/>
      <c r="S523" s="2"/>
      <c r="T523" s="2"/>
      <c r="U523" s="2"/>
      <c r="V523" s="2"/>
      <c r="W523" s="2"/>
      <c r="X523" s="2"/>
      <c r="Y523" s="2"/>
    </row>
    <row r="524" spans="1:25" ht="14.25" customHeight="1" x14ac:dyDescent="0.3">
      <c r="A524" s="2"/>
      <c r="B524" s="1"/>
      <c r="C524" s="1"/>
      <c r="D524" s="1"/>
      <c r="E524" s="1"/>
      <c r="F524" s="2"/>
      <c r="G524" s="2"/>
      <c r="H524" s="2"/>
      <c r="I524" s="2"/>
      <c r="J524" s="2"/>
      <c r="K524" s="2"/>
      <c r="L524" s="2"/>
      <c r="M524" s="2"/>
      <c r="N524" s="2"/>
      <c r="O524" s="2"/>
      <c r="P524" s="2"/>
      <c r="Q524" s="2"/>
      <c r="R524" s="2"/>
      <c r="S524" s="2"/>
      <c r="T524" s="2"/>
      <c r="U524" s="2"/>
      <c r="V524" s="2"/>
      <c r="W524" s="2"/>
      <c r="X524" s="2"/>
      <c r="Y524" s="2"/>
    </row>
    <row r="525" spans="1:25" ht="14.25" customHeight="1" x14ac:dyDescent="0.3">
      <c r="A525" s="2"/>
      <c r="B525" s="1"/>
      <c r="C525" s="1"/>
      <c r="D525" s="1"/>
      <c r="E525" s="1"/>
      <c r="F525" s="2"/>
      <c r="G525" s="2"/>
      <c r="H525" s="2"/>
      <c r="I525" s="2"/>
      <c r="J525" s="2"/>
      <c r="K525" s="2"/>
      <c r="L525" s="2"/>
      <c r="M525" s="2"/>
      <c r="N525" s="2"/>
      <c r="O525" s="2"/>
      <c r="P525" s="2"/>
      <c r="Q525" s="2"/>
      <c r="R525" s="2"/>
      <c r="S525" s="2"/>
      <c r="T525" s="2"/>
      <c r="U525" s="2"/>
      <c r="V525" s="2"/>
      <c r="W525" s="2"/>
      <c r="X525" s="2"/>
      <c r="Y525" s="2"/>
    </row>
    <row r="526" spans="1:25" ht="14.25" customHeight="1" x14ac:dyDescent="0.3">
      <c r="A526" s="2"/>
      <c r="B526" s="1"/>
      <c r="C526" s="1"/>
      <c r="D526" s="1"/>
      <c r="E526" s="1"/>
      <c r="F526" s="2"/>
      <c r="G526" s="2"/>
      <c r="H526" s="2"/>
      <c r="I526" s="2"/>
      <c r="J526" s="2"/>
      <c r="K526" s="2"/>
      <c r="L526" s="2"/>
      <c r="M526" s="2"/>
      <c r="N526" s="2"/>
      <c r="O526" s="2"/>
      <c r="P526" s="2"/>
      <c r="Q526" s="2"/>
      <c r="R526" s="2"/>
      <c r="S526" s="2"/>
      <c r="T526" s="2"/>
      <c r="U526" s="2"/>
      <c r="V526" s="2"/>
      <c r="W526" s="2"/>
      <c r="X526" s="2"/>
      <c r="Y526" s="2"/>
    </row>
    <row r="527" spans="1:25" ht="14.25" customHeight="1" x14ac:dyDescent="0.3">
      <c r="A527" s="2"/>
      <c r="B527" s="1"/>
      <c r="C527" s="1"/>
      <c r="D527" s="1"/>
      <c r="E527" s="1"/>
      <c r="F527" s="2"/>
      <c r="G527" s="2"/>
      <c r="H527" s="2"/>
      <c r="I527" s="2"/>
      <c r="J527" s="2"/>
      <c r="K527" s="2"/>
      <c r="L527" s="2"/>
      <c r="M527" s="2"/>
      <c r="N527" s="2"/>
      <c r="O527" s="2"/>
      <c r="P527" s="2"/>
      <c r="Q527" s="2"/>
      <c r="R527" s="2"/>
      <c r="S527" s="2"/>
      <c r="T527" s="2"/>
      <c r="U527" s="2"/>
      <c r="V527" s="2"/>
      <c r="W527" s="2"/>
      <c r="X527" s="2"/>
      <c r="Y527" s="2"/>
    </row>
    <row r="528" spans="1:25" ht="14.25" customHeight="1" x14ac:dyDescent="0.3">
      <c r="A528" s="2"/>
      <c r="B528" s="1"/>
      <c r="C528" s="1"/>
      <c r="D528" s="1"/>
      <c r="E528" s="1"/>
      <c r="F528" s="2"/>
      <c r="G528" s="2"/>
      <c r="H528" s="2"/>
      <c r="I528" s="2"/>
      <c r="J528" s="2"/>
      <c r="K528" s="2"/>
      <c r="L528" s="2"/>
      <c r="M528" s="2"/>
      <c r="N528" s="2"/>
      <c r="O528" s="2"/>
      <c r="P528" s="2"/>
      <c r="Q528" s="2"/>
      <c r="R528" s="2"/>
      <c r="S528" s="2"/>
      <c r="T528" s="2"/>
      <c r="U528" s="2"/>
      <c r="V528" s="2"/>
      <c r="W528" s="2"/>
      <c r="X528" s="2"/>
      <c r="Y528" s="2"/>
    </row>
    <row r="529" spans="1:25" ht="14.25" customHeight="1" x14ac:dyDescent="0.3">
      <c r="A529" s="2"/>
      <c r="B529" s="1"/>
      <c r="C529" s="1"/>
      <c r="D529" s="1"/>
      <c r="E529" s="1"/>
      <c r="F529" s="2"/>
      <c r="G529" s="2"/>
      <c r="H529" s="2"/>
      <c r="I529" s="2"/>
      <c r="J529" s="2"/>
      <c r="K529" s="2"/>
      <c r="L529" s="2"/>
      <c r="M529" s="2"/>
      <c r="N529" s="2"/>
      <c r="O529" s="2"/>
      <c r="P529" s="2"/>
      <c r="Q529" s="2"/>
      <c r="R529" s="2"/>
      <c r="S529" s="2"/>
      <c r="T529" s="2"/>
      <c r="U529" s="2"/>
      <c r="V529" s="2"/>
      <c r="W529" s="2"/>
      <c r="X529" s="2"/>
      <c r="Y529" s="2"/>
    </row>
    <row r="530" spans="1:25" ht="14.25" customHeight="1" x14ac:dyDescent="0.3">
      <c r="A530" s="2"/>
      <c r="B530" s="1"/>
      <c r="C530" s="1"/>
      <c r="D530" s="1"/>
      <c r="E530" s="1"/>
      <c r="F530" s="2"/>
      <c r="G530" s="2"/>
      <c r="H530" s="2"/>
      <c r="I530" s="2"/>
      <c r="J530" s="2"/>
      <c r="K530" s="2"/>
      <c r="L530" s="2"/>
      <c r="M530" s="2"/>
      <c r="N530" s="2"/>
      <c r="O530" s="2"/>
      <c r="P530" s="2"/>
      <c r="Q530" s="2"/>
      <c r="R530" s="2"/>
      <c r="S530" s="2"/>
      <c r="T530" s="2"/>
      <c r="U530" s="2"/>
      <c r="V530" s="2"/>
      <c r="W530" s="2"/>
      <c r="X530" s="2"/>
      <c r="Y530" s="2"/>
    </row>
    <row r="531" spans="1:25" ht="14.25" customHeight="1" x14ac:dyDescent="0.3">
      <c r="A531" s="2"/>
      <c r="B531" s="1"/>
      <c r="C531" s="1"/>
      <c r="D531" s="1"/>
      <c r="E531" s="1"/>
      <c r="F531" s="2"/>
      <c r="G531" s="2"/>
      <c r="H531" s="2"/>
      <c r="I531" s="2"/>
      <c r="J531" s="2"/>
      <c r="K531" s="2"/>
      <c r="L531" s="2"/>
      <c r="M531" s="2"/>
      <c r="N531" s="2"/>
      <c r="O531" s="2"/>
      <c r="P531" s="2"/>
      <c r="Q531" s="2"/>
      <c r="R531" s="2"/>
      <c r="S531" s="2"/>
      <c r="T531" s="2"/>
      <c r="U531" s="2"/>
      <c r="V531" s="2"/>
      <c r="W531" s="2"/>
      <c r="X531" s="2"/>
      <c r="Y531" s="2"/>
    </row>
    <row r="532" spans="1:25" ht="14.25" customHeight="1" x14ac:dyDescent="0.3">
      <c r="A532" s="2"/>
      <c r="B532" s="1"/>
      <c r="C532" s="1"/>
      <c r="D532" s="1"/>
      <c r="E532" s="1"/>
      <c r="F532" s="2"/>
      <c r="G532" s="2"/>
      <c r="H532" s="2"/>
      <c r="I532" s="2"/>
      <c r="J532" s="2"/>
      <c r="K532" s="2"/>
      <c r="L532" s="2"/>
      <c r="M532" s="2"/>
      <c r="N532" s="2"/>
      <c r="O532" s="2"/>
      <c r="P532" s="2"/>
      <c r="Q532" s="2"/>
      <c r="R532" s="2"/>
      <c r="S532" s="2"/>
      <c r="T532" s="2"/>
      <c r="U532" s="2"/>
      <c r="V532" s="2"/>
      <c r="W532" s="2"/>
      <c r="X532" s="2"/>
      <c r="Y532" s="2"/>
    </row>
    <row r="533" spans="1:25" ht="14.25" customHeight="1" x14ac:dyDescent="0.3">
      <c r="A533" s="2"/>
      <c r="B533" s="1"/>
      <c r="C533" s="1"/>
      <c r="D533" s="1"/>
      <c r="E533" s="1"/>
      <c r="F533" s="2"/>
      <c r="G533" s="2"/>
      <c r="H533" s="2"/>
      <c r="I533" s="2"/>
      <c r="J533" s="2"/>
      <c r="K533" s="2"/>
      <c r="L533" s="2"/>
      <c r="M533" s="2"/>
      <c r="N533" s="2"/>
      <c r="O533" s="2"/>
      <c r="P533" s="2"/>
      <c r="Q533" s="2"/>
      <c r="R533" s="2"/>
      <c r="S533" s="2"/>
      <c r="T533" s="2"/>
      <c r="U533" s="2"/>
      <c r="V533" s="2"/>
      <c r="W533" s="2"/>
      <c r="X533" s="2"/>
      <c r="Y533" s="2"/>
    </row>
    <row r="534" spans="1:25" ht="14.25" customHeight="1" x14ac:dyDescent="0.3">
      <c r="A534" s="2"/>
      <c r="B534" s="1"/>
      <c r="C534" s="1"/>
      <c r="D534" s="1"/>
      <c r="E534" s="1"/>
      <c r="F534" s="2"/>
      <c r="G534" s="2"/>
      <c r="H534" s="2"/>
      <c r="I534" s="2"/>
      <c r="J534" s="2"/>
      <c r="K534" s="2"/>
      <c r="L534" s="2"/>
      <c r="M534" s="2"/>
      <c r="N534" s="2"/>
      <c r="O534" s="2"/>
      <c r="P534" s="2"/>
      <c r="Q534" s="2"/>
      <c r="R534" s="2"/>
      <c r="S534" s="2"/>
      <c r="T534" s="2"/>
      <c r="U534" s="2"/>
      <c r="V534" s="2"/>
      <c r="W534" s="2"/>
      <c r="X534" s="2"/>
      <c r="Y534" s="2"/>
    </row>
    <row r="535" spans="1:25" ht="14.25" customHeight="1" x14ac:dyDescent="0.3">
      <c r="A535" s="2"/>
      <c r="B535" s="1"/>
      <c r="C535" s="1"/>
      <c r="D535" s="1"/>
      <c r="E535" s="1"/>
      <c r="F535" s="2"/>
      <c r="G535" s="2"/>
      <c r="H535" s="2"/>
      <c r="I535" s="2"/>
      <c r="J535" s="2"/>
      <c r="K535" s="2"/>
      <c r="L535" s="2"/>
      <c r="M535" s="2"/>
      <c r="N535" s="2"/>
      <c r="O535" s="2"/>
      <c r="P535" s="2"/>
      <c r="Q535" s="2"/>
      <c r="R535" s="2"/>
      <c r="S535" s="2"/>
      <c r="T535" s="2"/>
      <c r="U535" s="2"/>
      <c r="V535" s="2"/>
      <c r="W535" s="2"/>
      <c r="X535" s="2"/>
      <c r="Y535" s="2"/>
    </row>
    <row r="536" spans="1:25" ht="14.25" customHeight="1" x14ac:dyDescent="0.3">
      <c r="A536" s="2"/>
      <c r="B536" s="1"/>
      <c r="C536" s="1"/>
      <c r="D536" s="1"/>
      <c r="E536" s="1"/>
      <c r="F536" s="2"/>
      <c r="G536" s="2"/>
      <c r="H536" s="2"/>
      <c r="I536" s="2"/>
      <c r="J536" s="2"/>
      <c r="K536" s="2"/>
      <c r="L536" s="2"/>
      <c r="M536" s="2"/>
      <c r="N536" s="2"/>
      <c r="O536" s="2"/>
      <c r="P536" s="2"/>
      <c r="Q536" s="2"/>
      <c r="R536" s="2"/>
      <c r="S536" s="2"/>
      <c r="T536" s="2"/>
      <c r="U536" s="2"/>
      <c r="V536" s="2"/>
      <c r="W536" s="2"/>
      <c r="X536" s="2"/>
      <c r="Y536" s="2"/>
    </row>
    <row r="537" spans="1:25" ht="14.25" customHeight="1" x14ac:dyDescent="0.3">
      <c r="A537" s="2"/>
      <c r="B537" s="1"/>
      <c r="C537" s="1"/>
      <c r="D537" s="1"/>
      <c r="E537" s="1"/>
      <c r="F537" s="2"/>
      <c r="G537" s="2"/>
      <c r="H537" s="2"/>
      <c r="I537" s="2"/>
      <c r="J537" s="2"/>
      <c r="K537" s="2"/>
      <c r="L537" s="2"/>
      <c r="M537" s="2"/>
      <c r="N537" s="2"/>
      <c r="O537" s="2"/>
      <c r="P537" s="2"/>
      <c r="Q537" s="2"/>
      <c r="R537" s="2"/>
      <c r="S537" s="2"/>
      <c r="T537" s="2"/>
      <c r="U537" s="2"/>
      <c r="V537" s="2"/>
      <c r="W537" s="2"/>
      <c r="X537" s="2"/>
      <c r="Y537" s="2"/>
    </row>
    <row r="538" spans="1:25" ht="14.25" customHeight="1" x14ac:dyDescent="0.3">
      <c r="A538" s="2"/>
      <c r="B538" s="1"/>
      <c r="C538" s="1"/>
      <c r="D538" s="1"/>
      <c r="E538" s="1"/>
      <c r="F538" s="2"/>
      <c r="G538" s="2"/>
      <c r="H538" s="2"/>
      <c r="I538" s="2"/>
      <c r="J538" s="2"/>
      <c r="K538" s="2"/>
      <c r="L538" s="2"/>
      <c r="M538" s="2"/>
      <c r="N538" s="2"/>
      <c r="O538" s="2"/>
      <c r="P538" s="2"/>
      <c r="Q538" s="2"/>
      <c r="R538" s="2"/>
      <c r="S538" s="2"/>
      <c r="T538" s="2"/>
      <c r="U538" s="2"/>
      <c r="V538" s="2"/>
      <c r="W538" s="2"/>
      <c r="X538" s="2"/>
      <c r="Y538" s="2"/>
    </row>
    <row r="539" spans="1:25" ht="14.25" customHeight="1" x14ac:dyDescent="0.3">
      <c r="A539" s="2"/>
      <c r="B539" s="1"/>
      <c r="C539" s="1"/>
      <c r="D539" s="1"/>
      <c r="E539" s="1"/>
      <c r="F539" s="2"/>
      <c r="G539" s="2"/>
      <c r="H539" s="2"/>
      <c r="I539" s="2"/>
      <c r="J539" s="2"/>
      <c r="K539" s="2"/>
      <c r="L539" s="2"/>
      <c r="M539" s="2"/>
      <c r="N539" s="2"/>
      <c r="O539" s="2"/>
      <c r="P539" s="2"/>
      <c r="Q539" s="2"/>
      <c r="R539" s="2"/>
      <c r="S539" s="2"/>
      <c r="T539" s="2"/>
      <c r="U539" s="2"/>
      <c r="V539" s="2"/>
      <c r="W539" s="2"/>
      <c r="X539" s="2"/>
      <c r="Y539" s="2"/>
    </row>
    <row r="540" spans="1:25" ht="14.25" customHeight="1" x14ac:dyDescent="0.3">
      <c r="A540" s="2"/>
      <c r="B540" s="1"/>
      <c r="C540" s="1"/>
      <c r="D540" s="1"/>
      <c r="E540" s="1"/>
      <c r="F540" s="2"/>
      <c r="G540" s="2"/>
      <c r="H540" s="2"/>
      <c r="I540" s="2"/>
      <c r="J540" s="2"/>
      <c r="K540" s="2"/>
      <c r="L540" s="2"/>
      <c r="M540" s="2"/>
      <c r="N540" s="2"/>
      <c r="O540" s="2"/>
      <c r="P540" s="2"/>
      <c r="Q540" s="2"/>
      <c r="R540" s="2"/>
      <c r="S540" s="2"/>
      <c r="T540" s="2"/>
      <c r="U540" s="2"/>
      <c r="V540" s="2"/>
      <c r="W540" s="2"/>
      <c r="X540" s="2"/>
      <c r="Y540" s="2"/>
    </row>
    <row r="541" spans="1:25" ht="14.25" customHeight="1" x14ac:dyDescent="0.3">
      <c r="A541" s="2"/>
      <c r="B541" s="1"/>
      <c r="C541" s="1"/>
      <c r="D541" s="1"/>
      <c r="E541" s="1"/>
      <c r="F541" s="2"/>
      <c r="G541" s="2"/>
      <c r="H541" s="2"/>
      <c r="I541" s="2"/>
      <c r="J541" s="2"/>
      <c r="K541" s="2"/>
      <c r="L541" s="2"/>
      <c r="M541" s="2"/>
      <c r="N541" s="2"/>
      <c r="O541" s="2"/>
      <c r="P541" s="2"/>
      <c r="Q541" s="2"/>
      <c r="R541" s="2"/>
      <c r="S541" s="2"/>
      <c r="T541" s="2"/>
      <c r="U541" s="2"/>
      <c r="V541" s="2"/>
      <c r="W541" s="2"/>
      <c r="X541" s="2"/>
      <c r="Y541" s="2"/>
    </row>
    <row r="542" spans="1:25" ht="14.25" customHeight="1" x14ac:dyDescent="0.3">
      <c r="A542" s="2"/>
      <c r="B542" s="1"/>
      <c r="C542" s="1"/>
      <c r="D542" s="1"/>
      <c r="E542" s="1"/>
      <c r="F542" s="2"/>
      <c r="G542" s="2"/>
      <c r="H542" s="2"/>
      <c r="I542" s="2"/>
      <c r="J542" s="2"/>
      <c r="K542" s="2"/>
      <c r="L542" s="2"/>
      <c r="M542" s="2"/>
      <c r="N542" s="2"/>
      <c r="O542" s="2"/>
      <c r="P542" s="2"/>
      <c r="Q542" s="2"/>
      <c r="R542" s="2"/>
      <c r="S542" s="2"/>
      <c r="T542" s="2"/>
      <c r="U542" s="2"/>
      <c r="V542" s="2"/>
      <c r="W542" s="2"/>
      <c r="X542" s="2"/>
      <c r="Y542" s="2"/>
    </row>
    <row r="543" spans="1:25" ht="14.25" customHeight="1" x14ac:dyDescent="0.3">
      <c r="A543" s="2"/>
      <c r="B543" s="1"/>
      <c r="C543" s="1"/>
      <c r="D543" s="1"/>
      <c r="E543" s="1"/>
      <c r="F543" s="2"/>
      <c r="G543" s="2"/>
      <c r="H543" s="2"/>
      <c r="I543" s="2"/>
      <c r="J543" s="2"/>
      <c r="K543" s="2"/>
      <c r="L543" s="2"/>
      <c r="M543" s="2"/>
      <c r="N543" s="2"/>
      <c r="O543" s="2"/>
      <c r="P543" s="2"/>
      <c r="Q543" s="2"/>
      <c r="R543" s="2"/>
      <c r="S543" s="2"/>
      <c r="T543" s="2"/>
      <c r="U543" s="2"/>
      <c r="V543" s="2"/>
      <c r="W543" s="2"/>
      <c r="X543" s="2"/>
      <c r="Y543" s="2"/>
    </row>
    <row r="544" spans="1:25" ht="14.25" customHeight="1" x14ac:dyDescent="0.3">
      <c r="A544" s="2"/>
      <c r="B544" s="1"/>
      <c r="C544" s="1"/>
      <c r="D544" s="1"/>
      <c r="E544" s="1"/>
      <c r="F544" s="2"/>
      <c r="G544" s="2"/>
      <c r="H544" s="2"/>
      <c r="I544" s="2"/>
      <c r="J544" s="2"/>
      <c r="K544" s="2"/>
      <c r="L544" s="2"/>
      <c r="M544" s="2"/>
      <c r="N544" s="2"/>
      <c r="O544" s="2"/>
      <c r="P544" s="2"/>
      <c r="Q544" s="2"/>
      <c r="R544" s="2"/>
      <c r="S544" s="2"/>
      <c r="T544" s="2"/>
      <c r="U544" s="2"/>
      <c r="V544" s="2"/>
      <c r="W544" s="2"/>
      <c r="X544" s="2"/>
      <c r="Y544" s="2"/>
    </row>
    <row r="545" spans="1:25" ht="14.25" customHeight="1" x14ac:dyDescent="0.3">
      <c r="A545" s="2"/>
      <c r="B545" s="1"/>
      <c r="C545" s="1"/>
      <c r="D545" s="1"/>
      <c r="E545" s="1"/>
      <c r="F545" s="2"/>
      <c r="G545" s="2"/>
      <c r="H545" s="2"/>
      <c r="I545" s="2"/>
      <c r="J545" s="2"/>
      <c r="K545" s="2"/>
      <c r="L545" s="2"/>
      <c r="M545" s="2"/>
      <c r="N545" s="2"/>
      <c r="O545" s="2"/>
      <c r="P545" s="2"/>
      <c r="Q545" s="2"/>
      <c r="R545" s="2"/>
      <c r="S545" s="2"/>
      <c r="T545" s="2"/>
      <c r="U545" s="2"/>
      <c r="V545" s="2"/>
      <c r="W545" s="2"/>
      <c r="X545" s="2"/>
      <c r="Y545" s="2"/>
    </row>
    <row r="546" spans="1:25" ht="14.25" customHeight="1" x14ac:dyDescent="0.3">
      <c r="A546" s="2"/>
      <c r="B546" s="1"/>
      <c r="C546" s="1"/>
      <c r="D546" s="1"/>
      <c r="E546" s="1"/>
      <c r="F546" s="2"/>
      <c r="G546" s="2"/>
      <c r="H546" s="2"/>
      <c r="I546" s="2"/>
      <c r="J546" s="2"/>
      <c r="K546" s="2"/>
      <c r="L546" s="2"/>
      <c r="M546" s="2"/>
      <c r="N546" s="2"/>
      <c r="O546" s="2"/>
      <c r="P546" s="2"/>
      <c r="Q546" s="2"/>
      <c r="R546" s="2"/>
      <c r="S546" s="2"/>
      <c r="T546" s="2"/>
      <c r="U546" s="2"/>
      <c r="V546" s="2"/>
      <c r="W546" s="2"/>
      <c r="X546" s="2"/>
      <c r="Y546" s="2"/>
    </row>
    <row r="547" spans="1:25" ht="14.25" customHeight="1" x14ac:dyDescent="0.3">
      <c r="A547" s="2"/>
      <c r="B547" s="1"/>
      <c r="C547" s="1"/>
      <c r="D547" s="1"/>
      <c r="E547" s="1"/>
      <c r="F547" s="2"/>
      <c r="G547" s="2"/>
      <c r="H547" s="2"/>
      <c r="I547" s="2"/>
      <c r="J547" s="2"/>
      <c r="K547" s="2"/>
      <c r="L547" s="2"/>
      <c r="M547" s="2"/>
      <c r="N547" s="2"/>
      <c r="O547" s="2"/>
      <c r="P547" s="2"/>
      <c r="Q547" s="2"/>
      <c r="R547" s="2"/>
      <c r="S547" s="2"/>
      <c r="T547" s="2"/>
      <c r="U547" s="2"/>
      <c r="V547" s="2"/>
      <c r="W547" s="2"/>
      <c r="X547" s="2"/>
      <c r="Y547" s="2"/>
    </row>
    <row r="548" spans="1:25" ht="14.25" customHeight="1" x14ac:dyDescent="0.3">
      <c r="A548" s="2"/>
      <c r="B548" s="1"/>
      <c r="C548" s="1"/>
      <c r="D548" s="1"/>
      <c r="E548" s="1"/>
      <c r="F548" s="2"/>
      <c r="G548" s="2"/>
      <c r="H548" s="2"/>
      <c r="I548" s="2"/>
      <c r="J548" s="2"/>
      <c r="K548" s="2"/>
      <c r="L548" s="2"/>
      <c r="M548" s="2"/>
      <c r="N548" s="2"/>
      <c r="O548" s="2"/>
      <c r="P548" s="2"/>
      <c r="Q548" s="2"/>
      <c r="R548" s="2"/>
      <c r="S548" s="2"/>
      <c r="T548" s="2"/>
      <c r="U548" s="2"/>
      <c r="V548" s="2"/>
      <c r="W548" s="2"/>
      <c r="X548" s="2"/>
      <c r="Y548" s="2"/>
    </row>
    <row r="549" spans="1:25" ht="14.25" customHeight="1" x14ac:dyDescent="0.3">
      <c r="A549" s="2"/>
      <c r="B549" s="1"/>
      <c r="C549" s="1"/>
      <c r="D549" s="1"/>
      <c r="E549" s="1"/>
      <c r="F549" s="2"/>
      <c r="G549" s="2"/>
      <c r="H549" s="2"/>
      <c r="I549" s="2"/>
      <c r="J549" s="2"/>
      <c r="K549" s="2"/>
      <c r="L549" s="2"/>
      <c r="M549" s="2"/>
      <c r="N549" s="2"/>
      <c r="O549" s="2"/>
      <c r="P549" s="2"/>
      <c r="Q549" s="2"/>
      <c r="R549" s="2"/>
      <c r="S549" s="2"/>
      <c r="T549" s="2"/>
      <c r="U549" s="2"/>
      <c r="V549" s="2"/>
      <c r="W549" s="2"/>
      <c r="X549" s="2"/>
      <c r="Y549" s="2"/>
    </row>
    <row r="550" spans="1:25" ht="14.25" customHeight="1" x14ac:dyDescent="0.3">
      <c r="A550" s="2"/>
      <c r="B550" s="1"/>
      <c r="C550" s="1"/>
      <c r="D550" s="1"/>
      <c r="E550" s="1"/>
      <c r="F550" s="2"/>
      <c r="G550" s="2"/>
      <c r="H550" s="2"/>
      <c r="I550" s="2"/>
      <c r="J550" s="2"/>
      <c r="K550" s="2"/>
      <c r="L550" s="2"/>
      <c r="M550" s="2"/>
      <c r="N550" s="2"/>
      <c r="O550" s="2"/>
      <c r="P550" s="2"/>
      <c r="Q550" s="2"/>
      <c r="R550" s="2"/>
      <c r="S550" s="2"/>
      <c r="T550" s="2"/>
      <c r="U550" s="2"/>
      <c r="V550" s="2"/>
      <c r="W550" s="2"/>
      <c r="X550" s="2"/>
      <c r="Y550" s="2"/>
    </row>
    <row r="551" spans="1:25" ht="14.25" customHeight="1" x14ac:dyDescent="0.3">
      <c r="A551" s="2"/>
      <c r="B551" s="1"/>
      <c r="C551" s="1"/>
      <c r="D551" s="1"/>
      <c r="E551" s="1"/>
      <c r="F551" s="2"/>
      <c r="G551" s="2"/>
      <c r="H551" s="2"/>
      <c r="I551" s="2"/>
      <c r="J551" s="2"/>
      <c r="K551" s="2"/>
      <c r="L551" s="2"/>
      <c r="M551" s="2"/>
      <c r="N551" s="2"/>
      <c r="O551" s="2"/>
      <c r="P551" s="2"/>
      <c r="Q551" s="2"/>
      <c r="R551" s="2"/>
      <c r="S551" s="2"/>
      <c r="T551" s="2"/>
      <c r="U551" s="2"/>
      <c r="V551" s="2"/>
      <c r="W551" s="2"/>
      <c r="X551" s="2"/>
      <c r="Y551" s="2"/>
    </row>
    <row r="552" spans="1:25" ht="14.25" customHeight="1" x14ac:dyDescent="0.3">
      <c r="A552" s="2"/>
      <c r="B552" s="1"/>
      <c r="C552" s="1"/>
      <c r="D552" s="1"/>
      <c r="E552" s="1"/>
      <c r="F552" s="2"/>
      <c r="G552" s="2"/>
      <c r="H552" s="2"/>
      <c r="I552" s="2"/>
      <c r="J552" s="2"/>
      <c r="K552" s="2"/>
      <c r="L552" s="2"/>
      <c r="M552" s="2"/>
      <c r="N552" s="2"/>
      <c r="O552" s="2"/>
      <c r="P552" s="2"/>
      <c r="Q552" s="2"/>
      <c r="R552" s="2"/>
      <c r="S552" s="2"/>
      <c r="T552" s="2"/>
      <c r="U552" s="2"/>
      <c r="V552" s="2"/>
      <c r="W552" s="2"/>
      <c r="X552" s="2"/>
      <c r="Y552" s="2"/>
    </row>
    <row r="553" spans="1:25" ht="14.25" customHeight="1" x14ac:dyDescent="0.3">
      <c r="A553" s="2"/>
      <c r="B553" s="1"/>
      <c r="C553" s="1"/>
      <c r="D553" s="1"/>
      <c r="E553" s="1"/>
      <c r="F553" s="2"/>
      <c r="G553" s="2"/>
      <c r="H553" s="2"/>
      <c r="I553" s="2"/>
      <c r="J553" s="2"/>
      <c r="K553" s="2"/>
      <c r="L553" s="2"/>
      <c r="M553" s="2"/>
      <c r="N553" s="2"/>
      <c r="O553" s="2"/>
      <c r="P553" s="2"/>
      <c r="Q553" s="2"/>
      <c r="R553" s="2"/>
      <c r="S553" s="2"/>
      <c r="T553" s="2"/>
      <c r="U553" s="2"/>
      <c r="V553" s="2"/>
      <c r="W553" s="2"/>
      <c r="X553" s="2"/>
      <c r="Y553" s="2"/>
    </row>
    <row r="554" spans="1:25" ht="14.25" customHeight="1" x14ac:dyDescent="0.3">
      <c r="A554" s="2"/>
      <c r="B554" s="1"/>
      <c r="C554" s="1"/>
      <c r="D554" s="1"/>
      <c r="E554" s="1"/>
      <c r="F554" s="2"/>
      <c r="G554" s="2"/>
      <c r="H554" s="2"/>
      <c r="I554" s="2"/>
      <c r="J554" s="2"/>
      <c r="K554" s="2"/>
      <c r="L554" s="2"/>
      <c r="M554" s="2"/>
      <c r="N554" s="2"/>
      <c r="O554" s="2"/>
      <c r="P554" s="2"/>
      <c r="Q554" s="2"/>
      <c r="R554" s="2"/>
      <c r="S554" s="2"/>
      <c r="T554" s="2"/>
      <c r="U554" s="2"/>
      <c r="V554" s="2"/>
      <c r="W554" s="2"/>
      <c r="X554" s="2"/>
      <c r="Y554" s="2"/>
    </row>
    <row r="555" spans="1:25" ht="14.25" customHeight="1" x14ac:dyDescent="0.3">
      <c r="A555" s="2"/>
      <c r="B555" s="1"/>
      <c r="C555" s="1"/>
      <c r="D555" s="1"/>
      <c r="E555" s="1"/>
      <c r="F555" s="2"/>
      <c r="G555" s="2"/>
      <c r="H555" s="2"/>
      <c r="I555" s="2"/>
      <c r="J555" s="2"/>
      <c r="K555" s="2"/>
      <c r="L555" s="2"/>
      <c r="M555" s="2"/>
      <c r="N555" s="2"/>
      <c r="O555" s="2"/>
      <c r="P555" s="2"/>
      <c r="Q555" s="2"/>
      <c r="R555" s="2"/>
      <c r="S555" s="2"/>
      <c r="T555" s="2"/>
      <c r="U555" s="2"/>
      <c r="V555" s="2"/>
      <c r="W555" s="2"/>
      <c r="X555" s="2"/>
      <c r="Y555" s="2"/>
    </row>
    <row r="556" spans="1:25" ht="14.25" customHeight="1" x14ac:dyDescent="0.3">
      <c r="A556" s="2"/>
      <c r="B556" s="1"/>
      <c r="C556" s="1"/>
      <c r="D556" s="1"/>
      <c r="E556" s="1"/>
      <c r="F556" s="2"/>
      <c r="G556" s="2"/>
      <c r="H556" s="2"/>
      <c r="I556" s="2"/>
      <c r="J556" s="2"/>
      <c r="K556" s="2"/>
      <c r="L556" s="2"/>
      <c r="M556" s="2"/>
      <c r="N556" s="2"/>
      <c r="O556" s="2"/>
      <c r="P556" s="2"/>
      <c r="Q556" s="2"/>
      <c r="R556" s="2"/>
      <c r="S556" s="2"/>
      <c r="T556" s="2"/>
      <c r="U556" s="2"/>
      <c r="V556" s="2"/>
      <c r="W556" s="2"/>
      <c r="X556" s="2"/>
      <c r="Y556" s="2"/>
    </row>
    <row r="557" spans="1:25" ht="14.25" customHeight="1" x14ac:dyDescent="0.3">
      <c r="A557" s="2"/>
      <c r="B557" s="1"/>
      <c r="C557" s="1"/>
      <c r="D557" s="1"/>
      <c r="E557" s="1"/>
      <c r="F557" s="2"/>
      <c r="G557" s="2"/>
      <c r="H557" s="2"/>
      <c r="I557" s="2"/>
      <c r="J557" s="2"/>
      <c r="K557" s="2"/>
      <c r="L557" s="2"/>
      <c r="M557" s="2"/>
      <c r="N557" s="2"/>
      <c r="O557" s="2"/>
      <c r="P557" s="2"/>
      <c r="Q557" s="2"/>
      <c r="R557" s="2"/>
      <c r="S557" s="2"/>
      <c r="T557" s="2"/>
      <c r="U557" s="2"/>
      <c r="V557" s="2"/>
      <c r="W557" s="2"/>
      <c r="X557" s="2"/>
      <c r="Y557" s="2"/>
    </row>
    <row r="558" spans="1:25" ht="14.25" customHeight="1" x14ac:dyDescent="0.3">
      <c r="A558" s="2"/>
      <c r="B558" s="1"/>
      <c r="C558" s="1"/>
      <c r="D558" s="1"/>
      <c r="E558" s="1"/>
      <c r="F558" s="2"/>
      <c r="G558" s="2"/>
      <c r="H558" s="2"/>
      <c r="I558" s="2"/>
      <c r="J558" s="2"/>
      <c r="K558" s="2"/>
      <c r="L558" s="2"/>
      <c r="M558" s="2"/>
      <c r="N558" s="2"/>
      <c r="O558" s="2"/>
      <c r="P558" s="2"/>
      <c r="Q558" s="2"/>
      <c r="R558" s="2"/>
      <c r="S558" s="2"/>
      <c r="T558" s="2"/>
      <c r="U558" s="2"/>
      <c r="V558" s="2"/>
      <c r="W558" s="2"/>
      <c r="X558" s="2"/>
      <c r="Y558" s="2"/>
    </row>
    <row r="559" spans="1:25" ht="14.25" customHeight="1" x14ac:dyDescent="0.3">
      <c r="A559" s="2"/>
      <c r="B559" s="1"/>
      <c r="C559" s="1"/>
      <c r="D559" s="1"/>
      <c r="E559" s="1"/>
      <c r="F559" s="2"/>
      <c r="G559" s="2"/>
      <c r="H559" s="2"/>
      <c r="I559" s="2"/>
      <c r="J559" s="2"/>
      <c r="K559" s="2"/>
      <c r="L559" s="2"/>
      <c r="M559" s="2"/>
      <c r="N559" s="2"/>
      <c r="O559" s="2"/>
      <c r="P559" s="2"/>
      <c r="Q559" s="2"/>
      <c r="R559" s="2"/>
      <c r="S559" s="2"/>
      <c r="T559" s="2"/>
      <c r="U559" s="2"/>
      <c r="V559" s="2"/>
      <c r="W559" s="2"/>
      <c r="X559" s="2"/>
      <c r="Y559" s="2"/>
    </row>
    <row r="560" spans="1:25" ht="14.25" customHeight="1" x14ac:dyDescent="0.3">
      <c r="A560" s="2"/>
      <c r="B560" s="1"/>
      <c r="C560" s="1"/>
      <c r="D560" s="1"/>
      <c r="E560" s="1"/>
      <c r="F560" s="2"/>
      <c r="G560" s="2"/>
      <c r="H560" s="2"/>
      <c r="I560" s="2"/>
      <c r="J560" s="2"/>
      <c r="K560" s="2"/>
      <c r="L560" s="2"/>
      <c r="M560" s="2"/>
      <c r="N560" s="2"/>
      <c r="O560" s="2"/>
      <c r="P560" s="2"/>
      <c r="Q560" s="2"/>
      <c r="R560" s="2"/>
      <c r="S560" s="2"/>
      <c r="T560" s="2"/>
      <c r="U560" s="2"/>
      <c r="V560" s="2"/>
      <c r="W560" s="2"/>
      <c r="X560" s="2"/>
      <c r="Y560" s="2"/>
    </row>
    <row r="561" spans="1:25" ht="14.25" customHeight="1" x14ac:dyDescent="0.3">
      <c r="A561" s="2"/>
      <c r="B561" s="1"/>
      <c r="C561" s="1"/>
      <c r="D561" s="1"/>
      <c r="E561" s="1"/>
      <c r="F561" s="2"/>
      <c r="G561" s="2"/>
      <c r="H561" s="2"/>
      <c r="I561" s="2"/>
      <c r="J561" s="2"/>
      <c r="K561" s="2"/>
      <c r="L561" s="2"/>
      <c r="M561" s="2"/>
      <c r="N561" s="2"/>
      <c r="O561" s="2"/>
      <c r="P561" s="2"/>
      <c r="Q561" s="2"/>
      <c r="R561" s="2"/>
      <c r="S561" s="2"/>
      <c r="T561" s="2"/>
      <c r="U561" s="2"/>
      <c r="V561" s="2"/>
      <c r="W561" s="2"/>
      <c r="X561" s="2"/>
      <c r="Y561" s="2"/>
    </row>
    <row r="562" spans="1:25" ht="14.25" customHeight="1" x14ac:dyDescent="0.3">
      <c r="A562" s="2"/>
      <c r="B562" s="1"/>
      <c r="C562" s="1"/>
      <c r="D562" s="1"/>
      <c r="E562" s="1"/>
      <c r="F562" s="2"/>
      <c r="G562" s="2"/>
      <c r="H562" s="2"/>
      <c r="I562" s="2"/>
      <c r="J562" s="2"/>
      <c r="K562" s="2"/>
      <c r="L562" s="2"/>
      <c r="M562" s="2"/>
      <c r="N562" s="2"/>
      <c r="O562" s="2"/>
      <c r="P562" s="2"/>
      <c r="Q562" s="2"/>
      <c r="R562" s="2"/>
      <c r="S562" s="2"/>
      <c r="T562" s="2"/>
      <c r="U562" s="2"/>
      <c r="V562" s="2"/>
      <c r="W562" s="2"/>
      <c r="X562" s="2"/>
      <c r="Y562" s="2"/>
    </row>
    <row r="563" spans="1:25" ht="14.25" customHeight="1" x14ac:dyDescent="0.3">
      <c r="A563" s="2"/>
      <c r="B563" s="1"/>
      <c r="C563" s="1"/>
      <c r="D563" s="1"/>
      <c r="E563" s="1"/>
      <c r="F563" s="2"/>
      <c r="G563" s="2"/>
      <c r="H563" s="2"/>
      <c r="I563" s="2"/>
      <c r="J563" s="2"/>
      <c r="K563" s="2"/>
      <c r="L563" s="2"/>
      <c r="M563" s="2"/>
      <c r="N563" s="2"/>
      <c r="O563" s="2"/>
      <c r="P563" s="2"/>
      <c r="Q563" s="2"/>
      <c r="R563" s="2"/>
      <c r="S563" s="2"/>
      <c r="T563" s="2"/>
      <c r="U563" s="2"/>
      <c r="V563" s="2"/>
      <c r="W563" s="2"/>
      <c r="X563" s="2"/>
      <c r="Y563" s="2"/>
    </row>
    <row r="564" spans="1:25" ht="14.25" customHeight="1" x14ac:dyDescent="0.3">
      <c r="A564" s="2"/>
      <c r="B564" s="1"/>
      <c r="C564" s="1"/>
      <c r="D564" s="1"/>
      <c r="E564" s="1"/>
      <c r="F564" s="2"/>
      <c r="G564" s="2"/>
      <c r="H564" s="2"/>
      <c r="I564" s="2"/>
      <c r="J564" s="2"/>
      <c r="K564" s="2"/>
      <c r="L564" s="2"/>
      <c r="M564" s="2"/>
      <c r="N564" s="2"/>
      <c r="O564" s="2"/>
      <c r="P564" s="2"/>
      <c r="Q564" s="2"/>
      <c r="R564" s="2"/>
      <c r="S564" s="2"/>
      <c r="T564" s="2"/>
      <c r="U564" s="2"/>
      <c r="V564" s="2"/>
      <c r="W564" s="2"/>
      <c r="X564" s="2"/>
      <c r="Y564" s="2"/>
    </row>
    <row r="565" spans="1:25" ht="14.25" customHeight="1" x14ac:dyDescent="0.3">
      <c r="A565" s="2"/>
      <c r="B565" s="1"/>
      <c r="C565" s="1"/>
      <c r="D565" s="1"/>
      <c r="E565" s="1"/>
      <c r="F565" s="2"/>
      <c r="G565" s="2"/>
      <c r="H565" s="2"/>
      <c r="I565" s="2"/>
      <c r="J565" s="2"/>
      <c r="K565" s="2"/>
      <c r="L565" s="2"/>
      <c r="M565" s="2"/>
      <c r="N565" s="2"/>
      <c r="O565" s="2"/>
      <c r="P565" s="2"/>
      <c r="Q565" s="2"/>
      <c r="R565" s="2"/>
      <c r="S565" s="2"/>
      <c r="T565" s="2"/>
      <c r="U565" s="2"/>
      <c r="V565" s="2"/>
      <c r="W565" s="2"/>
      <c r="X565" s="2"/>
      <c r="Y565" s="2"/>
    </row>
    <row r="566" spans="1:25" ht="14.25" customHeight="1" x14ac:dyDescent="0.3">
      <c r="A566" s="2"/>
      <c r="B566" s="1"/>
      <c r="C566" s="1"/>
      <c r="D566" s="1"/>
      <c r="E566" s="1"/>
      <c r="F566" s="2"/>
      <c r="G566" s="2"/>
      <c r="H566" s="2"/>
      <c r="I566" s="2"/>
      <c r="J566" s="2"/>
      <c r="K566" s="2"/>
      <c r="L566" s="2"/>
      <c r="M566" s="2"/>
      <c r="N566" s="2"/>
      <c r="O566" s="2"/>
      <c r="P566" s="2"/>
      <c r="Q566" s="2"/>
      <c r="R566" s="2"/>
      <c r="S566" s="2"/>
      <c r="T566" s="2"/>
      <c r="U566" s="2"/>
      <c r="V566" s="2"/>
      <c r="W566" s="2"/>
      <c r="X566" s="2"/>
      <c r="Y566" s="2"/>
    </row>
    <row r="567" spans="1:25" ht="14.25" customHeight="1" x14ac:dyDescent="0.3">
      <c r="A567" s="2"/>
      <c r="B567" s="1"/>
      <c r="C567" s="1"/>
      <c r="D567" s="1"/>
      <c r="E567" s="1"/>
      <c r="F567" s="2"/>
      <c r="G567" s="2"/>
      <c r="H567" s="2"/>
      <c r="I567" s="2"/>
      <c r="J567" s="2"/>
      <c r="K567" s="2"/>
      <c r="L567" s="2"/>
      <c r="M567" s="2"/>
      <c r="N567" s="2"/>
      <c r="O567" s="2"/>
      <c r="P567" s="2"/>
      <c r="Q567" s="2"/>
      <c r="R567" s="2"/>
      <c r="S567" s="2"/>
      <c r="T567" s="2"/>
      <c r="U567" s="2"/>
      <c r="V567" s="2"/>
      <c r="W567" s="2"/>
      <c r="X567" s="2"/>
      <c r="Y567" s="2"/>
    </row>
    <row r="568" spans="1:25" ht="14.25" customHeight="1" x14ac:dyDescent="0.3">
      <c r="A568" s="2"/>
      <c r="B568" s="1"/>
      <c r="C568" s="1"/>
      <c r="D568" s="1"/>
      <c r="E568" s="1"/>
      <c r="F568" s="2"/>
      <c r="G568" s="2"/>
      <c r="H568" s="2"/>
      <c r="I568" s="2"/>
      <c r="J568" s="2"/>
      <c r="K568" s="2"/>
      <c r="L568" s="2"/>
      <c r="M568" s="2"/>
      <c r="N568" s="2"/>
      <c r="O568" s="2"/>
      <c r="P568" s="2"/>
      <c r="Q568" s="2"/>
      <c r="R568" s="2"/>
      <c r="S568" s="2"/>
      <c r="T568" s="2"/>
      <c r="U568" s="2"/>
      <c r="V568" s="2"/>
      <c r="W568" s="2"/>
      <c r="X568" s="2"/>
      <c r="Y568" s="2"/>
    </row>
    <row r="569" spans="1:25" ht="14.25" customHeight="1" x14ac:dyDescent="0.3">
      <c r="A569" s="2"/>
      <c r="B569" s="1"/>
      <c r="C569" s="1"/>
      <c r="D569" s="1"/>
      <c r="E569" s="1"/>
      <c r="F569" s="2"/>
      <c r="G569" s="2"/>
      <c r="H569" s="2"/>
      <c r="I569" s="2"/>
      <c r="J569" s="2"/>
      <c r="K569" s="2"/>
      <c r="L569" s="2"/>
      <c r="M569" s="2"/>
      <c r="N569" s="2"/>
      <c r="O569" s="2"/>
      <c r="P569" s="2"/>
      <c r="Q569" s="2"/>
      <c r="R569" s="2"/>
      <c r="S569" s="2"/>
      <c r="T569" s="2"/>
      <c r="U569" s="2"/>
      <c r="V569" s="2"/>
      <c r="W569" s="2"/>
      <c r="X569" s="2"/>
      <c r="Y569" s="2"/>
    </row>
    <row r="570" spans="1:25" ht="14.25" customHeight="1" x14ac:dyDescent="0.3">
      <c r="A570" s="2"/>
      <c r="B570" s="1"/>
      <c r="C570" s="1"/>
      <c r="D570" s="1"/>
      <c r="E570" s="1"/>
      <c r="F570" s="2"/>
      <c r="G570" s="2"/>
      <c r="H570" s="2"/>
      <c r="I570" s="2"/>
      <c r="J570" s="2"/>
      <c r="K570" s="2"/>
      <c r="L570" s="2"/>
      <c r="M570" s="2"/>
      <c r="N570" s="2"/>
      <c r="O570" s="2"/>
      <c r="P570" s="2"/>
      <c r="Q570" s="2"/>
      <c r="R570" s="2"/>
      <c r="S570" s="2"/>
      <c r="T570" s="2"/>
      <c r="U570" s="2"/>
      <c r="V570" s="2"/>
      <c r="W570" s="2"/>
      <c r="X570" s="2"/>
      <c r="Y570" s="2"/>
    </row>
    <row r="571" spans="1:25" ht="14.25" customHeight="1" x14ac:dyDescent="0.3">
      <c r="A571" s="2"/>
      <c r="B571" s="1"/>
      <c r="C571" s="1"/>
      <c r="D571" s="1"/>
      <c r="E571" s="1"/>
      <c r="F571" s="2"/>
      <c r="G571" s="2"/>
      <c r="H571" s="2"/>
      <c r="I571" s="2"/>
      <c r="J571" s="2"/>
      <c r="K571" s="2"/>
      <c r="L571" s="2"/>
      <c r="M571" s="2"/>
      <c r="N571" s="2"/>
      <c r="O571" s="2"/>
      <c r="P571" s="2"/>
      <c r="Q571" s="2"/>
      <c r="R571" s="2"/>
      <c r="S571" s="2"/>
      <c r="T571" s="2"/>
      <c r="U571" s="2"/>
      <c r="V571" s="2"/>
      <c r="W571" s="2"/>
      <c r="X571" s="2"/>
      <c r="Y571" s="2"/>
    </row>
    <row r="572" spans="1:25" ht="14.25" customHeight="1" x14ac:dyDescent="0.3">
      <c r="A572" s="2"/>
      <c r="B572" s="1"/>
      <c r="C572" s="1"/>
      <c r="D572" s="1"/>
      <c r="E572" s="1"/>
      <c r="F572" s="2"/>
      <c r="G572" s="2"/>
      <c r="H572" s="2"/>
      <c r="I572" s="2"/>
      <c r="J572" s="2"/>
      <c r="K572" s="2"/>
      <c r="L572" s="2"/>
      <c r="M572" s="2"/>
      <c r="N572" s="2"/>
      <c r="O572" s="2"/>
      <c r="P572" s="2"/>
      <c r="Q572" s="2"/>
      <c r="R572" s="2"/>
      <c r="S572" s="2"/>
      <c r="T572" s="2"/>
      <c r="U572" s="2"/>
      <c r="V572" s="2"/>
      <c r="W572" s="2"/>
      <c r="X572" s="2"/>
      <c r="Y572" s="2"/>
    </row>
    <row r="573" spans="1:25" ht="14.25" customHeight="1" x14ac:dyDescent="0.3">
      <c r="A573" s="2"/>
      <c r="B573" s="1"/>
      <c r="C573" s="1"/>
      <c r="D573" s="1"/>
      <c r="E573" s="1"/>
      <c r="F573" s="2"/>
      <c r="G573" s="2"/>
      <c r="H573" s="2"/>
      <c r="I573" s="2"/>
      <c r="J573" s="2"/>
      <c r="K573" s="2"/>
      <c r="L573" s="2"/>
      <c r="M573" s="2"/>
      <c r="N573" s="2"/>
      <c r="O573" s="2"/>
      <c r="P573" s="2"/>
      <c r="Q573" s="2"/>
      <c r="R573" s="2"/>
      <c r="S573" s="2"/>
      <c r="T573" s="2"/>
      <c r="U573" s="2"/>
      <c r="V573" s="2"/>
      <c r="W573" s="2"/>
      <c r="X573" s="2"/>
      <c r="Y573" s="2"/>
    </row>
    <row r="574" spans="1:25" ht="14.25" customHeight="1" x14ac:dyDescent="0.3">
      <c r="A574" s="2"/>
      <c r="B574" s="1"/>
      <c r="C574" s="1"/>
      <c r="D574" s="1"/>
      <c r="E574" s="1"/>
      <c r="F574" s="2"/>
      <c r="G574" s="2"/>
      <c r="H574" s="2"/>
      <c r="I574" s="2"/>
      <c r="J574" s="2"/>
      <c r="K574" s="2"/>
      <c r="L574" s="2"/>
      <c r="M574" s="2"/>
      <c r="N574" s="2"/>
      <c r="O574" s="2"/>
      <c r="P574" s="2"/>
      <c r="Q574" s="2"/>
      <c r="R574" s="2"/>
      <c r="S574" s="2"/>
      <c r="T574" s="2"/>
      <c r="U574" s="2"/>
      <c r="V574" s="2"/>
      <c r="W574" s="2"/>
      <c r="X574" s="2"/>
      <c r="Y574" s="2"/>
    </row>
    <row r="575" spans="1:25" ht="14.25" customHeight="1" x14ac:dyDescent="0.3">
      <c r="A575" s="2"/>
      <c r="B575" s="1"/>
      <c r="C575" s="1"/>
      <c r="D575" s="1"/>
      <c r="E575" s="1"/>
      <c r="F575" s="2"/>
      <c r="G575" s="2"/>
      <c r="H575" s="2"/>
      <c r="I575" s="2"/>
      <c r="J575" s="2"/>
      <c r="K575" s="2"/>
      <c r="L575" s="2"/>
      <c r="M575" s="2"/>
      <c r="N575" s="2"/>
      <c r="O575" s="2"/>
      <c r="P575" s="2"/>
      <c r="Q575" s="2"/>
      <c r="R575" s="2"/>
      <c r="S575" s="2"/>
      <c r="T575" s="2"/>
      <c r="U575" s="2"/>
      <c r="V575" s="2"/>
      <c r="W575" s="2"/>
      <c r="X575" s="2"/>
      <c r="Y575" s="2"/>
    </row>
    <row r="576" spans="1:25" ht="14.25" customHeight="1" x14ac:dyDescent="0.3">
      <c r="A576" s="2"/>
      <c r="B576" s="1"/>
      <c r="C576" s="1"/>
      <c r="D576" s="1"/>
      <c r="E576" s="1"/>
      <c r="F576" s="2"/>
      <c r="G576" s="2"/>
      <c r="H576" s="2"/>
      <c r="I576" s="2"/>
      <c r="J576" s="2"/>
      <c r="K576" s="2"/>
      <c r="L576" s="2"/>
      <c r="M576" s="2"/>
      <c r="N576" s="2"/>
      <c r="O576" s="2"/>
      <c r="P576" s="2"/>
      <c r="Q576" s="2"/>
      <c r="R576" s="2"/>
      <c r="S576" s="2"/>
      <c r="T576" s="2"/>
      <c r="U576" s="2"/>
      <c r="V576" s="2"/>
      <c r="W576" s="2"/>
      <c r="X576" s="2"/>
      <c r="Y576" s="2"/>
    </row>
    <row r="577" spans="1:25" ht="14.25" customHeight="1" x14ac:dyDescent="0.3">
      <c r="A577" s="2"/>
      <c r="B577" s="1"/>
      <c r="C577" s="1"/>
      <c r="D577" s="1"/>
      <c r="E577" s="1"/>
      <c r="F577" s="2"/>
      <c r="G577" s="2"/>
      <c r="H577" s="2"/>
      <c r="I577" s="2"/>
      <c r="J577" s="2"/>
      <c r="K577" s="2"/>
      <c r="L577" s="2"/>
      <c r="M577" s="2"/>
      <c r="N577" s="2"/>
      <c r="O577" s="2"/>
      <c r="P577" s="2"/>
      <c r="Q577" s="2"/>
      <c r="R577" s="2"/>
      <c r="S577" s="2"/>
      <c r="T577" s="2"/>
      <c r="U577" s="2"/>
      <c r="V577" s="2"/>
      <c r="W577" s="2"/>
      <c r="X577" s="2"/>
      <c r="Y577" s="2"/>
    </row>
    <row r="578" spans="1:25" ht="14.25" customHeight="1" x14ac:dyDescent="0.3">
      <c r="A578" s="2"/>
      <c r="B578" s="1"/>
      <c r="C578" s="1"/>
      <c r="D578" s="1"/>
      <c r="E578" s="1"/>
      <c r="F578" s="2"/>
      <c r="G578" s="2"/>
      <c r="H578" s="2"/>
      <c r="I578" s="2"/>
      <c r="J578" s="2"/>
      <c r="K578" s="2"/>
      <c r="L578" s="2"/>
      <c r="M578" s="2"/>
      <c r="N578" s="2"/>
      <c r="O578" s="2"/>
      <c r="P578" s="2"/>
      <c r="Q578" s="2"/>
      <c r="R578" s="2"/>
      <c r="S578" s="2"/>
      <c r="T578" s="2"/>
      <c r="U578" s="2"/>
      <c r="V578" s="2"/>
      <c r="W578" s="2"/>
      <c r="X578" s="2"/>
      <c r="Y578" s="2"/>
    </row>
    <row r="579" spans="1:25" ht="14.25" customHeight="1" x14ac:dyDescent="0.3">
      <c r="A579" s="2"/>
      <c r="B579" s="1"/>
      <c r="C579" s="1"/>
      <c r="D579" s="1"/>
      <c r="E579" s="1"/>
      <c r="F579" s="2"/>
      <c r="G579" s="2"/>
      <c r="H579" s="2"/>
      <c r="I579" s="2"/>
      <c r="J579" s="2"/>
      <c r="K579" s="2"/>
      <c r="L579" s="2"/>
      <c r="M579" s="2"/>
      <c r="N579" s="2"/>
      <c r="O579" s="2"/>
      <c r="P579" s="2"/>
      <c r="Q579" s="2"/>
      <c r="R579" s="2"/>
      <c r="S579" s="2"/>
      <c r="T579" s="2"/>
      <c r="U579" s="2"/>
      <c r="V579" s="2"/>
      <c r="W579" s="2"/>
      <c r="X579" s="2"/>
      <c r="Y579" s="2"/>
    </row>
    <row r="580" spans="1:25" ht="14.25" customHeight="1" x14ac:dyDescent="0.3">
      <c r="A580" s="2"/>
      <c r="B580" s="1"/>
      <c r="C580" s="1"/>
      <c r="D580" s="1"/>
      <c r="E580" s="1"/>
      <c r="F580" s="2"/>
      <c r="G580" s="2"/>
      <c r="H580" s="2"/>
      <c r="I580" s="2"/>
      <c r="J580" s="2"/>
      <c r="K580" s="2"/>
      <c r="L580" s="2"/>
      <c r="M580" s="2"/>
      <c r="N580" s="2"/>
      <c r="O580" s="2"/>
      <c r="P580" s="2"/>
      <c r="Q580" s="2"/>
      <c r="R580" s="2"/>
      <c r="S580" s="2"/>
      <c r="T580" s="2"/>
      <c r="U580" s="2"/>
      <c r="V580" s="2"/>
      <c r="W580" s="2"/>
      <c r="X580" s="2"/>
      <c r="Y580" s="2"/>
    </row>
    <row r="581" spans="1:25" ht="14.25" customHeight="1" x14ac:dyDescent="0.3">
      <c r="A581" s="2"/>
      <c r="B581" s="1"/>
      <c r="C581" s="1"/>
      <c r="D581" s="1"/>
      <c r="E581" s="1"/>
      <c r="F581" s="2"/>
      <c r="G581" s="2"/>
      <c r="H581" s="2"/>
      <c r="I581" s="2"/>
      <c r="J581" s="2"/>
      <c r="K581" s="2"/>
      <c r="L581" s="2"/>
      <c r="M581" s="2"/>
      <c r="N581" s="2"/>
      <c r="O581" s="2"/>
      <c r="P581" s="2"/>
      <c r="Q581" s="2"/>
      <c r="R581" s="2"/>
      <c r="S581" s="2"/>
      <c r="T581" s="2"/>
      <c r="U581" s="2"/>
      <c r="V581" s="2"/>
      <c r="W581" s="2"/>
      <c r="X581" s="2"/>
      <c r="Y581" s="2"/>
    </row>
    <row r="582" spans="1:25" ht="14.25" customHeight="1" x14ac:dyDescent="0.3">
      <c r="A582" s="2"/>
      <c r="B582" s="1"/>
      <c r="C582" s="1"/>
      <c r="D582" s="1"/>
      <c r="E582" s="1"/>
      <c r="F582" s="2"/>
      <c r="G582" s="2"/>
      <c r="H582" s="2"/>
      <c r="I582" s="2"/>
      <c r="J582" s="2"/>
      <c r="K582" s="2"/>
      <c r="L582" s="2"/>
      <c r="M582" s="2"/>
      <c r="N582" s="2"/>
      <c r="O582" s="2"/>
      <c r="P582" s="2"/>
      <c r="Q582" s="2"/>
      <c r="R582" s="2"/>
      <c r="S582" s="2"/>
      <c r="T582" s="2"/>
      <c r="U582" s="2"/>
      <c r="V582" s="2"/>
      <c r="W582" s="2"/>
      <c r="X582" s="2"/>
      <c r="Y582" s="2"/>
    </row>
    <row r="583" spans="1:25" ht="14.25" customHeight="1" x14ac:dyDescent="0.3">
      <c r="A583" s="2"/>
      <c r="B583" s="1"/>
      <c r="C583" s="1"/>
      <c r="D583" s="1"/>
      <c r="E583" s="1"/>
      <c r="F583" s="2"/>
      <c r="G583" s="2"/>
      <c r="H583" s="2"/>
      <c r="I583" s="2"/>
      <c r="J583" s="2"/>
      <c r="K583" s="2"/>
      <c r="L583" s="2"/>
      <c r="M583" s="2"/>
      <c r="N583" s="2"/>
      <c r="O583" s="2"/>
      <c r="P583" s="2"/>
      <c r="Q583" s="2"/>
      <c r="R583" s="2"/>
      <c r="S583" s="2"/>
      <c r="T583" s="2"/>
      <c r="U583" s="2"/>
      <c r="V583" s="2"/>
      <c r="W583" s="2"/>
      <c r="X583" s="2"/>
      <c r="Y583" s="2"/>
    </row>
    <row r="584" spans="1:25" ht="14.25" customHeight="1" x14ac:dyDescent="0.3">
      <c r="A584" s="2"/>
      <c r="B584" s="1"/>
      <c r="C584" s="1"/>
      <c r="D584" s="1"/>
      <c r="E584" s="1"/>
      <c r="F584" s="2"/>
      <c r="G584" s="2"/>
      <c r="H584" s="2"/>
      <c r="I584" s="2"/>
      <c r="J584" s="2"/>
      <c r="K584" s="2"/>
      <c r="L584" s="2"/>
      <c r="M584" s="2"/>
      <c r="N584" s="2"/>
      <c r="O584" s="2"/>
      <c r="P584" s="2"/>
      <c r="Q584" s="2"/>
      <c r="R584" s="2"/>
      <c r="S584" s="2"/>
      <c r="T584" s="2"/>
      <c r="U584" s="2"/>
      <c r="V584" s="2"/>
      <c r="W584" s="2"/>
      <c r="X584" s="2"/>
      <c r="Y584" s="2"/>
    </row>
    <row r="585" spans="1:25" ht="14.25" customHeight="1" x14ac:dyDescent="0.3">
      <c r="A585" s="2"/>
      <c r="B585" s="1"/>
      <c r="C585" s="1"/>
      <c r="D585" s="1"/>
      <c r="E585" s="1"/>
      <c r="F585" s="2"/>
      <c r="G585" s="2"/>
      <c r="H585" s="2"/>
      <c r="I585" s="2"/>
      <c r="J585" s="2"/>
      <c r="K585" s="2"/>
      <c r="L585" s="2"/>
      <c r="M585" s="2"/>
      <c r="N585" s="2"/>
      <c r="O585" s="2"/>
      <c r="P585" s="2"/>
      <c r="Q585" s="2"/>
      <c r="R585" s="2"/>
      <c r="S585" s="2"/>
      <c r="T585" s="2"/>
      <c r="U585" s="2"/>
      <c r="V585" s="2"/>
      <c r="W585" s="2"/>
      <c r="X585" s="2"/>
      <c r="Y585" s="2"/>
    </row>
    <row r="586" spans="1:25" ht="14.25" customHeight="1" x14ac:dyDescent="0.3">
      <c r="A586" s="2"/>
      <c r="B586" s="1"/>
      <c r="C586" s="1"/>
      <c r="D586" s="1"/>
      <c r="E586" s="1"/>
      <c r="F586" s="2"/>
      <c r="G586" s="2"/>
      <c r="H586" s="2"/>
      <c r="I586" s="2"/>
      <c r="J586" s="2"/>
      <c r="K586" s="2"/>
      <c r="L586" s="2"/>
      <c r="M586" s="2"/>
      <c r="N586" s="2"/>
      <c r="O586" s="2"/>
      <c r="P586" s="2"/>
      <c r="Q586" s="2"/>
      <c r="R586" s="2"/>
      <c r="S586" s="2"/>
      <c r="T586" s="2"/>
      <c r="U586" s="2"/>
      <c r="V586" s="2"/>
      <c r="W586" s="2"/>
      <c r="X586" s="2"/>
      <c r="Y586" s="2"/>
    </row>
    <row r="587" spans="1:25" ht="14.25" customHeight="1" x14ac:dyDescent="0.3">
      <c r="A587" s="2"/>
      <c r="B587" s="1"/>
      <c r="C587" s="1"/>
      <c r="D587" s="1"/>
      <c r="E587" s="1"/>
      <c r="F587" s="2"/>
      <c r="G587" s="2"/>
      <c r="H587" s="2"/>
      <c r="I587" s="2"/>
      <c r="J587" s="2"/>
      <c r="K587" s="2"/>
      <c r="L587" s="2"/>
      <c r="M587" s="2"/>
      <c r="N587" s="2"/>
      <c r="O587" s="2"/>
      <c r="P587" s="2"/>
      <c r="Q587" s="2"/>
      <c r="R587" s="2"/>
      <c r="S587" s="2"/>
      <c r="T587" s="2"/>
      <c r="U587" s="2"/>
      <c r="V587" s="2"/>
      <c r="W587" s="2"/>
      <c r="X587" s="2"/>
      <c r="Y587" s="2"/>
    </row>
    <row r="588" spans="1:25" ht="14.25" customHeight="1" x14ac:dyDescent="0.3">
      <c r="A588" s="2"/>
      <c r="B588" s="1"/>
      <c r="C588" s="1"/>
      <c r="D588" s="1"/>
      <c r="E588" s="1"/>
      <c r="F588" s="2"/>
      <c r="G588" s="2"/>
      <c r="H588" s="2"/>
      <c r="I588" s="2"/>
      <c r="J588" s="2"/>
      <c r="K588" s="2"/>
      <c r="L588" s="2"/>
      <c r="M588" s="2"/>
      <c r="N588" s="2"/>
      <c r="O588" s="2"/>
      <c r="P588" s="2"/>
      <c r="Q588" s="2"/>
      <c r="R588" s="2"/>
      <c r="S588" s="2"/>
      <c r="T588" s="2"/>
      <c r="U588" s="2"/>
      <c r="V588" s="2"/>
      <c r="W588" s="2"/>
      <c r="X588" s="2"/>
      <c r="Y588" s="2"/>
    </row>
    <row r="589" spans="1:25" ht="14.25" customHeight="1" x14ac:dyDescent="0.3">
      <c r="A589" s="2"/>
      <c r="B589" s="1"/>
      <c r="C589" s="1"/>
      <c r="D589" s="1"/>
      <c r="E589" s="1"/>
      <c r="F589" s="2"/>
      <c r="G589" s="2"/>
      <c r="H589" s="2"/>
      <c r="I589" s="2"/>
      <c r="J589" s="2"/>
      <c r="K589" s="2"/>
      <c r="L589" s="2"/>
      <c r="M589" s="2"/>
      <c r="N589" s="2"/>
      <c r="O589" s="2"/>
      <c r="P589" s="2"/>
      <c r="Q589" s="2"/>
      <c r="R589" s="2"/>
      <c r="S589" s="2"/>
      <c r="T589" s="2"/>
      <c r="U589" s="2"/>
      <c r="V589" s="2"/>
      <c r="W589" s="2"/>
      <c r="X589" s="2"/>
      <c r="Y589" s="2"/>
    </row>
    <row r="590" spans="1:25" ht="14.25" customHeight="1" x14ac:dyDescent="0.3">
      <c r="A590" s="2"/>
      <c r="B590" s="1"/>
      <c r="C590" s="1"/>
      <c r="D590" s="1"/>
      <c r="E590" s="1"/>
      <c r="F590" s="2"/>
      <c r="G590" s="2"/>
      <c r="H590" s="2"/>
      <c r="I590" s="2"/>
      <c r="J590" s="2"/>
      <c r="K590" s="2"/>
      <c r="L590" s="2"/>
      <c r="M590" s="2"/>
      <c r="N590" s="2"/>
      <c r="O590" s="2"/>
      <c r="P590" s="2"/>
      <c r="Q590" s="2"/>
      <c r="R590" s="2"/>
      <c r="S590" s="2"/>
      <c r="T590" s="2"/>
      <c r="U590" s="2"/>
      <c r="V590" s="2"/>
      <c r="W590" s="2"/>
      <c r="X590" s="2"/>
      <c r="Y590" s="2"/>
    </row>
    <row r="591" spans="1:25" ht="14.25" customHeight="1" x14ac:dyDescent="0.3">
      <c r="A591" s="2"/>
      <c r="B591" s="1"/>
      <c r="C591" s="1"/>
      <c r="D591" s="1"/>
      <c r="E591" s="1"/>
      <c r="F591" s="2"/>
      <c r="G591" s="2"/>
      <c r="H591" s="2"/>
      <c r="I591" s="2"/>
      <c r="J591" s="2"/>
      <c r="K591" s="2"/>
      <c r="L591" s="2"/>
      <c r="M591" s="2"/>
      <c r="N591" s="2"/>
      <c r="O591" s="2"/>
      <c r="P591" s="2"/>
      <c r="Q591" s="2"/>
      <c r="R591" s="2"/>
      <c r="S591" s="2"/>
      <c r="T591" s="2"/>
      <c r="U591" s="2"/>
      <c r="V591" s="2"/>
      <c r="W591" s="2"/>
      <c r="X591" s="2"/>
      <c r="Y591" s="2"/>
    </row>
    <row r="592" spans="1:25" ht="14.25" customHeight="1" x14ac:dyDescent="0.3">
      <c r="A592" s="2"/>
      <c r="B592" s="1"/>
      <c r="C592" s="1"/>
      <c r="D592" s="1"/>
      <c r="E592" s="1"/>
      <c r="F592" s="2"/>
      <c r="G592" s="2"/>
      <c r="H592" s="2"/>
      <c r="I592" s="2"/>
      <c r="J592" s="2"/>
      <c r="K592" s="2"/>
      <c r="L592" s="2"/>
      <c r="M592" s="2"/>
      <c r="N592" s="2"/>
      <c r="O592" s="2"/>
      <c r="P592" s="2"/>
      <c r="Q592" s="2"/>
      <c r="R592" s="2"/>
      <c r="S592" s="2"/>
      <c r="T592" s="2"/>
      <c r="U592" s="2"/>
      <c r="V592" s="2"/>
      <c r="W592" s="2"/>
      <c r="X592" s="2"/>
      <c r="Y592" s="2"/>
    </row>
    <row r="593" spans="1:25" ht="14.25" customHeight="1" x14ac:dyDescent="0.3">
      <c r="A593" s="2"/>
      <c r="B593" s="1"/>
      <c r="C593" s="1"/>
      <c r="D593" s="1"/>
      <c r="E593" s="1"/>
      <c r="F593" s="2"/>
      <c r="G593" s="2"/>
      <c r="H593" s="2"/>
      <c r="I593" s="2"/>
      <c r="J593" s="2"/>
      <c r="K593" s="2"/>
      <c r="L593" s="2"/>
      <c r="M593" s="2"/>
      <c r="N593" s="2"/>
      <c r="O593" s="2"/>
      <c r="P593" s="2"/>
      <c r="Q593" s="2"/>
      <c r="R593" s="2"/>
      <c r="S593" s="2"/>
      <c r="T593" s="2"/>
      <c r="U593" s="2"/>
      <c r="V593" s="2"/>
      <c r="W593" s="2"/>
      <c r="X593" s="2"/>
      <c r="Y593" s="2"/>
    </row>
    <row r="594" spans="1:25" ht="14.25" customHeight="1" x14ac:dyDescent="0.3">
      <c r="A594" s="2"/>
      <c r="B594" s="1"/>
      <c r="C594" s="1"/>
      <c r="D594" s="1"/>
      <c r="E594" s="1"/>
      <c r="F594" s="2"/>
      <c r="G594" s="2"/>
      <c r="H594" s="2"/>
      <c r="I594" s="2"/>
      <c r="J594" s="2"/>
      <c r="K594" s="2"/>
      <c r="L594" s="2"/>
      <c r="M594" s="2"/>
      <c r="N594" s="2"/>
      <c r="O594" s="2"/>
      <c r="P594" s="2"/>
      <c r="Q594" s="2"/>
      <c r="R594" s="2"/>
      <c r="S594" s="2"/>
      <c r="T594" s="2"/>
      <c r="U594" s="2"/>
      <c r="V594" s="2"/>
      <c r="W594" s="2"/>
      <c r="X594" s="2"/>
      <c r="Y594" s="2"/>
    </row>
    <row r="595" spans="1:25" ht="14.25" customHeight="1" x14ac:dyDescent="0.3">
      <c r="A595" s="2"/>
      <c r="B595" s="1"/>
      <c r="C595" s="1"/>
      <c r="D595" s="1"/>
      <c r="E595" s="1"/>
      <c r="F595" s="2"/>
      <c r="G595" s="2"/>
      <c r="H595" s="2"/>
      <c r="I595" s="2"/>
      <c r="J595" s="2"/>
      <c r="K595" s="2"/>
      <c r="L595" s="2"/>
      <c r="M595" s="2"/>
      <c r="N595" s="2"/>
      <c r="O595" s="2"/>
      <c r="P595" s="2"/>
      <c r="Q595" s="2"/>
      <c r="R595" s="2"/>
      <c r="S595" s="2"/>
      <c r="T595" s="2"/>
      <c r="U595" s="2"/>
      <c r="V595" s="2"/>
      <c r="W595" s="2"/>
      <c r="X595" s="2"/>
      <c r="Y595" s="2"/>
    </row>
    <row r="596" spans="1:25" ht="14.25" customHeight="1" x14ac:dyDescent="0.3">
      <c r="A596" s="2"/>
      <c r="B596" s="1"/>
      <c r="C596" s="1"/>
      <c r="D596" s="1"/>
      <c r="E596" s="1"/>
      <c r="F596" s="2"/>
      <c r="G596" s="2"/>
      <c r="H596" s="2"/>
      <c r="I596" s="2"/>
      <c r="J596" s="2"/>
      <c r="K596" s="2"/>
      <c r="L596" s="2"/>
      <c r="M596" s="2"/>
      <c r="N596" s="2"/>
      <c r="O596" s="2"/>
      <c r="P596" s="2"/>
      <c r="Q596" s="2"/>
      <c r="R596" s="2"/>
      <c r="S596" s="2"/>
      <c r="T596" s="2"/>
      <c r="U596" s="2"/>
      <c r="V596" s="2"/>
      <c r="W596" s="2"/>
      <c r="X596" s="2"/>
      <c r="Y596" s="2"/>
    </row>
    <row r="597" spans="1:25" ht="14.25" customHeight="1" x14ac:dyDescent="0.3">
      <c r="A597" s="2"/>
      <c r="B597" s="1"/>
      <c r="C597" s="1"/>
      <c r="D597" s="1"/>
      <c r="E597" s="1"/>
      <c r="F597" s="2"/>
      <c r="G597" s="2"/>
      <c r="H597" s="2"/>
      <c r="I597" s="2"/>
      <c r="J597" s="2"/>
      <c r="K597" s="2"/>
      <c r="L597" s="2"/>
      <c r="M597" s="2"/>
      <c r="N597" s="2"/>
      <c r="O597" s="2"/>
      <c r="P597" s="2"/>
      <c r="Q597" s="2"/>
      <c r="R597" s="2"/>
      <c r="S597" s="2"/>
      <c r="T597" s="2"/>
      <c r="U597" s="2"/>
      <c r="V597" s="2"/>
      <c r="W597" s="2"/>
      <c r="X597" s="2"/>
      <c r="Y597" s="2"/>
    </row>
    <row r="598" spans="1:25" ht="14.25" customHeight="1" x14ac:dyDescent="0.3">
      <c r="A598" s="2"/>
      <c r="B598" s="1"/>
      <c r="C598" s="1"/>
      <c r="D598" s="1"/>
      <c r="E598" s="1"/>
      <c r="F598" s="2"/>
      <c r="G598" s="2"/>
      <c r="H598" s="2"/>
      <c r="I598" s="2"/>
      <c r="J598" s="2"/>
      <c r="K598" s="2"/>
      <c r="L598" s="2"/>
      <c r="M598" s="2"/>
      <c r="N598" s="2"/>
      <c r="O598" s="2"/>
      <c r="P598" s="2"/>
      <c r="Q598" s="2"/>
      <c r="R598" s="2"/>
      <c r="S598" s="2"/>
      <c r="T598" s="2"/>
      <c r="U598" s="2"/>
      <c r="V598" s="2"/>
      <c r="W598" s="2"/>
      <c r="X598" s="2"/>
      <c r="Y598" s="2"/>
    </row>
    <row r="599" spans="1:25" ht="14.25" customHeight="1" x14ac:dyDescent="0.3">
      <c r="A599" s="2"/>
      <c r="B599" s="1"/>
      <c r="C599" s="1"/>
      <c r="D599" s="1"/>
      <c r="E599" s="1"/>
      <c r="F599" s="2"/>
      <c r="G599" s="2"/>
      <c r="H599" s="2"/>
      <c r="I599" s="2"/>
      <c r="J599" s="2"/>
      <c r="K599" s="2"/>
      <c r="L599" s="2"/>
      <c r="M599" s="2"/>
      <c r="N599" s="2"/>
      <c r="O599" s="2"/>
      <c r="P599" s="2"/>
      <c r="Q599" s="2"/>
      <c r="R599" s="2"/>
      <c r="S599" s="2"/>
      <c r="T599" s="2"/>
      <c r="U599" s="2"/>
      <c r="V599" s="2"/>
      <c r="W599" s="2"/>
      <c r="X599" s="2"/>
      <c r="Y599" s="2"/>
    </row>
    <row r="600" spans="1:25" ht="14.25" customHeight="1" x14ac:dyDescent="0.3">
      <c r="A600" s="2"/>
      <c r="B600" s="1"/>
      <c r="C600" s="1"/>
      <c r="D600" s="1"/>
      <c r="E600" s="1"/>
      <c r="F600" s="2"/>
      <c r="G600" s="2"/>
      <c r="H600" s="2"/>
      <c r="I600" s="2"/>
      <c r="J600" s="2"/>
      <c r="K600" s="2"/>
      <c r="L600" s="2"/>
      <c r="M600" s="2"/>
      <c r="N600" s="2"/>
      <c r="O600" s="2"/>
      <c r="P600" s="2"/>
      <c r="Q600" s="2"/>
      <c r="R600" s="2"/>
      <c r="S600" s="2"/>
      <c r="T600" s="2"/>
      <c r="U600" s="2"/>
      <c r="V600" s="2"/>
      <c r="W600" s="2"/>
      <c r="X600" s="2"/>
      <c r="Y600" s="2"/>
    </row>
    <row r="601" spans="1:25" ht="14.25" customHeight="1" x14ac:dyDescent="0.3">
      <c r="A601" s="2"/>
      <c r="B601" s="1"/>
      <c r="C601" s="1"/>
      <c r="D601" s="1"/>
      <c r="E601" s="1"/>
      <c r="F601" s="2"/>
      <c r="G601" s="2"/>
      <c r="H601" s="2"/>
      <c r="I601" s="2"/>
      <c r="J601" s="2"/>
      <c r="K601" s="2"/>
      <c r="L601" s="2"/>
      <c r="M601" s="2"/>
      <c r="N601" s="2"/>
      <c r="O601" s="2"/>
      <c r="P601" s="2"/>
      <c r="Q601" s="2"/>
      <c r="R601" s="2"/>
      <c r="S601" s="2"/>
      <c r="T601" s="2"/>
      <c r="U601" s="2"/>
      <c r="V601" s="2"/>
      <c r="W601" s="2"/>
      <c r="X601" s="2"/>
      <c r="Y601" s="2"/>
    </row>
    <row r="602" spans="1:25" ht="14.25" customHeight="1" x14ac:dyDescent="0.3">
      <c r="A602" s="2"/>
      <c r="B602" s="1"/>
      <c r="C602" s="1"/>
      <c r="D602" s="1"/>
      <c r="E602" s="1"/>
      <c r="F602" s="2"/>
      <c r="G602" s="2"/>
      <c r="H602" s="2"/>
      <c r="I602" s="2"/>
      <c r="J602" s="2"/>
      <c r="K602" s="2"/>
      <c r="L602" s="2"/>
      <c r="M602" s="2"/>
      <c r="N602" s="2"/>
      <c r="O602" s="2"/>
      <c r="P602" s="2"/>
      <c r="Q602" s="2"/>
      <c r="R602" s="2"/>
      <c r="S602" s="2"/>
      <c r="T602" s="2"/>
      <c r="U602" s="2"/>
      <c r="V602" s="2"/>
      <c r="W602" s="2"/>
      <c r="X602" s="2"/>
      <c r="Y602" s="2"/>
    </row>
    <row r="603" spans="1:25" ht="14.25" customHeight="1" x14ac:dyDescent="0.3">
      <c r="A603" s="2"/>
      <c r="B603" s="1"/>
      <c r="C603" s="1"/>
      <c r="D603" s="1"/>
      <c r="E603" s="1"/>
      <c r="F603" s="2"/>
      <c r="G603" s="2"/>
      <c r="H603" s="2"/>
      <c r="I603" s="2"/>
      <c r="J603" s="2"/>
      <c r="K603" s="2"/>
      <c r="L603" s="2"/>
      <c r="M603" s="2"/>
      <c r="N603" s="2"/>
      <c r="O603" s="2"/>
      <c r="P603" s="2"/>
      <c r="Q603" s="2"/>
      <c r="R603" s="2"/>
      <c r="S603" s="2"/>
      <c r="T603" s="2"/>
      <c r="U603" s="2"/>
      <c r="V603" s="2"/>
      <c r="W603" s="2"/>
      <c r="X603" s="2"/>
      <c r="Y603" s="2"/>
    </row>
    <row r="604" spans="1:25" ht="14.25" customHeight="1" x14ac:dyDescent="0.3">
      <c r="A604" s="2"/>
      <c r="B604" s="1"/>
      <c r="C604" s="1"/>
      <c r="D604" s="1"/>
      <c r="E604" s="1"/>
      <c r="F604" s="2"/>
      <c r="G604" s="2"/>
      <c r="H604" s="2"/>
      <c r="I604" s="2"/>
      <c r="J604" s="2"/>
      <c r="K604" s="2"/>
      <c r="L604" s="2"/>
      <c r="M604" s="2"/>
      <c r="N604" s="2"/>
      <c r="O604" s="2"/>
      <c r="P604" s="2"/>
      <c r="Q604" s="2"/>
      <c r="R604" s="2"/>
      <c r="S604" s="2"/>
      <c r="T604" s="2"/>
      <c r="U604" s="2"/>
      <c r="V604" s="2"/>
      <c r="W604" s="2"/>
      <c r="X604" s="2"/>
      <c r="Y604" s="2"/>
    </row>
    <row r="605" spans="1:25" ht="14.25" customHeight="1" x14ac:dyDescent="0.3">
      <c r="A605" s="2"/>
      <c r="B605" s="1"/>
      <c r="C605" s="1"/>
      <c r="D605" s="1"/>
      <c r="E605" s="1"/>
      <c r="F605" s="2"/>
      <c r="G605" s="2"/>
      <c r="H605" s="2"/>
      <c r="I605" s="2"/>
      <c r="J605" s="2"/>
      <c r="K605" s="2"/>
      <c r="L605" s="2"/>
      <c r="M605" s="2"/>
      <c r="N605" s="2"/>
      <c r="O605" s="2"/>
      <c r="P605" s="2"/>
      <c r="Q605" s="2"/>
      <c r="R605" s="2"/>
      <c r="S605" s="2"/>
      <c r="T605" s="2"/>
      <c r="U605" s="2"/>
      <c r="V605" s="2"/>
      <c r="W605" s="2"/>
      <c r="X605" s="2"/>
      <c r="Y605" s="2"/>
    </row>
    <row r="606" spans="1:25" ht="14.25" customHeight="1" x14ac:dyDescent="0.3">
      <c r="A606" s="2"/>
      <c r="B606" s="1"/>
      <c r="C606" s="1"/>
      <c r="D606" s="1"/>
      <c r="E606" s="1"/>
      <c r="F606" s="2"/>
      <c r="G606" s="2"/>
      <c r="H606" s="2"/>
      <c r="I606" s="2"/>
      <c r="J606" s="2"/>
      <c r="K606" s="2"/>
      <c r="L606" s="2"/>
      <c r="M606" s="2"/>
      <c r="N606" s="2"/>
      <c r="O606" s="2"/>
      <c r="P606" s="2"/>
      <c r="Q606" s="2"/>
      <c r="R606" s="2"/>
      <c r="S606" s="2"/>
      <c r="T606" s="2"/>
      <c r="U606" s="2"/>
      <c r="V606" s="2"/>
      <c r="W606" s="2"/>
      <c r="X606" s="2"/>
      <c r="Y606" s="2"/>
    </row>
    <row r="607" spans="1:25" ht="14.25" customHeight="1" x14ac:dyDescent="0.3">
      <c r="A607" s="2"/>
      <c r="B607" s="1"/>
      <c r="C607" s="1"/>
      <c r="D607" s="1"/>
      <c r="E607" s="1"/>
      <c r="F607" s="2"/>
      <c r="G607" s="2"/>
      <c r="H607" s="2"/>
      <c r="I607" s="2"/>
      <c r="J607" s="2"/>
      <c r="K607" s="2"/>
      <c r="L607" s="2"/>
      <c r="M607" s="2"/>
      <c r="N607" s="2"/>
      <c r="O607" s="2"/>
      <c r="P607" s="2"/>
      <c r="Q607" s="2"/>
      <c r="R607" s="2"/>
      <c r="S607" s="2"/>
      <c r="T607" s="2"/>
      <c r="U607" s="2"/>
      <c r="V607" s="2"/>
      <c r="W607" s="2"/>
      <c r="X607" s="2"/>
      <c r="Y607" s="2"/>
    </row>
    <row r="608" spans="1:25" ht="14.25" customHeight="1" x14ac:dyDescent="0.3">
      <c r="A608" s="2"/>
      <c r="B608" s="1"/>
      <c r="C608" s="1"/>
      <c r="D608" s="1"/>
      <c r="E608" s="1"/>
      <c r="F608" s="2"/>
      <c r="G608" s="2"/>
      <c r="H608" s="2"/>
      <c r="I608" s="2"/>
      <c r="J608" s="2"/>
      <c r="K608" s="2"/>
      <c r="L608" s="2"/>
      <c r="M608" s="2"/>
      <c r="N608" s="2"/>
      <c r="O608" s="2"/>
      <c r="P608" s="2"/>
      <c r="Q608" s="2"/>
      <c r="R608" s="2"/>
      <c r="S608" s="2"/>
      <c r="T608" s="2"/>
      <c r="U608" s="2"/>
      <c r="V608" s="2"/>
      <c r="W608" s="2"/>
      <c r="X608" s="2"/>
      <c r="Y608" s="2"/>
    </row>
    <row r="609" spans="1:25" ht="14.25" customHeight="1" x14ac:dyDescent="0.3">
      <c r="A609" s="2"/>
      <c r="B609" s="1"/>
      <c r="C609" s="1"/>
      <c r="D609" s="1"/>
      <c r="E609" s="1"/>
      <c r="F609" s="2"/>
      <c r="G609" s="2"/>
      <c r="H609" s="2"/>
      <c r="I609" s="2"/>
      <c r="J609" s="2"/>
      <c r="K609" s="2"/>
      <c r="L609" s="2"/>
      <c r="M609" s="2"/>
      <c r="N609" s="2"/>
      <c r="O609" s="2"/>
      <c r="P609" s="2"/>
      <c r="Q609" s="2"/>
      <c r="R609" s="2"/>
      <c r="S609" s="2"/>
      <c r="T609" s="2"/>
      <c r="U609" s="2"/>
      <c r="V609" s="2"/>
      <c r="W609" s="2"/>
      <c r="X609" s="2"/>
      <c r="Y609" s="2"/>
    </row>
    <row r="610" spans="1:25" ht="14.25" customHeight="1" x14ac:dyDescent="0.3">
      <c r="A610" s="2"/>
      <c r="B610" s="1"/>
      <c r="C610" s="1"/>
      <c r="D610" s="1"/>
      <c r="E610" s="1"/>
      <c r="F610" s="2"/>
      <c r="G610" s="2"/>
      <c r="H610" s="2"/>
      <c r="I610" s="2"/>
      <c r="J610" s="2"/>
      <c r="K610" s="2"/>
      <c r="L610" s="2"/>
      <c r="M610" s="2"/>
      <c r="N610" s="2"/>
      <c r="O610" s="2"/>
      <c r="P610" s="2"/>
      <c r="Q610" s="2"/>
      <c r="R610" s="2"/>
      <c r="S610" s="2"/>
      <c r="T610" s="2"/>
      <c r="U610" s="2"/>
      <c r="V610" s="2"/>
      <c r="W610" s="2"/>
      <c r="X610" s="2"/>
      <c r="Y610" s="2"/>
    </row>
    <row r="611" spans="1:25" ht="14.25" customHeight="1" x14ac:dyDescent="0.3">
      <c r="A611" s="2"/>
      <c r="B611" s="1"/>
      <c r="C611" s="1"/>
      <c r="D611" s="1"/>
      <c r="E611" s="1"/>
      <c r="F611" s="2"/>
      <c r="G611" s="2"/>
      <c r="H611" s="2"/>
      <c r="I611" s="2"/>
      <c r="J611" s="2"/>
      <c r="K611" s="2"/>
      <c r="L611" s="2"/>
      <c r="M611" s="2"/>
      <c r="N611" s="2"/>
      <c r="O611" s="2"/>
      <c r="P611" s="2"/>
      <c r="Q611" s="2"/>
      <c r="R611" s="2"/>
      <c r="S611" s="2"/>
      <c r="T611" s="2"/>
      <c r="U611" s="2"/>
      <c r="V611" s="2"/>
      <c r="W611" s="2"/>
      <c r="X611" s="2"/>
      <c r="Y611" s="2"/>
    </row>
    <row r="612" spans="1:25" ht="14.25" customHeight="1" x14ac:dyDescent="0.3">
      <c r="A612" s="2"/>
      <c r="B612" s="1"/>
      <c r="C612" s="1"/>
      <c r="D612" s="1"/>
      <c r="E612" s="1"/>
      <c r="F612" s="2"/>
      <c r="G612" s="2"/>
      <c r="H612" s="2"/>
      <c r="I612" s="2"/>
      <c r="J612" s="2"/>
      <c r="K612" s="2"/>
      <c r="L612" s="2"/>
      <c r="M612" s="2"/>
      <c r="N612" s="2"/>
      <c r="O612" s="2"/>
      <c r="P612" s="2"/>
      <c r="Q612" s="2"/>
      <c r="R612" s="2"/>
      <c r="S612" s="2"/>
      <c r="T612" s="2"/>
      <c r="U612" s="2"/>
      <c r="V612" s="2"/>
      <c r="W612" s="2"/>
      <c r="X612" s="2"/>
      <c r="Y612" s="2"/>
    </row>
    <row r="613" spans="1:25" ht="14.25" customHeight="1" x14ac:dyDescent="0.3">
      <c r="A613" s="2"/>
      <c r="B613" s="1"/>
      <c r="C613" s="1"/>
      <c r="D613" s="1"/>
      <c r="E613" s="1"/>
      <c r="F613" s="2"/>
      <c r="G613" s="2"/>
      <c r="H613" s="2"/>
      <c r="I613" s="2"/>
      <c r="J613" s="2"/>
      <c r="K613" s="2"/>
      <c r="L613" s="2"/>
      <c r="M613" s="2"/>
      <c r="N613" s="2"/>
      <c r="O613" s="2"/>
      <c r="P613" s="2"/>
      <c r="Q613" s="2"/>
      <c r="R613" s="2"/>
      <c r="S613" s="2"/>
      <c r="T613" s="2"/>
      <c r="U613" s="2"/>
      <c r="V613" s="2"/>
      <c r="W613" s="2"/>
      <c r="X613" s="2"/>
      <c r="Y613" s="2"/>
    </row>
    <row r="614" spans="1:25" ht="14.25" customHeight="1" x14ac:dyDescent="0.3">
      <c r="A614" s="2"/>
      <c r="B614" s="1"/>
      <c r="C614" s="1"/>
      <c r="D614" s="1"/>
      <c r="E614" s="1"/>
      <c r="F614" s="2"/>
      <c r="G614" s="2"/>
      <c r="H614" s="2"/>
      <c r="I614" s="2"/>
      <c r="J614" s="2"/>
      <c r="K614" s="2"/>
      <c r="L614" s="2"/>
      <c r="M614" s="2"/>
      <c r="N614" s="2"/>
      <c r="O614" s="2"/>
      <c r="P614" s="2"/>
      <c r="Q614" s="2"/>
      <c r="R614" s="2"/>
      <c r="S614" s="2"/>
      <c r="T614" s="2"/>
      <c r="U614" s="2"/>
      <c r="V614" s="2"/>
      <c r="W614" s="2"/>
      <c r="X614" s="2"/>
      <c r="Y614" s="2"/>
    </row>
    <row r="615" spans="1:25" ht="14.25" customHeight="1" x14ac:dyDescent="0.3">
      <c r="A615" s="2"/>
      <c r="B615" s="1"/>
      <c r="C615" s="1"/>
      <c r="D615" s="1"/>
      <c r="E615" s="1"/>
      <c r="F615" s="2"/>
      <c r="G615" s="2"/>
      <c r="H615" s="2"/>
      <c r="I615" s="2"/>
      <c r="J615" s="2"/>
      <c r="K615" s="2"/>
      <c r="L615" s="2"/>
      <c r="M615" s="2"/>
      <c r="N615" s="2"/>
      <c r="O615" s="2"/>
      <c r="P615" s="2"/>
      <c r="Q615" s="2"/>
      <c r="R615" s="2"/>
      <c r="S615" s="2"/>
      <c r="T615" s="2"/>
      <c r="U615" s="2"/>
      <c r="V615" s="2"/>
      <c r="W615" s="2"/>
      <c r="X615" s="2"/>
      <c r="Y615" s="2"/>
    </row>
    <row r="616" spans="1:25" ht="14.25" customHeight="1" x14ac:dyDescent="0.3">
      <c r="A616" s="2"/>
      <c r="B616" s="1"/>
      <c r="C616" s="1"/>
      <c r="D616" s="1"/>
      <c r="E616" s="1"/>
      <c r="F616" s="2"/>
      <c r="G616" s="2"/>
      <c r="H616" s="2"/>
      <c r="I616" s="2"/>
      <c r="J616" s="2"/>
      <c r="K616" s="2"/>
      <c r="L616" s="2"/>
      <c r="M616" s="2"/>
      <c r="N616" s="2"/>
      <c r="O616" s="2"/>
      <c r="P616" s="2"/>
      <c r="Q616" s="2"/>
      <c r="R616" s="2"/>
      <c r="S616" s="2"/>
      <c r="T616" s="2"/>
      <c r="U616" s="2"/>
      <c r="V616" s="2"/>
      <c r="W616" s="2"/>
      <c r="X616" s="2"/>
      <c r="Y616" s="2"/>
    </row>
    <row r="617" spans="1:25" ht="14.25" customHeight="1" x14ac:dyDescent="0.3">
      <c r="A617" s="2"/>
      <c r="B617" s="1"/>
      <c r="C617" s="1"/>
      <c r="D617" s="1"/>
      <c r="E617" s="1"/>
      <c r="F617" s="2"/>
      <c r="G617" s="2"/>
      <c r="H617" s="2"/>
      <c r="I617" s="2"/>
      <c r="J617" s="2"/>
      <c r="K617" s="2"/>
      <c r="L617" s="2"/>
      <c r="M617" s="2"/>
      <c r="N617" s="2"/>
      <c r="O617" s="2"/>
      <c r="P617" s="2"/>
      <c r="Q617" s="2"/>
      <c r="R617" s="2"/>
      <c r="S617" s="2"/>
      <c r="T617" s="2"/>
      <c r="U617" s="2"/>
      <c r="V617" s="2"/>
      <c r="W617" s="2"/>
      <c r="X617" s="2"/>
      <c r="Y617" s="2"/>
    </row>
    <row r="618" spans="1:25" ht="14.25" customHeight="1" x14ac:dyDescent="0.3">
      <c r="A618" s="2"/>
      <c r="B618" s="1"/>
      <c r="C618" s="1"/>
      <c r="D618" s="1"/>
      <c r="E618" s="1"/>
      <c r="F618" s="2"/>
      <c r="G618" s="2"/>
      <c r="H618" s="2"/>
      <c r="I618" s="2"/>
      <c r="J618" s="2"/>
      <c r="K618" s="2"/>
      <c r="L618" s="2"/>
      <c r="M618" s="2"/>
      <c r="N618" s="2"/>
      <c r="O618" s="2"/>
      <c r="P618" s="2"/>
      <c r="Q618" s="2"/>
      <c r="R618" s="2"/>
      <c r="S618" s="2"/>
      <c r="T618" s="2"/>
      <c r="U618" s="2"/>
      <c r="V618" s="2"/>
      <c r="W618" s="2"/>
      <c r="X618" s="2"/>
      <c r="Y618" s="2"/>
    </row>
    <row r="619" spans="1:25" ht="14.25" customHeight="1" x14ac:dyDescent="0.3">
      <c r="A619" s="2"/>
      <c r="B619" s="1"/>
      <c r="C619" s="1"/>
      <c r="D619" s="1"/>
      <c r="E619" s="1"/>
      <c r="F619" s="2"/>
      <c r="G619" s="2"/>
      <c r="H619" s="2"/>
      <c r="I619" s="2"/>
      <c r="J619" s="2"/>
      <c r="K619" s="2"/>
      <c r="L619" s="2"/>
      <c r="M619" s="2"/>
      <c r="N619" s="2"/>
      <c r="O619" s="2"/>
      <c r="P619" s="2"/>
      <c r="Q619" s="2"/>
      <c r="R619" s="2"/>
      <c r="S619" s="2"/>
      <c r="T619" s="2"/>
      <c r="U619" s="2"/>
      <c r="V619" s="2"/>
      <c r="W619" s="2"/>
      <c r="X619" s="2"/>
      <c r="Y619" s="2"/>
    </row>
    <row r="620" spans="1:25" ht="14.25" customHeight="1" x14ac:dyDescent="0.3">
      <c r="A620" s="2"/>
      <c r="B620" s="1"/>
      <c r="C620" s="1"/>
      <c r="D620" s="1"/>
      <c r="E620" s="1"/>
      <c r="F620" s="2"/>
      <c r="G620" s="2"/>
      <c r="H620" s="2"/>
      <c r="I620" s="2"/>
      <c r="J620" s="2"/>
      <c r="K620" s="2"/>
      <c r="L620" s="2"/>
      <c r="M620" s="2"/>
      <c r="N620" s="2"/>
      <c r="O620" s="2"/>
      <c r="P620" s="2"/>
      <c r="Q620" s="2"/>
      <c r="R620" s="2"/>
      <c r="S620" s="2"/>
      <c r="T620" s="2"/>
      <c r="U620" s="2"/>
      <c r="V620" s="2"/>
      <c r="W620" s="2"/>
      <c r="X620" s="2"/>
      <c r="Y620" s="2"/>
    </row>
    <row r="621" spans="1:25" ht="14.25" customHeight="1" x14ac:dyDescent="0.3">
      <c r="A621" s="2"/>
      <c r="B621" s="1"/>
      <c r="C621" s="1"/>
      <c r="D621" s="1"/>
      <c r="E621" s="1"/>
      <c r="F621" s="2"/>
      <c r="G621" s="2"/>
      <c r="H621" s="2"/>
      <c r="I621" s="2"/>
      <c r="J621" s="2"/>
      <c r="K621" s="2"/>
      <c r="L621" s="2"/>
      <c r="M621" s="2"/>
      <c r="N621" s="2"/>
      <c r="O621" s="2"/>
      <c r="P621" s="2"/>
      <c r="Q621" s="2"/>
      <c r="R621" s="2"/>
      <c r="S621" s="2"/>
      <c r="T621" s="2"/>
      <c r="U621" s="2"/>
      <c r="V621" s="2"/>
      <c r="W621" s="2"/>
      <c r="X621" s="2"/>
      <c r="Y621" s="2"/>
    </row>
    <row r="622" spans="1:25" ht="14.25" customHeight="1" x14ac:dyDescent="0.3">
      <c r="A622" s="2"/>
      <c r="B622" s="1"/>
      <c r="C622" s="1"/>
      <c r="D622" s="1"/>
      <c r="E622" s="1"/>
      <c r="F622" s="2"/>
      <c r="G622" s="2"/>
      <c r="H622" s="2"/>
      <c r="I622" s="2"/>
      <c r="J622" s="2"/>
      <c r="K622" s="2"/>
      <c r="L622" s="2"/>
      <c r="M622" s="2"/>
      <c r="N622" s="2"/>
      <c r="O622" s="2"/>
      <c r="P622" s="2"/>
      <c r="Q622" s="2"/>
      <c r="R622" s="2"/>
      <c r="S622" s="2"/>
      <c r="T622" s="2"/>
      <c r="U622" s="2"/>
      <c r="V622" s="2"/>
      <c r="W622" s="2"/>
      <c r="X622" s="2"/>
      <c r="Y622" s="2"/>
    </row>
    <row r="623" spans="1:25" ht="14.25" customHeight="1" x14ac:dyDescent="0.3">
      <c r="A623" s="2"/>
      <c r="B623" s="1"/>
      <c r="C623" s="1"/>
      <c r="D623" s="1"/>
      <c r="E623" s="1"/>
      <c r="F623" s="2"/>
      <c r="G623" s="2"/>
      <c r="H623" s="2"/>
      <c r="I623" s="2"/>
      <c r="J623" s="2"/>
      <c r="K623" s="2"/>
      <c r="L623" s="2"/>
      <c r="M623" s="2"/>
      <c r="N623" s="2"/>
      <c r="O623" s="2"/>
      <c r="P623" s="2"/>
      <c r="Q623" s="2"/>
      <c r="R623" s="2"/>
      <c r="S623" s="2"/>
      <c r="T623" s="2"/>
      <c r="U623" s="2"/>
      <c r="V623" s="2"/>
      <c r="W623" s="2"/>
      <c r="X623" s="2"/>
      <c r="Y623" s="2"/>
    </row>
    <row r="624" spans="1:25" ht="14.25" customHeight="1" x14ac:dyDescent="0.3">
      <c r="A624" s="2"/>
      <c r="B624" s="1"/>
      <c r="C624" s="1"/>
      <c r="D624" s="1"/>
      <c r="E624" s="1"/>
      <c r="F624" s="2"/>
      <c r="G624" s="2"/>
      <c r="H624" s="2"/>
      <c r="I624" s="2"/>
      <c r="J624" s="2"/>
      <c r="K624" s="2"/>
      <c r="L624" s="2"/>
      <c r="M624" s="2"/>
      <c r="N624" s="2"/>
      <c r="O624" s="2"/>
      <c r="P624" s="2"/>
      <c r="Q624" s="2"/>
      <c r="R624" s="2"/>
      <c r="S624" s="2"/>
      <c r="T624" s="2"/>
      <c r="U624" s="2"/>
      <c r="V624" s="2"/>
      <c r="W624" s="2"/>
      <c r="X624" s="2"/>
      <c r="Y624" s="2"/>
    </row>
    <row r="625" spans="1:25" ht="14.25" customHeight="1" x14ac:dyDescent="0.3">
      <c r="A625" s="2"/>
      <c r="B625" s="1"/>
      <c r="C625" s="1"/>
      <c r="D625" s="1"/>
      <c r="E625" s="1"/>
      <c r="F625" s="2"/>
      <c r="G625" s="2"/>
      <c r="H625" s="2"/>
      <c r="I625" s="2"/>
      <c r="J625" s="2"/>
      <c r="K625" s="2"/>
      <c r="L625" s="2"/>
      <c r="M625" s="2"/>
      <c r="N625" s="2"/>
      <c r="O625" s="2"/>
      <c r="P625" s="2"/>
      <c r="Q625" s="2"/>
      <c r="R625" s="2"/>
      <c r="S625" s="2"/>
      <c r="T625" s="2"/>
      <c r="U625" s="2"/>
      <c r="V625" s="2"/>
      <c r="W625" s="2"/>
      <c r="X625" s="2"/>
      <c r="Y625" s="2"/>
    </row>
    <row r="626" spans="1:25" ht="14.25" customHeight="1" x14ac:dyDescent="0.3">
      <c r="A626" s="2"/>
      <c r="B626" s="1"/>
      <c r="C626" s="1"/>
      <c r="D626" s="1"/>
      <c r="E626" s="1"/>
      <c r="F626" s="2"/>
      <c r="G626" s="2"/>
      <c r="H626" s="2"/>
      <c r="I626" s="2"/>
      <c r="J626" s="2"/>
      <c r="K626" s="2"/>
      <c r="L626" s="2"/>
      <c r="M626" s="2"/>
      <c r="N626" s="2"/>
      <c r="O626" s="2"/>
      <c r="P626" s="2"/>
      <c r="Q626" s="2"/>
      <c r="R626" s="2"/>
      <c r="S626" s="2"/>
      <c r="T626" s="2"/>
      <c r="U626" s="2"/>
      <c r="V626" s="2"/>
      <c r="W626" s="2"/>
      <c r="X626" s="2"/>
      <c r="Y626" s="2"/>
    </row>
    <row r="627" spans="1:25" ht="14.25" customHeight="1" x14ac:dyDescent="0.3">
      <c r="A627" s="2"/>
      <c r="B627" s="1"/>
      <c r="C627" s="1"/>
      <c r="D627" s="1"/>
      <c r="E627" s="1"/>
      <c r="F627" s="2"/>
      <c r="G627" s="2"/>
      <c r="H627" s="2"/>
      <c r="I627" s="2"/>
      <c r="J627" s="2"/>
      <c r="K627" s="2"/>
      <c r="L627" s="2"/>
      <c r="M627" s="2"/>
      <c r="N627" s="2"/>
      <c r="O627" s="2"/>
      <c r="P627" s="2"/>
      <c r="Q627" s="2"/>
      <c r="R627" s="2"/>
      <c r="S627" s="2"/>
      <c r="T627" s="2"/>
      <c r="U627" s="2"/>
      <c r="V627" s="2"/>
      <c r="W627" s="2"/>
      <c r="X627" s="2"/>
      <c r="Y627" s="2"/>
    </row>
    <row r="628" spans="1:25" ht="14.25" customHeight="1" x14ac:dyDescent="0.3">
      <c r="A628" s="2"/>
      <c r="B628" s="1"/>
      <c r="C628" s="1"/>
      <c r="D628" s="1"/>
      <c r="E628" s="1"/>
      <c r="F628" s="2"/>
      <c r="G628" s="2"/>
      <c r="H628" s="2"/>
      <c r="I628" s="2"/>
      <c r="J628" s="2"/>
      <c r="K628" s="2"/>
      <c r="L628" s="2"/>
      <c r="M628" s="2"/>
      <c r="N628" s="2"/>
      <c r="O628" s="2"/>
      <c r="P628" s="2"/>
      <c r="Q628" s="2"/>
      <c r="R628" s="2"/>
      <c r="S628" s="2"/>
      <c r="T628" s="2"/>
      <c r="U628" s="2"/>
      <c r="V628" s="2"/>
      <c r="W628" s="2"/>
      <c r="X628" s="2"/>
      <c r="Y628" s="2"/>
    </row>
    <row r="629" spans="1:25" ht="14.25" customHeight="1" x14ac:dyDescent="0.3">
      <c r="A629" s="2"/>
      <c r="B629" s="1"/>
      <c r="C629" s="1"/>
      <c r="D629" s="1"/>
      <c r="E629" s="1"/>
      <c r="F629" s="2"/>
      <c r="G629" s="2"/>
      <c r="H629" s="2"/>
      <c r="I629" s="2"/>
      <c r="J629" s="2"/>
      <c r="K629" s="2"/>
      <c r="L629" s="2"/>
      <c r="M629" s="2"/>
      <c r="N629" s="2"/>
      <c r="O629" s="2"/>
      <c r="P629" s="2"/>
      <c r="Q629" s="2"/>
      <c r="R629" s="2"/>
      <c r="S629" s="2"/>
      <c r="T629" s="2"/>
      <c r="U629" s="2"/>
      <c r="V629" s="2"/>
      <c r="W629" s="2"/>
      <c r="X629" s="2"/>
      <c r="Y629" s="2"/>
    </row>
    <row r="630" spans="1:25" ht="14.25" customHeight="1" x14ac:dyDescent="0.3">
      <c r="A630" s="2"/>
      <c r="B630" s="1"/>
      <c r="C630" s="1"/>
      <c r="D630" s="1"/>
      <c r="E630" s="1"/>
      <c r="F630" s="2"/>
      <c r="G630" s="2"/>
      <c r="H630" s="2"/>
      <c r="I630" s="2"/>
      <c r="J630" s="2"/>
      <c r="K630" s="2"/>
      <c r="L630" s="2"/>
      <c r="M630" s="2"/>
      <c r="N630" s="2"/>
      <c r="O630" s="2"/>
      <c r="P630" s="2"/>
      <c r="Q630" s="2"/>
      <c r="R630" s="2"/>
      <c r="S630" s="2"/>
      <c r="T630" s="2"/>
      <c r="U630" s="2"/>
      <c r="V630" s="2"/>
      <c r="W630" s="2"/>
      <c r="X630" s="2"/>
      <c r="Y630" s="2"/>
    </row>
    <row r="631" spans="1:25" ht="14.25" customHeight="1" x14ac:dyDescent="0.3">
      <c r="A631" s="2"/>
      <c r="B631" s="1"/>
      <c r="C631" s="1"/>
      <c r="D631" s="1"/>
      <c r="E631" s="1"/>
      <c r="F631" s="2"/>
      <c r="G631" s="2"/>
      <c r="H631" s="2"/>
      <c r="I631" s="2"/>
      <c r="J631" s="2"/>
      <c r="K631" s="2"/>
      <c r="L631" s="2"/>
      <c r="M631" s="2"/>
      <c r="N631" s="2"/>
      <c r="O631" s="2"/>
      <c r="P631" s="2"/>
      <c r="Q631" s="2"/>
      <c r="R631" s="2"/>
      <c r="S631" s="2"/>
      <c r="T631" s="2"/>
      <c r="U631" s="2"/>
      <c r="V631" s="2"/>
      <c r="W631" s="2"/>
      <c r="X631" s="2"/>
      <c r="Y631" s="2"/>
    </row>
    <row r="632" spans="1:25" ht="14.25" customHeight="1" x14ac:dyDescent="0.3">
      <c r="A632" s="2"/>
      <c r="B632" s="1"/>
      <c r="C632" s="1"/>
      <c r="D632" s="1"/>
      <c r="E632" s="1"/>
      <c r="F632" s="2"/>
      <c r="G632" s="2"/>
      <c r="H632" s="2"/>
      <c r="I632" s="2"/>
      <c r="J632" s="2"/>
      <c r="K632" s="2"/>
      <c r="L632" s="2"/>
      <c r="M632" s="2"/>
      <c r="N632" s="2"/>
      <c r="O632" s="2"/>
      <c r="P632" s="2"/>
      <c r="Q632" s="2"/>
      <c r="R632" s="2"/>
      <c r="S632" s="2"/>
      <c r="T632" s="2"/>
      <c r="U632" s="2"/>
      <c r="V632" s="2"/>
      <c r="W632" s="2"/>
      <c r="X632" s="2"/>
      <c r="Y632" s="2"/>
    </row>
    <row r="633" spans="1:25" ht="14.25" customHeight="1" x14ac:dyDescent="0.3">
      <c r="A633" s="2"/>
      <c r="B633" s="1"/>
      <c r="C633" s="1"/>
      <c r="D633" s="1"/>
      <c r="E633" s="1"/>
      <c r="F633" s="2"/>
      <c r="G633" s="2"/>
      <c r="H633" s="2"/>
      <c r="I633" s="2"/>
      <c r="J633" s="2"/>
      <c r="K633" s="2"/>
      <c r="L633" s="2"/>
      <c r="M633" s="2"/>
      <c r="N633" s="2"/>
      <c r="O633" s="2"/>
      <c r="P633" s="2"/>
      <c r="Q633" s="2"/>
      <c r="R633" s="2"/>
      <c r="S633" s="2"/>
      <c r="T633" s="2"/>
      <c r="U633" s="2"/>
      <c r="V633" s="2"/>
      <c r="W633" s="2"/>
      <c r="X633" s="2"/>
      <c r="Y633" s="2"/>
    </row>
    <row r="634" spans="1:25" ht="14.25" customHeight="1" x14ac:dyDescent="0.3">
      <c r="A634" s="2"/>
      <c r="B634" s="1"/>
      <c r="C634" s="1"/>
      <c r="D634" s="1"/>
      <c r="E634" s="1"/>
      <c r="F634" s="2"/>
      <c r="G634" s="2"/>
      <c r="H634" s="2"/>
      <c r="I634" s="2"/>
      <c r="J634" s="2"/>
      <c r="K634" s="2"/>
      <c r="L634" s="2"/>
      <c r="M634" s="2"/>
      <c r="N634" s="2"/>
      <c r="O634" s="2"/>
      <c r="P634" s="2"/>
      <c r="Q634" s="2"/>
      <c r="R634" s="2"/>
      <c r="S634" s="2"/>
      <c r="T634" s="2"/>
      <c r="U634" s="2"/>
      <c r="V634" s="2"/>
      <c r="W634" s="2"/>
      <c r="X634" s="2"/>
      <c r="Y634" s="2"/>
    </row>
    <row r="635" spans="1:25" ht="14.25" customHeight="1" x14ac:dyDescent="0.3">
      <c r="A635" s="2"/>
      <c r="B635" s="1"/>
      <c r="C635" s="1"/>
      <c r="D635" s="1"/>
      <c r="E635" s="1"/>
      <c r="F635" s="2"/>
      <c r="G635" s="2"/>
      <c r="H635" s="2"/>
      <c r="I635" s="2"/>
      <c r="J635" s="2"/>
      <c r="K635" s="2"/>
      <c r="L635" s="2"/>
      <c r="M635" s="2"/>
      <c r="N635" s="2"/>
      <c r="O635" s="2"/>
      <c r="P635" s="2"/>
      <c r="Q635" s="2"/>
      <c r="R635" s="2"/>
      <c r="S635" s="2"/>
      <c r="T635" s="2"/>
      <c r="U635" s="2"/>
      <c r="V635" s="2"/>
      <c r="W635" s="2"/>
      <c r="X635" s="2"/>
      <c r="Y635" s="2"/>
    </row>
    <row r="636" spans="1:25" ht="14.25" customHeight="1" x14ac:dyDescent="0.3">
      <c r="A636" s="2"/>
      <c r="B636" s="1"/>
      <c r="C636" s="1"/>
      <c r="D636" s="1"/>
      <c r="E636" s="1"/>
      <c r="F636" s="2"/>
      <c r="G636" s="2"/>
      <c r="H636" s="2"/>
      <c r="I636" s="2"/>
      <c r="J636" s="2"/>
      <c r="K636" s="2"/>
      <c r="L636" s="2"/>
      <c r="M636" s="2"/>
      <c r="N636" s="2"/>
      <c r="O636" s="2"/>
      <c r="P636" s="2"/>
      <c r="Q636" s="2"/>
      <c r="R636" s="2"/>
      <c r="S636" s="2"/>
      <c r="T636" s="2"/>
      <c r="U636" s="2"/>
      <c r="V636" s="2"/>
      <c r="W636" s="2"/>
      <c r="X636" s="2"/>
      <c r="Y636" s="2"/>
    </row>
    <row r="637" spans="1:25" ht="14.25" customHeight="1" x14ac:dyDescent="0.3">
      <c r="A637" s="2"/>
      <c r="B637" s="1"/>
      <c r="C637" s="1"/>
      <c r="D637" s="1"/>
      <c r="E637" s="1"/>
      <c r="F637" s="2"/>
      <c r="G637" s="2"/>
      <c r="H637" s="2"/>
      <c r="I637" s="2"/>
      <c r="J637" s="2"/>
      <c r="K637" s="2"/>
      <c r="L637" s="2"/>
      <c r="M637" s="2"/>
      <c r="N637" s="2"/>
      <c r="O637" s="2"/>
      <c r="P637" s="2"/>
      <c r="Q637" s="2"/>
      <c r="R637" s="2"/>
      <c r="S637" s="2"/>
      <c r="T637" s="2"/>
      <c r="U637" s="2"/>
      <c r="V637" s="2"/>
      <c r="W637" s="2"/>
      <c r="X637" s="2"/>
      <c r="Y637" s="2"/>
    </row>
    <row r="638" spans="1:25" ht="14.25" customHeight="1" x14ac:dyDescent="0.3">
      <c r="A638" s="2"/>
      <c r="B638" s="1"/>
      <c r="C638" s="1"/>
      <c r="D638" s="1"/>
      <c r="E638" s="1"/>
      <c r="F638" s="2"/>
      <c r="G638" s="2"/>
      <c r="H638" s="2"/>
      <c r="I638" s="2"/>
      <c r="J638" s="2"/>
      <c r="K638" s="2"/>
      <c r="L638" s="2"/>
      <c r="M638" s="2"/>
      <c r="N638" s="2"/>
      <c r="O638" s="2"/>
      <c r="P638" s="2"/>
      <c r="Q638" s="2"/>
      <c r="R638" s="2"/>
      <c r="S638" s="2"/>
      <c r="T638" s="2"/>
      <c r="U638" s="2"/>
      <c r="V638" s="2"/>
      <c r="W638" s="2"/>
      <c r="X638" s="2"/>
      <c r="Y638" s="2"/>
    </row>
    <row r="639" spans="1:25" ht="14.25" customHeight="1" x14ac:dyDescent="0.3">
      <c r="A639" s="2"/>
      <c r="B639" s="1"/>
      <c r="C639" s="1"/>
      <c r="D639" s="1"/>
      <c r="E639" s="1"/>
      <c r="F639" s="2"/>
      <c r="G639" s="2"/>
      <c r="H639" s="2"/>
      <c r="I639" s="2"/>
      <c r="J639" s="2"/>
      <c r="K639" s="2"/>
      <c r="L639" s="2"/>
      <c r="M639" s="2"/>
      <c r="N639" s="2"/>
      <c r="O639" s="2"/>
      <c r="P639" s="2"/>
      <c r="Q639" s="2"/>
      <c r="R639" s="2"/>
      <c r="S639" s="2"/>
      <c r="T639" s="2"/>
      <c r="U639" s="2"/>
      <c r="V639" s="2"/>
      <c r="W639" s="2"/>
      <c r="X639" s="2"/>
      <c r="Y639" s="2"/>
    </row>
    <row r="640" spans="1:25" ht="14.25" customHeight="1" x14ac:dyDescent="0.3">
      <c r="A640" s="2"/>
      <c r="B640" s="1"/>
      <c r="C640" s="1"/>
      <c r="D640" s="1"/>
      <c r="E640" s="1"/>
      <c r="F640" s="2"/>
      <c r="G640" s="2"/>
      <c r="H640" s="2"/>
      <c r="I640" s="2"/>
      <c r="J640" s="2"/>
      <c r="K640" s="2"/>
      <c r="L640" s="2"/>
      <c r="M640" s="2"/>
      <c r="N640" s="2"/>
      <c r="O640" s="2"/>
      <c r="P640" s="2"/>
      <c r="Q640" s="2"/>
      <c r="R640" s="2"/>
      <c r="S640" s="2"/>
      <c r="T640" s="2"/>
      <c r="U640" s="2"/>
      <c r="V640" s="2"/>
      <c r="W640" s="2"/>
      <c r="X640" s="2"/>
      <c r="Y640" s="2"/>
    </row>
    <row r="641" spans="1:25" ht="14.25" customHeight="1" x14ac:dyDescent="0.3">
      <c r="A641" s="2"/>
      <c r="B641" s="1"/>
      <c r="C641" s="1"/>
      <c r="D641" s="1"/>
      <c r="E641" s="1"/>
      <c r="F641" s="2"/>
      <c r="G641" s="2"/>
      <c r="H641" s="2"/>
      <c r="I641" s="2"/>
      <c r="J641" s="2"/>
      <c r="K641" s="2"/>
      <c r="L641" s="2"/>
      <c r="M641" s="2"/>
      <c r="N641" s="2"/>
      <c r="O641" s="2"/>
      <c r="P641" s="2"/>
      <c r="Q641" s="2"/>
      <c r="R641" s="2"/>
      <c r="S641" s="2"/>
      <c r="T641" s="2"/>
      <c r="U641" s="2"/>
      <c r="V641" s="2"/>
      <c r="W641" s="2"/>
      <c r="X641" s="2"/>
      <c r="Y641" s="2"/>
    </row>
    <row r="642" spans="1:25" ht="14.25" customHeight="1" x14ac:dyDescent="0.3">
      <c r="A642" s="2"/>
      <c r="B642" s="1"/>
      <c r="C642" s="1"/>
      <c r="D642" s="1"/>
      <c r="E642" s="1"/>
      <c r="F642" s="2"/>
      <c r="G642" s="2"/>
      <c r="H642" s="2"/>
      <c r="I642" s="2"/>
      <c r="J642" s="2"/>
      <c r="K642" s="2"/>
      <c r="L642" s="2"/>
      <c r="M642" s="2"/>
      <c r="N642" s="2"/>
      <c r="O642" s="2"/>
      <c r="P642" s="2"/>
      <c r="Q642" s="2"/>
      <c r="R642" s="2"/>
      <c r="S642" s="2"/>
      <c r="T642" s="2"/>
      <c r="U642" s="2"/>
      <c r="V642" s="2"/>
      <c r="W642" s="2"/>
      <c r="X642" s="2"/>
      <c r="Y642" s="2"/>
    </row>
    <row r="643" spans="1:25" ht="14.25" customHeight="1" x14ac:dyDescent="0.3">
      <c r="A643" s="2"/>
      <c r="B643" s="1"/>
      <c r="C643" s="1"/>
      <c r="D643" s="1"/>
      <c r="E643" s="1"/>
      <c r="F643" s="2"/>
      <c r="G643" s="2"/>
      <c r="H643" s="2"/>
      <c r="I643" s="2"/>
      <c r="J643" s="2"/>
      <c r="K643" s="2"/>
      <c r="L643" s="2"/>
      <c r="M643" s="2"/>
      <c r="N643" s="2"/>
      <c r="O643" s="2"/>
      <c r="P643" s="2"/>
      <c r="Q643" s="2"/>
      <c r="R643" s="2"/>
      <c r="S643" s="2"/>
      <c r="T643" s="2"/>
      <c r="U643" s="2"/>
      <c r="V643" s="2"/>
      <c r="W643" s="2"/>
      <c r="X643" s="2"/>
      <c r="Y643" s="2"/>
    </row>
    <row r="644" spans="1:25" ht="14.25" customHeight="1" x14ac:dyDescent="0.3">
      <c r="A644" s="2"/>
      <c r="B644" s="1"/>
      <c r="C644" s="1"/>
      <c r="D644" s="1"/>
      <c r="E644" s="1"/>
      <c r="F644" s="2"/>
      <c r="G644" s="2"/>
      <c r="H644" s="2"/>
      <c r="I644" s="2"/>
      <c r="J644" s="2"/>
      <c r="K644" s="2"/>
      <c r="L644" s="2"/>
      <c r="M644" s="2"/>
      <c r="N644" s="2"/>
      <c r="O644" s="2"/>
      <c r="P644" s="2"/>
      <c r="Q644" s="2"/>
      <c r="R644" s="2"/>
      <c r="S644" s="2"/>
      <c r="T644" s="2"/>
      <c r="U644" s="2"/>
      <c r="V644" s="2"/>
      <c r="W644" s="2"/>
      <c r="X644" s="2"/>
      <c r="Y644" s="2"/>
    </row>
    <row r="645" spans="1:25" ht="14.25" customHeight="1" x14ac:dyDescent="0.3">
      <c r="A645" s="2"/>
      <c r="B645" s="1"/>
      <c r="C645" s="1"/>
      <c r="D645" s="1"/>
      <c r="E645" s="1"/>
      <c r="F645" s="2"/>
      <c r="G645" s="2"/>
      <c r="H645" s="2"/>
      <c r="I645" s="2"/>
      <c r="J645" s="2"/>
      <c r="K645" s="2"/>
      <c r="L645" s="2"/>
      <c r="M645" s="2"/>
      <c r="N645" s="2"/>
      <c r="O645" s="2"/>
      <c r="P645" s="2"/>
      <c r="Q645" s="2"/>
      <c r="R645" s="2"/>
      <c r="S645" s="2"/>
      <c r="T645" s="2"/>
      <c r="U645" s="2"/>
      <c r="V645" s="2"/>
      <c r="W645" s="2"/>
      <c r="X645" s="2"/>
      <c r="Y645" s="2"/>
    </row>
    <row r="646" spans="1:25" ht="14.25" customHeight="1" x14ac:dyDescent="0.3">
      <c r="A646" s="2"/>
      <c r="B646" s="1"/>
      <c r="C646" s="1"/>
      <c r="D646" s="1"/>
      <c r="E646" s="1"/>
      <c r="F646" s="2"/>
      <c r="G646" s="2"/>
      <c r="H646" s="2"/>
      <c r="I646" s="2"/>
      <c r="J646" s="2"/>
      <c r="K646" s="2"/>
      <c r="L646" s="2"/>
      <c r="M646" s="2"/>
      <c r="N646" s="2"/>
      <c r="O646" s="2"/>
      <c r="P646" s="2"/>
      <c r="Q646" s="2"/>
      <c r="R646" s="2"/>
      <c r="S646" s="2"/>
      <c r="T646" s="2"/>
      <c r="U646" s="2"/>
      <c r="V646" s="2"/>
      <c r="W646" s="2"/>
      <c r="X646" s="2"/>
      <c r="Y646" s="2"/>
    </row>
    <row r="647" spans="1:25" ht="14.25" customHeight="1" x14ac:dyDescent="0.3">
      <c r="A647" s="2"/>
      <c r="B647" s="1"/>
      <c r="C647" s="1"/>
      <c r="D647" s="1"/>
      <c r="E647" s="1"/>
      <c r="F647" s="2"/>
      <c r="G647" s="2"/>
      <c r="H647" s="2"/>
      <c r="I647" s="2"/>
      <c r="J647" s="2"/>
      <c r="K647" s="2"/>
      <c r="L647" s="2"/>
      <c r="M647" s="2"/>
      <c r="N647" s="2"/>
      <c r="O647" s="2"/>
      <c r="P647" s="2"/>
      <c r="Q647" s="2"/>
      <c r="R647" s="2"/>
      <c r="S647" s="2"/>
      <c r="T647" s="2"/>
      <c r="U647" s="2"/>
      <c r="V647" s="2"/>
      <c r="W647" s="2"/>
      <c r="X647" s="2"/>
      <c r="Y647" s="2"/>
    </row>
    <row r="648" spans="1:25" ht="14.25" customHeight="1" x14ac:dyDescent="0.3">
      <c r="A648" s="2"/>
      <c r="B648" s="1"/>
      <c r="C648" s="1"/>
      <c r="D648" s="1"/>
      <c r="E648" s="1"/>
      <c r="F648" s="2"/>
      <c r="G648" s="2"/>
      <c r="H648" s="2"/>
      <c r="I648" s="2"/>
      <c r="J648" s="2"/>
      <c r="K648" s="2"/>
      <c r="L648" s="2"/>
      <c r="M648" s="2"/>
      <c r="N648" s="2"/>
      <c r="O648" s="2"/>
      <c r="P648" s="2"/>
      <c r="Q648" s="2"/>
      <c r="R648" s="2"/>
      <c r="S648" s="2"/>
      <c r="T648" s="2"/>
      <c r="U648" s="2"/>
      <c r="V648" s="2"/>
      <c r="W648" s="2"/>
      <c r="X648" s="2"/>
      <c r="Y648" s="2"/>
    </row>
    <row r="649" spans="1:25" ht="14.25" customHeight="1" x14ac:dyDescent="0.3">
      <c r="A649" s="2"/>
      <c r="B649" s="1"/>
      <c r="C649" s="1"/>
      <c r="D649" s="1"/>
      <c r="E649" s="1"/>
      <c r="F649" s="2"/>
      <c r="G649" s="2"/>
      <c r="H649" s="2"/>
      <c r="I649" s="2"/>
      <c r="J649" s="2"/>
      <c r="K649" s="2"/>
      <c r="L649" s="2"/>
      <c r="M649" s="2"/>
      <c r="N649" s="2"/>
      <c r="O649" s="2"/>
      <c r="P649" s="2"/>
      <c r="Q649" s="2"/>
      <c r="R649" s="2"/>
      <c r="S649" s="2"/>
      <c r="T649" s="2"/>
      <c r="U649" s="2"/>
      <c r="V649" s="2"/>
      <c r="W649" s="2"/>
      <c r="X649" s="2"/>
      <c r="Y649" s="2"/>
    </row>
    <row r="650" spans="1:25" ht="14.25" customHeight="1" x14ac:dyDescent="0.3">
      <c r="A650" s="2"/>
      <c r="B650" s="1"/>
      <c r="C650" s="1"/>
      <c r="D650" s="1"/>
      <c r="E650" s="1"/>
      <c r="F650" s="2"/>
      <c r="G650" s="2"/>
      <c r="H650" s="2"/>
      <c r="I650" s="2"/>
      <c r="J650" s="2"/>
      <c r="K650" s="2"/>
      <c r="L650" s="2"/>
      <c r="M650" s="2"/>
      <c r="N650" s="2"/>
      <c r="O650" s="2"/>
      <c r="P650" s="2"/>
      <c r="Q650" s="2"/>
      <c r="R650" s="2"/>
      <c r="S650" s="2"/>
      <c r="T650" s="2"/>
      <c r="U650" s="2"/>
      <c r="V650" s="2"/>
      <c r="W650" s="2"/>
      <c r="X650" s="2"/>
      <c r="Y650" s="2"/>
    </row>
    <row r="651" spans="1:25" ht="14.25" customHeight="1" x14ac:dyDescent="0.3">
      <c r="A651" s="2"/>
      <c r="B651" s="1"/>
      <c r="C651" s="1"/>
      <c r="D651" s="1"/>
      <c r="E651" s="1"/>
      <c r="F651" s="2"/>
      <c r="G651" s="2"/>
      <c r="H651" s="2"/>
      <c r="I651" s="2"/>
      <c r="J651" s="2"/>
      <c r="K651" s="2"/>
      <c r="L651" s="2"/>
      <c r="M651" s="2"/>
      <c r="N651" s="2"/>
      <c r="O651" s="2"/>
      <c r="P651" s="2"/>
      <c r="Q651" s="2"/>
      <c r="R651" s="2"/>
      <c r="S651" s="2"/>
      <c r="T651" s="2"/>
      <c r="U651" s="2"/>
      <c r="V651" s="2"/>
      <c r="W651" s="2"/>
      <c r="X651" s="2"/>
      <c r="Y651" s="2"/>
    </row>
    <row r="652" spans="1:25" ht="14.25" customHeight="1" x14ac:dyDescent="0.3">
      <c r="A652" s="2"/>
      <c r="B652" s="1"/>
      <c r="C652" s="1"/>
      <c r="D652" s="1"/>
      <c r="E652" s="1"/>
      <c r="F652" s="2"/>
      <c r="G652" s="2"/>
      <c r="H652" s="2"/>
      <c r="I652" s="2"/>
      <c r="J652" s="2"/>
      <c r="K652" s="2"/>
      <c r="L652" s="2"/>
      <c r="M652" s="2"/>
      <c r="N652" s="2"/>
      <c r="O652" s="2"/>
      <c r="P652" s="2"/>
      <c r="Q652" s="2"/>
      <c r="R652" s="2"/>
      <c r="S652" s="2"/>
      <c r="T652" s="2"/>
      <c r="U652" s="2"/>
      <c r="V652" s="2"/>
      <c r="W652" s="2"/>
      <c r="X652" s="2"/>
      <c r="Y652" s="2"/>
    </row>
    <row r="653" spans="1:25" ht="14.25" customHeight="1" x14ac:dyDescent="0.3">
      <c r="A653" s="2"/>
      <c r="B653" s="1"/>
      <c r="C653" s="1"/>
      <c r="D653" s="1"/>
      <c r="E653" s="1"/>
      <c r="F653" s="2"/>
      <c r="G653" s="2"/>
      <c r="H653" s="2"/>
      <c r="I653" s="2"/>
      <c r="J653" s="2"/>
      <c r="K653" s="2"/>
      <c r="L653" s="2"/>
      <c r="M653" s="2"/>
      <c r="N653" s="2"/>
      <c r="O653" s="2"/>
      <c r="P653" s="2"/>
      <c r="Q653" s="2"/>
      <c r="R653" s="2"/>
      <c r="S653" s="2"/>
      <c r="T653" s="2"/>
      <c r="U653" s="2"/>
      <c r="V653" s="2"/>
      <c r="W653" s="2"/>
      <c r="X653" s="2"/>
      <c r="Y653" s="2"/>
    </row>
    <row r="654" spans="1:25" ht="14.25" customHeight="1" x14ac:dyDescent="0.3">
      <c r="A654" s="2"/>
      <c r="B654" s="1"/>
      <c r="C654" s="1"/>
      <c r="D654" s="1"/>
      <c r="E654" s="1"/>
      <c r="F654" s="2"/>
      <c r="G654" s="2"/>
      <c r="H654" s="2"/>
      <c r="I654" s="2"/>
      <c r="J654" s="2"/>
      <c r="K654" s="2"/>
      <c r="L654" s="2"/>
      <c r="M654" s="2"/>
      <c r="N654" s="2"/>
      <c r="O654" s="2"/>
      <c r="P654" s="2"/>
      <c r="Q654" s="2"/>
      <c r="R654" s="2"/>
      <c r="S654" s="2"/>
      <c r="T654" s="2"/>
      <c r="U654" s="2"/>
      <c r="V654" s="2"/>
      <c r="W654" s="2"/>
      <c r="X654" s="2"/>
      <c r="Y654" s="2"/>
    </row>
    <row r="655" spans="1:25" ht="14.25" customHeight="1" x14ac:dyDescent="0.3">
      <c r="A655" s="2"/>
      <c r="B655" s="1"/>
      <c r="C655" s="1"/>
      <c r="D655" s="1"/>
      <c r="E655" s="1"/>
      <c r="F655" s="2"/>
      <c r="G655" s="2"/>
      <c r="H655" s="2"/>
      <c r="I655" s="2"/>
      <c r="J655" s="2"/>
      <c r="K655" s="2"/>
      <c r="L655" s="2"/>
      <c r="M655" s="2"/>
      <c r="N655" s="2"/>
      <c r="O655" s="2"/>
      <c r="P655" s="2"/>
      <c r="Q655" s="2"/>
      <c r="R655" s="2"/>
      <c r="S655" s="2"/>
      <c r="T655" s="2"/>
      <c r="U655" s="2"/>
      <c r="V655" s="2"/>
      <c r="W655" s="2"/>
      <c r="X655" s="2"/>
      <c r="Y655" s="2"/>
    </row>
    <row r="656" spans="1:25" ht="14.25" customHeight="1" x14ac:dyDescent="0.3">
      <c r="A656" s="2"/>
      <c r="B656" s="1"/>
      <c r="C656" s="1"/>
      <c r="D656" s="1"/>
      <c r="E656" s="1"/>
      <c r="F656" s="2"/>
      <c r="G656" s="2"/>
      <c r="H656" s="2"/>
      <c r="I656" s="2"/>
      <c r="J656" s="2"/>
      <c r="K656" s="2"/>
      <c r="L656" s="2"/>
      <c r="M656" s="2"/>
      <c r="N656" s="2"/>
      <c r="O656" s="2"/>
      <c r="P656" s="2"/>
      <c r="Q656" s="2"/>
      <c r="R656" s="2"/>
      <c r="S656" s="2"/>
      <c r="T656" s="2"/>
      <c r="U656" s="2"/>
      <c r="V656" s="2"/>
      <c r="W656" s="2"/>
      <c r="X656" s="2"/>
      <c r="Y656" s="2"/>
    </row>
    <row r="657" spans="1:25" ht="14.25" customHeight="1" x14ac:dyDescent="0.3">
      <c r="A657" s="2"/>
      <c r="B657" s="1"/>
      <c r="C657" s="1"/>
      <c r="D657" s="1"/>
      <c r="E657" s="1"/>
      <c r="F657" s="2"/>
      <c r="G657" s="2"/>
      <c r="H657" s="2"/>
      <c r="I657" s="2"/>
      <c r="J657" s="2"/>
      <c r="K657" s="2"/>
      <c r="L657" s="2"/>
      <c r="M657" s="2"/>
      <c r="N657" s="2"/>
      <c r="O657" s="2"/>
      <c r="P657" s="2"/>
      <c r="Q657" s="2"/>
      <c r="R657" s="2"/>
      <c r="S657" s="2"/>
      <c r="T657" s="2"/>
      <c r="U657" s="2"/>
      <c r="V657" s="2"/>
      <c r="W657" s="2"/>
      <c r="X657" s="2"/>
      <c r="Y657" s="2"/>
    </row>
    <row r="658" spans="1:25" ht="14.25" customHeight="1" x14ac:dyDescent="0.3">
      <c r="A658" s="2"/>
      <c r="B658" s="1"/>
      <c r="C658" s="1"/>
      <c r="D658" s="1"/>
      <c r="E658" s="1"/>
      <c r="F658" s="2"/>
      <c r="G658" s="2"/>
      <c r="H658" s="2"/>
      <c r="I658" s="2"/>
      <c r="J658" s="2"/>
      <c r="K658" s="2"/>
      <c r="L658" s="2"/>
      <c r="M658" s="2"/>
      <c r="N658" s="2"/>
      <c r="O658" s="2"/>
      <c r="P658" s="2"/>
      <c r="Q658" s="2"/>
      <c r="R658" s="2"/>
      <c r="S658" s="2"/>
      <c r="T658" s="2"/>
      <c r="U658" s="2"/>
      <c r="V658" s="2"/>
      <c r="W658" s="2"/>
      <c r="X658" s="2"/>
      <c r="Y658" s="2"/>
    </row>
    <row r="659" spans="1:25" ht="14.25" customHeight="1" x14ac:dyDescent="0.3">
      <c r="A659" s="2"/>
      <c r="B659" s="1"/>
      <c r="C659" s="1"/>
      <c r="D659" s="1"/>
      <c r="E659" s="1"/>
      <c r="F659" s="2"/>
      <c r="G659" s="2"/>
      <c r="H659" s="2"/>
      <c r="I659" s="2"/>
      <c r="J659" s="2"/>
      <c r="K659" s="2"/>
      <c r="L659" s="2"/>
      <c r="M659" s="2"/>
      <c r="N659" s="2"/>
      <c r="O659" s="2"/>
      <c r="P659" s="2"/>
      <c r="Q659" s="2"/>
      <c r="R659" s="2"/>
      <c r="S659" s="2"/>
      <c r="T659" s="2"/>
      <c r="U659" s="2"/>
      <c r="V659" s="2"/>
      <c r="W659" s="2"/>
      <c r="X659" s="2"/>
      <c r="Y659" s="2"/>
    </row>
    <row r="660" spans="1:25" ht="14.25" customHeight="1" x14ac:dyDescent="0.3">
      <c r="A660" s="2"/>
      <c r="B660" s="1"/>
      <c r="C660" s="1"/>
      <c r="D660" s="1"/>
      <c r="E660" s="1"/>
      <c r="F660" s="2"/>
      <c r="G660" s="2"/>
      <c r="H660" s="2"/>
      <c r="I660" s="2"/>
      <c r="J660" s="2"/>
      <c r="K660" s="2"/>
      <c r="L660" s="2"/>
      <c r="M660" s="2"/>
      <c r="N660" s="2"/>
      <c r="O660" s="2"/>
      <c r="P660" s="2"/>
      <c r="Q660" s="2"/>
      <c r="R660" s="2"/>
      <c r="S660" s="2"/>
      <c r="T660" s="2"/>
      <c r="U660" s="2"/>
      <c r="V660" s="2"/>
      <c r="W660" s="2"/>
      <c r="X660" s="2"/>
      <c r="Y660" s="2"/>
    </row>
    <row r="661" spans="1:25" ht="14.25" customHeight="1" x14ac:dyDescent="0.3">
      <c r="A661" s="2"/>
      <c r="B661" s="1"/>
      <c r="C661" s="1"/>
      <c r="D661" s="1"/>
      <c r="E661" s="1"/>
      <c r="F661" s="2"/>
      <c r="G661" s="2"/>
      <c r="H661" s="2"/>
      <c r="I661" s="2"/>
      <c r="J661" s="2"/>
      <c r="K661" s="2"/>
      <c r="L661" s="2"/>
      <c r="M661" s="2"/>
      <c r="N661" s="2"/>
      <c r="O661" s="2"/>
      <c r="P661" s="2"/>
      <c r="Q661" s="2"/>
      <c r="R661" s="2"/>
      <c r="S661" s="2"/>
      <c r="T661" s="2"/>
      <c r="U661" s="2"/>
      <c r="V661" s="2"/>
      <c r="W661" s="2"/>
      <c r="X661" s="2"/>
      <c r="Y661" s="2"/>
    </row>
    <row r="662" spans="1:25" ht="14.25" customHeight="1" x14ac:dyDescent="0.3">
      <c r="A662" s="2"/>
      <c r="B662" s="1"/>
      <c r="C662" s="1"/>
      <c r="D662" s="1"/>
      <c r="E662" s="1"/>
      <c r="F662" s="2"/>
      <c r="G662" s="2"/>
      <c r="H662" s="2"/>
      <c r="I662" s="2"/>
      <c r="J662" s="2"/>
      <c r="K662" s="2"/>
      <c r="L662" s="2"/>
      <c r="M662" s="2"/>
      <c r="N662" s="2"/>
      <c r="O662" s="2"/>
      <c r="P662" s="2"/>
      <c r="Q662" s="2"/>
      <c r="R662" s="2"/>
      <c r="S662" s="2"/>
      <c r="T662" s="2"/>
      <c r="U662" s="2"/>
      <c r="V662" s="2"/>
      <c r="W662" s="2"/>
      <c r="X662" s="2"/>
      <c r="Y662" s="2"/>
    </row>
    <row r="663" spans="1:25" ht="14.25" customHeight="1" x14ac:dyDescent="0.3">
      <c r="A663" s="2"/>
      <c r="B663" s="1"/>
      <c r="C663" s="1"/>
      <c r="D663" s="1"/>
      <c r="E663" s="1"/>
      <c r="F663" s="2"/>
      <c r="G663" s="2"/>
      <c r="H663" s="2"/>
      <c r="I663" s="2"/>
      <c r="J663" s="2"/>
      <c r="K663" s="2"/>
      <c r="L663" s="2"/>
      <c r="M663" s="2"/>
      <c r="N663" s="2"/>
      <c r="O663" s="2"/>
      <c r="P663" s="2"/>
      <c r="Q663" s="2"/>
      <c r="R663" s="2"/>
      <c r="S663" s="2"/>
      <c r="T663" s="2"/>
      <c r="U663" s="2"/>
      <c r="V663" s="2"/>
      <c r="W663" s="2"/>
      <c r="X663" s="2"/>
      <c r="Y663" s="2"/>
    </row>
    <row r="664" spans="1:25" ht="14.25" customHeight="1" x14ac:dyDescent="0.3">
      <c r="A664" s="2"/>
      <c r="B664" s="1"/>
      <c r="C664" s="1"/>
      <c r="D664" s="1"/>
      <c r="E664" s="1"/>
      <c r="F664" s="2"/>
      <c r="G664" s="2"/>
      <c r="H664" s="2"/>
      <c r="I664" s="2"/>
      <c r="J664" s="2"/>
      <c r="K664" s="2"/>
      <c r="L664" s="2"/>
      <c r="M664" s="2"/>
      <c r="N664" s="2"/>
      <c r="O664" s="2"/>
      <c r="P664" s="2"/>
      <c r="Q664" s="2"/>
      <c r="R664" s="2"/>
      <c r="S664" s="2"/>
      <c r="T664" s="2"/>
      <c r="U664" s="2"/>
      <c r="V664" s="2"/>
      <c r="W664" s="2"/>
      <c r="X664" s="2"/>
      <c r="Y664" s="2"/>
    </row>
    <row r="665" spans="1:25" ht="14.25" customHeight="1" x14ac:dyDescent="0.3">
      <c r="A665" s="2"/>
      <c r="B665" s="1"/>
      <c r="C665" s="1"/>
      <c r="D665" s="1"/>
      <c r="E665" s="1"/>
      <c r="F665" s="2"/>
      <c r="G665" s="2"/>
      <c r="H665" s="2"/>
      <c r="I665" s="2"/>
      <c r="J665" s="2"/>
      <c r="K665" s="2"/>
      <c r="L665" s="2"/>
      <c r="M665" s="2"/>
      <c r="N665" s="2"/>
      <c r="O665" s="2"/>
      <c r="P665" s="2"/>
      <c r="Q665" s="2"/>
      <c r="R665" s="2"/>
      <c r="S665" s="2"/>
      <c r="T665" s="2"/>
      <c r="U665" s="2"/>
      <c r="V665" s="2"/>
      <c r="W665" s="2"/>
      <c r="X665" s="2"/>
      <c r="Y665" s="2"/>
    </row>
    <row r="666" spans="1:25" ht="14.25" customHeight="1" x14ac:dyDescent="0.3">
      <c r="A666" s="2"/>
      <c r="B666" s="1"/>
      <c r="C666" s="1"/>
      <c r="D666" s="1"/>
      <c r="E666" s="1"/>
      <c r="F666" s="2"/>
      <c r="G666" s="2"/>
      <c r="H666" s="2"/>
      <c r="I666" s="2"/>
      <c r="J666" s="2"/>
      <c r="K666" s="2"/>
      <c r="L666" s="2"/>
      <c r="M666" s="2"/>
      <c r="N666" s="2"/>
      <c r="O666" s="2"/>
      <c r="P666" s="2"/>
      <c r="Q666" s="2"/>
      <c r="R666" s="2"/>
      <c r="S666" s="2"/>
      <c r="T666" s="2"/>
      <c r="U666" s="2"/>
      <c r="V666" s="2"/>
      <c r="W666" s="2"/>
      <c r="X666" s="2"/>
      <c r="Y666" s="2"/>
    </row>
    <row r="667" spans="1:25" ht="14.25" customHeight="1" x14ac:dyDescent="0.3">
      <c r="A667" s="2"/>
      <c r="B667" s="1"/>
      <c r="C667" s="1"/>
      <c r="D667" s="1"/>
      <c r="E667" s="1"/>
      <c r="F667" s="2"/>
      <c r="G667" s="2"/>
      <c r="H667" s="2"/>
      <c r="I667" s="2"/>
      <c r="J667" s="2"/>
      <c r="K667" s="2"/>
      <c r="L667" s="2"/>
      <c r="M667" s="2"/>
      <c r="N667" s="2"/>
      <c r="O667" s="2"/>
      <c r="P667" s="2"/>
      <c r="Q667" s="2"/>
      <c r="R667" s="2"/>
      <c r="S667" s="2"/>
      <c r="T667" s="2"/>
      <c r="U667" s="2"/>
      <c r="V667" s="2"/>
      <c r="W667" s="2"/>
      <c r="X667" s="2"/>
      <c r="Y667" s="2"/>
    </row>
    <row r="668" spans="1:25" ht="14.25" customHeight="1" x14ac:dyDescent="0.3">
      <c r="A668" s="2"/>
      <c r="B668" s="1"/>
      <c r="C668" s="1"/>
      <c r="D668" s="1"/>
      <c r="E668" s="1"/>
      <c r="F668" s="2"/>
      <c r="G668" s="2"/>
      <c r="H668" s="2"/>
      <c r="I668" s="2"/>
      <c r="J668" s="2"/>
      <c r="K668" s="2"/>
      <c r="L668" s="2"/>
      <c r="M668" s="2"/>
      <c r="N668" s="2"/>
      <c r="O668" s="2"/>
      <c r="P668" s="2"/>
      <c r="Q668" s="2"/>
      <c r="R668" s="2"/>
      <c r="S668" s="2"/>
      <c r="T668" s="2"/>
      <c r="U668" s="2"/>
      <c r="V668" s="2"/>
      <c r="W668" s="2"/>
      <c r="X668" s="2"/>
      <c r="Y668" s="2"/>
    </row>
    <row r="669" spans="1:25" ht="14.25" customHeight="1" x14ac:dyDescent="0.3">
      <c r="A669" s="2"/>
      <c r="B669" s="1"/>
      <c r="C669" s="1"/>
      <c r="D669" s="1"/>
      <c r="E669" s="1"/>
      <c r="F669" s="2"/>
      <c r="G669" s="2"/>
      <c r="H669" s="2"/>
      <c r="I669" s="2"/>
      <c r="J669" s="2"/>
      <c r="K669" s="2"/>
      <c r="L669" s="2"/>
      <c r="M669" s="2"/>
      <c r="N669" s="2"/>
      <c r="O669" s="2"/>
      <c r="P669" s="2"/>
      <c r="Q669" s="2"/>
      <c r="R669" s="2"/>
      <c r="S669" s="2"/>
      <c r="T669" s="2"/>
      <c r="U669" s="2"/>
      <c r="V669" s="2"/>
      <c r="W669" s="2"/>
      <c r="X669" s="2"/>
      <c r="Y669" s="2"/>
    </row>
    <row r="670" spans="1:25" ht="14.25" customHeight="1" x14ac:dyDescent="0.3">
      <c r="A670" s="2"/>
      <c r="B670" s="1"/>
      <c r="C670" s="1"/>
      <c r="D670" s="1"/>
      <c r="E670" s="1"/>
      <c r="F670" s="2"/>
      <c r="G670" s="2"/>
      <c r="H670" s="2"/>
      <c r="I670" s="2"/>
      <c r="J670" s="2"/>
      <c r="K670" s="2"/>
      <c r="L670" s="2"/>
      <c r="M670" s="2"/>
      <c r="N670" s="2"/>
      <c r="O670" s="2"/>
      <c r="P670" s="2"/>
      <c r="Q670" s="2"/>
      <c r="R670" s="2"/>
      <c r="S670" s="2"/>
      <c r="T670" s="2"/>
      <c r="U670" s="2"/>
      <c r="V670" s="2"/>
      <c r="W670" s="2"/>
      <c r="X670" s="2"/>
      <c r="Y670" s="2"/>
    </row>
    <row r="671" spans="1:25" ht="14.25" customHeight="1" x14ac:dyDescent="0.3">
      <c r="A671" s="2"/>
      <c r="B671" s="1"/>
      <c r="C671" s="1"/>
      <c r="D671" s="1"/>
      <c r="E671" s="1"/>
      <c r="F671" s="2"/>
      <c r="G671" s="2"/>
      <c r="H671" s="2"/>
      <c r="I671" s="2"/>
      <c r="J671" s="2"/>
      <c r="K671" s="2"/>
      <c r="L671" s="2"/>
      <c r="M671" s="2"/>
      <c r="N671" s="2"/>
      <c r="O671" s="2"/>
      <c r="P671" s="2"/>
      <c r="Q671" s="2"/>
      <c r="R671" s="2"/>
      <c r="S671" s="2"/>
      <c r="T671" s="2"/>
      <c r="U671" s="2"/>
      <c r="V671" s="2"/>
      <c r="W671" s="2"/>
      <c r="X671" s="2"/>
      <c r="Y671" s="2"/>
    </row>
    <row r="672" spans="1:25" ht="14.25" customHeight="1" x14ac:dyDescent="0.3">
      <c r="A672" s="2"/>
      <c r="B672" s="1"/>
      <c r="C672" s="1"/>
      <c r="D672" s="1"/>
      <c r="E672" s="1"/>
      <c r="F672" s="2"/>
      <c r="G672" s="2"/>
      <c r="H672" s="2"/>
      <c r="I672" s="2"/>
      <c r="J672" s="2"/>
      <c r="K672" s="2"/>
      <c r="L672" s="2"/>
      <c r="M672" s="2"/>
      <c r="N672" s="2"/>
      <c r="O672" s="2"/>
      <c r="P672" s="2"/>
      <c r="Q672" s="2"/>
      <c r="R672" s="2"/>
      <c r="S672" s="2"/>
      <c r="T672" s="2"/>
      <c r="U672" s="2"/>
      <c r="V672" s="2"/>
      <c r="W672" s="2"/>
      <c r="X672" s="2"/>
      <c r="Y672" s="2"/>
    </row>
    <row r="673" spans="1:25" ht="14.25" customHeight="1" x14ac:dyDescent="0.3">
      <c r="A673" s="2"/>
      <c r="B673" s="1"/>
      <c r="C673" s="1"/>
      <c r="D673" s="1"/>
      <c r="E673" s="1"/>
      <c r="F673" s="2"/>
      <c r="G673" s="2"/>
      <c r="H673" s="2"/>
      <c r="I673" s="2"/>
      <c r="J673" s="2"/>
      <c r="K673" s="2"/>
      <c r="L673" s="2"/>
      <c r="M673" s="2"/>
      <c r="N673" s="2"/>
      <c r="O673" s="2"/>
      <c r="P673" s="2"/>
      <c r="Q673" s="2"/>
      <c r="R673" s="2"/>
      <c r="S673" s="2"/>
      <c r="T673" s="2"/>
      <c r="U673" s="2"/>
      <c r="V673" s="2"/>
      <c r="W673" s="2"/>
      <c r="X673" s="2"/>
      <c r="Y673" s="2"/>
    </row>
    <row r="674" spans="1:25" ht="14.25" customHeight="1" x14ac:dyDescent="0.3">
      <c r="A674" s="2"/>
      <c r="B674" s="1"/>
      <c r="C674" s="1"/>
      <c r="D674" s="1"/>
      <c r="E674" s="1"/>
      <c r="F674" s="2"/>
      <c r="G674" s="2"/>
      <c r="H674" s="2"/>
      <c r="I674" s="2"/>
      <c r="J674" s="2"/>
      <c r="K674" s="2"/>
      <c r="L674" s="2"/>
      <c r="M674" s="2"/>
      <c r="N674" s="2"/>
      <c r="O674" s="2"/>
      <c r="P674" s="2"/>
      <c r="Q674" s="2"/>
      <c r="R674" s="2"/>
      <c r="S674" s="2"/>
      <c r="T674" s="2"/>
      <c r="U674" s="2"/>
      <c r="V674" s="2"/>
      <c r="W674" s="2"/>
      <c r="X674" s="2"/>
      <c r="Y674" s="2"/>
    </row>
    <row r="675" spans="1:25" ht="14.25" customHeight="1" x14ac:dyDescent="0.3">
      <c r="A675" s="2"/>
      <c r="B675" s="1"/>
      <c r="C675" s="1"/>
      <c r="D675" s="1"/>
      <c r="E675" s="1"/>
      <c r="F675" s="2"/>
      <c r="G675" s="2"/>
      <c r="H675" s="2"/>
      <c r="I675" s="2"/>
      <c r="J675" s="2"/>
      <c r="K675" s="2"/>
      <c r="L675" s="2"/>
      <c r="M675" s="2"/>
      <c r="N675" s="2"/>
      <c r="O675" s="2"/>
      <c r="P675" s="2"/>
      <c r="Q675" s="2"/>
      <c r="R675" s="2"/>
      <c r="S675" s="2"/>
      <c r="T675" s="2"/>
      <c r="U675" s="2"/>
      <c r="V675" s="2"/>
      <c r="W675" s="2"/>
      <c r="X675" s="2"/>
      <c r="Y675" s="2"/>
    </row>
    <row r="676" spans="1:25" ht="14.25" customHeight="1" x14ac:dyDescent="0.3">
      <c r="A676" s="2"/>
      <c r="B676" s="1"/>
      <c r="C676" s="1"/>
      <c r="D676" s="1"/>
      <c r="E676" s="1"/>
      <c r="F676" s="2"/>
      <c r="G676" s="2"/>
      <c r="H676" s="2"/>
      <c r="I676" s="2"/>
      <c r="J676" s="2"/>
      <c r="K676" s="2"/>
      <c r="L676" s="2"/>
      <c r="M676" s="2"/>
      <c r="N676" s="2"/>
      <c r="O676" s="2"/>
      <c r="P676" s="2"/>
      <c r="Q676" s="2"/>
      <c r="R676" s="2"/>
      <c r="S676" s="2"/>
      <c r="T676" s="2"/>
      <c r="U676" s="2"/>
      <c r="V676" s="2"/>
      <c r="W676" s="2"/>
      <c r="X676" s="2"/>
      <c r="Y676" s="2"/>
    </row>
    <row r="677" spans="1:25" ht="14.25" customHeight="1" x14ac:dyDescent="0.3">
      <c r="A677" s="2"/>
      <c r="B677" s="1"/>
      <c r="C677" s="1"/>
      <c r="D677" s="1"/>
      <c r="E677" s="1"/>
      <c r="F677" s="2"/>
      <c r="G677" s="2"/>
      <c r="H677" s="2"/>
      <c r="I677" s="2"/>
      <c r="J677" s="2"/>
      <c r="K677" s="2"/>
      <c r="L677" s="2"/>
      <c r="M677" s="2"/>
      <c r="N677" s="2"/>
      <c r="O677" s="2"/>
      <c r="P677" s="2"/>
      <c r="Q677" s="2"/>
      <c r="R677" s="2"/>
      <c r="S677" s="2"/>
      <c r="T677" s="2"/>
      <c r="U677" s="2"/>
      <c r="V677" s="2"/>
      <c r="W677" s="2"/>
      <c r="X677" s="2"/>
      <c r="Y677" s="2"/>
    </row>
    <row r="678" spans="1:25" ht="14.25" customHeight="1" x14ac:dyDescent="0.3">
      <c r="A678" s="2"/>
      <c r="B678" s="1"/>
      <c r="C678" s="1"/>
      <c r="D678" s="1"/>
      <c r="E678" s="1"/>
      <c r="F678" s="2"/>
      <c r="G678" s="2"/>
      <c r="H678" s="2"/>
      <c r="I678" s="2"/>
      <c r="J678" s="2"/>
      <c r="K678" s="2"/>
      <c r="L678" s="2"/>
      <c r="M678" s="2"/>
      <c r="N678" s="2"/>
      <c r="O678" s="2"/>
      <c r="P678" s="2"/>
      <c r="Q678" s="2"/>
      <c r="R678" s="2"/>
      <c r="S678" s="2"/>
      <c r="T678" s="2"/>
      <c r="U678" s="2"/>
      <c r="V678" s="2"/>
      <c r="W678" s="2"/>
      <c r="X678" s="2"/>
      <c r="Y678" s="2"/>
    </row>
    <row r="679" spans="1:25" ht="14.25" customHeight="1" x14ac:dyDescent="0.3">
      <c r="A679" s="2"/>
      <c r="B679" s="1"/>
      <c r="C679" s="1"/>
      <c r="D679" s="1"/>
      <c r="E679" s="1"/>
      <c r="F679" s="2"/>
      <c r="G679" s="2"/>
      <c r="H679" s="2"/>
      <c r="I679" s="2"/>
      <c r="J679" s="2"/>
      <c r="K679" s="2"/>
      <c r="L679" s="2"/>
      <c r="M679" s="2"/>
      <c r="N679" s="2"/>
      <c r="O679" s="2"/>
      <c r="P679" s="2"/>
      <c r="Q679" s="2"/>
      <c r="R679" s="2"/>
      <c r="S679" s="2"/>
      <c r="T679" s="2"/>
      <c r="U679" s="2"/>
      <c r="V679" s="2"/>
      <c r="W679" s="2"/>
      <c r="X679" s="2"/>
      <c r="Y679" s="2"/>
    </row>
    <row r="680" spans="1:25" ht="14.25" customHeight="1" x14ac:dyDescent="0.3">
      <c r="A680" s="2"/>
      <c r="B680" s="1"/>
      <c r="C680" s="1"/>
      <c r="D680" s="1"/>
      <c r="E680" s="1"/>
      <c r="F680" s="2"/>
      <c r="G680" s="2"/>
      <c r="H680" s="2"/>
      <c r="I680" s="2"/>
      <c r="J680" s="2"/>
      <c r="K680" s="2"/>
      <c r="L680" s="2"/>
      <c r="M680" s="2"/>
      <c r="N680" s="2"/>
      <c r="O680" s="2"/>
      <c r="P680" s="2"/>
      <c r="Q680" s="2"/>
      <c r="R680" s="2"/>
      <c r="S680" s="2"/>
      <c r="T680" s="2"/>
      <c r="U680" s="2"/>
      <c r="V680" s="2"/>
      <c r="W680" s="2"/>
      <c r="X680" s="2"/>
      <c r="Y680" s="2"/>
    </row>
    <row r="681" spans="1:25" ht="14.25" customHeight="1" x14ac:dyDescent="0.3">
      <c r="A681" s="2"/>
      <c r="B681" s="1"/>
      <c r="C681" s="1"/>
      <c r="D681" s="1"/>
      <c r="E681" s="1"/>
      <c r="F681" s="2"/>
      <c r="G681" s="2"/>
      <c r="H681" s="2"/>
      <c r="I681" s="2"/>
      <c r="J681" s="2"/>
      <c r="K681" s="2"/>
      <c r="L681" s="2"/>
      <c r="M681" s="2"/>
      <c r="N681" s="2"/>
      <c r="O681" s="2"/>
      <c r="P681" s="2"/>
      <c r="Q681" s="2"/>
      <c r="R681" s="2"/>
      <c r="S681" s="2"/>
      <c r="T681" s="2"/>
      <c r="U681" s="2"/>
      <c r="V681" s="2"/>
      <c r="W681" s="2"/>
      <c r="X681" s="2"/>
      <c r="Y681" s="2"/>
    </row>
    <row r="682" spans="1:25" ht="14.25" customHeight="1" x14ac:dyDescent="0.3">
      <c r="A682" s="2"/>
      <c r="B682" s="1"/>
      <c r="C682" s="1"/>
      <c r="D682" s="1"/>
      <c r="E682" s="1"/>
      <c r="F682" s="2"/>
      <c r="G682" s="2"/>
      <c r="H682" s="2"/>
      <c r="I682" s="2"/>
      <c r="J682" s="2"/>
      <c r="K682" s="2"/>
      <c r="L682" s="2"/>
      <c r="M682" s="2"/>
      <c r="N682" s="2"/>
      <c r="O682" s="2"/>
      <c r="P682" s="2"/>
      <c r="Q682" s="2"/>
      <c r="R682" s="2"/>
      <c r="S682" s="2"/>
      <c r="T682" s="2"/>
      <c r="U682" s="2"/>
      <c r="V682" s="2"/>
      <c r="W682" s="2"/>
      <c r="X682" s="2"/>
      <c r="Y682" s="2"/>
    </row>
    <row r="683" spans="1:25" ht="14.25" customHeight="1" x14ac:dyDescent="0.3">
      <c r="A683" s="2"/>
      <c r="B683" s="1"/>
      <c r="C683" s="1"/>
      <c r="D683" s="1"/>
      <c r="E683" s="1"/>
      <c r="F683" s="2"/>
      <c r="G683" s="2"/>
      <c r="H683" s="2"/>
      <c r="I683" s="2"/>
      <c r="J683" s="2"/>
      <c r="K683" s="2"/>
      <c r="L683" s="2"/>
      <c r="M683" s="2"/>
      <c r="N683" s="2"/>
      <c r="O683" s="2"/>
      <c r="P683" s="2"/>
      <c r="Q683" s="2"/>
      <c r="R683" s="2"/>
      <c r="S683" s="2"/>
      <c r="T683" s="2"/>
      <c r="U683" s="2"/>
      <c r="V683" s="2"/>
      <c r="W683" s="2"/>
      <c r="X683" s="2"/>
      <c r="Y683" s="2"/>
    </row>
    <row r="684" spans="1:25" ht="14.25" customHeight="1" x14ac:dyDescent="0.3">
      <c r="A684" s="2"/>
      <c r="B684" s="1"/>
      <c r="C684" s="1"/>
      <c r="D684" s="1"/>
      <c r="E684" s="1"/>
      <c r="F684" s="2"/>
      <c r="G684" s="2"/>
      <c r="H684" s="2"/>
      <c r="I684" s="2"/>
      <c r="J684" s="2"/>
      <c r="K684" s="2"/>
      <c r="L684" s="2"/>
      <c r="M684" s="2"/>
      <c r="N684" s="2"/>
      <c r="O684" s="2"/>
      <c r="P684" s="2"/>
      <c r="Q684" s="2"/>
      <c r="R684" s="2"/>
      <c r="S684" s="2"/>
      <c r="T684" s="2"/>
      <c r="U684" s="2"/>
      <c r="V684" s="2"/>
      <c r="W684" s="2"/>
      <c r="X684" s="2"/>
      <c r="Y684" s="2"/>
    </row>
    <row r="685" spans="1:25" ht="14.25" customHeight="1" x14ac:dyDescent="0.3">
      <c r="A685" s="2"/>
      <c r="B685" s="1"/>
      <c r="C685" s="1"/>
      <c r="D685" s="1"/>
      <c r="E685" s="1"/>
      <c r="F685" s="2"/>
      <c r="G685" s="2"/>
      <c r="H685" s="2"/>
      <c r="I685" s="2"/>
      <c r="J685" s="2"/>
      <c r="K685" s="2"/>
      <c r="L685" s="2"/>
      <c r="M685" s="2"/>
      <c r="N685" s="2"/>
      <c r="O685" s="2"/>
      <c r="P685" s="2"/>
      <c r="Q685" s="2"/>
      <c r="R685" s="2"/>
      <c r="S685" s="2"/>
      <c r="T685" s="2"/>
      <c r="U685" s="2"/>
      <c r="V685" s="2"/>
      <c r="W685" s="2"/>
      <c r="X685" s="2"/>
      <c r="Y685" s="2"/>
    </row>
    <row r="686" spans="1:25" ht="14.25" customHeight="1" x14ac:dyDescent="0.3">
      <c r="A686" s="2"/>
      <c r="B686" s="1"/>
      <c r="C686" s="1"/>
      <c r="D686" s="1"/>
      <c r="E686" s="1"/>
      <c r="F686" s="2"/>
      <c r="G686" s="2"/>
      <c r="H686" s="2"/>
      <c r="I686" s="2"/>
      <c r="J686" s="2"/>
      <c r="K686" s="2"/>
      <c r="L686" s="2"/>
      <c r="M686" s="2"/>
      <c r="N686" s="2"/>
      <c r="O686" s="2"/>
      <c r="P686" s="2"/>
      <c r="Q686" s="2"/>
      <c r="R686" s="2"/>
      <c r="S686" s="2"/>
      <c r="T686" s="2"/>
      <c r="U686" s="2"/>
      <c r="V686" s="2"/>
      <c r="W686" s="2"/>
      <c r="X686" s="2"/>
      <c r="Y686" s="2"/>
    </row>
    <row r="687" spans="1:25" ht="14.25" customHeight="1" x14ac:dyDescent="0.3">
      <c r="A687" s="2"/>
      <c r="B687" s="1"/>
      <c r="C687" s="1"/>
      <c r="D687" s="1"/>
      <c r="E687" s="1"/>
      <c r="F687" s="2"/>
      <c r="G687" s="2"/>
      <c r="H687" s="2"/>
      <c r="I687" s="2"/>
      <c r="J687" s="2"/>
      <c r="K687" s="2"/>
      <c r="L687" s="2"/>
      <c r="M687" s="2"/>
      <c r="N687" s="2"/>
      <c r="O687" s="2"/>
      <c r="P687" s="2"/>
      <c r="Q687" s="2"/>
      <c r="R687" s="2"/>
      <c r="S687" s="2"/>
      <c r="T687" s="2"/>
      <c r="U687" s="2"/>
      <c r="V687" s="2"/>
      <c r="W687" s="2"/>
      <c r="X687" s="2"/>
      <c r="Y687" s="2"/>
    </row>
    <row r="688" spans="1:25" ht="14.25" customHeight="1" x14ac:dyDescent="0.3">
      <c r="A688" s="2"/>
      <c r="B688" s="1"/>
      <c r="C688" s="1"/>
      <c r="D688" s="1"/>
      <c r="E688" s="1"/>
      <c r="F688" s="2"/>
      <c r="G688" s="2"/>
      <c r="H688" s="2"/>
      <c r="I688" s="2"/>
      <c r="J688" s="2"/>
      <c r="K688" s="2"/>
      <c r="L688" s="2"/>
      <c r="M688" s="2"/>
      <c r="N688" s="2"/>
      <c r="O688" s="2"/>
      <c r="P688" s="2"/>
      <c r="Q688" s="2"/>
      <c r="R688" s="2"/>
      <c r="S688" s="2"/>
      <c r="T688" s="2"/>
      <c r="U688" s="2"/>
      <c r="V688" s="2"/>
      <c r="W688" s="2"/>
      <c r="X688" s="2"/>
      <c r="Y688" s="2"/>
    </row>
    <row r="689" spans="1:25" ht="14.25" customHeight="1" x14ac:dyDescent="0.3">
      <c r="A689" s="2"/>
      <c r="B689" s="1"/>
      <c r="C689" s="1"/>
      <c r="D689" s="1"/>
      <c r="E689" s="1"/>
      <c r="F689" s="2"/>
      <c r="G689" s="2"/>
      <c r="H689" s="2"/>
      <c r="I689" s="2"/>
      <c r="J689" s="2"/>
      <c r="K689" s="2"/>
      <c r="L689" s="2"/>
      <c r="M689" s="2"/>
      <c r="N689" s="2"/>
      <c r="O689" s="2"/>
      <c r="P689" s="2"/>
      <c r="Q689" s="2"/>
      <c r="R689" s="2"/>
      <c r="S689" s="2"/>
      <c r="T689" s="2"/>
      <c r="U689" s="2"/>
      <c r="V689" s="2"/>
      <c r="W689" s="2"/>
      <c r="X689" s="2"/>
      <c r="Y689" s="2"/>
    </row>
    <row r="690" spans="1:25" ht="14.25" customHeight="1" x14ac:dyDescent="0.3">
      <c r="A690" s="2"/>
      <c r="B690" s="1"/>
      <c r="C690" s="1"/>
      <c r="D690" s="1"/>
      <c r="E690" s="1"/>
      <c r="F690" s="2"/>
      <c r="G690" s="2"/>
      <c r="H690" s="2"/>
      <c r="I690" s="2"/>
      <c r="J690" s="2"/>
      <c r="K690" s="2"/>
      <c r="L690" s="2"/>
      <c r="M690" s="2"/>
      <c r="N690" s="2"/>
      <c r="O690" s="2"/>
      <c r="P690" s="2"/>
      <c r="Q690" s="2"/>
      <c r="R690" s="2"/>
      <c r="S690" s="2"/>
      <c r="T690" s="2"/>
      <c r="U690" s="2"/>
      <c r="V690" s="2"/>
      <c r="W690" s="2"/>
      <c r="X690" s="2"/>
      <c r="Y690" s="2"/>
    </row>
    <row r="691" spans="1:25" ht="14.25" customHeight="1" x14ac:dyDescent="0.3">
      <c r="A691" s="2"/>
      <c r="B691" s="1"/>
      <c r="C691" s="1"/>
      <c r="D691" s="1"/>
      <c r="E691" s="1"/>
      <c r="F691" s="2"/>
      <c r="G691" s="2"/>
      <c r="H691" s="2"/>
      <c r="I691" s="2"/>
      <c r="J691" s="2"/>
      <c r="K691" s="2"/>
      <c r="L691" s="2"/>
      <c r="M691" s="2"/>
      <c r="N691" s="2"/>
      <c r="O691" s="2"/>
      <c r="P691" s="2"/>
      <c r="Q691" s="2"/>
      <c r="R691" s="2"/>
      <c r="S691" s="2"/>
      <c r="T691" s="2"/>
      <c r="U691" s="2"/>
      <c r="V691" s="2"/>
      <c r="W691" s="2"/>
      <c r="X691" s="2"/>
      <c r="Y691" s="2"/>
    </row>
    <row r="692" spans="1:25" ht="14.25" customHeight="1" x14ac:dyDescent="0.3">
      <c r="A692" s="2"/>
      <c r="B692" s="1"/>
      <c r="C692" s="1"/>
      <c r="D692" s="1"/>
      <c r="E692" s="1"/>
      <c r="F692" s="2"/>
      <c r="G692" s="2"/>
      <c r="H692" s="2"/>
      <c r="I692" s="2"/>
      <c r="J692" s="2"/>
      <c r="K692" s="2"/>
      <c r="L692" s="2"/>
      <c r="M692" s="2"/>
      <c r="N692" s="2"/>
      <c r="O692" s="2"/>
      <c r="P692" s="2"/>
      <c r="Q692" s="2"/>
      <c r="R692" s="2"/>
      <c r="S692" s="2"/>
      <c r="T692" s="2"/>
      <c r="U692" s="2"/>
      <c r="V692" s="2"/>
      <c r="W692" s="2"/>
      <c r="X692" s="2"/>
      <c r="Y692" s="2"/>
    </row>
    <row r="693" spans="1:25" ht="14.25" customHeight="1" x14ac:dyDescent="0.3">
      <c r="A693" s="2"/>
      <c r="B693" s="1"/>
      <c r="C693" s="1"/>
      <c r="D693" s="1"/>
      <c r="E693" s="1"/>
      <c r="F693" s="2"/>
      <c r="G693" s="2"/>
      <c r="H693" s="2"/>
      <c r="I693" s="2"/>
      <c r="J693" s="2"/>
      <c r="K693" s="2"/>
      <c r="L693" s="2"/>
      <c r="M693" s="2"/>
      <c r="N693" s="2"/>
      <c r="O693" s="2"/>
      <c r="P693" s="2"/>
      <c r="Q693" s="2"/>
      <c r="R693" s="2"/>
      <c r="S693" s="2"/>
      <c r="T693" s="2"/>
      <c r="U693" s="2"/>
      <c r="V693" s="2"/>
      <c r="W693" s="2"/>
      <c r="X693" s="2"/>
      <c r="Y693" s="2"/>
    </row>
    <row r="694" spans="1:25" ht="14.25" customHeight="1" x14ac:dyDescent="0.3">
      <c r="A694" s="2"/>
      <c r="B694" s="1"/>
      <c r="C694" s="1"/>
      <c r="D694" s="1"/>
      <c r="E694" s="1"/>
      <c r="F694" s="2"/>
      <c r="G694" s="2"/>
      <c r="H694" s="2"/>
      <c r="I694" s="2"/>
      <c r="J694" s="2"/>
      <c r="K694" s="2"/>
      <c r="L694" s="2"/>
      <c r="M694" s="2"/>
      <c r="N694" s="2"/>
      <c r="O694" s="2"/>
      <c r="P694" s="2"/>
      <c r="Q694" s="2"/>
      <c r="R694" s="2"/>
      <c r="S694" s="2"/>
      <c r="T694" s="2"/>
      <c r="U694" s="2"/>
      <c r="V694" s="2"/>
      <c r="W694" s="2"/>
      <c r="X694" s="2"/>
      <c r="Y694" s="2"/>
    </row>
    <row r="695" spans="1:25" ht="14.25" customHeight="1" x14ac:dyDescent="0.3">
      <c r="A695" s="2"/>
      <c r="B695" s="1"/>
      <c r="C695" s="1"/>
      <c r="D695" s="1"/>
      <c r="E695" s="1"/>
      <c r="F695" s="2"/>
      <c r="G695" s="2"/>
      <c r="H695" s="2"/>
      <c r="I695" s="2"/>
      <c r="J695" s="2"/>
      <c r="K695" s="2"/>
      <c r="L695" s="2"/>
      <c r="M695" s="2"/>
      <c r="N695" s="2"/>
      <c r="O695" s="2"/>
      <c r="P695" s="2"/>
      <c r="Q695" s="2"/>
      <c r="R695" s="2"/>
      <c r="S695" s="2"/>
      <c r="T695" s="2"/>
      <c r="U695" s="2"/>
      <c r="V695" s="2"/>
      <c r="W695" s="2"/>
      <c r="X695" s="2"/>
      <c r="Y695" s="2"/>
    </row>
    <row r="696" spans="1:25" ht="14.25" customHeight="1" x14ac:dyDescent="0.3">
      <c r="A696" s="2"/>
      <c r="B696" s="1"/>
      <c r="C696" s="1"/>
      <c r="D696" s="1"/>
      <c r="E696" s="1"/>
      <c r="F696" s="2"/>
      <c r="G696" s="2"/>
      <c r="H696" s="2"/>
      <c r="I696" s="2"/>
      <c r="J696" s="2"/>
      <c r="K696" s="2"/>
      <c r="L696" s="2"/>
      <c r="M696" s="2"/>
      <c r="N696" s="2"/>
      <c r="O696" s="2"/>
      <c r="P696" s="2"/>
      <c r="Q696" s="2"/>
      <c r="R696" s="2"/>
      <c r="S696" s="2"/>
      <c r="T696" s="2"/>
      <c r="U696" s="2"/>
      <c r="V696" s="2"/>
      <c r="W696" s="2"/>
      <c r="X696" s="2"/>
      <c r="Y696" s="2"/>
    </row>
    <row r="697" spans="1:25" ht="14.25" customHeight="1" x14ac:dyDescent="0.3">
      <c r="A697" s="2"/>
      <c r="B697" s="1"/>
      <c r="C697" s="1"/>
      <c r="D697" s="1"/>
      <c r="E697" s="1"/>
      <c r="F697" s="2"/>
      <c r="G697" s="2"/>
      <c r="H697" s="2"/>
      <c r="I697" s="2"/>
      <c r="J697" s="2"/>
      <c r="K697" s="2"/>
      <c r="L697" s="2"/>
      <c r="M697" s="2"/>
      <c r="N697" s="2"/>
      <c r="O697" s="2"/>
      <c r="P697" s="2"/>
      <c r="Q697" s="2"/>
      <c r="R697" s="2"/>
      <c r="S697" s="2"/>
      <c r="T697" s="2"/>
      <c r="U697" s="2"/>
      <c r="V697" s="2"/>
      <c r="W697" s="2"/>
      <c r="X697" s="2"/>
      <c r="Y697" s="2"/>
    </row>
    <row r="698" spans="1:25" ht="14.25" customHeight="1" x14ac:dyDescent="0.3">
      <c r="A698" s="2"/>
      <c r="B698" s="1"/>
      <c r="C698" s="1"/>
      <c r="D698" s="1"/>
      <c r="E698" s="1"/>
      <c r="F698" s="2"/>
      <c r="G698" s="2"/>
      <c r="H698" s="2"/>
      <c r="I698" s="2"/>
      <c r="J698" s="2"/>
      <c r="K698" s="2"/>
      <c r="L698" s="2"/>
      <c r="M698" s="2"/>
      <c r="N698" s="2"/>
      <c r="O698" s="2"/>
      <c r="P698" s="2"/>
      <c r="Q698" s="2"/>
      <c r="R698" s="2"/>
      <c r="S698" s="2"/>
      <c r="T698" s="2"/>
      <c r="U698" s="2"/>
      <c r="V698" s="2"/>
      <c r="W698" s="2"/>
      <c r="X698" s="2"/>
      <c r="Y698" s="2"/>
    </row>
    <row r="699" spans="1:25" ht="14.25" customHeight="1" x14ac:dyDescent="0.3">
      <c r="A699" s="2"/>
      <c r="B699" s="1"/>
      <c r="C699" s="1"/>
      <c r="D699" s="1"/>
      <c r="E699" s="1"/>
      <c r="F699" s="2"/>
      <c r="G699" s="2"/>
      <c r="H699" s="2"/>
      <c r="I699" s="2"/>
      <c r="J699" s="2"/>
      <c r="K699" s="2"/>
      <c r="L699" s="2"/>
      <c r="M699" s="2"/>
      <c r="N699" s="2"/>
      <c r="O699" s="2"/>
      <c r="P699" s="2"/>
      <c r="Q699" s="2"/>
      <c r="R699" s="2"/>
      <c r="S699" s="2"/>
      <c r="T699" s="2"/>
      <c r="U699" s="2"/>
      <c r="V699" s="2"/>
      <c r="W699" s="2"/>
      <c r="X699" s="2"/>
      <c r="Y699" s="2"/>
    </row>
    <row r="700" spans="1:25" ht="14.25" customHeight="1" x14ac:dyDescent="0.3">
      <c r="A700" s="2"/>
      <c r="B700" s="1"/>
      <c r="C700" s="1"/>
      <c r="D700" s="1"/>
      <c r="E700" s="1"/>
      <c r="F700" s="2"/>
      <c r="G700" s="2"/>
      <c r="H700" s="2"/>
      <c r="I700" s="2"/>
      <c r="J700" s="2"/>
      <c r="K700" s="2"/>
      <c r="L700" s="2"/>
      <c r="M700" s="2"/>
      <c r="N700" s="2"/>
      <c r="O700" s="2"/>
      <c r="P700" s="2"/>
      <c r="Q700" s="2"/>
      <c r="R700" s="2"/>
      <c r="S700" s="2"/>
      <c r="T700" s="2"/>
      <c r="U700" s="2"/>
      <c r="V700" s="2"/>
      <c r="W700" s="2"/>
      <c r="X700" s="2"/>
      <c r="Y700" s="2"/>
    </row>
    <row r="701" spans="1:25" ht="14.25" customHeight="1" x14ac:dyDescent="0.3">
      <c r="A701" s="2"/>
      <c r="B701" s="1"/>
      <c r="C701" s="1"/>
      <c r="D701" s="1"/>
      <c r="E701" s="1"/>
      <c r="F701" s="2"/>
      <c r="G701" s="2"/>
      <c r="H701" s="2"/>
      <c r="I701" s="2"/>
      <c r="J701" s="2"/>
      <c r="K701" s="2"/>
      <c r="L701" s="2"/>
      <c r="M701" s="2"/>
      <c r="N701" s="2"/>
      <c r="O701" s="2"/>
      <c r="P701" s="2"/>
      <c r="Q701" s="2"/>
      <c r="R701" s="2"/>
      <c r="S701" s="2"/>
      <c r="T701" s="2"/>
      <c r="U701" s="2"/>
      <c r="V701" s="2"/>
      <c r="W701" s="2"/>
      <c r="X701" s="2"/>
      <c r="Y701" s="2"/>
    </row>
    <row r="702" spans="1:25" ht="14.25" customHeight="1" x14ac:dyDescent="0.3">
      <c r="A702" s="2"/>
      <c r="B702" s="1"/>
      <c r="C702" s="1"/>
      <c r="D702" s="1"/>
      <c r="E702" s="1"/>
      <c r="F702" s="2"/>
      <c r="G702" s="2"/>
      <c r="H702" s="2"/>
      <c r="I702" s="2"/>
      <c r="J702" s="2"/>
      <c r="K702" s="2"/>
      <c r="L702" s="2"/>
      <c r="M702" s="2"/>
      <c r="N702" s="2"/>
      <c r="O702" s="2"/>
      <c r="P702" s="2"/>
      <c r="Q702" s="2"/>
      <c r="R702" s="2"/>
      <c r="S702" s="2"/>
      <c r="T702" s="2"/>
      <c r="U702" s="2"/>
      <c r="V702" s="2"/>
      <c r="W702" s="2"/>
      <c r="X702" s="2"/>
      <c r="Y702" s="2"/>
    </row>
    <row r="703" spans="1:25" ht="14.25" customHeight="1" x14ac:dyDescent="0.3">
      <c r="A703" s="2"/>
      <c r="B703" s="1"/>
      <c r="C703" s="1"/>
      <c r="D703" s="1"/>
      <c r="E703" s="1"/>
      <c r="F703" s="2"/>
      <c r="G703" s="2"/>
      <c r="H703" s="2"/>
      <c r="I703" s="2"/>
      <c r="J703" s="2"/>
      <c r="K703" s="2"/>
      <c r="L703" s="2"/>
      <c r="M703" s="2"/>
      <c r="N703" s="2"/>
      <c r="O703" s="2"/>
      <c r="P703" s="2"/>
      <c r="Q703" s="2"/>
      <c r="R703" s="2"/>
      <c r="S703" s="2"/>
      <c r="T703" s="2"/>
      <c r="U703" s="2"/>
      <c r="V703" s="2"/>
      <c r="W703" s="2"/>
      <c r="X703" s="2"/>
      <c r="Y703" s="2"/>
    </row>
    <row r="704" spans="1:25" ht="14.25" customHeight="1" x14ac:dyDescent="0.3">
      <c r="A704" s="2"/>
      <c r="B704" s="1"/>
      <c r="C704" s="1"/>
      <c r="D704" s="1"/>
      <c r="E704" s="1"/>
      <c r="F704" s="2"/>
      <c r="G704" s="2"/>
      <c r="H704" s="2"/>
      <c r="I704" s="2"/>
      <c r="J704" s="2"/>
      <c r="K704" s="2"/>
      <c r="L704" s="2"/>
      <c r="M704" s="2"/>
      <c r="N704" s="2"/>
      <c r="O704" s="2"/>
      <c r="P704" s="2"/>
      <c r="Q704" s="2"/>
      <c r="R704" s="2"/>
      <c r="S704" s="2"/>
      <c r="T704" s="2"/>
      <c r="U704" s="2"/>
      <c r="V704" s="2"/>
      <c r="W704" s="2"/>
      <c r="X704" s="2"/>
      <c r="Y704" s="2"/>
    </row>
    <row r="705" spans="1:25" ht="14.25" customHeight="1" x14ac:dyDescent="0.3">
      <c r="A705" s="2"/>
      <c r="B705" s="1"/>
      <c r="C705" s="1"/>
      <c r="D705" s="1"/>
      <c r="E705" s="1"/>
      <c r="F705" s="2"/>
      <c r="G705" s="2"/>
      <c r="H705" s="2"/>
      <c r="I705" s="2"/>
      <c r="J705" s="2"/>
      <c r="K705" s="2"/>
      <c r="L705" s="2"/>
      <c r="M705" s="2"/>
      <c r="N705" s="2"/>
      <c r="O705" s="2"/>
      <c r="P705" s="2"/>
      <c r="Q705" s="2"/>
      <c r="R705" s="2"/>
      <c r="S705" s="2"/>
      <c r="T705" s="2"/>
      <c r="U705" s="2"/>
      <c r="V705" s="2"/>
      <c r="W705" s="2"/>
      <c r="X705" s="2"/>
      <c r="Y705" s="2"/>
    </row>
    <row r="706" spans="1:25" ht="14.25" customHeight="1" x14ac:dyDescent="0.3">
      <c r="A706" s="2"/>
      <c r="B706" s="1"/>
      <c r="C706" s="1"/>
      <c r="D706" s="1"/>
      <c r="E706" s="1"/>
      <c r="F706" s="2"/>
      <c r="G706" s="2"/>
      <c r="H706" s="2"/>
      <c r="I706" s="2"/>
      <c r="J706" s="2"/>
      <c r="K706" s="2"/>
      <c r="L706" s="2"/>
      <c r="M706" s="2"/>
      <c r="N706" s="2"/>
      <c r="O706" s="2"/>
      <c r="P706" s="2"/>
      <c r="Q706" s="2"/>
      <c r="R706" s="2"/>
      <c r="S706" s="2"/>
      <c r="T706" s="2"/>
      <c r="U706" s="2"/>
      <c r="V706" s="2"/>
      <c r="W706" s="2"/>
      <c r="X706" s="2"/>
      <c r="Y706" s="2"/>
    </row>
    <row r="707" spans="1:25" ht="14.25" customHeight="1" x14ac:dyDescent="0.3">
      <c r="A707" s="2"/>
      <c r="B707" s="1"/>
      <c r="C707" s="1"/>
      <c r="D707" s="1"/>
      <c r="E707" s="1"/>
      <c r="F707" s="2"/>
      <c r="G707" s="2"/>
      <c r="H707" s="2"/>
      <c r="I707" s="2"/>
      <c r="J707" s="2"/>
      <c r="K707" s="2"/>
      <c r="L707" s="2"/>
      <c r="M707" s="2"/>
      <c r="N707" s="2"/>
      <c r="O707" s="2"/>
      <c r="P707" s="2"/>
      <c r="Q707" s="2"/>
      <c r="R707" s="2"/>
      <c r="S707" s="2"/>
      <c r="T707" s="2"/>
      <c r="U707" s="2"/>
      <c r="V707" s="2"/>
      <c r="W707" s="2"/>
      <c r="X707" s="2"/>
      <c r="Y707" s="2"/>
    </row>
    <row r="708" spans="1:25" ht="14.25" customHeight="1" x14ac:dyDescent="0.3">
      <c r="A708" s="2"/>
      <c r="B708" s="1"/>
      <c r="C708" s="1"/>
      <c r="D708" s="1"/>
      <c r="E708" s="1"/>
      <c r="F708" s="2"/>
      <c r="G708" s="2"/>
      <c r="H708" s="2"/>
      <c r="I708" s="2"/>
      <c r="J708" s="2"/>
      <c r="K708" s="2"/>
      <c r="L708" s="2"/>
      <c r="M708" s="2"/>
      <c r="N708" s="2"/>
      <c r="O708" s="2"/>
      <c r="P708" s="2"/>
      <c r="Q708" s="2"/>
      <c r="R708" s="2"/>
      <c r="S708" s="2"/>
      <c r="T708" s="2"/>
      <c r="U708" s="2"/>
      <c r="V708" s="2"/>
      <c r="W708" s="2"/>
      <c r="X708" s="2"/>
      <c r="Y708" s="2"/>
    </row>
    <row r="709" spans="1:25" ht="14.25" customHeight="1" x14ac:dyDescent="0.3">
      <c r="A709" s="2"/>
      <c r="B709" s="1"/>
      <c r="C709" s="1"/>
      <c r="D709" s="1"/>
      <c r="E709" s="1"/>
      <c r="F709" s="2"/>
      <c r="G709" s="2"/>
      <c r="H709" s="2"/>
      <c r="I709" s="2"/>
      <c r="J709" s="2"/>
      <c r="K709" s="2"/>
      <c r="L709" s="2"/>
      <c r="M709" s="2"/>
      <c r="N709" s="2"/>
      <c r="O709" s="2"/>
      <c r="P709" s="2"/>
      <c r="Q709" s="2"/>
      <c r="R709" s="2"/>
      <c r="S709" s="2"/>
      <c r="T709" s="2"/>
      <c r="U709" s="2"/>
      <c r="V709" s="2"/>
      <c r="W709" s="2"/>
      <c r="X709" s="2"/>
      <c r="Y709" s="2"/>
    </row>
    <row r="710" spans="1:25" ht="14.25" customHeight="1" x14ac:dyDescent="0.3">
      <c r="A710" s="2"/>
      <c r="B710" s="1"/>
      <c r="C710" s="1"/>
      <c r="D710" s="1"/>
      <c r="E710" s="1"/>
      <c r="F710" s="2"/>
      <c r="G710" s="2"/>
      <c r="H710" s="2"/>
      <c r="I710" s="2"/>
      <c r="J710" s="2"/>
      <c r="K710" s="2"/>
      <c r="L710" s="2"/>
      <c r="M710" s="2"/>
      <c r="N710" s="2"/>
      <c r="O710" s="2"/>
      <c r="P710" s="2"/>
      <c r="Q710" s="2"/>
      <c r="R710" s="2"/>
      <c r="S710" s="2"/>
      <c r="T710" s="2"/>
      <c r="U710" s="2"/>
      <c r="V710" s="2"/>
      <c r="W710" s="2"/>
      <c r="X710" s="2"/>
      <c r="Y710" s="2"/>
    </row>
    <row r="711" spans="1:25" ht="14.25" customHeight="1" x14ac:dyDescent="0.3">
      <c r="A711" s="2"/>
      <c r="B711" s="1"/>
      <c r="C711" s="1"/>
      <c r="D711" s="1"/>
      <c r="E711" s="1"/>
      <c r="F711" s="2"/>
      <c r="G711" s="2"/>
      <c r="H711" s="2"/>
      <c r="I711" s="2"/>
      <c r="J711" s="2"/>
      <c r="K711" s="2"/>
      <c r="L711" s="2"/>
      <c r="M711" s="2"/>
      <c r="N711" s="2"/>
      <c r="O711" s="2"/>
      <c r="P711" s="2"/>
      <c r="Q711" s="2"/>
      <c r="R711" s="2"/>
      <c r="S711" s="2"/>
      <c r="T711" s="2"/>
      <c r="U711" s="2"/>
      <c r="V711" s="2"/>
      <c r="W711" s="2"/>
      <c r="X711" s="2"/>
      <c r="Y711" s="2"/>
    </row>
    <row r="712" spans="1:25" ht="14.25" customHeight="1" x14ac:dyDescent="0.3">
      <c r="A712" s="2"/>
      <c r="B712" s="1"/>
      <c r="C712" s="1"/>
      <c r="D712" s="1"/>
      <c r="E712" s="1"/>
      <c r="F712" s="2"/>
      <c r="G712" s="2"/>
      <c r="H712" s="2"/>
      <c r="I712" s="2"/>
      <c r="J712" s="2"/>
      <c r="K712" s="2"/>
      <c r="L712" s="2"/>
      <c r="M712" s="2"/>
      <c r="N712" s="2"/>
      <c r="O712" s="2"/>
      <c r="P712" s="2"/>
      <c r="Q712" s="2"/>
      <c r="R712" s="2"/>
      <c r="S712" s="2"/>
      <c r="T712" s="2"/>
      <c r="U712" s="2"/>
      <c r="V712" s="2"/>
      <c r="W712" s="2"/>
      <c r="X712" s="2"/>
      <c r="Y712" s="2"/>
    </row>
    <row r="713" spans="1:25" ht="14.25" customHeight="1" x14ac:dyDescent="0.3">
      <c r="A713" s="2"/>
      <c r="B713" s="1"/>
      <c r="C713" s="1"/>
      <c r="D713" s="1"/>
      <c r="E713" s="1"/>
      <c r="F713" s="2"/>
      <c r="G713" s="2"/>
      <c r="H713" s="2"/>
      <c r="I713" s="2"/>
      <c r="J713" s="2"/>
      <c r="K713" s="2"/>
      <c r="L713" s="2"/>
      <c r="M713" s="2"/>
      <c r="N713" s="2"/>
      <c r="O713" s="2"/>
      <c r="P713" s="2"/>
      <c r="Q713" s="2"/>
      <c r="R713" s="2"/>
      <c r="S713" s="2"/>
      <c r="T713" s="2"/>
      <c r="U713" s="2"/>
      <c r="V713" s="2"/>
      <c r="W713" s="2"/>
      <c r="X713" s="2"/>
      <c r="Y713" s="2"/>
    </row>
    <row r="714" spans="1:25" ht="14.25" customHeight="1" x14ac:dyDescent="0.3">
      <c r="A714" s="2"/>
      <c r="B714" s="1"/>
      <c r="C714" s="1"/>
      <c r="D714" s="1"/>
      <c r="E714" s="1"/>
      <c r="F714" s="2"/>
      <c r="G714" s="2"/>
      <c r="H714" s="2"/>
      <c r="I714" s="2"/>
      <c r="J714" s="2"/>
      <c r="K714" s="2"/>
      <c r="L714" s="2"/>
      <c r="M714" s="2"/>
      <c r="N714" s="2"/>
      <c r="O714" s="2"/>
      <c r="P714" s="2"/>
      <c r="Q714" s="2"/>
      <c r="R714" s="2"/>
      <c r="S714" s="2"/>
      <c r="T714" s="2"/>
      <c r="U714" s="2"/>
      <c r="V714" s="2"/>
      <c r="W714" s="2"/>
      <c r="X714" s="2"/>
      <c r="Y714" s="2"/>
    </row>
    <row r="715" spans="1:25" ht="14.25" customHeight="1" x14ac:dyDescent="0.3">
      <c r="A715" s="2"/>
      <c r="B715" s="1"/>
      <c r="C715" s="1"/>
      <c r="D715" s="1"/>
      <c r="E715" s="1"/>
      <c r="F715" s="2"/>
      <c r="G715" s="2"/>
      <c r="H715" s="2"/>
      <c r="I715" s="2"/>
      <c r="J715" s="2"/>
      <c r="K715" s="2"/>
      <c r="L715" s="2"/>
      <c r="M715" s="2"/>
      <c r="N715" s="2"/>
      <c r="O715" s="2"/>
      <c r="P715" s="2"/>
      <c r="Q715" s="2"/>
      <c r="R715" s="2"/>
      <c r="S715" s="2"/>
      <c r="T715" s="2"/>
      <c r="U715" s="2"/>
      <c r="V715" s="2"/>
      <c r="W715" s="2"/>
      <c r="X715" s="2"/>
      <c r="Y715" s="2"/>
    </row>
    <row r="716" spans="1:25" ht="14.25" customHeight="1" x14ac:dyDescent="0.3">
      <c r="A716" s="2"/>
      <c r="B716" s="1"/>
      <c r="C716" s="1"/>
      <c r="D716" s="1"/>
      <c r="E716" s="1"/>
      <c r="F716" s="2"/>
      <c r="G716" s="2"/>
      <c r="H716" s="2"/>
      <c r="I716" s="2"/>
      <c r="J716" s="2"/>
      <c r="K716" s="2"/>
      <c r="L716" s="2"/>
      <c r="M716" s="2"/>
      <c r="N716" s="2"/>
      <c r="O716" s="2"/>
      <c r="P716" s="2"/>
      <c r="Q716" s="2"/>
      <c r="R716" s="2"/>
      <c r="S716" s="2"/>
      <c r="T716" s="2"/>
      <c r="U716" s="2"/>
      <c r="V716" s="2"/>
      <c r="W716" s="2"/>
      <c r="X716" s="2"/>
      <c r="Y716" s="2"/>
    </row>
    <row r="717" spans="1:25" ht="14.25" customHeight="1" x14ac:dyDescent="0.3">
      <c r="A717" s="2"/>
      <c r="B717" s="1"/>
      <c r="C717" s="1"/>
      <c r="D717" s="1"/>
      <c r="E717" s="1"/>
      <c r="F717" s="2"/>
      <c r="G717" s="2"/>
      <c r="H717" s="2"/>
      <c r="I717" s="2"/>
      <c r="J717" s="2"/>
      <c r="K717" s="2"/>
      <c r="L717" s="2"/>
      <c r="M717" s="2"/>
      <c r="N717" s="2"/>
      <c r="O717" s="2"/>
      <c r="P717" s="2"/>
      <c r="Q717" s="2"/>
      <c r="R717" s="2"/>
      <c r="S717" s="2"/>
      <c r="T717" s="2"/>
      <c r="U717" s="2"/>
      <c r="V717" s="2"/>
      <c r="W717" s="2"/>
      <c r="X717" s="2"/>
      <c r="Y717" s="2"/>
    </row>
    <row r="718" spans="1:25" ht="14.25" customHeight="1" x14ac:dyDescent="0.3">
      <c r="A718" s="2"/>
      <c r="B718" s="1"/>
      <c r="C718" s="1"/>
      <c r="D718" s="1"/>
      <c r="E718" s="1"/>
      <c r="F718" s="2"/>
      <c r="G718" s="2"/>
      <c r="H718" s="2"/>
      <c r="I718" s="2"/>
      <c r="J718" s="2"/>
      <c r="K718" s="2"/>
      <c r="L718" s="2"/>
      <c r="M718" s="2"/>
      <c r="N718" s="2"/>
      <c r="O718" s="2"/>
      <c r="P718" s="2"/>
      <c r="Q718" s="2"/>
      <c r="R718" s="2"/>
      <c r="S718" s="2"/>
      <c r="T718" s="2"/>
      <c r="U718" s="2"/>
      <c r="V718" s="2"/>
      <c r="W718" s="2"/>
      <c r="X718" s="2"/>
      <c r="Y718" s="2"/>
    </row>
    <row r="719" spans="1:25" ht="14.25" customHeight="1" x14ac:dyDescent="0.3">
      <c r="A719" s="2"/>
      <c r="B719" s="1"/>
      <c r="C719" s="1"/>
      <c r="D719" s="1"/>
      <c r="E719" s="1"/>
      <c r="F719" s="2"/>
      <c r="G719" s="2"/>
      <c r="H719" s="2"/>
      <c r="I719" s="2"/>
      <c r="J719" s="2"/>
      <c r="K719" s="2"/>
      <c r="L719" s="2"/>
      <c r="M719" s="2"/>
      <c r="N719" s="2"/>
      <c r="O719" s="2"/>
      <c r="P719" s="2"/>
      <c r="Q719" s="2"/>
      <c r="R719" s="2"/>
      <c r="S719" s="2"/>
      <c r="T719" s="2"/>
      <c r="U719" s="2"/>
      <c r="V719" s="2"/>
      <c r="W719" s="2"/>
      <c r="X719" s="2"/>
      <c r="Y719" s="2"/>
    </row>
    <row r="720" spans="1:25" ht="14.25" customHeight="1" x14ac:dyDescent="0.3">
      <c r="A720" s="2"/>
      <c r="B720" s="1"/>
      <c r="C720" s="1"/>
      <c r="D720" s="1"/>
      <c r="E720" s="1"/>
      <c r="F720" s="2"/>
      <c r="G720" s="2"/>
      <c r="H720" s="2"/>
      <c r="I720" s="2"/>
      <c r="J720" s="2"/>
      <c r="K720" s="2"/>
      <c r="L720" s="2"/>
      <c r="M720" s="2"/>
      <c r="N720" s="2"/>
      <c r="O720" s="2"/>
      <c r="P720" s="2"/>
      <c r="Q720" s="2"/>
      <c r="R720" s="2"/>
      <c r="S720" s="2"/>
      <c r="T720" s="2"/>
      <c r="U720" s="2"/>
      <c r="V720" s="2"/>
      <c r="W720" s="2"/>
      <c r="X720" s="2"/>
      <c r="Y720" s="2"/>
    </row>
    <row r="721" spans="1:25" ht="14.25" customHeight="1" x14ac:dyDescent="0.3">
      <c r="A721" s="2"/>
      <c r="B721" s="1"/>
      <c r="C721" s="1"/>
      <c r="D721" s="1"/>
      <c r="E721" s="1"/>
      <c r="F721" s="2"/>
      <c r="G721" s="2"/>
      <c r="H721" s="2"/>
      <c r="I721" s="2"/>
      <c r="J721" s="2"/>
      <c r="K721" s="2"/>
      <c r="L721" s="2"/>
      <c r="M721" s="2"/>
      <c r="N721" s="2"/>
      <c r="O721" s="2"/>
      <c r="P721" s="2"/>
      <c r="Q721" s="2"/>
      <c r="R721" s="2"/>
      <c r="S721" s="2"/>
      <c r="T721" s="2"/>
      <c r="U721" s="2"/>
      <c r="V721" s="2"/>
      <c r="W721" s="2"/>
      <c r="X721" s="2"/>
      <c r="Y721" s="2"/>
    </row>
    <row r="722" spans="1:25" ht="14.25" customHeight="1" x14ac:dyDescent="0.3">
      <c r="A722" s="2"/>
      <c r="B722" s="1"/>
      <c r="C722" s="1"/>
      <c r="D722" s="1"/>
      <c r="E722" s="1"/>
      <c r="F722" s="2"/>
      <c r="G722" s="2"/>
      <c r="H722" s="2"/>
      <c r="I722" s="2"/>
      <c r="J722" s="2"/>
      <c r="K722" s="2"/>
      <c r="L722" s="2"/>
      <c r="M722" s="2"/>
      <c r="N722" s="2"/>
      <c r="O722" s="2"/>
      <c r="P722" s="2"/>
      <c r="Q722" s="2"/>
      <c r="R722" s="2"/>
      <c r="S722" s="2"/>
      <c r="T722" s="2"/>
      <c r="U722" s="2"/>
      <c r="V722" s="2"/>
      <c r="W722" s="2"/>
      <c r="X722" s="2"/>
      <c r="Y722" s="2"/>
    </row>
    <row r="723" spans="1:25" ht="14.25" customHeight="1" x14ac:dyDescent="0.3">
      <c r="A723" s="2"/>
      <c r="B723" s="1"/>
      <c r="C723" s="1"/>
      <c r="D723" s="1"/>
      <c r="E723" s="1"/>
      <c r="F723" s="2"/>
      <c r="G723" s="2"/>
      <c r="H723" s="2"/>
      <c r="I723" s="2"/>
      <c r="J723" s="2"/>
      <c r="K723" s="2"/>
      <c r="L723" s="2"/>
      <c r="M723" s="2"/>
      <c r="N723" s="2"/>
      <c r="O723" s="2"/>
      <c r="P723" s="2"/>
      <c r="Q723" s="2"/>
      <c r="R723" s="2"/>
      <c r="S723" s="2"/>
      <c r="T723" s="2"/>
      <c r="U723" s="2"/>
      <c r="V723" s="2"/>
      <c r="W723" s="2"/>
      <c r="X723" s="2"/>
      <c r="Y723" s="2"/>
    </row>
    <row r="724" spans="1:25" ht="14.25" customHeight="1" x14ac:dyDescent="0.3">
      <c r="A724" s="2"/>
      <c r="B724" s="1"/>
      <c r="C724" s="1"/>
      <c r="D724" s="1"/>
      <c r="E724" s="1"/>
      <c r="F724" s="2"/>
      <c r="G724" s="2"/>
      <c r="H724" s="2"/>
      <c r="I724" s="2"/>
      <c r="J724" s="2"/>
      <c r="K724" s="2"/>
      <c r="L724" s="2"/>
      <c r="M724" s="2"/>
      <c r="N724" s="2"/>
      <c r="O724" s="2"/>
      <c r="P724" s="2"/>
      <c r="Q724" s="2"/>
      <c r="R724" s="2"/>
      <c r="S724" s="2"/>
      <c r="T724" s="2"/>
      <c r="U724" s="2"/>
      <c r="V724" s="2"/>
      <c r="W724" s="2"/>
      <c r="X724" s="2"/>
      <c r="Y724" s="2"/>
    </row>
    <row r="725" spans="1:25" ht="14.25" customHeight="1" x14ac:dyDescent="0.3">
      <c r="A725" s="2"/>
      <c r="B725" s="1"/>
      <c r="C725" s="1"/>
      <c r="D725" s="1"/>
      <c r="E725" s="1"/>
      <c r="F725" s="2"/>
      <c r="G725" s="2"/>
      <c r="H725" s="2"/>
      <c r="I725" s="2"/>
      <c r="J725" s="2"/>
      <c r="K725" s="2"/>
      <c r="L725" s="2"/>
      <c r="M725" s="2"/>
      <c r="N725" s="2"/>
      <c r="O725" s="2"/>
      <c r="P725" s="2"/>
      <c r="Q725" s="2"/>
      <c r="R725" s="2"/>
      <c r="S725" s="2"/>
      <c r="T725" s="2"/>
      <c r="U725" s="2"/>
      <c r="V725" s="2"/>
      <c r="W725" s="2"/>
      <c r="X725" s="2"/>
      <c r="Y725" s="2"/>
    </row>
    <row r="726" spans="1:25" ht="14.25" customHeight="1" x14ac:dyDescent="0.3">
      <c r="A726" s="2"/>
      <c r="B726" s="1"/>
      <c r="C726" s="1"/>
      <c r="D726" s="1"/>
      <c r="E726" s="1"/>
      <c r="F726" s="2"/>
      <c r="G726" s="2"/>
      <c r="H726" s="2"/>
      <c r="I726" s="2"/>
      <c r="J726" s="2"/>
      <c r="K726" s="2"/>
      <c r="L726" s="2"/>
      <c r="M726" s="2"/>
      <c r="N726" s="2"/>
      <c r="O726" s="2"/>
      <c r="P726" s="2"/>
      <c r="Q726" s="2"/>
      <c r="R726" s="2"/>
      <c r="S726" s="2"/>
      <c r="T726" s="2"/>
      <c r="U726" s="2"/>
      <c r="V726" s="2"/>
      <c r="W726" s="2"/>
      <c r="X726" s="2"/>
      <c r="Y726" s="2"/>
    </row>
    <row r="727" spans="1:25" ht="14.25" customHeight="1" x14ac:dyDescent="0.3">
      <c r="A727" s="2"/>
      <c r="B727" s="1"/>
      <c r="C727" s="1"/>
      <c r="D727" s="1"/>
      <c r="E727" s="1"/>
      <c r="F727" s="2"/>
      <c r="G727" s="2"/>
      <c r="H727" s="2"/>
      <c r="I727" s="2"/>
      <c r="J727" s="2"/>
      <c r="K727" s="2"/>
      <c r="L727" s="2"/>
      <c r="M727" s="2"/>
      <c r="N727" s="2"/>
      <c r="O727" s="2"/>
      <c r="P727" s="2"/>
      <c r="Q727" s="2"/>
      <c r="R727" s="2"/>
      <c r="S727" s="2"/>
      <c r="T727" s="2"/>
      <c r="U727" s="2"/>
      <c r="V727" s="2"/>
      <c r="W727" s="2"/>
      <c r="X727" s="2"/>
      <c r="Y727" s="2"/>
    </row>
    <row r="728" spans="1:25" ht="14.25" customHeight="1" x14ac:dyDescent="0.3">
      <c r="A728" s="2"/>
      <c r="B728" s="1"/>
      <c r="C728" s="1"/>
      <c r="D728" s="1"/>
      <c r="E728" s="1"/>
      <c r="F728" s="2"/>
      <c r="G728" s="2"/>
      <c r="H728" s="2"/>
      <c r="I728" s="2"/>
      <c r="J728" s="2"/>
      <c r="K728" s="2"/>
      <c r="L728" s="2"/>
      <c r="M728" s="2"/>
      <c r="N728" s="2"/>
      <c r="O728" s="2"/>
      <c r="P728" s="2"/>
      <c r="Q728" s="2"/>
      <c r="R728" s="2"/>
      <c r="S728" s="2"/>
      <c r="T728" s="2"/>
      <c r="U728" s="2"/>
      <c r="V728" s="2"/>
      <c r="W728" s="2"/>
      <c r="X728" s="2"/>
      <c r="Y728" s="2"/>
    </row>
    <row r="729" spans="1:25" ht="14.25" customHeight="1" x14ac:dyDescent="0.3">
      <c r="A729" s="2"/>
      <c r="B729" s="1"/>
      <c r="C729" s="1"/>
      <c r="D729" s="1"/>
      <c r="E729" s="1"/>
      <c r="F729" s="2"/>
      <c r="G729" s="2"/>
      <c r="H729" s="2"/>
      <c r="I729" s="2"/>
      <c r="J729" s="2"/>
      <c r="K729" s="2"/>
      <c r="L729" s="2"/>
      <c r="M729" s="2"/>
      <c r="N729" s="2"/>
      <c r="O729" s="2"/>
      <c r="P729" s="2"/>
      <c r="Q729" s="2"/>
      <c r="R729" s="2"/>
      <c r="S729" s="2"/>
      <c r="T729" s="2"/>
      <c r="U729" s="2"/>
      <c r="V729" s="2"/>
      <c r="W729" s="2"/>
      <c r="X729" s="2"/>
      <c r="Y729" s="2"/>
    </row>
    <row r="730" spans="1:25" ht="14.25" customHeight="1" x14ac:dyDescent="0.3">
      <c r="A730" s="2"/>
      <c r="B730" s="1"/>
      <c r="C730" s="1"/>
      <c r="D730" s="1"/>
      <c r="E730" s="1"/>
      <c r="F730" s="2"/>
      <c r="G730" s="2"/>
      <c r="H730" s="2"/>
      <c r="I730" s="2"/>
      <c r="J730" s="2"/>
      <c r="K730" s="2"/>
      <c r="L730" s="2"/>
      <c r="M730" s="2"/>
      <c r="N730" s="2"/>
      <c r="O730" s="2"/>
      <c r="P730" s="2"/>
      <c r="Q730" s="2"/>
      <c r="R730" s="2"/>
      <c r="S730" s="2"/>
      <c r="T730" s="2"/>
      <c r="U730" s="2"/>
      <c r="V730" s="2"/>
      <c r="W730" s="2"/>
      <c r="X730" s="2"/>
      <c r="Y730" s="2"/>
    </row>
    <row r="731" spans="1:25" ht="14.25" customHeight="1" x14ac:dyDescent="0.3">
      <c r="A731" s="2"/>
      <c r="B731" s="1"/>
      <c r="C731" s="1"/>
      <c r="D731" s="1"/>
      <c r="E731" s="1"/>
      <c r="F731" s="2"/>
      <c r="G731" s="2"/>
      <c r="H731" s="2"/>
      <c r="I731" s="2"/>
      <c r="J731" s="2"/>
      <c r="K731" s="2"/>
      <c r="L731" s="2"/>
      <c r="M731" s="2"/>
      <c r="N731" s="2"/>
      <c r="O731" s="2"/>
      <c r="P731" s="2"/>
      <c r="Q731" s="2"/>
      <c r="R731" s="2"/>
      <c r="S731" s="2"/>
      <c r="T731" s="2"/>
      <c r="U731" s="2"/>
      <c r="V731" s="2"/>
      <c r="W731" s="2"/>
      <c r="X731" s="2"/>
      <c r="Y731" s="2"/>
    </row>
    <row r="732" spans="1:25" ht="14.25" customHeight="1" x14ac:dyDescent="0.3">
      <c r="A732" s="2"/>
      <c r="B732" s="1"/>
      <c r="C732" s="1"/>
      <c r="D732" s="1"/>
      <c r="E732" s="1"/>
      <c r="F732" s="2"/>
      <c r="G732" s="2"/>
      <c r="H732" s="2"/>
      <c r="I732" s="2"/>
      <c r="J732" s="2"/>
      <c r="K732" s="2"/>
      <c r="L732" s="2"/>
      <c r="M732" s="2"/>
      <c r="N732" s="2"/>
      <c r="O732" s="2"/>
      <c r="P732" s="2"/>
      <c r="Q732" s="2"/>
      <c r="R732" s="2"/>
      <c r="S732" s="2"/>
      <c r="T732" s="2"/>
      <c r="U732" s="2"/>
      <c r="V732" s="2"/>
      <c r="W732" s="2"/>
      <c r="X732" s="2"/>
      <c r="Y732" s="2"/>
    </row>
    <row r="733" spans="1:25" ht="14.25" customHeight="1" x14ac:dyDescent="0.3">
      <c r="A733" s="2"/>
      <c r="B733" s="1"/>
      <c r="C733" s="1"/>
      <c r="D733" s="1"/>
      <c r="E733" s="1"/>
      <c r="F733" s="2"/>
      <c r="G733" s="2"/>
      <c r="H733" s="2"/>
      <c r="I733" s="2"/>
      <c r="J733" s="2"/>
      <c r="K733" s="2"/>
      <c r="L733" s="2"/>
      <c r="M733" s="2"/>
      <c r="N733" s="2"/>
      <c r="O733" s="2"/>
      <c r="P733" s="2"/>
      <c r="Q733" s="2"/>
      <c r="R733" s="2"/>
      <c r="S733" s="2"/>
      <c r="T733" s="2"/>
      <c r="U733" s="2"/>
      <c r="V733" s="2"/>
      <c r="W733" s="2"/>
      <c r="X733" s="2"/>
      <c r="Y733" s="2"/>
    </row>
    <row r="734" spans="1:25" ht="14.25" customHeight="1" x14ac:dyDescent="0.3">
      <c r="A734" s="2"/>
      <c r="B734" s="1"/>
      <c r="C734" s="1"/>
      <c r="D734" s="1"/>
      <c r="E734" s="1"/>
      <c r="F734" s="2"/>
      <c r="G734" s="2"/>
      <c r="H734" s="2"/>
      <c r="I734" s="2"/>
      <c r="J734" s="2"/>
      <c r="K734" s="2"/>
      <c r="L734" s="2"/>
      <c r="M734" s="2"/>
      <c r="N734" s="2"/>
      <c r="O734" s="2"/>
      <c r="P734" s="2"/>
      <c r="Q734" s="2"/>
      <c r="R734" s="2"/>
      <c r="S734" s="2"/>
      <c r="T734" s="2"/>
      <c r="U734" s="2"/>
      <c r="V734" s="2"/>
      <c r="W734" s="2"/>
      <c r="X734" s="2"/>
      <c r="Y734" s="2"/>
    </row>
    <row r="735" spans="1:25" ht="14.25" customHeight="1" x14ac:dyDescent="0.3">
      <c r="A735" s="2"/>
      <c r="B735" s="1"/>
      <c r="C735" s="1"/>
      <c r="D735" s="1"/>
      <c r="E735" s="1"/>
      <c r="F735" s="2"/>
      <c r="G735" s="2"/>
      <c r="H735" s="2"/>
      <c r="I735" s="2"/>
      <c r="J735" s="2"/>
      <c r="K735" s="2"/>
      <c r="L735" s="2"/>
      <c r="M735" s="2"/>
      <c r="N735" s="2"/>
      <c r="O735" s="2"/>
      <c r="P735" s="2"/>
      <c r="Q735" s="2"/>
      <c r="R735" s="2"/>
      <c r="S735" s="2"/>
      <c r="T735" s="2"/>
      <c r="U735" s="2"/>
      <c r="V735" s="2"/>
      <c r="W735" s="2"/>
      <c r="X735" s="2"/>
      <c r="Y735" s="2"/>
    </row>
    <row r="736" spans="1:25" ht="14.25" customHeight="1" x14ac:dyDescent="0.3">
      <c r="A736" s="2"/>
      <c r="B736" s="1"/>
      <c r="C736" s="1"/>
      <c r="D736" s="1"/>
      <c r="E736" s="1"/>
      <c r="F736" s="2"/>
      <c r="G736" s="2"/>
      <c r="H736" s="2"/>
      <c r="I736" s="2"/>
      <c r="J736" s="2"/>
      <c r="K736" s="2"/>
      <c r="L736" s="2"/>
      <c r="M736" s="2"/>
      <c r="N736" s="2"/>
      <c r="O736" s="2"/>
      <c r="P736" s="2"/>
      <c r="Q736" s="2"/>
      <c r="R736" s="2"/>
      <c r="S736" s="2"/>
      <c r="T736" s="2"/>
      <c r="U736" s="2"/>
      <c r="V736" s="2"/>
      <c r="W736" s="2"/>
      <c r="X736" s="2"/>
      <c r="Y736" s="2"/>
    </row>
    <row r="737" spans="1:25" ht="14.25" customHeight="1" x14ac:dyDescent="0.3">
      <c r="A737" s="2"/>
      <c r="B737" s="1"/>
      <c r="C737" s="1"/>
      <c r="D737" s="1"/>
      <c r="E737" s="1"/>
      <c r="F737" s="2"/>
      <c r="G737" s="2"/>
      <c r="H737" s="2"/>
      <c r="I737" s="2"/>
      <c r="J737" s="2"/>
      <c r="K737" s="2"/>
      <c r="L737" s="2"/>
      <c r="M737" s="2"/>
      <c r="N737" s="2"/>
      <c r="O737" s="2"/>
      <c r="P737" s="2"/>
      <c r="Q737" s="2"/>
      <c r="R737" s="2"/>
      <c r="S737" s="2"/>
      <c r="T737" s="2"/>
      <c r="U737" s="2"/>
      <c r="V737" s="2"/>
      <c r="W737" s="2"/>
      <c r="X737" s="2"/>
      <c r="Y737" s="2"/>
    </row>
    <row r="738" spans="1:25" ht="14.25" customHeight="1" x14ac:dyDescent="0.3">
      <c r="A738" s="2"/>
      <c r="B738" s="1"/>
      <c r="C738" s="1"/>
      <c r="D738" s="1"/>
      <c r="E738" s="1"/>
      <c r="F738" s="2"/>
      <c r="G738" s="2"/>
      <c r="H738" s="2"/>
      <c r="I738" s="2"/>
      <c r="J738" s="2"/>
      <c r="K738" s="2"/>
      <c r="L738" s="2"/>
      <c r="M738" s="2"/>
      <c r="N738" s="2"/>
      <c r="O738" s="2"/>
      <c r="P738" s="2"/>
      <c r="Q738" s="2"/>
      <c r="R738" s="2"/>
      <c r="S738" s="2"/>
      <c r="T738" s="2"/>
      <c r="U738" s="2"/>
      <c r="V738" s="2"/>
      <c r="W738" s="2"/>
      <c r="X738" s="2"/>
      <c r="Y738" s="2"/>
    </row>
    <row r="739" spans="1:25" ht="14.25" customHeight="1" x14ac:dyDescent="0.3">
      <c r="A739" s="2"/>
      <c r="B739" s="1"/>
      <c r="C739" s="1"/>
      <c r="D739" s="1"/>
      <c r="E739" s="1"/>
      <c r="F739" s="2"/>
      <c r="G739" s="2"/>
      <c r="H739" s="2"/>
      <c r="I739" s="2"/>
      <c r="J739" s="2"/>
      <c r="K739" s="2"/>
      <c r="L739" s="2"/>
      <c r="M739" s="2"/>
      <c r="N739" s="2"/>
      <c r="O739" s="2"/>
      <c r="P739" s="2"/>
      <c r="Q739" s="2"/>
      <c r="R739" s="2"/>
      <c r="S739" s="2"/>
      <c r="T739" s="2"/>
      <c r="U739" s="2"/>
      <c r="V739" s="2"/>
      <c r="W739" s="2"/>
      <c r="X739" s="2"/>
      <c r="Y739" s="2"/>
    </row>
    <row r="740" spans="1:25" ht="14.25" customHeight="1" x14ac:dyDescent="0.3">
      <c r="A740" s="2"/>
      <c r="B740" s="1"/>
      <c r="C740" s="1"/>
      <c r="D740" s="1"/>
      <c r="E740" s="1"/>
      <c r="F740" s="2"/>
      <c r="G740" s="2"/>
      <c r="H740" s="2"/>
      <c r="I740" s="2"/>
      <c r="J740" s="2"/>
      <c r="K740" s="2"/>
      <c r="L740" s="2"/>
      <c r="M740" s="2"/>
      <c r="N740" s="2"/>
      <c r="O740" s="2"/>
      <c r="P740" s="2"/>
      <c r="Q740" s="2"/>
      <c r="R740" s="2"/>
      <c r="S740" s="2"/>
      <c r="T740" s="2"/>
      <c r="U740" s="2"/>
      <c r="V740" s="2"/>
      <c r="W740" s="2"/>
      <c r="X740" s="2"/>
      <c r="Y740" s="2"/>
    </row>
    <row r="741" spans="1:25" ht="14.25" customHeight="1" x14ac:dyDescent="0.3">
      <c r="A741" s="2"/>
      <c r="B741" s="1"/>
      <c r="C741" s="1"/>
      <c r="D741" s="1"/>
      <c r="E741" s="1"/>
      <c r="F741" s="2"/>
      <c r="G741" s="2"/>
      <c r="H741" s="2"/>
      <c r="I741" s="2"/>
      <c r="J741" s="2"/>
      <c r="K741" s="2"/>
      <c r="L741" s="2"/>
      <c r="M741" s="2"/>
      <c r="N741" s="2"/>
      <c r="O741" s="2"/>
      <c r="P741" s="2"/>
      <c r="Q741" s="2"/>
      <c r="R741" s="2"/>
      <c r="S741" s="2"/>
      <c r="T741" s="2"/>
      <c r="U741" s="2"/>
      <c r="V741" s="2"/>
      <c r="W741" s="2"/>
      <c r="X741" s="2"/>
      <c r="Y741" s="2"/>
    </row>
    <row r="742" spans="1:25" ht="14.25" customHeight="1" x14ac:dyDescent="0.3">
      <c r="A742" s="2"/>
      <c r="B742" s="1"/>
      <c r="C742" s="1"/>
      <c r="D742" s="1"/>
      <c r="E742" s="1"/>
      <c r="F742" s="2"/>
      <c r="G742" s="2"/>
      <c r="H742" s="2"/>
      <c r="I742" s="2"/>
      <c r="J742" s="2"/>
      <c r="K742" s="2"/>
      <c r="L742" s="2"/>
      <c r="M742" s="2"/>
      <c r="N742" s="2"/>
      <c r="O742" s="2"/>
      <c r="P742" s="2"/>
      <c r="Q742" s="2"/>
      <c r="R742" s="2"/>
      <c r="S742" s="2"/>
      <c r="T742" s="2"/>
      <c r="U742" s="2"/>
      <c r="V742" s="2"/>
      <c r="W742" s="2"/>
      <c r="X742" s="2"/>
      <c r="Y742" s="2"/>
    </row>
    <row r="743" spans="1:25" ht="14.25" customHeight="1" x14ac:dyDescent="0.3">
      <c r="A743" s="2"/>
      <c r="B743" s="1"/>
      <c r="C743" s="1"/>
      <c r="D743" s="1"/>
      <c r="E743" s="1"/>
      <c r="F743" s="2"/>
      <c r="G743" s="2"/>
      <c r="H743" s="2"/>
      <c r="I743" s="2"/>
      <c r="J743" s="2"/>
      <c r="K743" s="2"/>
      <c r="L743" s="2"/>
      <c r="M743" s="2"/>
      <c r="N743" s="2"/>
      <c r="O743" s="2"/>
      <c r="P743" s="2"/>
      <c r="Q743" s="2"/>
      <c r="R743" s="2"/>
      <c r="S743" s="2"/>
      <c r="T743" s="2"/>
      <c r="U743" s="2"/>
      <c r="V743" s="2"/>
      <c r="W743" s="2"/>
      <c r="X743" s="2"/>
      <c r="Y743" s="2"/>
    </row>
    <row r="744" spans="1:25" ht="14.25" customHeight="1" x14ac:dyDescent="0.3">
      <c r="A744" s="2"/>
      <c r="B744" s="1"/>
      <c r="C744" s="1"/>
      <c r="D744" s="1"/>
      <c r="E744" s="1"/>
      <c r="F744" s="2"/>
      <c r="G744" s="2"/>
      <c r="H744" s="2"/>
      <c r="I744" s="2"/>
      <c r="J744" s="2"/>
      <c r="K744" s="2"/>
      <c r="L744" s="2"/>
      <c r="M744" s="2"/>
      <c r="N744" s="2"/>
      <c r="O744" s="2"/>
      <c r="P744" s="2"/>
      <c r="Q744" s="2"/>
      <c r="R744" s="2"/>
      <c r="S744" s="2"/>
      <c r="T744" s="2"/>
      <c r="U744" s="2"/>
      <c r="V744" s="2"/>
      <c r="W744" s="2"/>
      <c r="X744" s="2"/>
      <c r="Y744" s="2"/>
    </row>
    <row r="745" spans="1:25" ht="14.25" customHeight="1" x14ac:dyDescent="0.3">
      <c r="A745" s="2"/>
      <c r="B745" s="1"/>
      <c r="C745" s="1"/>
      <c r="D745" s="1"/>
      <c r="E745" s="1"/>
      <c r="F745" s="2"/>
      <c r="G745" s="2"/>
      <c r="H745" s="2"/>
      <c r="I745" s="2"/>
      <c r="J745" s="2"/>
      <c r="K745" s="2"/>
      <c r="L745" s="2"/>
      <c r="M745" s="2"/>
      <c r="N745" s="2"/>
      <c r="O745" s="2"/>
      <c r="P745" s="2"/>
      <c r="Q745" s="2"/>
      <c r="R745" s="2"/>
      <c r="S745" s="2"/>
      <c r="T745" s="2"/>
      <c r="U745" s="2"/>
      <c r="V745" s="2"/>
      <c r="W745" s="2"/>
      <c r="X745" s="2"/>
      <c r="Y745" s="2"/>
    </row>
    <row r="746" spans="1:25" ht="14.25" customHeight="1" x14ac:dyDescent="0.3">
      <c r="A746" s="2"/>
      <c r="B746" s="1"/>
      <c r="C746" s="1"/>
      <c r="D746" s="1"/>
      <c r="E746" s="1"/>
      <c r="F746" s="2"/>
      <c r="G746" s="2"/>
      <c r="H746" s="2"/>
      <c r="I746" s="2"/>
      <c r="J746" s="2"/>
      <c r="K746" s="2"/>
      <c r="L746" s="2"/>
      <c r="M746" s="2"/>
      <c r="N746" s="2"/>
      <c r="O746" s="2"/>
      <c r="P746" s="2"/>
      <c r="Q746" s="2"/>
      <c r="R746" s="2"/>
      <c r="S746" s="2"/>
      <c r="T746" s="2"/>
      <c r="U746" s="2"/>
      <c r="V746" s="2"/>
      <c r="W746" s="2"/>
      <c r="X746" s="2"/>
      <c r="Y746" s="2"/>
    </row>
    <row r="747" spans="1:25" ht="14.25" customHeight="1" x14ac:dyDescent="0.3">
      <c r="A747" s="2"/>
      <c r="B747" s="1"/>
      <c r="C747" s="1"/>
      <c r="D747" s="1"/>
      <c r="E747" s="1"/>
      <c r="F747" s="2"/>
      <c r="G747" s="2"/>
      <c r="H747" s="2"/>
      <c r="I747" s="2"/>
      <c r="J747" s="2"/>
      <c r="K747" s="2"/>
      <c r="L747" s="2"/>
      <c r="M747" s="2"/>
      <c r="N747" s="2"/>
      <c r="O747" s="2"/>
      <c r="P747" s="2"/>
      <c r="Q747" s="2"/>
      <c r="R747" s="2"/>
      <c r="S747" s="2"/>
      <c r="T747" s="2"/>
      <c r="U747" s="2"/>
      <c r="V747" s="2"/>
      <c r="W747" s="2"/>
      <c r="X747" s="2"/>
      <c r="Y747" s="2"/>
    </row>
    <row r="748" spans="1:25" ht="14.25" customHeight="1" x14ac:dyDescent="0.3">
      <c r="A748" s="2"/>
      <c r="B748" s="1"/>
      <c r="C748" s="1"/>
      <c r="D748" s="1"/>
      <c r="E748" s="1"/>
      <c r="F748" s="2"/>
      <c r="G748" s="2"/>
      <c r="H748" s="2"/>
      <c r="I748" s="2"/>
      <c r="J748" s="2"/>
      <c r="K748" s="2"/>
      <c r="L748" s="2"/>
      <c r="M748" s="2"/>
      <c r="N748" s="2"/>
      <c r="O748" s="2"/>
      <c r="P748" s="2"/>
      <c r="Q748" s="2"/>
      <c r="R748" s="2"/>
      <c r="S748" s="2"/>
      <c r="T748" s="2"/>
      <c r="U748" s="2"/>
      <c r="V748" s="2"/>
      <c r="W748" s="2"/>
      <c r="X748" s="2"/>
      <c r="Y748" s="2"/>
    </row>
    <row r="749" spans="1:25" ht="14.25" customHeight="1" x14ac:dyDescent="0.3">
      <c r="A749" s="2"/>
      <c r="B749" s="1"/>
      <c r="C749" s="1"/>
      <c r="D749" s="1"/>
      <c r="E749" s="1"/>
      <c r="F749" s="2"/>
      <c r="G749" s="2"/>
      <c r="H749" s="2"/>
      <c r="I749" s="2"/>
      <c r="J749" s="2"/>
      <c r="K749" s="2"/>
      <c r="L749" s="2"/>
      <c r="M749" s="2"/>
      <c r="N749" s="2"/>
      <c r="O749" s="2"/>
      <c r="P749" s="2"/>
      <c r="Q749" s="2"/>
      <c r="R749" s="2"/>
      <c r="S749" s="2"/>
      <c r="T749" s="2"/>
      <c r="U749" s="2"/>
      <c r="V749" s="2"/>
      <c r="W749" s="2"/>
      <c r="X749" s="2"/>
      <c r="Y749" s="2"/>
    </row>
    <row r="750" spans="1:25" ht="14.25" customHeight="1" x14ac:dyDescent="0.3">
      <c r="A750" s="2"/>
      <c r="B750" s="1"/>
      <c r="C750" s="1"/>
      <c r="D750" s="1"/>
      <c r="E750" s="1"/>
      <c r="F750" s="2"/>
      <c r="G750" s="2"/>
      <c r="H750" s="2"/>
      <c r="I750" s="2"/>
      <c r="J750" s="2"/>
      <c r="K750" s="2"/>
      <c r="L750" s="2"/>
      <c r="M750" s="2"/>
      <c r="N750" s="2"/>
      <c r="O750" s="2"/>
      <c r="P750" s="2"/>
      <c r="Q750" s="2"/>
      <c r="R750" s="2"/>
      <c r="S750" s="2"/>
      <c r="T750" s="2"/>
      <c r="U750" s="2"/>
      <c r="V750" s="2"/>
      <c r="W750" s="2"/>
      <c r="X750" s="2"/>
      <c r="Y750" s="2"/>
    </row>
    <row r="751" spans="1:25" ht="14.25" customHeight="1" x14ac:dyDescent="0.3">
      <c r="A751" s="2"/>
      <c r="B751" s="1"/>
      <c r="C751" s="1"/>
      <c r="D751" s="1"/>
      <c r="E751" s="1"/>
      <c r="F751" s="2"/>
      <c r="G751" s="2"/>
      <c r="H751" s="2"/>
      <c r="I751" s="2"/>
      <c r="J751" s="2"/>
      <c r="K751" s="2"/>
      <c r="L751" s="2"/>
      <c r="M751" s="2"/>
      <c r="N751" s="2"/>
      <c r="O751" s="2"/>
      <c r="P751" s="2"/>
      <c r="Q751" s="2"/>
      <c r="R751" s="2"/>
      <c r="S751" s="2"/>
      <c r="T751" s="2"/>
      <c r="U751" s="2"/>
      <c r="V751" s="2"/>
      <c r="W751" s="2"/>
      <c r="X751" s="2"/>
      <c r="Y751" s="2"/>
    </row>
    <row r="752" spans="1:25" ht="14.25" customHeight="1" x14ac:dyDescent="0.3">
      <c r="A752" s="2"/>
      <c r="B752" s="1"/>
      <c r="C752" s="1"/>
      <c r="D752" s="1"/>
      <c r="E752" s="1"/>
      <c r="F752" s="2"/>
      <c r="G752" s="2"/>
      <c r="H752" s="2"/>
      <c r="I752" s="2"/>
      <c r="J752" s="2"/>
      <c r="K752" s="2"/>
      <c r="L752" s="2"/>
      <c r="M752" s="2"/>
      <c r="N752" s="2"/>
      <c r="O752" s="2"/>
      <c r="P752" s="2"/>
      <c r="Q752" s="2"/>
      <c r="R752" s="2"/>
      <c r="S752" s="2"/>
      <c r="T752" s="2"/>
      <c r="U752" s="2"/>
      <c r="V752" s="2"/>
      <c r="W752" s="2"/>
      <c r="X752" s="2"/>
      <c r="Y752" s="2"/>
    </row>
    <row r="753" spans="1:25" ht="14.25" customHeight="1" x14ac:dyDescent="0.3">
      <c r="A753" s="2"/>
      <c r="B753" s="1"/>
      <c r="C753" s="1"/>
      <c r="D753" s="1"/>
      <c r="E753" s="1"/>
      <c r="F753" s="2"/>
      <c r="G753" s="2"/>
      <c r="H753" s="2"/>
      <c r="I753" s="2"/>
      <c r="J753" s="2"/>
      <c r="K753" s="2"/>
      <c r="L753" s="2"/>
      <c r="M753" s="2"/>
      <c r="N753" s="2"/>
      <c r="O753" s="2"/>
      <c r="P753" s="2"/>
      <c r="Q753" s="2"/>
      <c r="R753" s="2"/>
      <c r="S753" s="2"/>
      <c r="T753" s="2"/>
      <c r="U753" s="2"/>
      <c r="V753" s="2"/>
      <c r="W753" s="2"/>
      <c r="X753" s="2"/>
      <c r="Y753" s="2"/>
    </row>
    <row r="754" spans="1:25" ht="14.25" customHeight="1" x14ac:dyDescent="0.3">
      <c r="A754" s="2"/>
      <c r="B754" s="1"/>
      <c r="C754" s="1"/>
      <c r="D754" s="1"/>
      <c r="E754" s="1"/>
      <c r="F754" s="2"/>
      <c r="G754" s="2"/>
      <c r="H754" s="2"/>
      <c r="I754" s="2"/>
      <c r="J754" s="2"/>
      <c r="K754" s="2"/>
      <c r="L754" s="2"/>
      <c r="M754" s="2"/>
      <c r="N754" s="2"/>
      <c r="O754" s="2"/>
      <c r="P754" s="2"/>
      <c r="Q754" s="2"/>
      <c r="R754" s="2"/>
      <c r="S754" s="2"/>
      <c r="T754" s="2"/>
      <c r="U754" s="2"/>
      <c r="V754" s="2"/>
      <c r="W754" s="2"/>
      <c r="X754" s="2"/>
      <c r="Y754" s="2"/>
    </row>
    <row r="755" spans="1:25" ht="14.25" customHeight="1" x14ac:dyDescent="0.3">
      <c r="A755" s="2"/>
      <c r="B755" s="1"/>
      <c r="C755" s="1"/>
      <c r="D755" s="1"/>
      <c r="E755" s="1"/>
      <c r="F755" s="2"/>
      <c r="G755" s="2"/>
      <c r="H755" s="2"/>
      <c r="I755" s="2"/>
      <c r="J755" s="2"/>
      <c r="K755" s="2"/>
      <c r="L755" s="2"/>
      <c r="M755" s="2"/>
      <c r="N755" s="2"/>
      <c r="O755" s="2"/>
      <c r="P755" s="2"/>
      <c r="Q755" s="2"/>
      <c r="R755" s="2"/>
      <c r="S755" s="2"/>
      <c r="T755" s="2"/>
      <c r="U755" s="2"/>
      <c r="V755" s="2"/>
      <c r="W755" s="2"/>
      <c r="X755" s="2"/>
      <c r="Y755" s="2"/>
    </row>
    <row r="756" spans="1:25" ht="14.25" customHeight="1" x14ac:dyDescent="0.3">
      <c r="A756" s="2"/>
      <c r="B756" s="1"/>
      <c r="C756" s="1"/>
      <c r="D756" s="1"/>
      <c r="E756" s="1"/>
      <c r="F756" s="2"/>
      <c r="G756" s="2"/>
      <c r="H756" s="2"/>
      <c r="I756" s="2"/>
      <c r="J756" s="2"/>
      <c r="K756" s="2"/>
      <c r="L756" s="2"/>
      <c r="M756" s="2"/>
      <c r="N756" s="2"/>
      <c r="O756" s="2"/>
      <c r="P756" s="2"/>
      <c r="Q756" s="2"/>
      <c r="R756" s="2"/>
      <c r="S756" s="2"/>
      <c r="T756" s="2"/>
      <c r="U756" s="2"/>
      <c r="V756" s="2"/>
      <c r="W756" s="2"/>
      <c r="X756" s="2"/>
      <c r="Y756" s="2"/>
    </row>
    <row r="757" spans="1:25" ht="14.25" customHeight="1" x14ac:dyDescent="0.3">
      <c r="A757" s="2"/>
      <c r="B757" s="1"/>
      <c r="C757" s="1"/>
      <c r="D757" s="1"/>
      <c r="E757" s="1"/>
      <c r="F757" s="2"/>
      <c r="G757" s="2"/>
      <c r="H757" s="2"/>
      <c r="I757" s="2"/>
      <c r="J757" s="2"/>
      <c r="K757" s="2"/>
      <c r="L757" s="2"/>
      <c r="M757" s="2"/>
      <c r="N757" s="2"/>
      <c r="O757" s="2"/>
      <c r="P757" s="2"/>
      <c r="Q757" s="2"/>
      <c r="R757" s="2"/>
      <c r="S757" s="2"/>
      <c r="T757" s="2"/>
      <c r="U757" s="2"/>
      <c r="V757" s="2"/>
      <c r="W757" s="2"/>
      <c r="X757" s="2"/>
      <c r="Y757" s="2"/>
    </row>
    <row r="758" spans="1:25" ht="14.25" customHeight="1" x14ac:dyDescent="0.3">
      <c r="A758" s="2"/>
      <c r="B758" s="1"/>
      <c r="C758" s="1"/>
      <c r="D758" s="1"/>
      <c r="E758" s="1"/>
      <c r="F758" s="2"/>
      <c r="G758" s="2"/>
      <c r="H758" s="2"/>
      <c r="I758" s="2"/>
      <c r="J758" s="2"/>
      <c r="K758" s="2"/>
      <c r="L758" s="2"/>
      <c r="M758" s="2"/>
      <c r="N758" s="2"/>
      <c r="O758" s="2"/>
      <c r="P758" s="2"/>
      <c r="Q758" s="2"/>
      <c r="R758" s="2"/>
      <c r="S758" s="2"/>
      <c r="T758" s="2"/>
      <c r="U758" s="2"/>
      <c r="V758" s="2"/>
      <c r="W758" s="2"/>
      <c r="X758" s="2"/>
      <c r="Y758" s="2"/>
    </row>
    <row r="759" spans="1:25" ht="14.25" customHeight="1" x14ac:dyDescent="0.3">
      <c r="A759" s="2"/>
      <c r="B759" s="1"/>
      <c r="C759" s="1"/>
      <c r="D759" s="1"/>
      <c r="E759" s="1"/>
      <c r="F759" s="2"/>
      <c r="G759" s="2"/>
      <c r="H759" s="2"/>
      <c r="I759" s="2"/>
      <c r="J759" s="2"/>
      <c r="K759" s="2"/>
      <c r="L759" s="2"/>
      <c r="M759" s="2"/>
      <c r="N759" s="2"/>
      <c r="O759" s="2"/>
      <c r="P759" s="2"/>
      <c r="Q759" s="2"/>
      <c r="R759" s="2"/>
      <c r="S759" s="2"/>
      <c r="T759" s="2"/>
      <c r="U759" s="2"/>
      <c r="V759" s="2"/>
      <c r="W759" s="2"/>
      <c r="X759" s="2"/>
      <c r="Y759" s="2"/>
    </row>
    <row r="760" spans="1:25" ht="14.25" customHeight="1" x14ac:dyDescent="0.3">
      <c r="A760" s="2"/>
      <c r="B760" s="1"/>
      <c r="C760" s="1"/>
      <c r="D760" s="1"/>
      <c r="E760" s="1"/>
      <c r="F760" s="2"/>
      <c r="G760" s="2"/>
      <c r="H760" s="2"/>
      <c r="I760" s="2"/>
      <c r="J760" s="2"/>
      <c r="K760" s="2"/>
      <c r="L760" s="2"/>
      <c r="M760" s="2"/>
      <c r="N760" s="2"/>
      <c r="O760" s="2"/>
      <c r="P760" s="2"/>
      <c r="Q760" s="2"/>
      <c r="R760" s="2"/>
      <c r="S760" s="2"/>
      <c r="T760" s="2"/>
      <c r="U760" s="2"/>
      <c r="V760" s="2"/>
      <c r="W760" s="2"/>
      <c r="X760" s="2"/>
      <c r="Y760" s="2"/>
    </row>
    <row r="761" spans="1:25" ht="14.25" customHeight="1" x14ac:dyDescent="0.3">
      <c r="A761" s="2"/>
      <c r="B761" s="1"/>
      <c r="C761" s="1"/>
      <c r="D761" s="1"/>
      <c r="E761" s="1"/>
      <c r="F761" s="2"/>
      <c r="G761" s="2"/>
      <c r="H761" s="2"/>
      <c r="I761" s="2"/>
      <c r="J761" s="2"/>
      <c r="K761" s="2"/>
      <c r="L761" s="2"/>
      <c r="M761" s="2"/>
      <c r="N761" s="2"/>
      <c r="O761" s="2"/>
      <c r="P761" s="2"/>
      <c r="Q761" s="2"/>
      <c r="R761" s="2"/>
      <c r="S761" s="2"/>
      <c r="T761" s="2"/>
      <c r="U761" s="2"/>
      <c r="V761" s="2"/>
      <c r="W761" s="2"/>
      <c r="X761" s="2"/>
      <c r="Y761" s="2"/>
    </row>
    <row r="762" spans="1:25" ht="14.25" customHeight="1" x14ac:dyDescent="0.3">
      <c r="A762" s="2"/>
      <c r="B762" s="1"/>
      <c r="C762" s="1"/>
      <c r="D762" s="1"/>
      <c r="E762" s="1"/>
      <c r="F762" s="2"/>
      <c r="G762" s="2"/>
      <c r="H762" s="2"/>
      <c r="I762" s="2"/>
      <c r="J762" s="2"/>
      <c r="K762" s="2"/>
      <c r="L762" s="2"/>
      <c r="M762" s="2"/>
      <c r="N762" s="2"/>
      <c r="O762" s="2"/>
      <c r="P762" s="2"/>
      <c r="Q762" s="2"/>
      <c r="R762" s="2"/>
      <c r="S762" s="2"/>
      <c r="T762" s="2"/>
      <c r="U762" s="2"/>
      <c r="V762" s="2"/>
      <c r="W762" s="2"/>
      <c r="X762" s="2"/>
      <c r="Y762" s="2"/>
    </row>
    <row r="763" spans="1:25" ht="14.25" customHeight="1" x14ac:dyDescent="0.3">
      <c r="A763" s="2"/>
      <c r="B763" s="1"/>
      <c r="C763" s="1"/>
      <c r="D763" s="1"/>
      <c r="E763" s="1"/>
      <c r="F763" s="2"/>
      <c r="G763" s="2"/>
      <c r="H763" s="2"/>
      <c r="I763" s="2"/>
      <c r="J763" s="2"/>
      <c r="K763" s="2"/>
      <c r="L763" s="2"/>
      <c r="M763" s="2"/>
      <c r="N763" s="2"/>
      <c r="O763" s="2"/>
      <c r="P763" s="2"/>
      <c r="Q763" s="2"/>
      <c r="R763" s="2"/>
      <c r="S763" s="2"/>
      <c r="T763" s="2"/>
      <c r="U763" s="2"/>
      <c r="V763" s="2"/>
      <c r="W763" s="2"/>
      <c r="X763" s="2"/>
      <c r="Y763" s="2"/>
    </row>
    <row r="764" spans="1:25" ht="14.25" customHeight="1" x14ac:dyDescent="0.3">
      <c r="A764" s="2"/>
      <c r="B764" s="1"/>
      <c r="C764" s="1"/>
      <c r="D764" s="1"/>
      <c r="E764" s="1"/>
      <c r="F764" s="2"/>
      <c r="G764" s="2"/>
      <c r="H764" s="2"/>
      <c r="I764" s="2"/>
      <c r="J764" s="2"/>
      <c r="K764" s="2"/>
      <c r="L764" s="2"/>
      <c r="M764" s="2"/>
      <c r="N764" s="2"/>
      <c r="O764" s="2"/>
      <c r="P764" s="2"/>
      <c r="Q764" s="2"/>
      <c r="R764" s="2"/>
      <c r="S764" s="2"/>
      <c r="T764" s="2"/>
      <c r="U764" s="2"/>
      <c r="V764" s="2"/>
      <c r="W764" s="2"/>
      <c r="X764" s="2"/>
      <c r="Y764" s="2"/>
    </row>
    <row r="765" spans="1:25" ht="14.25" customHeight="1" x14ac:dyDescent="0.3">
      <c r="A765" s="2"/>
      <c r="B765" s="1"/>
      <c r="C765" s="1"/>
      <c r="D765" s="1"/>
      <c r="E765" s="1"/>
      <c r="F765" s="2"/>
      <c r="G765" s="2"/>
      <c r="H765" s="2"/>
      <c r="I765" s="2"/>
      <c r="J765" s="2"/>
      <c r="K765" s="2"/>
      <c r="L765" s="2"/>
      <c r="M765" s="2"/>
      <c r="N765" s="2"/>
      <c r="O765" s="2"/>
      <c r="P765" s="2"/>
      <c r="Q765" s="2"/>
      <c r="R765" s="2"/>
      <c r="S765" s="2"/>
      <c r="T765" s="2"/>
      <c r="U765" s="2"/>
      <c r="V765" s="2"/>
      <c r="W765" s="2"/>
      <c r="X765" s="2"/>
      <c r="Y765" s="2"/>
    </row>
    <row r="766" spans="1:25" ht="14.25" customHeight="1" x14ac:dyDescent="0.3">
      <c r="A766" s="2"/>
      <c r="B766" s="1"/>
      <c r="C766" s="1"/>
      <c r="D766" s="1"/>
      <c r="E766" s="1"/>
      <c r="F766" s="2"/>
      <c r="G766" s="2"/>
      <c r="H766" s="2"/>
      <c r="I766" s="2"/>
      <c r="J766" s="2"/>
      <c r="K766" s="2"/>
      <c r="L766" s="2"/>
      <c r="M766" s="2"/>
      <c r="N766" s="2"/>
      <c r="O766" s="2"/>
      <c r="P766" s="2"/>
      <c r="Q766" s="2"/>
      <c r="R766" s="2"/>
      <c r="S766" s="2"/>
      <c r="T766" s="2"/>
      <c r="U766" s="2"/>
      <c r="V766" s="2"/>
      <c r="W766" s="2"/>
      <c r="X766" s="2"/>
      <c r="Y766" s="2"/>
    </row>
    <row r="767" spans="1:25" ht="14.25" customHeight="1" x14ac:dyDescent="0.3">
      <c r="A767" s="2"/>
      <c r="B767" s="1"/>
      <c r="C767" s="1"/>
      <c r="D767" s="1"/>
      <c r="E767" s="1"/>
      <c r="F767" s="2"/>
      <c r="G767" s="2"/>
      <c r="H767" s="2"/>
      <c r="I767" s="2"/>
      <c r="J767" s="2"/>
      <c r="K767" s="2"/>
      <c r="L767" s="2"/>
      <c r="M767" s="2"/>
      <c r="N767" s="2"/>
      <c r="O767" s="2"/>
      <c r="P767" s="2"/>
      <c r="Q767" s="2"/>
      <c r="R767" s="2"/>
      <c r="S767" s="2"/>
      <c r="T767" s="2"/>
      <c r="U767" s="2"/>
      <c r="V767" s="2"/>
      <c r="W767" s="2"/>
      <c r="X767" s="2"/>
      <c r="Y767" s="2"/>
    </row>
    <row r="768" spans="1:25" ht="14.25" customHeight="1" x14ac:dyDescent="0.3">
      <c r="A768" s="2"/>
      <c r="B768" s="1"/>
      <c r="C768" s="1"/>
      <c r="D768" s="1"/>
      <c r="E768" s="1"/>
      <c r="F768" s="2"/>
      <c r="G768" s="2"/>
      <c r="H768" s="2"/>
      <c r="I768" s="2"/>
      <c r="J768" s="2"/>
      <c r="K768" s="2"/>
      <c r="L768" s="2"/>
      <c r="M768" s="2"/>
      <c r="N768" s="2"/>
      <c r="O768" s="2"/>
      <c r="P768" s="2"/>
      <c r="Q768" s="2"/>
      <c r="R768" s="2"/>
      <c r="S768" s="2"/>
      <c r="T768" s="2"/>
      <c r="U768" s="2"/>
      <c r="V768" s="2"/>
      <c r="W768" s="2"/>
      <c r="X768" s="2"/>
      <c r="Y768" s="2"/>
    </row>
    <row r="769" spans="1:25" ht="14.25" customHeight="1" x14ac:dyDescent="0.3">
      <c r="A769" s="2"/>
      <c r="B769" s="1"/>
      <c r="C769" s="1"/>
      <c r="D769" s="1"/>
      <c r="E769" s="1"/>
      <c r="F769" s="2"/>
      <c r="G769" s="2"/>
      <c r="H769" s="2"/>
      <c r="I769" s="2"/>
      <c r="J769" s="2"/>
      <c r="K769" s="2"/>
      <c r="L769" s="2"/>
      <c r="M769" s="2"/>
      <c r="N769" s="2"/>
      <c r="O769" s="2"/>
      <c r="P769" s="2"/>
      <c r="Q769" s="2"/>
      <c r="R769" s="2"/>
      <c r="S769" s="2"/>
      <c r="T769" s="2"/>
      <c r="U769" s="2"/>
      <c r="V769" s="2"/>
      <c r="W769" s="2"/>
      <c r="X769" s="2"/>
      <c r="Y769" s="2"/>
    </row>
    <row r="770" spans="1:25" ht="14.25" customHeight="1" x14ac:dyDescent="0.3">
      <c r="A770" s="2"/>
      <c r="B770" s="1"/>
      <c r="C770" s="1"/>
      <c r="D770" s="1"/>
      <c r="E770" s="1"/>
      <c r="F770" s="2"/>
      <c r="G770" s="2"/>
      <c r="H770" s="2"/>
      <c r="I770" s="2"/>
      <c r="J770" s="2"/>
      <c r="K770" s="2"/>
      <c r="L770" s="2"/>
      <c r="M770" s="2"/>
      <c r="N770" s="2"/>
      <c r="O770" s="2"/>
      <c r="P770" s="2"/>
      <c r="Q770" s="2"/>
      <c r="R770" s="2"/>
      <c r="S770" s="2"/>
      <c r="T770" s="2"/>
      <c r="U770" s="2"/>
      <c r="V770" s="2"/>
      <c r="W770" s="2"/>
      <c r="X770" s="2"/>
      <c r="Y770" s="2"/>
    </row>
    <row r="771" spans="1:25" ht="14.25" customHeight="1" x14ac:dyDescent="0.3">
      <c r="A771" s="2"/>
      <c r="B771" s="1"/>
      <c r="C771" s="1"/>
      <c r="D771" s="1"/>
      <c r="E771" s="1"/>
      <c r="F771" s="2"/>
      <c r="G771" s="2"/>
      <c r="H771" s="2"/>
      <c r="I771" s="2"/>
      <c r="J771" s="2"/>
      <c r="K771" s="2"/>
      <c r="L771" s="2"/>
      <c r="M771" s="2"/>
      <c r="N771" s="2"/>
      <c r="O771" s="2"/>
      <c r="P771" s="2"/>
      <c r="Q771" s="2"/>
      <c r="R771" s="2"/>
      <c r="S771" s="2"/>
      <c r="T771" s="2"/>
      <c r="U771" s="2"/>
      <c r="V771" s="2"/>
      <c r="W771" s="2"/>
      <c r="X771" s="2"/>
      <c r="Y771" s="2"/>
    </row>
    <row r="772" spans="1:25" ht="14.25" customHeight="1" x14ac:dyDescent="0.3">
      <c r="A772" s="2"/>
      <c r="B772" s="1"/>
      <c r="C772" s="1"/>
      <c r="D772" s="1"/>
      <c r="E772" s="1"/>
      <c r="F772" s="2"/>
      <c r="G772" s="2"/>
      <c r="H772" s="2"/>
      <c r="I772" s="2"/>
      <c r="J772" s="2"/>
      <c r="K772" s="2"/>
      <c r="L772" s="2"/>
      <c r="M772" s="2"/>
      <c r="N772" s="2"/>
      <c r="O772" s="2"/>
      <c r="P772" s="2"/>
      <c r="Q772" s="2"/>
      <c r="R772" s="2"/>
      <c r="S772" s="2"/>
      <c r="T772" s="2"/>
      <c r="U772" s="2"/>
      <c r="V772" s="2"/>
      <c r="W772" s="2"/>
      <c r="X772" s="2"/>
      <c r="Y772" s="2"/>
    </row>
    <row r="773" spans="1:25" ht="14.25" customHeight="1" x14ac:dyDescent="0.3">
      <c r="A773" s="2"/>
      <c r="B773" s="1"/>
      <c r="C773" s="1"/>
      <c r="D773" s="1"/>
      <c r="E773" s="1"/>
      <c r="F773" s="2"/>
      <c r="G773" s="2"/>
      <c r="H773" s="2"/>
      <c r="I773" s="2"/>
      <c r="J773" s="2"/>
      <c r="K773" s="2"/>
      <c r="L773" s="2"/>
      <c r="M773" s="2"/>
      <c r="N773" s="2"/>
      <c r="O773" s="2"/>
      <c r="P773" s="2"/>
      <c r="Q773" s="2"/>
      <c r="R773" s="2"/>
      <c r="S773" s="2"/>
      <c r="T773" s="2"/>
      <c r="U773" s="2"/>
      <c r="V773" s="2"/>
      <c r="W773" s="2"/>
      <c r="X773" s="2"/>
      <c r="Y773" s="2"/>
    </row>
    <row r="774" spans="1:25" ht="14.25" customHeight="1" x14ac:dyDescent="0.3">
      <c r="A774" s="2"/>
      <c r="B774" s="1"/>
      <c r="C774" s="1"/>
      <c r="D774" s="1"/>
      <c r="E774" s="1"/>
      <c r="F774" s="2"/>
      <c r="G774" s="2"/>
      <c r="H774" s="2"/>
      <c r="I774" s="2"/>
      <c r="J774" s="2"/>
      <c r="K774" s="2"/>
      <c r="L774" s="2"/>
      <c r="M774" s="2"/>
      <c r="N774" s="2"/>
      <c r="O774" s="2"/>
      <c r="P774" s="2"/>
      <c r="Q774" s="2"/>
      <c r="R774" s="2"/>
      <c r="S774" s="2"/>
      <c r="T774" s="2"/>
      <c r="U774" s="2"/>
      <c r="V774" s="2"/>
      <c r="W774" s="2"/>
      <c r="X774" s="2"/>
      <c r="Y774" s="2"/>
    </row>
    <row r="775" spans="1:25" ht="14.25" customHeight="1" x14ac:dyDescent="0.3">
      <c r="A775" s="2"/>
      <c r="B775" s="1"/>
      <c r="C775" s="1"/>
      <c r="D775" s="1"/>
      <c r="E775" s="1"/>
      <c r="F775" s="2"/>
      <c r="G775" s="2"/>
      <c r="H775" s="2"/>
      <c r="I775" s="2"/>
      <c r="J775" s="2"/>
      <c r="K775" s="2"/>
      <c r="L775" s="2"/>
      <c r="M775" s="2"/>
      <c r="N775" s="2"/>
      <c r="O775" s="2"/>
      <c r="P775" s="2"/>
      <c r="Q775" s="2"/>
      <c r="R775" s="2"/>
      <c r="S775" s="2"/>
      <c r="T775" s="2"/>
      <c r="U775" s="2"/>
      <c r="V775" s="2"/>
      <c r="W775" s="2"/>
      <c r="X775" s="2"/>
      <c r="Y775" s="2"/>
    </row>
    <row r="776" spans="1:25" ht="14.25" customHeight="1" x14ac:dyDescent="0.3">
      <c r="A776" s="2"/>
      <c r="B776" s="1"/>
      <c r="C776" s="1"/>
      <c r="D776" s="1"/>
      <c r="E776" s="1"/>
      <c r="F776" s="2"/>
      <c r="G776" s="2"/>
      <c r="H776" s="2"/>
      <c r="I776" s="2"/>
      <c r="J776" s="2"/>
      <c r="K776" s="2"/>
      <c r="L776" s="2"/>
      <c r="M776" s="2"/>
      <c r="N776" s="2"/>
      <c r="O776" s="2"/>
      <c r="P776" s="2"/>
      <c r="Q776" s="2"/>
      <c r="R776" s="2"/>
      <c r="S776" s="2"/>
      <c r="T776" s="2"/>
      <c r="U776" s="2"/>
      <c r="V776" s="2"/>
      <c r="W776" s="2"/>
      <c r="X776" s="2"/>
      <c r="Y776" s="2"/>
    </row>
    <row r="777" spans="1:25" ht="14.25" customHeight="1" x14ac:dyDescent="0.3">
      <c r="A777" s="2"/>
      <c r="B777" s="1"/>
      <c r="C777" s="1"/>
      <c r="D777" s="1"/>
      <c r="E777" s="1"/>
      <c r="F777" s="2"/>
      <c r="G777" s="2"/>
      <c r="H777" s="2"/>
      <c r="I777" s="2"/>
      <c r="J777" s="2"/>
      <c r="K777" s="2"/>
      <c r="L777" s="2"/>
      <c r="M777" s="2"/>
      <c r="N777" s="2"/>
      <c r="O777" s="2"/>
      <c r="P777" s="2"/>
      <c r="Q777" s="2"/>
      <c r="R777" s="2"/>
      <c r="S777" s="2"/>
      <c r="T777" s="2"/>
      <c r="U777" s="2"/>
      <c r="V777" s="2"/>
      <c r="W777" s="2"/>
      <c r="X777" s="2"/>
      <c r="Y777" s="2"/>
    </row>
    <row r="778" spans="1:25" ht="14.25" customHeight="1" x14ac:dyDescent="0.3">
      <c r="A778" s="2"/>
      <c r="B778" s="1"/>
      <c r="C778" s="1"/>
      <c r="D778" s="1"/>
      <c r="E778" s="1"/>
      <c r="F778" s="2"/>
      <c r="G778" s="2"/>
      <c r="H778" s="2"/>
      <c r="I778" s="2"/>
      <c r="J778" s="2"/>
      <c r="K778" s="2"/>
      <c r="L778" s="2"/>
      <c r="M778" s="2"/>
      <c r="N778" s="2"/>
      <c r="O778" s="2"/>
      <c r="P778" s="2"/>
      <c r="Q778" s="2"/>
      <c r="R778" s="2"/>
      <c r="S778" s="2"/>
      <c r="T778" s="2"/>
      <c r="U778" s="2"/>
      <c r="V778" s="2"/>
      <c r="W778" s="2"/>
      <c r="X778" s="2"/>
      <c r="Y778" s="2"/>
    </row>
    <row r="779" spans="1:25" ht="14.25" customHeight="1" x14ac:dyDescent="0.3">
      <c r="A779" s="2"/>
      <c r="B779" s="1"/>
      <c r="C779" s="1"/>
      <c r="D779" s="1"/>
      <c r="E779" s="1"/>
      <c r="F779" s="2"/>
      <c r="G779" s="2"/>
      <c r="H779" s="2"/>
      <c r="I779" s="2"/>
      <c r="J779" s="2"/>
      <c r="K779" s="2"/>
      <c r="L779" s="2"/>
      <c r="M779" s="2"/>
      <c r="N779" s="2"/>
      <c r="O779" s="2"/>
      <c r="P779" s="2"/>
      <c r="Q779" s="2"/>
      <c r="R779" s="2"/>
      <c r="S779" s="2"/>
      <c r="T779" s="2"/>
      <c r="U779" s="2"/>
      <c r="V779" s="2"/>
      <c r="W779" s="2"/>
      <c r="X779" s="2"/>
      <c r="Y779" s="2"/>
    </row>
    <row r="780" spans="1:25" ht="14.25" customHeight="1" x14ac:dyDescent="0.3">
      <c r="A780" s="2"/>
      <c r="B780" s="1"/>
      <c r="C780" s="1"/>
      <c r="D780" s="1"/>
      <c r="E780" s="1"/>
      <c r="F780" s="2"/>
      <c r="G780" s="2"/>
      <c r="H780" s="2"/>
      <c r="I780" s="2"/>
      <c r="J780" s="2"/>
      <c r="K780" s="2"/>
      <c r="L780" s="2"/>
      <c r="M780" s="2"/>
      <c r="N780" s="2"/>
      <c r="O780" s="2"/>
      <c r="P780" s="2"/>
      <c r="Q780" s="2"/>
      <c r="R780" s="2"/>
      <c r="S780" s="2"/>
      <c r="T780" s="2"/>
      <c r="U780" s="2"/>
      <c r="V780" s="2"/>
      <c r="W780" s="2"/>
      <c r="X780" s="2"/>
      <c r="Y780" s="2"/>
    </row>
    <row r="781" spans="1:25" ht="14.25" customHeight="1" x14ac:dyDescent="0.3">
      <c r="A781" s="2"/>
      <c r="B781" s="1"/>
      <c r="C781" s="1"/>
      <c r="D781" s="1"/>
      <c r="E781" s="1"/>
      <c r="F781" s="2"/>
      <c r="G781" s="2"/>
      <c r="H781" s="2"/>
      <c r="I781" s="2"/>
      <c r="J781" s="2"/>
      <c r="K781" s="2"/>
      <c r="L781" s="2"/>
      <c r="M781" s="2"/>
      <c r="N781" s="2"/>
      <c r="O781" s="2"/>
      <c r="P781" s="2"/>
      <c r="Q781" s="2"/>
      <c r="R781" s="2"/>
      <c r="S781" s="2"/>
      <c r="T781" s="2"/>
      <c r="U781" s="2"/>
      <c r="V781" s="2"/>
      <c r="W781" s="2"/>
      <c r="X781" s="2"/>
      <c r="Y781" s="2"/>
    </row>
    <row r="782" spans="1:25" ht="14.25" customHeight="1" x14ac:dyDescent="0.3">
      <c r="A782" s="2"/>
      <c r="B782" s="1"/>
      <c r="C782" s="1"/>
      <c r="D782" s="1"/>
      <c r="E782" s="1"/>
      <c r="F782" s="2"/>
      <c r="G782" s="2"/>
      <c r="H782" s="2"/>
      <c r="I782" s="2"/>
      <c r="J782" s="2"/>
      <c r="K782" s="2"/>
      <c r="L782" s="2"/>
      <c r="M782" s="2"/>
      <c r="N782" s="2"/>
      <c r="O782" s="2"/>
      <c r="P782" s="2"/>
      <c r="Q782" s="2"/>
      <c r="R782" s="2"/>
      <c r="S782" s="2"/>
      <c r="T782" s="2"/>
      <c r="U782" s="2"/>
      <c r="V782" s="2"/>
      <c r="W782" s="2"/>
      <c r="X782" s="2"/>
      <c r="Y782" s="2"/>
    </row>
    <row r="783" spans="1:25" ht="14.25" customHeight="1" x14ac:dyDescent="0.3">
      <c r="A783" s="2"/>
      <c r="B783" s="1"/>
      <c r="C783" s="1"/>
      <c r="D783" s="1"/>
      <c r="E783" s="1"/>
      <c r="F783" s="2"/>
      <c r="G783" s="2"/>
      <c r="H783" s="2"/>
      <c r="I783" s="2"/>
      <c r="J783" s="2"/>
      <c r="K783" s="2"/>
      <c r="L783" s="2"/>
      <c r="M783" s="2"/>
      <c r="N783" s="2"/>
      <c r="O783" s="2"/>
      <c r="P783" s="2"/>
      <c r="Q783" s="2"/>
      <c r="R783" s="2"/>
      <c r="S783" s="2"/>
      <c r="T783" s="2"/>
      <c r="U783" s="2"/>
      <c r="V783" s="2"/>
      <c r="W783" s="2"/>
      <c r="X783" s="2"/>
      <c r="Y783" s="2"/>
    </row>
    <row r="784" spans="1:25" ht="14.25" customHeight="1" x14ac:dyDescent="0.3">
      <c r="A784" s="2"/>
      <c r="B784" s="1"/>
      <c r="C784" s="1"/>
      <c r="D784" s="1"/>
      <c r="E784" s="1"/>
      <c r="F784" s="2"/>
      <c r="G784" s="2"/>
      <c r="H784" s="2"/>
      <c r="I784" s="2"/>
      <c r="J784" s="2"/>
      <c r="K784" s="2"/>
      <c r="L784" s="2"/>
      <c r="M784" s="2"/>
      <c r="N784" s="2"/>
      <c r="O784" s="2"/>
      <c r="P784" s="2"/>
      <c r="Q784" s="2"/>
      <c r="R784" s="2"/>
      <c r="S784" s="2"/>
      <c r="T784" s="2"/>
      <c r="U784" s="2"/>
      <c r="V784" s="2"/>
      <c r="W784" s="2"/>
      <c r="X784" s="2"/>
      <c r="Y784" s="2"/>
    </row>
    <row r="785" spans="1:25" ht="14.25" customHeight="1" x14ac:dyDescent="0.3">
      <c r="A785" s="2"/>
      <c r="B785" s="1"/>
      <c r="C785" s="1"/>
      <c r="D785" s="1"/>
      <c r="E785" s="1"/>
      <c r="F785" s="2"/>
      <c r="G785" s="2"/>
      <c r="H785" s="2"/>
      <c r="I785" s="2"/>
      <c r="J785" s="2"/>
      <c r="K785" s="2"/>
      <c r="L785" s="2"/>
      <c r="M785" s="2"/>
      <c r="N785" s="2"/>
      <c r="O785" s="2"/>
      <c r="P785" s="2"/>
      <c r="Q785" s="2"/>
      <c r="R785" s="2"/>
      <c r="S785" s="2"/>
      <c r="T785" s="2"/>
      <c r="U785" s="2"/>
      <c r="V785" s="2"/>
      <c r="W785" s="2"/>
      <c r="X785" s="2"/>
      <c r="Y785" s="2"/>
    </row>
    <row r="786" spans="1:25" ht="14.25" customHeight="1" x14ac:dyDescent="0.3">
      <c r="A786" s="2"/>
      <c r="B786" s="1"/>
      <c r="C786" s="1"/>
      <c r="D786" s="1"/>
      <c r="E786" s="1"/>
      <c r="F786" s="2"/>
      <c r="G786" s="2"/>
      <c r="H786" s="2"/>
      <c r="I786" s="2"/>
      <c r="J786" s="2"/>
      <c r="K786" s="2"/>
      <c r="L786" s="2"/>
      <c r="M786" s="2"/>
      <c r="N786" s="2"/>
      <c r="O786" s="2"/>
      <c r="P786" s="2"/>
      <c r="Q786" s="2"/>
      <c r="R786" s="2"/>
      <c r="S786" s="2"/>
      <c r="T786" s="2"/>
      <c r="U786" s="2"/>
      <c r="V786" s="2"/>
      <c r="W786" s="2"/>
      <c r="X786" s="2"/>
      <c r="Y786" s="2"/>
    </row>
    <row r="787" spans="1:25" ht="14.25" customHeight="1" x14ac:dyDescent="0.3">
      <c r="A787" s="2"/>
      <c r="B787" s="1"/>
      <c r="C787" s="1"/>
      <c r="D787" s="1"/>
      <c r="E787" s="1"/>
      <c r="F787" s="2"/>
      <c r="G787" s="2"/>
      <c r="H787" s="2"/>
      <c r="I787" s="2"/>
      <c r="J787" s="2"/>
      <c r="K787" s="2"/>
      <c r="L787" s="2"/>
      <c r="M787" s="2"/>
      <c r="N787" s="2"/>
      <c r="O787" s="2"/>
      <c r="P787" s="2"/>
      <c r="Q787" s="2"/>
      <c r="R787" s="2"/>
      <c r="S787" s="2"/>
      <c r="T787" s="2"/>
      <c r="U787" s="2"/>
      <c r="V787" s="2"/>
      <c r="W787" s="2"/>
      <c r="X787" s="2"/>
      <c r="Y787" s="2"/>
    </row>
    <row r="788" spans="1:25" ht="14.25" customHeight="1" x14ac:dyDescent="0.3">
      <c r="A788" s="2"/>
      <c r="B788" s="1"/>
      <c r="C788" s="1"/>
      <c r="D788" s="1"/>
      <c r="E788" s="1"/>
      <c r="F788" s="2"/>
      <c r="G788" s="2"/>
      <c r="H788" s="2"/>
      <c r="I788" s="2"/>
      <c r="J788" s="2"/>
      <c r="K788" s="2"/>
      <c r="L788" s="2"/>
      <c r="M788" s="2"/>
      <c r="N788" s="2"/>
      <c r="O788" s="2"/>
      <c r="P788" s="2"/>
      <c r="Q788" s="2"/>
      <c r="R788" s="2"/>
      <c r="S788" s="2"/>
      <c r="T788" s="2"/>
      <c r="U788" s="2"/>
      <c r="V788" s="2"/>
      <c r="W788" s="2"/>
      <c r="X788" s="2"/>
      <c r="Y788" s="2"/>
    </row>
    <row r="789" spans="1:25" ht="14.25" customHeight="1" x14ac:dyDescent="0.3">
      <c r="A789" s="2"/>
      <c r="B789" s="1"/>
      <c r="C789" s="1"/>
      <c r="D789" s="1"/>
      <c r="E789" s="1"/>
      <c r="F789" s="2"/>
      <c r="G789" s="2"/>
      <c r="H789" s="2"/>
      <c r="I789" s="2"/>
      <c r="J789" s="2"/>
      <c r="K789" s="2"/>
      <c r="L789" s="2"/>
      <c r="M789" s="2"/>
      <c r="N789" s="2"/>
      <c r="O789" s="2"/>
      <c r="P789" s="2"/>
      <c r="Q789" s="2"/>
      <c r="R789" s="2"/>
      <c r="S789" s="2"/>
      <c r="T789" s="2"/>
      <c r="U789" s="2"/>
      <c r="V789" s="2"/>
      <c r="W789" s="2"/>
      <c r="X789" s="2"/>
      <c r="Y789" s="2"/>
    </row>
    <row r="790" spans="1:25" ht="14.25" customHeight="1" x14ac:dyDescent="0.3">
      <c r="A790" s="2"/>
      <c r="B790" s="1"/>
      <c r="C790" s="1"/>
      <c r="D790" s="1"/>
      <c r="E790" s="1"/>
      <c r="F790" s="2"/>
      <c r="G790" s="2"/>
      <c r="H790" s="2"/>
      <c r="I790" s="2"/>
      <c r="J790" s="2"/>
      <c r="K790" s="2"/>
      <c r="L790" s="2"/>
      <c r="M790" s="2"/>
      <c r="N790" s="2"/>
      <c r="O790" s="2"/>
      <c r="P790" s="2"/>
      <c r="Q790" s="2"/>
      <c r="R790" s="2"/>
      <c r="S790" s="2"/>
      <c r="T790" s="2"/>
      <c r="U790" s="2"/>
      <c r="V790" s="2"/>
      <c r="W790" s="2"/>
      <c r="X790" s="2"/>
      <c r="Y790" s="2"/>
    </row>
    <row r="791" spans="1:25" ht="14.25" customHeight="1" x14ac:dyDescent="0.3">
      <c r="A791" s="2"/>
      <c r="B791" s="1"/>
      <c r="C791" s="1"/>
      <c r="D791" s="1"/>
      <c r="E791" s="1"/>
      <c r="F791" s="2"/>
      <c r="G791" s="2"/>
      <c r="H791" s="2"/>
      <c r="I791" s="2"/>
      <c r="J791" s="2"/>
      <c r="K791" s="2"/>
      <c r="L791" s="2"/>
      <c r="M791" s="2"/>
      <c r="N791" s="2"/>
      <c r="O791" s="2"/>
      <c r="P791" s="2"/>
      <c r="Q791" s="2"/>
      <c r="R791" s="2"/>
      <c r="S791" s="2"/>
      <c r="T791" s="2"/>
      <c r="U791" s="2"/>
      <c r="V791" s="2"/>
      <c r="W791" s="2"/>
      <c r="X791" s="2"/>
      <c r="Y791" s="2"/>
    </row>
    <row r="792" spans="1:25" ht="14.25" customHeight="1" x14ac:dyDescent="0.3">
      <c r="A792" s="2"/>
      <c r="B792" s="1"/>
      <c r="C792" s="1"/>
      <c r="D792" s="1"/>
      <c r="E792" s="1"/>
      <c r="F792" s="2"/>
      <c r="G792" s="2"/>
      <c r="H792" s="2"/>
      <c r="I792" s="2"/>
      <c r="J792" s="2"/>
      <c r="K792" s="2"/>
      <c r="L792" s="2"/>
      <c r="M792" s="2"/>
      <c r="N792" s="2"/>
      <c r="O792" s="2"/>
      <c r="P792" s="2"/>
      <c r="Q792" s="2"/>
      <c r="R792" s="2"/>
      <c r="S792" s="2"/>
      <c r="T792" s="2"/>
      <c r="U792" s="2"/>
      <c r="V792" s="2"/>
      <c r="W792" s="2"/>
      <c r="X792" s="2"/>
      <c r="Y792" s="2"/>
    </row>
    <row r="793" spans="1:25" ht="14.25" customHeight="1" x14ac:dyDescent="0.3">
      <c r="A793" s="2"/>
      <c r="B793" s="1"/>
      <c r="C793" s="1"/>
      <c r="D793" s="1"/>
      <c r="E793" s="1"/>
      <c r="F793" s="2"/>
      <c r="G793" s="2"/>
      <c r="H793" s="2"/>
      <c r="I793" s="2"/>
      <c r="J793" s="2"/>
      <c r="K793" s="2"/>
      <c r="L793" s="2"/>
      <c r="M793" s="2"/>
      <c r="N793" s="2"/>
      <c r="O793" s="2"/>
      <c r="P793" s="2"/>
      <c r="Q793" s="2"/>
      <c r="R793" s="2"/>
      <c r="S793" s="2"/>
      <c r="T793" s="2"/>
      <c r="U793" s="2"/>
      <c r="V793" s="2"/>
      <c r="W793" s="2"/>
      <c r="X793" s="2"/>
      <c r="Y793" s="2"/>
    </row>
    <row r="794" spans="1:25" ht="14.25" customHeight="1" x14ac:dyDescent="0.3">
      <c r="A794" s="2"/>
      <c r="B794" s="1"/>
      <c r="C794" s="1"/>
      <c r="D794" s="1"/>
      <c r="E794" s="1"/>
      <c r="F794" s="2"/>
      <c r="G794" s="2"/>
      <c r="H794" s="2"/>
      <c r="I794" s="2"/>
      <c r="J794" s="2"/>
      <c r="K794" s="2"/>
      <c r="L794" s="2"/>
      <c r="M794" s="2"/>
      <c r="N794" s="2"/>
      <c r="O794" s="2"/>
      <c r="P794" s="2"/>
      <c r="Q794" s="2"/>
      <c r="R794" s="2"/>
      <c r="S794" s="2"/>
      <c r="T794" s="2"/>
      <c r="U794" s="2"/>
      <c r="V794" s="2"/>
      <c r="W794" s="2"/>
      <c r="X794" s="2"/>
      <c r="Y794" s="2"/>
    </row>
    <row r="795" spans="1:25" ht="14.25" customHeight="1" x14ac:dyDescent="0.3">
      <c r="A795" s="2"/>
      <c r="B795" s="1"/>
      <c r="C795" s="1"/>
      <c r="D795" s="1"/>
      <c r="E795" s="1"/>
      <c r="F795" s="2"/>
      <c r="G795" s="2"/>
      <c r="H795" s="2"/>
      <c r="I795" s="2"/>
      <c r="J795" s="2"/>
      <c r="K795" s="2"/>
      <c r="L795" s="2"/>
      <c r="M795" s="2"/>
      <c r="N795" s="2"/>
      <c r="O795" s="2"/>
      <c r="P795" s="2"/>
      <c r="Q795" s="2"/>
      <c r="R795" s="2"/>
      <c r="S795" s="2"/>
      <c r="T795" s="2"/>
      <c r="U795" s="2"/>
      <c r="V795" s="2"/>
      <c r="W795" s="2"/>
      <c r="X795" s="2"/>
      <c r="Y795" s="2"/>
    </row>
    <row r="796" spans="1:25" ht="14.25" customHeight="1" x14ac:dyDescent="0.3">
      <c r="A796" s="2"/>
      <c r="B796" s="1"/>
      <c r="C796" s="1"/>
      <c r="D796" s="1"/>
      <c r="E796" s="1"/>
      <c r="F796" s="2"/>
      <c r="G796" s="2"/>
      <c r="H796" s="2"/>
      <c r="I796" s="2"/>
      <c r="J796" s="2"/>
      <c r="K796" s="2"/>
      <c r="L796" s="2"/>
      <c r="M796" s="2"/>
      <c r="N796" s="2"/>
      <c r="O796" s="2"/>
      <c r="P796" s="2"/>
      <c r="Q796" s="2"/>
      <c r="R796" s="2"/>
      <c r="S796" s="2"/>
      <c r="T796" s="2"/>
      <c r="U796" s="2"/>
      <c r="V796" s="2"/>
      <c r="W796" s="2"/>
      <c r="X796" s="2"/>
      <c r="Y796" s="2"/>
    </row>
    <row r="797" spans="1:25" ht="14.25" customHeight="1" x14ac:dyDescent="0.3">
      <c r="A797" s="2"/>
      <c r="B797" s="1"/>
      <c r="C797" s="1"/>
      <c r="D797" s="1"/>
      <c r="E797" s="1"/>
      <c r="F797" s="2"/>
      <c r="G797" s="2"/>
      <c r="H797" s="2"/>
      <c r="I797" s="2"/>
      <c r="J797" s="2"/>
      <c r="K797" s="2"/>
      <c r="L797" s="2"/>
      <c r="M797" s="2"/>
      <c r="N797" s="2"/>
      <c r="O797" s="2"/>
      <c r="P797" s="2"/>
      <c r="Q797" s="2"/>
      <c r="R797" s="2"/>
      <c r="S797" s="2"/>
      <c r="T797" s="2"/>
      <c r="U797" s="2"/>
      <c r="V797" s="2"/>
      <c r="W797" s="2"/>
      <c r="X797" s="2"/>
      <c r="Y797" s="2"/>
    </row>
    <row r="798" spans="1:25" ht="14.25" customHeight="1" x14ac:dyDescent="0.3">
      <c r="A798" s="2"/>
      <c r="B798" s="1"/>
      <c r="C798" s="1"/>
      <c r="D798" s="1"/>
      <c r="E798" s="1"/>
      <c r="F798" s="2"/>
      <c r="G798" s="2"/>
      <c r="H798" s="2"/>
      <c r="I798" s="2"/>
      <c r="J798" s="2"/>
      <c r="K798" s="2"/>
      <c r="L798" s="2"/>
      <c r="M798" s="2"/>
      <c r="N798" s="2"/>
      <c r="O798" s="2"/>
      <c r="P798" s="2"/>
      <c r="Q798" s="2"/>
      <c r="R798" s="2"/>
      <c r="S798" s="2"/>
      <c r="T798" s="2"/>
      <c r="U798" s="2"/>
      <c r="V798" s="2"/>
      <c r="W798" s="2"/>
      <c r="X798" s="2"/>
      <c r="Y798" s="2"/>
    </row>
    <row r="799" spans="1:25" ht="14.25" customHeight="1" x14ac:dyDescent="0.3">
      <c r="A799" s="2"/>
      <c r="B799" s="1"/>
      <c r="C799" s="1"/>
      <c r="D799" s="1"/>
      <c r="E799" s="1"/>
      <c r="F799" s="2"/>
      <c r="G799" s="2"/>
      <c r="H799" s="2"/>
      <c r="I799" s="2"/>
      <c r="J799" s="2"/>
      <c r="K799" s="2"/>
      <c r="L799" s="2"/>
      <c r="M799" s="2"/>
      <c r="N799" s="2"/>
      <c r="O799" s="2"/>
      <c r="P799" s="2"/>
      <c r="Q799" s="2"/>
      <c r="R799" s="2"/>
      <c r="S799" s="2"/>
      <c r="T799" s="2"/>
      <c r="U799" s="2"/>
      <c r="V799" s="2"/>
      <c r="W799" s="2"/>
      <c r="X799" s="2"/>
      <c r="Y799" s="2"/>
    </row>
    <row r="800" spans="1:25" ht="14.25" customHeight="1" x14ac:dyDescent="0.3">
      <c r="A800" s="2"/>
      <c r="B800" s="1"/>
      <c r="C800" s="1"/>
      <c r="D800" s="1"/>
      <c r="E800" s="1"/>
      <c r="F800" s="2"/>
      <c r="G800" s="2"/>
      <c r="H800" s="2"/>
      <c r="I800" s="2"/>
      <c r="J800" s="2"/>
      <c r="K800" s="2"/>
      <c r="L800" s="2"/>
      <c r="M800" s="2"/>
      <c r="N800" s="2"/>
      <c r="O800" s="2"/>
      <c r="P800" s="2"/>
      <c r="Q800" s="2"/>
      <c r="R800" s="2"/>
      <c r="S800" s="2"/>
      <c r="T800" s="2"/>
      <c r="U800" s="2"/>
      <c r="V800" s="2"/>
      <c r="W800" s="2"/>
      <c r="X800" s="2"/>
      <c r="Y800" s="2"/>
    </row>
    <row r="801" spans="1:25" ht="14.25" customHeight="1" x14ac:dyDescent="0.3">
      <c r="A801" s="2"/>
      <c r="B801" s="1"/>
      <c r="C801" s="1"/>
      <c r="D801" s="1"/>
      <c r="E801" s="1"/>
      <c r="F801" s="2"/>
      <c r="G801" s="2"/>
      <c r="H801" s="2"/>
      <c r="I801" s="2"/>
      <c r="J801" s="2"/>
      <c r="K801" s="2"/>
      <c r="L801" s="2"/>
      <c r="M801" s="2"/>
      <c r="N801" s="2"/>
      <c r="O801" s="2"/>
      <c r="P801" s="2"/>
      <c r="Q801" s="2"/>
      <c r="R801" s="2"/>
      <c r="S801" s="2"/>
      <c r="T801" s="2"/>
      <c r="U801" s="2"/>
      <c r="V801" s="2"/>
      <c r="W801" s="2"/>
      <c r="X801" s="2"/>
      <c r="Y801" s="2"/>
    </row>
    <row r="802" spans="1:25" ht="14.25" customHeight="1" x14ac:dyDescent="0.3">
      <c r="A802" s="2"/>
      <c r="B802" s="1"/>
      <c r="C802" s="1"/>
      <c r="D802" s="1"/>
      <c r="E802" s="1"/>
      <c r="F802" s="2"/>
      <c r="G802" s="2"/>
      <c r="H802" s="2"/>
      <c r="I802" s="2"/>
      <c r="J802" s="2"/>
      <c r="K802" s="2"/>
      <c r="L802" s="2"/>
      <c r="M802" s="2"/>
      <c r="N802" s="2"/>
      <c r="O802" s="2"/>
      <c r="P802" s="2"/>
      <c r="Q802" s="2"/>
      <c r="R802" s="2"/>
      <c r="S802" s="2"/>
      <c r="T802" s="2"/>
      <c r="U802" s="2"/>
      <c r="V802" s="2"/>
      <c r="W802" s="2"/>
      <c r="X802" s="2"/>
      <c r="Y802" s="2"/>
    </row>
    <row r="803" spans="1:25" ht="14.25" customHeight="1" x14ac:dyDescent="0.3">
      <c r="A803" s="2"/>
      <c r="B803" s="1"/>
      <c r="C803" s="1"/>
      <c r="D803" s="1"/>
      <c r="E803" s="1"/>
      <c r="F803" s="2"/>
      <c r="G803" s="2"/>
      <c r="H803" s="2"/>
      <c r="I803" s="2"/>
      <c r="J803" s="2"/>
      <c r="K803" s="2"/>
      <c r="L803" s="2"/>
      <c r="M803" s="2"/>
      <c r="N803" s="2"/>
      <c r="O803" s="2"/>
      <c r="P803" s="2"/>
      <c r="Q803" s="2"/>
      <c r="R803" s="2"/>
      <c r="S803" s="2"/>
      <c r="T803" s="2"/>
      <c r="U803" s="2"/>
      <c r="V803" s="2"/>
      <c r="W803" s="2"/>
      <c r="X803" s="2"/>
      <c r="Y803" s="2"/>
    </row>
    <row r="804" spans="1:25" ht="14.25" customHeight="1" x14ac:dyDescent="0.3">
      <c r="A804" s="2"/>
      <c r="B804" s="1"/>
      <c r="C804" s="1"/>
      <c r="D804" s="1"/>
      <c r="E804" s="1"/>
      <c r="F804" s="2"/>
      <c r="G804" s="2"/>
      <c r="H804" s="2"/>
      <c r="I804" s="2"/>
      <c r="J804" s="2"/>
      <c r="K804" s="2"/>
      <c r="L804" s="2"/>
      <c r="M804" s="2"/>
      <c r="N804" s="2"/>
      <c r="O804" s="2"/>
      <c r="P804" s="2"/>
      <c r="Q804" s="2"/>
      <c r="R804" s="2"/>
      <c r="S804" s="2"/>
      <c r="T804" s="2"/>
      <c r="U804" s="2"/>
      <c r="V804" s="2"/>
      <c r="W804" s="2"/>
      <c r="X804" s="2"/>
      <c r="Y804" s="2"/>
    </row>
    <row r="805" spans="1:25" ht="14.25" customHeight="1" x14ac:dyDescent="0.3">
      <c r="A805" s="2"/>
      <c r="B805" s="1"/>
      <c r="C805" s="1"/>
      <c r="D805" s="1"/>
      <c r="E805" s="1"/>
      <c r="F805" s="2"/>
      <c r="G805" s="2"/>
      <c r="H805" s="2"/>
      <c r="I805" s="2"/>
      <c r="J805" s="2"/>
      <c r="K805" s="2"/>
      <c r="L805" s="2"/>
      <c r="M805" s="2"/>
      <c r="N805" s="2"/>
      <c r="O805" s="2"/>
      <c r="P805" s="2"/>
      <c r="Q805" s="2"/>
      <c r="R805" s="2"/>
      <c r="S805" s="2"/>
      <c r="T805" s="2"/>
      <c r="U805" s="2"/>
      <c r="V805" s="2"/>
      <c r="W805" s="2"/>
      <c r="X805" s="2"/>
      <c r="Y805" s="2"/>
    </row>
    <row r="806" spans="1:25" ht="14.25" customHeight="1" x14ac:dyDescent="0.3">
      <c r="A806" s="2"/>
      <c r="B806" s="1"/>
      <c r="C806" s="1"/>
      <c r="D806" s="1"/>
      <c r="E806" s="1"/>
      <c r="F806" s="2"/>
      <c r="G806" s="2"/>
      <c r="H806" s="2"/>
      <c r="I806" s="2"/>
      <c r="J806" s="2"/>
      <c r="K806" s="2"/>
      <c r="L806" s="2"/>
      <c r="M806" s="2"/>
      <c r="N806" s="2"/>
      <c r="O806" s="2"/>
      <c r="P806" s="2"/>
      <c r="Q806" s="2"/>
      <c r="R806" s="2"/>
      <c r="S806" s="2"/>
      <c r="T806" s="2"/>
      <c r="U806" s="2"/>
      <c r="V806" s="2"/>
      <c r="W806" s="2"/>
      <c r="X806" s="2"/>
      <c r="Y806" s="2"/>
    </row>
    <row r="807" spans="1:25" ht="14.25" customHeight="1" x14ac:dyDescent="0.3">
      <c r="A807" s="2"/>
      <c r="B807" s="1"/>
      <c r="C807" s="1"/>
      <c r="D807" s="1"/>
      <c r="E807" s="1"/>
      <c r="F807" s="2"/>
      <c r="G807" s="2"/>
      <c r="H807" s="2"/>
      <c r="I807" s="2"/>
      <c r="J807" s="2"/>
      <c r="K807" s="2"/>
      <c r="L807" s="2"/>
      <c r="M807" s="2"/>
      <c r="N807" s="2"/>
      <c r="O807" s="2"/>
      <c r="P807" s="2"/>
      <c r="Q807" s="2"/>
      <c r="R807" s="2"/>
      <c r="S807" s="2"/>
      <c r="T807" s="2"/>
      <c r="U807" s="2"/>
      <c r="V807" s="2"/>
      <c r="W807" s="2"/>
      <c r="X807" s="2"/>
      <c r="Y807" s="2"/>
    </row>
    <row r="808" spans="1:25" ht="14.25" customHeight="1" x14ac:dyDescent="0.3">
      <c r="A808" s="2"/>
      <c r="B808" s="1"/>
      <c r="C808" s="1"/>
      <c r="D808" s="1"/>
      <c r="E808" s="1"/>
      <c r="F808" s="2"/>
      <c r="G808" s="2"/>
      <c r="H808" s="2"/>
      <c r="I808" s="2"/>
      <c r="J808" s="2"/>
      <c r="K808" s="2"/>
      <c r="L808" s="2"/>
      <c r="M808" s="2"/>
      <c r="N808" s="2"/>
      <c r="O808" s="2"/>
      <c r="P808" s="2"/>
      <c r="Q808" s="2"/>
      <c r="R808" s="2"/>
      <c r="S808" s="2"/>
      <c r="T808" s="2"/>
      <c r="U808" s="2"/>
      <c r="V808" s="2"/>
      <c r="W808" s="2"/>
      <c r="X808" s="2"/>
      <c r="Y808" s="2"/>
    </row>
    <row r="809" spans="1:25" ht="14.25" customHeight="1" x14ac:dyDescent="0.3">
      <c r="A809" s="2"/>
      <c r="B809" s="1"/>
      <c r="C809" s="1"/>
      <c r="D809" s="1"/>
      <c r="E809" s="1"/>
      <c r="F809" s="2"/>
      <c r="G809" s="2"/>
      <c r="H809" s="2"/>
      <c r="I809" s="2"/>
      <c r="J809" s="2"/>
      <c r="K809" s="2"/>
      <c r="L809" s="2"/>
      <c r="M809" s="2"/>
      <c r="N809" s="2"/>
      <c r="O809" s="2"/>
      <c r="P809" s="2"/>
      <c r="Q809" s="2"/>
      <c r="R809" s="2"/>
      <c r="S809" s="2"/>
      <c r="T809" s="2"/>
      <c r="U809" s="2"/>
      <c r="V809" s="2"/>
      <c r="W809" s="2"/>
      <c r="X809" s="2"/>
      <c r="Y809" s="2"/>
    </row>
    <row r="810" spans="1:25" ht="14.25" customHeight="1" x14ac:dyDescent="0.3">
      <c r="A810" s="2"/>
      <c r="B810" s="1"/>
      <c r="C810" s="1"/>
      <c r="D810" s="1"/>
      <c r="E810" s="1"/>
      <c r="F810" s="2"/>
      <c r="G810" s="2"/>
      <c r="H810" s="2"/>
      <c r="I810" s="2"/>
      <c r="J810" s="2"/>
      <c r="K810" s="2"/>
      <c r="L810" s="2"/>
      <c r="M810" s="2"/>
      <c r="N810" s="2"/>
      <c r="O810" s="2"/>
      <c r="P810" s="2"/>
      <c r="Q810" s="2"/>
      <c r="R810" s="2"/>
      <c r="S810" s="2"/>
      <c r="T810" s="2"/>
      <c r="U810" s="2"/>
      <c r="V810" s="2"/>
      <c r="W810" s="2"/>
      <c r="X810" s="2"/>
      <c r="Y810" s="2"/>
    </row>
    <row r="811" spans="1:25" ht="14.25" customHeight="1" x14ac:dyDescent="0.3">
      <c r="A811" s="2"/>
      <c r="B811" s="1"/>
      <c r="C811" s="1"/>
      <c r="D811" s="1"/>
      <c r="E811" s="1"/>
      <c r="F811" s="2"/>
      <c r="G811" s="2"/>
      <c r="H811" s="2"/>
      <c r="I811" s="2"/>
      <c r="J811" s="2"/>
      <c r="K811" s="2"/>
      <c r="L811" s="2"/>
      <c r="M811" s="2"/>
      <c r="N811" s="2"/>
      <c r="O811" s="2"/>
      <c r="P811" s="2"/>
      <c r="Q811" s="2"/>
      <c r="R811" s="2"/>
      <c r="S811" s="2"/>
      <c r="T811" s="2"/>
      <c r="U811" s="2"/>
      <c r="V811" s="2"/>
      <c r="W811" s="2"/>
      <c r="X811" s="2"/>
      <c r="Y811" s="2"/>
    </row>
    <row r="812" spans="1:25" ht="14.25" customHeight="1" x14ac:dyDescent="0.3">
      <c r="A812" s="2"/>
      <c r="B812" s="1"/>
      <c r="C812" s="1"/>
      <c r="D812" s="1"/>
      <c r="E812" s="1"/>
      <c r="F812" s="2"/>
      <c r="G812" s="2"/>
      <c r="H812" s="2"/>
      <c r="I812" s="2"/>
      <c r="J812" s="2"/>
      <c r="K812" s="2"/>
      <c r="L812" s="2"/>
      <c r="M812" s="2"/>
      <c r="N812" s="2"/>
      <c r="O812" s="2"/>
      <c r="P812" s="2"/>
      <c r="Q812" s="2"/>
      <c r="R812" s="2"/>
      <c r="S812" s="2"/>
      <c r="T812" s="2"/>
      <c r="U812" s="2"/>
      <c r="V812" s="2"/>
      <c r="W812" s="2"/>
      <c r="X812" s="2"/>
      <c r="Y812" s="2"/>
    </row>
    <row r="813" spans="1:25" ht="14.25" customHeight="1" x14ac:dyDescent="0.3">
      <c r="A813" s="2"/>
      <c r="B813" s="1"/>
      <c r="C813" s="1"/>
      <c r="D813" s="1"/>
      <c r="E813" s="1"/>
      <c r="F813" s="2"/>
      <c r="G813" s="2"/>
      <c r="H813" s="2"/>
      <c r="I813" s="2"/>
      <c r="J813" s="2"/>
      <c r="K813" s="2"/>
      <c r="L813" s="2"/>
      <c r="M813" s="2"/>
      <c r="N813" s="2"/>
      <c r="O813" s="2"/>
      <c r="P813" s="2"/>
      <c r="Q813" s="2"/>
      <c r="R813" s="2"/>
      <c r="S813" s="2"/>
      <c r="T813" s="2"/>
      <c r="U813" s="2"/>
      <c r="V813" s="2"/>
      <c r="W813" s="2"/>
      <c r="X813" s="2"/>
      <c r="Y813" s="2"/>
    </row>
    <row r="814" spans="1:25" ht="14.25" customHeight="1" x14ac:dyDescent="0.3">
      <c r="A814" s="2"/>
      <c r="B814" s="1"/>
      <c r="C814" s="1"/>
      <c r="D814" s="1"/>
      <c r="E814" s="1"/>
      <c r="F814" s="2"/>
      <c r="G814" s="2"/>
      <c r="H814" s="2"/>
      <c r="I814" s="2"/>
      <c r="J814" s="2"/>
      <c r="K814" s="2"/>
      <c r="L814" s="2"/>
      <c r="M814" s="2"/>
      <c r="N814" s="2"/>
      <c r="O814" s="2"/>
      <c r="P814" s="2"/>
      <c r="Q814" s="2"/>
      <c r="R814" s="2"/>
      <c r="S814" s="2"/>
      <c r="T814" s="2"/>
      <c r="U814" s="2"/>
      <c r="V814" s="2"/>
      <c r="W814" s="2"/>
      <c r="X814" s="2"/>
      <c r="Y814" s="2"/>
    </row>
    <row r="815" spans="1:25" ht="14.25" customHeight="1" x14ac:dyDescent="0.3">
      <c r="A815" s="2"/>
      <c r="B815" s="1"/>
      <c r="C815" s="1"/>
      <c r="D815" s="1"/>
      <c r="E815" s="1"/>
      <c r="F815" s="2"/>
      <c r="G815" s="2"/>
      <c r="H815" s="2"/>
      <c r="I815" s="2"/>
      <c r="J815" s="2"/>
      <c r="K815" s="2"/>
      <c r="L815" s="2"/>
      <c r="M815" s="2"/>
      <c r="N815" s="2"/>
      <c r="O815" s="2"/>
      <c r="P815" s="2"/>
      <c r="Q815" s="2"/>
      <c r="R815" s="2"/>
      <c r="S815" s="2"/>
      <c r="T815" s="2"/>
      <c r="U815" s="2"/>
      <c r="V815" s="2"/>
      <c r="W815" s="2"/>
      <c r="X815" s="2"/>
      <c r="Y815" s="2"/>
    </row>
    <row r="816" spans="1:25" ht="14.25" customHeight="1" x14ac:dyDescent="0.3">
      <c r="A816" s="2"/>
      <c r="B816" s="1"/>
      <c r="C816" s="1"/>
      <c r="D816" s="1"/>
      <c r="E816" s="1"/>
      <c r="F816" s="2"/>
      <c r="G816" s="2"/>
      <c r="H816" s="2"/>
      <c r="I816" s="2"/>
      <c r="J816" s="2"/>
      <c r="K816" s="2"/>
      <c r="L816" s="2"/>
      <c r="M816" s="2"/>
      <c r="N816" s="2"/>
      <c r="O816" s="2"/>
      <c r="P816" s="2"/>
      <c r="Q816" s="2"/>
      <c r="R816" s="2"/>
      <c r="S816" s="2"/>
      <c r="T816" s="2"/>
      <c r="U816" s="2"/>
      <c r="V816" s="2"/>
      <c r="W816" s="2"/>
      <c r="X816" s="2"/>
      <c r="Y816" s="2"/>
    </row>
    <row r="817" spans="1:25" ht="14.25" customHeight="1" x14ac:dyDescent="0.3">
      <c r="A817" s="2"/>
      <c r="B817" s="1"/>
      <c r="C817" s="1"/>
      <c r="D817" s="1"/>
      <c r="E817" s="1"/>
      <c r="F817" s="2"/>
      <c r="G817" s="2"/>
      <c r="H817" s="2"/>
      <c r="I817" s="2"/>
      <c r="J817" s="2"/>
      <c r="K817" s="2"/>
      <c r="L817" s="2"/>
      <c r="M817" s="2"/>
      <c r="N817" s="2"/>
      <c r="O817" s="2"/>
      <c r="P817" s="2"/>
      <c r="Q817" s="2"/>
      <c r="R817" s="2"/>
      <c r="S817" s="2"/>
      <c r="T817" s="2"/>
      <c r="U817" s="2"/>
      <c r="V817" s="2"/>
      <c r="W817" s="2"/>
      <c r="X817" s="2"/>
      <c r="Y817" s="2"/>
    </row>
    <row r="818" spans="1:25" ht="14.25" customHeight="1" x14ac:dyDescent="0.3">
      <c r="A818" s="2"/>
      <c r="B818" s="1"/>
      <c r="C818" s="1"/>
      <c r="D818" s="1"/>
      <c r="E818" s="1"/>
      <c r="F818" s="2"/>
      <c r="G818" s="2"/>
      <c r="H818" s="2"/>
      <c r="I818" s="2"/>
      <c r="J818" s="2"/>
      <c r="K818" s="2"/>
      <c r="L818" s="2"/>
      <c r="M818" s="2"/>
      <c r="N818" s="2"/>
      <c r="O818" s="2"/>
      <c r="P818" s="2"/>
      <c r="Q818" s="2"/>
      <c r="R818" s="2"/>
      <c r="S818" s="2"/>
      <c r="T818" s="2"/>
      <c r="U818" s="2"/>
      <c r="V818" s="2"/>
      <c r="W818" s="2"/>
      <c r="X818" s="2"/>
      <c r="Y818" s="2"/>
    </row>
    <row r="819" spans="1:25" ht="14.25" customHeight="1" x14ac:dyDescent="0.3">
      <c r="A819" s="2"/>
      <c r="B819" s="1"/>
      <c r="C819" s="1"/>
      <c r="D819" s="1"/>
      <c r="E819" s="1"/>
      <c r="F819" s="2"/>
      <c r="G819" s="2"/>
      <c r="H819" s="2"/>
      <c r="I819" s="2"/>
      <c r="J819" s="2"/>
      <c r="K819" s="2"/>
      <c r="L819" s="2"/>
      <c r="M819" s="2"/>
      <c r="N819" s="2"/>
      <c r="O819" s="2"/>
      <c r="P819" s="2"/>
      <c r="Q819" s="2"/>
      <c r="R819" s="2"/>
      <c r="S819" s="2"/>
      <c r="T819" s="2"/>
      <c r="U819" s="2"/>
      <c r="V819" s="2"/>
      <c r="W819" s="2"/>
      <c r="X819" s="2"/>
      <c r="Y819" s="2"/>
    </row>
    <row r="820" spans="1:25" ht="14.25" customHeight="1" x14ac:dyDescent="0.3">
      <c r="A820" s="2"/>
      <c r="B820" s="1"/>
      <c r="C820" s="1"/>
      <c r="D820" s="1"/>
      <c r="E820" s="1"/>
      <c r="F820" s="2"/>
      <c r="G820" s="2"/>
      <c r="H820" s="2"/>
      <c r="I820" s="2"/>
      <c r="J820" s="2"/>
      <c r="K820" s="2"/>
      <c r="L820" s="2"/>
      <c r="M820" s="2"/>
      <c r="N820" s="2"/>
      <c r="O820" s="2"/>
      <c r="P820" s="2"/>
      <c r="Q820" s="2"/>
      <c r="R820" s="2"/>
      <c r="S820" s="2"/>
      <c r="T820" s="2"/>
      <c r="U820" s="2"/>
      <c r="V820" s="2"/>
      <c r="W820" s="2"/>
      <c r="X820" s="2"/>
      <c r="Y820" s="2"/>
    </row>
    <row r="821" spans="1:25" ht="14.25" customHeight="1" x14ac:dyDescent="0.3">
      <c r="A821" s="2"/>
      <c r="B821" s="1"/>
      <c r="C821" s="1"/>
      <c r="D821" s="1"/>
      <c r="E821" s="1"/>
      <c r="F821" s="2"/>
      <c r="G821" s="2"/>
      <c r="H821" s="2"/>
      <c r="I821" s="2"/>
      <c r="J821" s="2"/>
      <c r="K821" s="2"/>
      <c r="L821" s="2"/>
      <c r="M821" s="2"/>
      <c r="N821" s="2"/>
      <c r="O821" s="2"/>
      <c r="P821" s="2"/>
      <c r="Q821" s="2"/>
      <c r="R821" s="2"/>
      <c r="S821" s="2"/>
      <c r="T821" s="2"/>
      <c r="U821" s="2"/>
      <c r="V821" s="2"/>
      <c r="W821" s="2"/>
      <c r="X821" s="2"/>
      <c r="Y821" s="2"/>
    </row>
    <row r="822" spans="1:25" ht="14.25" customHeight="1" x14ac:dyDescent="0.3">
      <c r="A822" s="2"/>
      <c r="B822" s="1"/>
      <c r="C822" s="1"/>
      <c r="D822" s="1"/>
      <c r="E822" s="1"/>
      <c r="F822" s="2"/>
      <c r="G822" s="2"/>
      <c r="H822" s="2"/>
      <c r="I822" s="2"/>
      <c r="J822" s="2"/>
      <c r="K822" s="2"/>
      <c r="L822" s="2"/>
      <c r="M822" s="2"/>
      <c r="N822" s="2"/>
      <c r="O822" s="2"/>
      <c r="P822" s="2"/>
      <c r="Q822" s="2"/>
      <c r="R822" s="2"/>
      <c r="S822" s="2"/>
      <c r="T822" s="2"/>
      <c r="U822" s="2"/>
      <c r="V822" s="2"/>
      <c r="W822" s="2"/>
      <c r="X822" s="2"/>
      <c r="Y822" s="2"/>
    </row>
    <row r="823" spans="1:25" ht="14.25" customHeight="1" x14ac:dyDescent="0.3">
      <c r="A823" s="2"/>
      <c r="B823" s="1"/>
      <c r="C823" s="1"/>
      <c r="D823" s="1"/>
      <c r="E823" s="1"/>
      <c r="F823" s="2"/>
      <c r="G823" s="2"/>
      <c r="H823" s="2"/>
      <c r="I823" s="2"/>
      <c r="J823" s="2"/>
      <c r="K823" s="2"/>
      <c r="L823" s="2"/>
      <c r="M823" s="2"/>
      <c r="N823" s="2"/>
      <c r="O823" s="2"/>
      <c r="P823" s="2"/>
      <c r="Q823" s="2"/>
      <c r="R823" s="2"/>
      <c r="S823" s="2"/>
      <c r="T823" s="2"/>
      <c r="U823" s="2"/>
      <c r="V823" s="2"/>
      <c r="W823" s="2"/>
      <c r="X823" s="2"/>
      <c r="Y823" s="2"/>
    </row>
    <row r="824" spans="1:25" ht="14.25" customHeight="1" x14ac:dyDescent="0.3">
      <c r="A824" s="2"/>
      <c r="B824" s="1"/>
      <c r="C824" s="1"/>
      <c r="D824" s="1"/>
      <c r="E824" s="1"/>
      <c r="F824" s="2"/>
      <c r="G824" s="2"/>
      <c r="H824" s="2"/>
      <c r="I824" s="2"/>
      <c r="J824" s="2"/>
      <c r="K824" s="2"/>
      <c r="L824" s="2"/>
      <c r="M824" s="2"/>
      <c r="N824" s="2"/>
      <c r="O824" s="2"/>
      <c r="P824" s="2"/>
      <c r="Q824" s="2"/>
      <c r="R824" s="2"/>
      <c r="S824" s="2"/>
      <c r="T824" s="2"/>
      <c r="U824" s="2"/>
      <c r="V824" s="2"/>
      <c r="W824" s="2"/>
      <c r="X824" s="2"/>
      <c r="Y824" s="2"/>
    </row>
    <row r="825" spans="1:25" ht="14.25" customHeight="1" x14ac:dyDescent="0.3">
      <c r="A825" s="2"/>
      <c r="B825" s="1"/>
      <c r="C825" s="1"/>
      <c r="D825" s="1"/>
      <c r="E825" s="1"/>
      <c r="F825" s="2"/>
      <c r="G825" s="2"/>
      <c r="H825" s="2"/>
      <c r="I825" s="2"/>
      <c r="J825" s="2"/>
      <c r="K825" s="2"/>
      <c r="L825" s="2"/>
      <c r="M825" s="2"/>
      <c r="N825" s="2"/>
      <c r="O825" s="2"/>
      <c r="P825" s="2"/>
      <c r="Q825" s="2"/>
      <c r="R825" s="2"/>
      <c r="S825" s="2"/>
      <c r="T825" s="2"/>
      <c r="U825" s="2"/>
      <c r="V825" s="2"/>
      <c r="W825" s="2"/>
      <c r="X825" s="2"/>
      <c r="Y825" s="2"/>
    </row>
    <row r="826" spans="1:25" ht="14.25" customHeight="1" x14ac:dyDescent="0.3">
      <c r="A826" s="2"/>
      <c r="B826" s="1"/>
      <c r="C826" s="1"/>
      <c r="D826" s="1"/>
      <c r="E826" s="1"/>
      <c r="F826" s="2"/>
      <c r="G826" s="2"/>
      <c r="H826" s="2"/>
      <c r="I826" s="2"/>
      <c r="J826" s="2"/>
      <c r="K826" s="2"/>
      <c r="L826" s="2"/>
      <c r="M826" s="2"/>
      <c r="N826" s="2"/>
      <c r="O826" s="2"/>
      <c r="P826" s="2"/>
      <c r="Q826" s="2"/>
      <c r="R826" s="2"/>
      <c r="S826" s="2"/>
      <c r="T826" s="2"/>
      <c r="U826" s="2"/>
      <c r="V826" s="2"/>
      <c r="W826" s="2"/>
      <c r="X826" s="2"/>
      <c r="Y826" s="2"/>
    </row>
    <row r="827" spans="1:25" ht="14.25" customHeight="1" x14ac:dyDescent="0.3">
      <c r="A827" s="2"/>
      <c r="B827" s="1"/>
      <c r="C827" s="1"/>
      <c r="D827" s="1"/>
      <c r="E827" s="1"/>
      <c r="F827" s="2"/>
      <c r="G827" s="2"/>
      <c r="H827" s="2"/>
      <c r="I827" s="2"/>
      <c r="J827" s="2"/>
      <c r="K827" s="2"/>
      <c r="L827" s="2"/>
      <c r="M827" s="2"/>
      <c r="N827" s="2"/>
      <c r="O827" s="2"/>
      <c r="P827" s="2"/>
      <c r="Q827" s="2"/>
      <c r="R827" s="2"/>
      <c r="S827" s="2"/>
      <c r="T827" s="2"/>
      <c r="U827" s="2"/>
      <c r="V827" s="2"/>
      <c r="W827" s="2"/>
      <c r="X827" s="2"/>
      <c r="Y827" s="2"/>
    </row>
    <row r="828" spans="1:25" ht="14.25" customHeight="1" x14ac:dyDescent="0.3">
      <c r="A828" s="2"/>
      <c r="B828" s="1"/>
      <c r="C828" s="1"/>
      <c r="D828" s="1"/>
      <c r="E828" s="1"/>
      <c r="F828" s="2"/>
      <c r="G828" s="2"/>
      <c r="H828" s="2"/>
      <c r="I828" s="2"/>
      <c r="J828" s="2"/>
      <c r="K828" s="2"/>
      <c r="L828" s="2"/>
      <c r="M828" s="2"/>
      <c r="N828" s="2"/>
      <c r="O828" s="2"/>
      <c r="P828" s="2"/>
      <c r="Q828" s="2"/>
      <c r="R828" s="2"/>
      <c r="S828" s="2"/>
      <c r="T828" s="2"/>
      <c r="U828" s="2"/>
      <c r="V828" s="2"/>
      <c r="W828" s="2"/>
      <c r="X828" s="2"/>
      <c r="Y828" s="2"/>
    </row>
    <row r="829" spans="1:25" ht="14.25" customHeight="1" x14ac:dyDescent="0.3">
      <c r="A829" s="2"/>
      <c r="B829" s="1"/>
      <c r="C829" s="1"/>
      <c r="D829" s="1"/>
      <c r="E829" s="1"/>
      <c r="F829" s="2"/>
      <c r="G829" s="2"/>
      <c r="H829" s="2"/>
      <c r="I829" s="2"/>
      <c r="J829" s="2"/>
      <c r="K829" s="2"/>
      <c r="L829" s="2"/>
      <c r="M829" s="2"/>
      <c r="N829" s="2"/>
      <c r="O829" s="2"/>
      <c r="P829" s="2"/>
      <c r="Q829" s="2"/>
      <c r="R829" s="2"/>
      <c r="S829" s="2"/>
      <c r="T829" s="2"/>
      <c r="U829" s="2"/>
      <c r="V829" s="2"/>
      <c r="W829" s="2"/>
      <c r="X829" s="2"/>
      <c r="Y829" s="2"/>
    </row>
    <row r="830" spans="1:25" ht="14.25" customHeight="1" x14ac:dyDescent="0.3">
      <c r="A830" s="2"/>
      <c r="B830" s="1"/>
      <c r="C830" s="1"/>
      <c r="D830" s="1"/>
      <c r="E830" s="1"/>
      <c r="F830" s="2"/>
      <c r="G830" s="2"/>
      <c r="H830" s="2"/>
      <c r="I830" s="2"/>
      <c r="J830" s="2"/>
      <c r="K830" s="2"/>
      <c r="L830" s="2"/>
      <c r="M830" s="2"/>
      <c r="N830" s="2"/>
      <c r="O830" s="2"/>
      <c r="P830" s="2"/>
      <c r="Q830" s="2"/>
      <c r="R830" s="2"/>
      <c r="S830" s="2"/>
      <c r="T830" s="2"/>
      <c r="U830" s="2"/>
      <c r="V830" s="2"/>
      <c r="W830" s="2"/>
      <c r="X830" s="2"/>
      <c r="Y830" s="2"/>
    </row>
    <row r="831" spans="1:25" ht="14.25" customHeight="1" x14ac:dyDescent="0.3">
      <c r="A831" s="2"/>
      <c r="B831" s="1"/>
      <c r="C831" s="1"/>
      <c r="D831" s="1"/>
      <c r="E831" s="1"/>
      <c r="F831" s="2"/>
      <c r="G831" s="2"/>
      <c r="H831" s="2"/>
      <c r="I831" s="2"/>
      <c r="J831" s="2"/>
      <c r="K831" s="2"/>
      <c r="L831" s="2"/>
      <c r="M831" s="2"/>
      <c r="N831" s="2"/>
      <c r="O831" s="2"/>
      <c r="P831" s="2"/>
      <c r="Q831" s="2"/>
      <c r="R831" s="2"/>
      <c r="S831" s="2"/>
      <c r="T831" s="2"/>
      <c r="U831" s="2"/>
      <c r="V831" s="2"/>
      <c r="W831" s="2"/>
      <c r="X831" s="2"/>
      <c r="Y831" s="2"/>
    </row>
    <row r="832" spans="1:25" ht="14.25" customHeight="1" x14ac:dyDescent="0.3">
      <c r="A832" s="2"/>
      <c r="B832" s="1"/>
      <c r="C832" s="1"/>
      <c r="D832" s="1"/>
      <c r="E832" s="1"/>
      <c r="F832" s="2"/>
      <c r="G832" s="2"/>
      <c r="H832" s="2"/>
      <c r="I832" s="2"/>
      <c r="J832" s="2"/>
      <c r="K832" s="2"/>
      <c r="L832" s="2"/>
      <c r="M832" s="2"/>
      <c r="N832" s="2"/>
      <c r="O832" s="2"/>
      <c r="P832" s="2"/>
      <c r="Q832" s="2"/>
      <c r="R832" s="2"/>
      <c r="S832" s="2"/>
      <c r="T832" s="2"/>
      <c r="U832" s="2"/>
      <c r="V832" s="2"/>
      <c r="W832" s="2"/>
      <c r="X832" s="2"/>
      <c r="Y832" s="2"/>
    </row>
    <row r="833" spans="1:25" ht="14.25" customHeight="1" x14ac:dyDescent="0.3">
      <c r="A833" s="2"/>
      <c r="B833" s="1"/>
      <c r="C833" s="1"/>
      <c r="D833" s="1"/>
      <c r="E833" s="1"/>
      <c r="F833" s="2"/>
      <c r="G833" s="2"/>
      <c r="H833" s="2"/>
      <c r="I833" s="2"/>
      <c r="J833" s="2"/>
      <c r="K833" s="2"/>
      <c r="L833" s="2"/>
      <c r="M833" s="2"/>
      <c r="N833" s="2"/>
      <c r="O833" s="2"/>
      <c r="P833" s="2"/>
      <c r="Q833" s="2"/>
      <c r="R833" s="2"/>
      <c r="S833" s="2"/>
      <c r="T833" s="2"/>
      <c r="U833" s="2"/>
      <c r="V833" s="2"/>
      <c r="W833" s="2"/>
      <c r="X833" s="2"/>
      <c r="Y833" s="2"/>
    </row>
    <row r="834" spans="1:25" ht="14.25" customHeight="1" x14ac:dyDescent="0.3">
      <c r="A834" s="2"/>
      <c r="B834" s="1"/>
      <c r="C834" s="1"/>
      <c r="D834" s="1"/>
      <c r="E834" s="1"/>
      <c r="F834" s="2"/>
      <c r="G834" s="2"/>
      <c r="H834" s="2"/>
      <c r="I834" s="2"/>
      <c r="J834" s="2"/>
      <c r="K834" s="2"/>
      <c r="L834" s="2"/>
      <c r="M834" s="2"/>
      <c r="N834" s="2"/>
      <c r="O834" s="2"/>
      <c r="P834" s="2"/>
      <c r="Q834" s="2"/>
      <c r="R834" s="2"/>
      <c r="S834" s="2"/>
      <c r="T834" s="2"/>
      <c r="U834" s="2"/>
      <c r="V834" s="2"/>
      <c r="W834" s="2"/>
      <c r="X834" s="2"/>
      <c r="Y834" s="2"/>
    </row>
    <row r="835" spans="1:25" ht="14.25" customHeight="1" x14ac:dyDescent="0.3">
      <c r="A835" s="2"/>
      <c r="B835" s="1"/>
      <c r="C835" s="1"/>
      <c r="D835" s="1"/>
      <c r="E835" s="1"/>
      <c r="F835" s="2"/>
      <c r="G835" s="2"/>
      <c r="H835" s="2"/>
      <c r="I835" s="2"/>
      <c r="J835" s="2"/>
      <c r="K835" s="2"/>
      <c r="L835" s="2"/>
      <c r="M835" s="2"/>
      <c r="N835" s="2"/>
      <c r="O835" s="2"/>
      <c r="P835" s="2"/>
      <c r="Q835" s="2"/>
      <c r="R835" s="2"/>
      <c r="S835" s="2"/>
      <c r="T835" s="2"/>
      <c r="U835" s="2"/>
      <c r="V835" s="2"/>
      <c r="W835" s="2"/>
      <c r="X835" s="2"/>
      <c r="Y835" s="2"/>
    </row>
    <row r="836" spans="1:25" ht="14.25" customHeight="1" x14ac:dyDescent="0.3">
      <c r="A836" s="2"/>
      <c r="B836" s="1"/>
      <c r="C836" s="1"/>
      <c r="D836" s="1"/>
      <c r="E836" s="1"/>
      <c r="F836" s="2"/>
      <c r="G836" s="2"/>
      <c r="H836" s="2"/>
      <c r="I836" s="2"/>
      <c r="J836" s="2"/>
      <c r="K836" s="2"/>
      <c r="L836" s="2"/>
      <c r="M836" s="2"/>
      <c r="N836" s="2"/>
      <c r="O836" s="2"/>
      <c r="P836" s="2"/>
      <c r="Q836" s="2"/>
      <c r="R836" s="2"/>
      <c r="S836" s="2"/>
      <c r="T836" s="2"/>
      <c r="U836" s="2"/>
      <c r="V836" s="2"/>
      <c r="W836" s="2"/>
      <c r="X836" s="2"/>
      <c r="Y836" s="2"/>
    </row>
    <row r="837" spans="1:25" ht="14.25" customHeight="1" x14ac:dyDescent="0.3">
      <c r="A837" s="2"/>
      <c r="B837" s="1"/>
      <c r="C837" s="1"/>
      <c r="D837" s="1"/>
      <c r="E837" s="1"/>
      <c r="F837" s="2"/>
      <c r="G837" s="2"/>
      <c r="H837" s="2"/>
      <c r="I837" s="2"/>
      <c r="J837" s="2"/>
      <c r="K837" s="2"/>
      <c r="L837" s="2"/>
      <c r="M837" s="2"/>
      <c r="N837" s="2"/>
      <c r="O837" s="2"/>
      <c r="P837" s="2"/>
      <c r="Q837" s="2"/>
      <c r="R837" s="2"/>
      <c r="S837" s="2"/>
      <c r="T837" s="2"/>
      <c r="U837" s="2"/>
      <c r="V837" s="2"/>
      <c r="W837" s="2"/>
      <c r="X837" s="2"/>
      <c r="Y837" s="2"/>
    </row>
    <row r="838" spans="1:25" ht="14.25" customHeight="1" x14ac:dyDescent="0.3">
      <c r="A838" s="2"/>
      <c r="B838" s="1"/>
      <c r="C838" s="1"/>
      <c r="D838" s="1"/>
      <c r="E838" s="1"/>
      <c r="F838" s="2"/>
      <c r="G838" s="2"/>
      <c r="H838" s="2"/>
      <c r="I838" s="2"/>
      <c r="J838" s="2"/>
      <c r="K838" s="2"/>
      <c r="L838" s="2"/>
      <c r="M838" s="2"/>
      <c r="N838" s="2"/>
      <c r="O838" s="2"/>
      <c r="P838" s="2"/>
      <c r="Q838" s="2"/>
      <c r="R838" s="2"/>
      <c r="S838" s="2"/>
      <c r="T838" s="2"/>
      <c r="U838" s="2"/>
      <c r="V838" s="2"/>
      <c r="W838" s="2"/>
      <c r="X838" s="2"/>
      <c r="Y838" s="2"/>
    </row>
    <row r="839" spans="1:25" ht="14.25" customHeight="1" x14ac:dyDescent="0.3">
      <c r="A839" s="2"/>
      <c r="B839" s="1"/>
      <c r="C839" s="1"/>
      <c r="D839" s="1"/>
      <c r="E839" s="1"/>
      <c r="F839" s="2"/>
      <c r="G839" s="2"/>
      <c r="H839" s="2"/>
      <c r="I839" s="2"/>
      <c r="J839" s="2"/>
      <c r="K839" s="2"/>
      <c r="L839" s="2"/>
      <c r="M839" s="2"/>
      <c r="N839" s="2"/>
      <c r="O839" s="2"/>
      <c r="P839" s="2"/>
      <c r="Q839" s="2"/>
      <c r="R839" s="2"/>
      <c r="S839" s="2"/>
      <c r="T839" s="2"/>
      <c r="U839" s="2"/>
      <c r="V839" s="2"/>
      <c r="W839" s="2"/>
      <c r="X839" s="2"/>
      <c r="Y839" s="2"/>
    </row>
    <row r="840" spans="1:25" ht="14.25" customHeight="1" x14ac:dyDescent="0.3">
      <c r="A840" s="2"/>
      <c r="B840" s="1"/>
      <c r="C840" s="1"/>
      <c r="D840" s="1"/>
      <c r="E840" s="1"/>
      <c r="F840" s="2"/>
      <c r="G840" s="2"/>
      <c r="H840" s="2"/>
      <c r="I840" s="2"/>
      <c r="J840" s="2"/>
      <c r="K840" s="2"/>
      <c r="L840" s="2"/>
      <c r="M840" s="2"/>
      <c r="N840" s="2"/>
      <c r="O840" s="2"/>
      <c r="P840" s="2"/>
      <c r="Q840" s="2"/>
      <c r="R840" s="2"/>
      <c r="S840" s="2"/>
      <c r="T840" s="2"/>
      <c r="U840" s="2"/>
      <c r="V840" s="2"/>
      <c r="W840" s="2"/>
      <c r="X840" s="2"/>
      <c r="Y840" s="2"/>
    </row>
    <row r="841" spans="1:25" ht="14.25" customHeight="1" x14ac:dyDescent="0.3">
      <c r="A841" s="2"/>
      <c r="B841" s="1"/>
      <c r="C841" s="1"/>
      <c r="D841" s="1"/>
      <c r="E841" s="1"/>
      <c r="F841" s="2"/>
      <c r="G841" s="2"/>
      <c r="H841" s="2"/>
      <c r="I841" s="2"/>
      <c r="J841" s="2"/>
      <c r="K841" s="2"/>
      <c r="L841" s="2"/>
      <c r="M841" s="2"/>
      <c r="N841" s="2"/>
      <c r="O841" s="2"/>
      <c r="P841" s="2"/>
      <c r="Q841" s="2"/>
      <c r="R841" s="2"/>
      <c r="S841" s="2"/>
      <c r="T841" s="2"/>
      <c r="U841" s="2"/>
      <c r="V841" s="2"/>
      <c r="W841" s="2"/>
      <c r="X841" s="2"/>
      <c r="Y841" s="2"/>
    </row>
    <row r="842" spans="1:25" ht="14.25" customHeight="1" x14ac:dyDescent="0.3">
      <c r="A842" s="2"/>
      <c r="B842" s="1"/>
      <c r="C842" s="1"/>
      <c r="D842" s="1"/>
      <c r="E842" s="1"/>
      <c r="F842" s="2"/>
      <c r="G842" s="2"/>
      <c r="H842" s="2"/>
      <c r="I842" s="2"/>
      <c r="J842" s="2"/>
      <c r="K842" s="2"/>
      <c r="L842" s="2"/>
      <c r="M842" s="2"/>
      <c r="N842" s="2"/>
      <c r="O842" s="2"/>
      <c r="P842" s="2"/>
      <c r="Q842" s="2"/>
      <c r="R842" s="2"/>
      <c r="S842" s="2"/>
      <c r="T842" s="2"/>
      <c r="U842" s="2"/>
      <c r="V842" s="2"/>
      <c r="W842" s="2"/>
      <c r="X842" s="2"/>
      <c r="Y842" s="2"/>
    </row>
    <row r="843" spans="1:25" ht="14.25" customHeight="1" x14ac:dyDescent="0.3">
      <c r="A843" s="2"/>
      <c r="B843" s="1"/>
      <c r="C843" s="1"/>
      <c r="D843" s="1"/>
      <c r="E843" s="1"/>
      <c r="F843" s="2"/>
      <c r="G843" s="2"/>
      <c r="H843" s="2"/>
      <c r="I843" s="2"/>
      <c r="J843" s="2"/>
      <c r="K843" s="2"/>
      <c r="L843" s="2"/>
      <c r="M843" s="2"/>
      <c r="N843" s="2"/>
      <c r="O843" s="2"/>
      <c r="P843" s="2"/>
      <c r="Q843" s="2"/>
      <c r="R843" s="2"/>
      <c r="S843" s="2"/>
      <c r="T843" s="2"/>
      <c r="U843" s="2"/>
      <c r="V843" s="2"/>
      <c r="W843" s="2"/>
      <c r="X843" s="2"/>
      <c r="Y843" s="2"/>
    </row>
    <row r="844" spans="1:25" ht="14.25" customHeight="1" x14ac:dyDescent="0.3">
      <c r="A844" s="2"/>
      <c r="B844" s="1"/>
      <c r="C844" s="1"/>
      <c r="D844" s="1"/>
      <c r="E844" s="1"/>
      <c r="F844" s="2"/>
      <c r="G844" s="2"/>
      <c r="H844" s="2"/>
      <c r="I844" s="2"/>
      <c r="J844" s="2"/>
      <c r="K844" s="2"/>
      <c r="L844" s="2"/>
      <c r="M844" s="2"/>
      <c r="N844" s="2"/>
      <c r="O844" s="2"/>
      <c r="P844" s="2"/>
      <c r="Q844" s="2"/>
      <c r="R844" s="2"/>
      <c r="S844" s="2"/>
      <c r="T844" s="2"/>
      <c r="U844" s="2"/>
      <c r="V844" s="2"/>
      <c r="W844" s="2"/>
      <c r="X844" s="2"/>
      <c r="Y844" s="2"/>
    </row>
    <row r="845" spans="1:25" ht="14.25" customHeight="1" x14ac:dyDescent="0.3">
      <c r="A845" s="2"/>
      <c r="B845" s="1"/>
      <c r="C845" s="1"/>
      <c r="D845" s="1"/>
      <c r="E845" s="1"/>
      <c r="F845" s="2"/>
      <c r="G845" s="2"/>
      <c r="H845" s="2"/>
      <c r="I845" s="2"/>
      <c r="J845" s="2"/>
      <c r="K845" s="2"/>
      <c r="L845" s="2"/>
      <c r="M845" s="2"/>
      <c r="N845" s="2"/>
      <c r="O845" s="2"/>
      <c r="P845" s="2"/>
      <c r="Q845" s="2"/>
      <c r="R845" s="2"/>
      <c r="S845" s="2"/>
      <c r="T845" s="2"/>
      <c r="U845" s="2"/>
      <c r="V845" s="2"/>
      <c r="W845" s="2"/>
      <c r="X845" s="2"/>
      <c r="Y845" s="2"/>
    </row>
    <row r="846" spans="1:25" ht="14.25" customHeight="1" x14ac:dyDescent="0.3">
      <c r="A846" s="2"/>
      <c r="B846" s="1"/>
      <c r="C846" s="1"/>
      <c r="D846" s="1"/>
      <c r="E846" s="1"/>
      <c r="F846" s="2"/>
      <c r="G846" s="2"/>
      <c r="H846" s="2"/>
      <c r="I846" s="2"/>
      <c r="J846" s="2"/>
      <c r="K846" s="2"/>
      <c r="L846" s="2"/>
      <c r="M846" s="2"/>
      <c r="N846" s="2"/>
      <c r="O846" s="2"/>
      <c r="P846" s="2"/>
      <c r="Q846" s="2"/>
      <c r="R846" s="2"/>
      <c r="S846" s="2"/>
      <c r="T846" s="2"/>
      <c r="U846" s="2"/>
      <c r="V846" s="2"/>
      <c r="W846" s="2"/>
      <c r="X846" s="2"/>
      <c r="Y846" s="2"/>
    </row>
    <row r="847" spans="1:25" ht="14.25" customHeight="1" x14ac:dyDescent="0.3">
      <c r="A847" s="2"/>
      <c r="B847" s="1"/>
      <c r="C847" s="1"/>
      <c r="D847" s="1"/>
      <c r="E847" s="1"/>
      <c r="F847" s="2"/>
      <c r="G847" s="2"/>
      <c r="H847" s="2"/>
      <c r="I847" s="2"/>
      <c r="J847" s="2"/>
      <c r="K847" s="2"/>
      <c r="L847" s="2"/>
      <c r="M847" s="2"/>
      <c r="N847" s="2"/>
      <c r="O847" s="2"/>
      <c r="P847" s="2"/>
      <c r="Q847" s="2"/>
      <c r="R847" s="2"/>
      <c r="S847" s="2"/>
      <c r="T847" s="2"/>
      <c r="U847" s="2"/>
      <c r="V847" s="2"/>
      <c r="W847" s="2"/>
      <c r="X847" s="2"/>
      <c r="Y847" s="2"/>
    </row>
    <row r="848" spans="1:25" ht="14.25" customHeight="1" x14ac:dyDescent="0.3">
      <c r="A848" s="2"/>
      <c r="B848" s="1"/>
      <c r="C848" s="1"/>
      <c r="D848" s="1"/>
      <c r="E848" s="1"/>
      <c r="F848" s="2"/>
      <c r="G848" s="2"/>
      <c r="H848" s="2"/>
      <c r="I848" s="2"/>
      <c r="J848" s="2"/>
      <c r="K848" s="2"/>
      <c r="L848" s="2"/>
      <c r="M848" s="2"/>
      <c r="N848" s="2"/>
      <c r="O848" s="2"/>
      <c r="P848" s="2"/>
      <c r="Q848" s="2"/>
      <c r="R848" s="2"/>
      <c r="S848" s="2"/>
      <c r="T848" s="2"/>
      <c r="U848" s="2"/>
      <c r="V848" s="2"/>
      <c r="W848" s="2"/>
      <c r="X848" s="2"/>
      <c r="Y848" s="2"/>
    </row>
    <row r="849" spans="1:25" ht="14.25" customHeight="1" x14ac:dyDescent="0.3">
      <c r="A849" s="2"/>
      <c r="B849" s="1"/>
      <c r="C849" s="1"/>
      <c r="D849" s="1"/>
      <c r="E849" s="1"/>
      <c r="F849" s="2"/>
      <c r="G849" s="2"/>
      <c r="H849" s="2"/>
      <c r="I849" s="2"/>
      <c r="J849" s="2"/>
      <c r="K849" s="2"/>
      <c r="L849" s="2"/>
      <c r="M849" s="2"/>
      <c r="N849" s="2"/>
      <c r="O849" s="2"/>
      <c r="P849" s="2"/>
      <c r="Q849" s="2"/>
      <c r="R849" s="2"/>
      <c r="S849" s="2"/>
      <c r="T849" s="2"/>
      <c r="U849" s="2"/>
      <c r="V849" s="2"/>
      <c r="W849" s="2"/>
      <c r="X849" s="2"/>
      <c r="Y849" s="2"/>
    </row>
    <row r="850" spans="1:25" ht="14.25" customHeight="1" x14ac:dyDescent="0.3">
      <c r="A850" s="2"/>
      <c r="B850" s="1"/>
      <c r="C850" s="1"/>
      <c r="D850" s="1"/>
      <c r="E850" s="1"/>
      <c r="F850" s="2"/>
      <c r="G850" s="2"/>
      <c r="H850" s="2"/>
      <c r="I850" s="2"/>
      <c r="J850" s="2"/>
      <c r="K850" s="2"/>
      <c r="L850" s="2"/>
      <c r="M850" s="2"/>
      <c r="N850" s="2"/>
      <c r="O850" s="2"/>
      <c r="P850" s="2"/>
      <c r="Q850" s="2"/>
      <c r="R850" s="2"/>
      <c r="S850" s="2"/>
      <c r="T850" s="2"/>
      <c r="U850" s="2"/>
      <c r="V850" s="2"/>
      <c r="W850" s="2"/>
      <c r="X850" s="2"/>
      <c r="Y850" s="2"/>
    </row>
    <row r="851" spans="1:25" ht="14.25" customHeight="1" x14ac:dyDescent="0.3">
      <c r="A851" s="2"/>
      <c r="B851" s="1"/>
      <c r="C851" s="1"/>
      <c r="D851" s="1"/>
      <c r="E851" s="1"/>
      <c r="F851" s="2"/>
      <c r="G851" s="2"/>
      <c r="H851" s="2"/>
      <c r="I851" s="2"/>
      <c r="J851" s="2"/>
      <c r="K851" s="2"/>
      <c r="L851" s="2"/>
      <c r="M851" s="2"/>
      <c r="N851" s="2"/>
      <c r="O851" s="2"/>
      <c r="P851" s="2"/>
      <c r="Q851" s="2"/>
      <c r="R851" s="2"/>
      <c r="S851" s="2"/>
      <c r="T851" s="2"/>
      <c r="U851" s="2"/>
      <c r="V851" s="2"/>
      <c r="W851" s="2"/>
      <c r="X851" s="2"/>
      <c r="Y851" s="2"/>
    </row>
    <row r="852" spans="1:25" ht="14.25" customHeight="1" x14ac:dyDescent="0.3">
      <c r="A852" s="2"/>
      <c r="B852" s="1"/>
      <c r="C852" s="1"/>
      <c r="D852" s="1"/>
      <c r="E852" s="1"/>
      <c r="F852" s="2"/>
      <c r="G852" s="2"/>
      <c r="H852" s="2"/>
      <c r="I852" s="2"/>
      <c r="J852" s="2"/>
      <c r="K852" s="2"/>
      <c r="L852" s="2"/>
      <c r="M852" s="2"/>
      <c r="N852" s="2"/>
      <c r="O852" s="2"/>
      <c r="P852" s="2"/>
      <c r="Q852" s="2"/>
      <c r="R852" s="2"/>
      <c r="S852" s="2"/>
      <c r="T852" s="2"/>
      <c r="U852" s="2"/>
      <c r="V852" s="2"/>
      <c r="W852" s="2"/>
      <c r="X852" s="2"/>
      <c r="Y852" s="2"/>
    </row>
    <row r="853" spans="1:25" ht="14.25" customHeight="1" x14ac:dyDescent="0.3">
      <c r="A853" s="2"/>
      <c r="B853" s="1"/>
      <c r="C853" s="1"/>
      <c r="D853" s="1"/>
      <c r="E853" s="1"/>
      <c r="F853" s="2"/>
      <c r="G853" s="2"/>
      <c r="H853" s="2"/>
      <c r="I853" s="2"/>
      <c r="J853" s="2"/>
      <c r="K853" s="2"/>
      <c r="L853" s="2"/>
      <c r="M853" s="2"/>
      <c r="N853" s="2"/>
      <c r="O853" s="2"/>
      <c r="P853" s="2"/>
      <c r="Q853" s="2"/>
      <c r="R853" s="2"/>
      <c r="S853" s="2"/>
      <c r="T853" s="2"/>
      <c r="U853" s="2"/>
      <c r="V853" s="2"/>
      <c r="W853" s="2"/>
      <c r="X853" s="2"/>
      <c r="Y853" s="2"/>
    </row>
    <row r="854" spans="1:25" ht="14.25" customHeight="1" x14ac:dyDescent="0.3">
      <c r="A854" s="2"/>
      <c r="B854" s="1"/>
      <c r="C854" s="1"/>
      <c r="D854" s="1"/>
      <c r="E854" s="1"/>
      <c r="F854" s="2"/>
      <c r="G854" s="2"/>
      <c r="H854" s="2"/>
      <c r="I854" s="2"/>
      <c r="J854" s="2"/>
      <c r="K854" s="2"/>
      <c r="L854" s="2"/>
      <c r="M854" s="2"/>
      <c r="N854" s="2"/>
      <c r="O854" s="2"/>
      <c r="P854" s="2"/>
      <c r="Q854" s="2"/>
      <c r="R854" s="2"/>
      <c r="S854" s="2"/>
      <c r="T854" s="2"/>
      <c r="U854" s="2"/>
      <c r="V854" s="2"/>
      <c r="W854" s="2"/>
      <c r="X854" s="2"/>
      <c r="Y854" s="2"/>
    </row>
    <row r="855" spans="1:25" ht="14.25" customHeight="1" x14ac:dyDescent="0.3">
      <c r="A855" s="2"/>
      <c r="B855" s="1"/>
      <c r="C855" s="1"/>
      <c r="D855" s="1"/>
      <c r="E855" s="1"/>
      <c r="F855" s="2"/>
      <c r="G855" s="2"/>
      <c r="H855" s="2"/>
      <c r="I855" s="2"/>
      <c r="J855" s="2"/>
      <c r="K855" s="2"/>
      <c r="L855" s="2"/>
      <c r="M855" s="2"/>
      <c r="N855" s="2"/>
      <c r="O855" s="2"/>
      <c r="P855" s="2"/>
      <c r="Q855" s="2"/>
      <c r="R855" s="2"/>
      <c r="S855" s="2"/>
      <c r="T855" s="2"/>
      <c r="U855" s="2"/>
      <c r="V855" s="2"/>
      <c r="W855" s="2"/>
      <c r="X855" s="2"/>
      <c r="Y855" s="2"/>
    </row>
    <row r="856" spans="1:25" ht="14.25" customHeight="1" x14ac:dyDescent="0.3">
      <c r="A856" s="2"/>
      <c r="B856" s="1"/>
      <c r="C856" s="1"/>
      <c r="D856" s="1"/>
      <c r="E856" s="1"/>
      <c r="F856" s="2"/>
      <c r="G856" s="2"/>
      <c r="H856" s="2"/>
      <c r="I856" s="2"/>
      <c r="J856" s="2"/>
      <c r="K856" s="2"/>
      <c r="L856" s="2"/>
      <c r="M856" s="2"/>
      <c r="N856" s="2"/>
      <c r="O856" s="2"/>
      <c r="P856" s="2"/>
      <c r="Q856" s="2"/>
      <c r="R856" s="2"/>
      <c r="S856" s="2"/>
      <c r="T856" s="2"/>
      <c r="U856" s="2"/>
      <c r="V856" s="2"/>
      <c r="W856" s="2"/>
      <c r="X856" s="2"/>
      <c r="Y856" s="2"/>
    </row>
    <row r="857" spans="1:25" ht="14.25" customHeight="1" x14ac:dyDescent="0.3">
      <c r="A857" s="2"/>
      <c r="B857" s="1"/>
      <c r="C857" s="1"/>
      <c r="D857" s="1"/>
      <c r="E857" s="1"/>
      <c r="F857" s="2"/>
      <c r="G857" s="2"/>
      <c r="H857" s="2"/>
      <c r="I857" s="2"/>
      <c r="J857" s="2"/>
      <c r="K857" s="2"/>
      <c r="L857" s="2"/>
      <c r="M857" s="2"/>
      <c r="N857" s="2"/>
      <c r="O857" s="2"/>
      <c r="P857" s="2"/>
      <c r="Q857" s="2"/>
      <c r="R857" s="2"/>
      <c r="S857" s="2"/>
      <c r="T857" s="2"/>
      <c r="U857" s="2"/>
      <c r="V857" s="2"/>
      <c r="W857" s="2"/>
      <c r="X857" s="2"/>
      <c r="Y857" s="2"/>
    </row>
    <row r="858" spans="1:25" ht="14.25" customHeight="1" x14ac:dyDescent="0.3">
      <c r="A858" s="2"/>
      <c r="B858" s="1"/>
      <c r="C858" s="1"/>
      <c r="D858" s="1"/>
      <c r="E858" s="1"/>
      <c r="F858" s="2"/>
      <c r="G858" s="2"/>
      <c r="H858" s="2"/>
      <c r="I858" s="2"/>
      <c r="J858" s="2"/>
      <c r="K858" s="2"/>
      <c r="L858" s="2"/>
      <c r="M858" s="2"/>
      <c r="N858" s="2"/>
      <c r="O858" s="2"/>
      <c r="P858" s="2"/>
      <c r="Q858" s="2"/>
      <c r="R858" s="2"/>
      <c r="S858" s="2"/>
      <c r="T858" s="2"/>
      <c r="U858" s="2"/>
      <c r="V858" s="2"/>
      <c r="W858" s="2"/>
      <c r="X858" s="2"/>
      <c r="Y858" s="2"/>
    </row>
    <row r="859" spans="1:25" ht="14.25" customHeight="1" x14ac:dyDescent="0.3">
      <c r="A859" s="2"/>
      <c r="B859" s="1"/>
      <c r="C859" s="1"/>
      <c r="D859" s="1"/>
      <c r="E859" s="1"/>
      <c r="F859" s="2"/>
      <c r="G859" s="2"/>
      <c r="H859" s="2"/>
      <c r="I859" s="2"/>
      <c r="J859" s="2"/>
      <c r="K859" s="2"/>
      <c r="L859" s="2"/>
      <c r="M859" s="2"/>
      <c r="N859" s="2"/>
      <c r="O859" s="2"/>
      <c r="P859" s="2"/>
      <c r="Q859" s="2"/>
      <c r="R859" s="2"/>
      <c r="S859" s="2"/>
      <c r="T859" s="2"/>
      <c r="U859" s="2"/>
      <c r="V859" s="2"/>
      <c r="W859" s="2"/>
      <c r="X859" s="2"/>
      <c r="Y859" s="2"/>
    </row>
    <row r="860" spans="1:25" ht="14.25" customHeight="1" x14ac:dyDescent="0.3">
      <c r="A860" s="2"/>
      <c r="B860" s="1"/>
      <c r="C860" s="1"/>
      <c r="D860" s="1"/>
      <c r="E860" s="1"/>
      <c r="F860" s="2"/>
      <c r="G860" s="2"/>
      <c r="H860" s="2"/>
      <c r="I860" s="2"/>
      <c r="J860" s="2"/>
      <c r="K860" s="2"/>
      <c r="L860" s="2"/>
      <c r="M860" s="2"/>
      <c r="N860" s="2"/>
      <c r="O860" s="2"/>
      <c r="P860" s="2"/>
      <c r="Q860" s="2"/>
      <c r="R860" s="2"/>
      <c r="S860" s="2"/>
      <c r="T860" s="2"/>
      <c r="U860" s="2"/>
      <c r="V860" s="2"/>
      <c r="W860" s="2"/>
      <c r="X860" s="2"/>
      <c r="Y860" s="2"/>
    </row>
    <row r="861" spans="1:25" ht="14.25" customHeight="1" x14ac:dyDescent="0.3">
      <c r="A861" s="2"/>
      <c r="B861" s="1"/>
      <c r="C861" s="1"/>
      <c r="D861" s="1"/>
      <c r="E861" s="1"/>
      <c r="F861" s="2"/>
      <c r="G861" s="2"/>
      <c r="H861" s="2"/>
      <c r="I861" s="2"/>
      <c r="J861" s="2"/>
      <c r="K861" s="2"/>
      <c r="L861" s="2"/>
      <c r="M861" s="2"/>
      <c r="N861" s="2"/>
      <c r="O861" s="2"/>
      <c r="P861" s="2"/>
      <c r="Q861" s="2"/>
      <c r="R861" s="2"/>
      <c r="S861" s="2"/>
      <c r="T861" s="2"/>
      <c r="U861" s="2"/>
      <c r="V861" s="2"/>
      <c r="W861" s="2"/>
      <c r="X861" s="2"/>
      <c r="Y861" s="2"/>
    </row>
    <row r="862" spans="1:25" ht="14.25" customHeight="1" x14ac:dyDescent="0.3">
      <c r="A862" s="2"/>
      <c r="B862" s="1"/>
      <c r="C862" s="1"/>
      <c r="D862" s="1"/>
      <c r="E862" s="1"/>
      <c r="F862" s="2"/>
      <c r="G862" s="2"/>
      <c r="H862" s="2"/>
      <c r="I862" s="2"/>
      <c r="J862" s="2"/>
      <c r="K862" s="2"/>
      <c r="L862" s="2"/>
      <c r="M862" s="2"/>
      <c r="N862" s="2"/>
      <c r="O862" s="2"/>
      <c r="P862" s="2"/>
      <c r="Q862" s="2"/>
      <c r="R862" s="2"/>
      <c r="S862" s="2"/>
      <c r="T862" s="2"/>
      <c r="U862" s="2"/>
      <c r="V862" s="2"/>
      <c r="W862" s="2"/>
      <c r="X862" s="2"/>
      <c r="Y862" s="2"/>
    </row>
    <row r="863" spans="1:25" ht="14.25" customHeight="1" x14ac:dyDescent="0.3">
      <c r="A863" s="2"/>
      <c r="B863" s="1"/>
      <c r="C863" s="1"/>
      <c r="D863" s="1"/>
      <c r="E863" s="1"/>
      <c r="F863" s="2"/>
      <c r="G863" s="2"/>
      <c r="H863" s="2"/>
      <c r="I863" s="2"/>
      <c r="J863" s="2"/>
      <c r="K863" s="2"/>
      <c r="L863" s="2"/>
      <c r="M863" s="2"/>
      <c r="N863" s="2"/>
      <c r="O863" s="2"/>
      <c r="P863" s="2"/>
      <c r="Q863" s="2"/>
      <c r="R863" s="2"/>
      <c r="S863" s="2"/>
      <c r="T863" s="2"/>
      <c r="U863" s="2"/>
      <c r="V863" s="2"/>
      <c r="W863" s="2"/>
      <c r="X863" s="2"/>
      <c r="Y863" s="2"/>
    </row>
    <row r="864" spans="1:25" ht="14.25" customHeight="1" x14ac:dyDescent="0.3">
      <c r="A864" s="2"/>
      <c r="B864" s="1"/>
      <c r="C864" s="1"/>
      <c r="D864" s="1"/>
      <c r="E864" s="1"/>
      <c r="F864" s="2"/>
      <c r="G864" s="2"/>
      <c r="H864" s="2"/>
      <c r="I864" s="2"/>
      <c r="J864" s="2"/>
      <c r="K864" s="2"/>
      <c r="L864" s="2"/>
      <c r="M864" s="2"/>
      <c r="N864" s="2"/>
      <c r="O864" s="2"/>
      <c r="P864" s="2"/>
      <c r="Q864" s="2"/>
      <c r="R864" s="2"/>
      <c r="S864" s="2"/>
      <c r="T864" s="2"/>
      <c r="U864" s="2"/>
      <c r="V864" s="2"/>
      <c r="W864" s="2"/>
      <c r="X864" s="2"/>
      <c r="Y864" s="2"/>
    </row>
    <row r="865" spans="1:25" ht="14.25" customHeight="1" x14ac:dyDescent="0.3">
      <c r="A865" s="2"/>
      <c r="B865" s="1"/>
      <c r="C865" s="1"/>
      <c r="D865" s="1"/>
      <c r="E865" s="1"/>
      <c r="F865" s="2"/>
      <c r="G865" s="2"/>
      <c r="H865" s="2"/>
      <c r="I865" s="2"/>
      <c r="J865" s="2"/>
      <c r="K865" s="2"/>
      <c r="L865" s="2"/>
      <c r="M865" s="2"/>
      <c r="N865" s="2"/>
      <c r="O865" s="2"/>
      <c r="P865" s="2"/>
      <c r="Q865" s="2"/>
      <c r="R865" s="2"/>
      <c r="S865" s="2"/>
      <c r="T865" s="2"/>
      <c r="U865" s="2"/>
      <c r="V865" s="2"/>
      <c r="W865" s="2"/>
      <c r="X865" s="2"/>
      <c r="Y865" s="2"/>
    </row>
    <row r="866" spans="1:25" ht="14.25" customHeight="1" x14ac:dyDescent="0.3">
      <c r="A866" s="2"/>
      <c r="B866" s="1"/>
      <c r="C866" s="1"/>
      <c r="D866" s="1"/>
      <c r="E866" s="1"/>
      <c r="F866" s="2"/>
      <c r="G866" s="2"/>
      <c r="H866" s="2"/>
      <c r="I866" s="2"/>
      <c r="J866" s="2"/>
      <c r="K866" s="2"/>
      <c r="L866" s="2"/>
      <c r="M866" s="2"/>
      <c r="N866" s="2"/>
      <c r="O866" s="2"/>
      <c r="P866" s="2"/>
      <c r="Q866" s="2"/>
      <c r="R866" s="2"/>
      <c r="S866" s="2"/>
      <c r="T866" s="2"/>
      <c r="U866" s="2"/>
      <c r="V866" s="2"/>
      <c r="W866" s="2"/>
      <c r="X866" s="2"/>
      <c r="Y866" s="2"/>
    </row>
    <row r="867" spans="1:25" ht="14.25" customHeight="1" x14ac:dyDescent="0.3">
      <c r="A867" s="2"/>
      <c r="B867" s="1"/>
      <c r="C867" s="1"/>
      <c r="D867" s="1"/>
      <c r="E867" s="1"/>
      <c r="F867" s="2"/>
      <c r="G867" s="2"/>
      <c r="H867" s="2"/>
      <c r="I867" s="2"/>
      <c r="J867" s="2"/>
      <c r="K867" s="2"/>
      <c r="L867" s="2"/>
      <c r="M867" s="2"/>
      <c r="N867" s="2"/>
      <c r="O867" s="2"/>
      <c r="P867" s="2"/>
      <c r="Q867" s="2"/>
      <c r="R867" s="2"/>
      <c r="S867" s="2"/>
      <c r="T867" s="2"/>
      <c r="U867" s="2"/>
      <c r="V867" s="2"/>
      <c r="W867" s="2"/>
      <c r="X867" s="2"/>
      <c r="Y867" s="2"/>
    </row>
    <row r="868" spans="1:25" ht="14.25" customHeight="1" x14ac:dyDescent="0.3">
      <c r="A868" s="2"/>
      <c r="B868" s="1"/>
      <c r="C868" s="1"/>
      <c r="D868" s="1"/>
      <c r="E868" s="1"/>
      <c r="F868" s="2"/>
      <c r="G868" s="2"/>
      <c r="H868" s="2"/>
      <c r="I868" s="2"/>
      <c r="J868" s="2"/>
      <c r="K868" s="2"/>
      <c r="L868" s="2"/>
      <c r="M868" s="2"/>
      <c r="N868" s="2"/>
      <c r="O868" s="2"/>
      <c r="P868" s="2"/>
      <c r="Q868" s="2"/>
      <c r="R868" s="2"/>
      <c r="S868" s="2"/>
      <c r="T868" s="2"/>
      <c r="U868" s="2"/>
      <c r="V868" s="2"/>
      <c r="W868" s="2"/>
      <c r="X868" s="2"/>
      <c r="Y868" s="2"/>
    </row>
    <row r="869" spans="1:25" ht="14.25" customHeight="1" x14ac:dyDescent="0.3">
      <c r="A869" s="2"/>
      <c r="B869" s="1"/>
      <c r="C869" s="1"/>
      <c r="D869" s="1"/>
      <c r="E869" s="1"/>
      <c r="F869" s="2"/>
      <c r="G869" s="2"/>
      <c r="H869" s="2"/>
      <c r="I869" s="2"/>
      <c r="J869" s="2"/>
      <c r="K869" s="2"/>
      <c r="L869" s="2"/>
      <c r="M869" s="2"/>
      <c r="N869" s="2"/>
      <c r="O869" s="2"/>
      <c r="P869" s="2"/>
      <c r="Q869" s="2"/>
      <c r="R869" s="2"/>
      <c r="S869" s="2"/>
      <c r="T869" s="2"/>
      <c r="U869" s="2"/>
      <c r="V869" s="2"/>
      <c r="W869" s="2"/>
      <c r="X869" s="2"/>
      <c r="Y869" s="2"/>
    </row>
    <row r="870" spans="1:25" ht="14.25" customHeight="1" x14ac:dyDescent="0.3">
      <c r="A870" s="2"/>
      <c r="B870" s="1"/>
      <c r="C870" s="1"/>
      <c r="D870" s="1"/>
      <c r="E870" s="1"/>
      <c r="F870" s="2"/>
      <c r="G870" s="2"/>
      <c r="H870" s="2"/>
      <c r="I870" s="2"/>
      <c r="J870" s="2"/>
      <c r="K870" s="2"/>
      <c r="L870" s="2"/>
      <c r="M870" s="2"/>
      <c r="N870" s="2"/>
      <c r="O870" s="2"/>
      <c r="P870" s="2"/>
      <c r="Q870" s="2"/>
      <c r="R870" s="2"/>
      <c r="S870" s="2"/>
      <c r="T870" s="2"/>
      <c r="U870" s="2"/>
      <c r="V870" s="2"/>
      <c r="W870" s="2"/>
      <c r="X870" s="2"/>
      <c r="Y870" s="2"/>
    </row>
    <row r="871" spans="1:25" ht="14.25" customHeight="1" x14ac:dyDescent="0.3">
      <c r="A871" s="2"/>
      <c r="B871" s="1"/>
      <c r="C871" s="1"/>
      <c r="D871" s="1"/>
      <c r="E871" s="1"/>
      <c r="F871" s="2"/>
      <c r="G871" s="2"/>
      <c r="H871" s="2"/>
      <c r="I871" s="2"/>
      <c r="J871" s="2"/>
      <c r="K871" s="2"/>
      <c r="L871" s="2"/>
      <c r="M871" s="2"/>
      <c r="N871" s="2"/>
      <c r="O871" s="2"/>
      <c r="P871" s="2"/>
      <c r="Q871" s="2"/>
      <c r="R871" s="2"/>
      <c r="S871" s="2"/>
      <c r="T871" s="2"/>
      <c r="U871" s="2"/>
      <c r="V871" s="2"/>
      <c r="W871" s="2"/>
      <c r="X871" s="2"/>
      <c r="Y871" s="2"/>
    </row>
    <row r="872" spans="1:25" ht="14.25" customHeight="1" x14ac:dyDescent="0.3">
      <c r="A872" s="2"/>
      <c r="B872" s="1"/>
      <c r="C872" s="1"/>
      <c r="D872" s="1"/>
      <c r="E872" s="1"/>
      <c r="F872" s="2"/>
      <c r="G872" s="2"/>
      <c r="H872" s="2"/>
      <c r="I872" s="2"/>
      <c r="J872" s="2"/>
      <c r="K872" s="2"/>
      <c r="L872" s="2"/>
      <c r="M872" s="2"/>
      <c r="N872" s="2"/>
      <c r="O872" s="2"/>
      <c r="P872" s="2"/>
      <c r="Q872" s="2"/>
      <c r="R872" s="2"/>
      <c r="S872" s="2"/>
      <c r="T872" s="2"/>
      <c r="U872" s="2"/>
      <c r="V872" s="2"/>
      <c r="W872" s="2"/>
      <c r="X872" s="2"/>
      <c r="Y872" s="2"/>
    </row>
    <row r="873" spans="1:25" ht="14.25" customHeight="1" x14ac:dyDescent="0.3">
      <c r="A873" s="2"/>
      <c r="B873" s="1"/>
      <c r="C873" s="1"/>
      <c r="D873" s="1"/>
      <c r="E873" s="1"/>
      <c r="F873" s="2"/>
      <c r="G873" s="2"/>
      <c r="H873" s="2"/>
      <c r="I873" s="2"/>
      <c r="J873" s="2"/>
      <c r="K873" s="2"/>
      <c r="L873" s="2"/>
      <c r="M873" s="2"/>
      <c r="N873" s="2"/>
      <c r="O873" s="2"/>
      <c r="P873" s="2"/>
      <c r="Q873" s="2"/>
      <c r="R873" s="2"/>
      <c r="S873" s="2"/>
      <c r="T873" s="2"/>
      <c r="U873" s="2"/>
      <c r="V873" s="2"/>
      <c r="W873" s="2"/>
      <c r="X873" s="2"/>
      <c r="Y873" s="2"/>
    </row>
    <row r="874" spans="1:25" ht="14.25" customHeight="1" x14ac:dyDescent="0.3">
      <c r="A874" s="2"/>
      <c r="B874" s="1"/>
      <c r="C874" s="1"/>
      <c r="D874" s="1"/>
      <c r="E874" s="1"/>
      <c r="F874" s="2"/>
      <c r="G874" s="2"/>
      <c r="H874" s="2"/>
      <c r="I874" s="2"/>
      <c r="J874" s="2"/>
      <c r="K874" s="2"/>
      <c r="L874" s="2"/>
      <c r="M874" s="2"/>
      <c r="N874" s="2"/>
      <c r="O874" s="2"/>
      <c r="P874" s="2"/>
      <c r="Q874" s="2"/>
      <c r="R874" s="2"/>
      <c r="S874" s="2"/>
      <c r="T874" s="2"/>
      <c r="U874" s="2"/>
      <c r="V874" s="2"/>
      <c r="W874" s="2"/>
      <c r="X874" s="2"/>
      <c r="Y874" s="2"/>
    </row>
    <row r="875" spans="1:25" ht="14.25" customHeight="1" x14ac:dyDescent="0.3">
      <c r="A875" s="2"/>
      <c r="B875" s="1"/>
      <c r="C875" s="1"/>
      <c r="D875" s="1"/>
      <c r="E875" s="1"/>
      <c r="F875" s="2"/>
      <c r="G875" s="2"/>
      <c r="H875" s="2"/>
      <c r="I875" s="2"/>
      <c r="J875" s="2"/>
      <c r="K875" s="2"/>
      <c r="L875" s="2"/>
      <c r="M875" s="2"/>
      <c r="N875" s="2"/>
      <c r="O875" s="2"/>
      <c r="P875" s="2"/>
      <c r="Q875" s="2"/>
      <c r="R875" s="2"/>
      <c r="S875" s="2"/>
      <c r="T875" s="2"/>
      <c r="U875" s="2"/>
      <c r="V875" s="2"/>
      <c r="W875" s="2"/>
      <c r="X875" s="2"/>
      <c r="Y875" s="2"/>
    </row>
    <row r="876" spans="1:25" ht="14.25" customHeight="1" x14ac:dyDescent="0.3">
      <c r="A876" s="2"/>
      <c r="B876" s="1"/>
      <c r="C876" s="1"/>
      <c r="D876" s="1"/>
      <c r="E876" s="1"/>
      <c r="F876" s="2"/>
      <c r="G876" s="2"/>
      <c r="H876" s="2"/>
      <c r="I876" s="2"/>
      <c r="J876" s="2"/>
      <c r="K876" s="2"/>
      <c r="L876" s="2"/>
      <c r="M876" s="2"/>
      <c r="N876" s="2"/>
      <c r="O876" s="2"/>
      <c r="P876" s="2"/>
      <c r="Q876" s="2"/>
      <c r="R876" s="2"/>
      <c r="S876" s="2"/>
      <c r="T876" s="2"/>
      <c r="U876" s="2"/>
      <c r="V876" s="2"/>
      <c r="W876" s="2"/>
      <c r="X876" s="2"/>
      <c r="Y876" s="2"/>
    </row>
    <row r="877" spans="1:25" ht="14.25" customHeight="1" x14ac:dyDescent="0.3">
      <c r="A877" s="2"/>
      <c r="B877" s="1"/>
      <c r="C877" s="1"/>
      <c r="D877" s="1"/>
      <c r="E877" s="1"/>
      <c r="F877" s="2"/>
      <c r="G877" s="2"/>
      <c r="H877" s="2"/>
      <c r="I877" s="2"/>
      <c r="J877" s="2"/>
      <c r="K877" s="2"/>
      <c r="L877" s="2"/>
      <c r="M877" s="2"/>
      <c r="N877" s="2"/>
      <c r="O877" s="2"/>
      <c r="P877" s="2"/>
      <c r="Q877" s="2"/>
      <c r="R877" s="2"/>
      <c r="S877" s="2"/>
      <c r="T877" s="2"/>
      <c r="U877" s="2"/>
      <c r="V877" s="2"/>
      <c r="W877" s="2"/>
      <c r="X877" s="2"/>
      <c r="Y877" s="2"/>
    </row>
    <row r="878" spans="1:25" ht="14.25" customHeight="1" x14ac:dyDescent="0.3">
      <c r="A878" s="2"/>
      <c r="B878" s="1"/>
      <c r="C878" s="1"/>
      <c r="D878" s="1"/>
      <c r="E878" s="1"/>
      <c r="F878" s="2"/>
      <c r="G878" s="2"/>
      <c r="H878" s="2"/>
      <c r="I878" s="2"/>
      <c r="J878" s="2"/>
      <c r="K878" s="2"/>
      <c r="L878" s="2"/>
      <c r="M878" s="2"/>
      <c r="N878" s="2"/>
      <c r="O878" s="2"/>
      <c r="P878" s="2"/>
      <c r="Q878" s="2"/>
      <c r="R878" s="2"/>
      <c r="S878" s="2"/>
      <c r="T878" s="2"/>
      <c r="U878" s="2"/>
      <c r="V878" s="2"/>
      <c r="W878" s="2"/>
      <c r="X878" s="2"/>
      <c r="Y878" s="2"/>
    </row>
    <row r="879" spans="1:25" ht="14.25" customHeight="1" x14ac:dyDescent="0.3">
      <c r="A879" s="2"/>
      <c r="B879" s="1"/>
      <c r="C879" s="1"/>
      <c r="D879" s="1"/>
      <c r="E879" s="1"/>
      <c r="F879" s="2"/>
      <c r="G879" s="2"/>
      <c r="H879" s="2"/>
      <c r="I879" s="2"/>
      <c r="J879" s="2"/>
      <c r="K879" s="2"/>
      <c r="L879" s="2"/>
      <c r="M879" s="2"/>
      <c r="N879" s="2"/>
      <c r="O879" s="2"/>
      <c r="P879" s="2"/>
      <c r="Q879" s="2"/>
      <c r="R879" s="2"/>
      <c r="S879" s="2"/>
      <c r="T879" s="2"/>
      <c r="U879" s="2"/>
      <c r="V879" s="2"/>
      <c r="W879" s="2"/>
      <c r="X879" s="2"/>
      <c r="Y879" s="2"/>
    </row>
    <row r="880" spans="1:25" ht="14.25" customHeight="1" x14ac:dyDescent="0.3">
      <c r="A880" s="2"/>
      <c r="B880" s="1"/>
      <c r="C880" s="1"/>
      <c r="D880" s="1"/>
      <c r="E880" s="1"/>
      <c r="F880" s="2"/>
      <c r="G880" s="2"/>
      <c r="H880" s="2"/>
      <c r="I880" s="2"/>
      <c r="J880" s="2"/>
      <c r="K880" s="2"/>
      <c r="L880" s="2"/>
      <c r="M880" s="2"/>
      <c r="N880" s="2"/>
      <c r="O880" s="2"/>
      <c r="P880" s="2"/>
      <c r="Q880" s="2"/>
      <c r="R880" s="2"/>
      <c r="S880" s="2"/>
      <c r="T880" s="2"/>
      <c r="U880" s="2"/>
      <c r="V880" s="2"/>
      <c r="W880" s="2"/>
      <c r="X880" s="2"/>
      <c r="Y880" s="2"/>
    </row>
    <row r="881" spans="1:25" ht="14.25" customHeight="1" x14ac:dyDescent="0.3">
      <c r="A881" s="2"/>
      <c r="B881" s="1"/>
      <c r="C881" s="1"/>
      <c r="D881" s="1"/>
      <c r="E881" s="1"/>
      <c r="F881" s="2"/>
      <c r="G881" s="2"/>
      <c r="H881" s="2"/>
      <c r="I881" s="2"/>
      <c r="J881" s="2"/>
      <c r="K881" s="2"/>
      <c r="L881" s="2"/>
      <c r="M881" s="2"/>
      <c r="N881" s="2"/>
      <c r="O881" s="2"/>
      <c r="P881" s="2"/>
      <c r="Q881" s="2"/>
      <c r="R881" s="2"/>
      <c r="S881" s="2"/>
      <c r="T881" s="2"/>
      <c r="U881" s="2"/>
      <c r="V881" s="2"/>
      <c r="W881" s="2"/>
      <c r="X881" s="2"/>
      <c r="Y881" s="2"/>
    </row>
    <row r="882" spans="1:25" ht="14.25" customHeight="1" x14ac:dyDescent="0.3">
      <c r="A882" s="2"/>
      <c r="B882" s="1"/>
      <c r="C882" s="1"/>
      <c r="D882" s="1"/>
      <c r="E882" s="1"/>
      <c r="F882" s="2"/>
      <c r="G882" s="2"/>
      <c r="H882" s="2"/>
      <c r="I882" s="2"/>
      <c r="J882" s="2"/>
      <c r="K882" s="2"/>
      <c r="L882" s="2"/>
      <c r="M882" s="2"/>
      <c r="N882" s="2"/>
      <c r="O882" s="2"/>
      <c r="P882" s="2"/>
      <c r="Q882" s="2"/>
      <c r="R882" s="2"/>
      <c r="S882" s="2"/>
      <c r="T882" s="2"/>
      <c r="U882" s="2"/>
      <c r="V882" s="2"/>
      <c r="W882" s="2"/>
      <c r="X882" s="2"/>
      <c r="Y882" s="2"/>
    </row>
    <row r="883" spans="1:25" ht="14.25" customHeight="1" x14ac:dyDescent="0.3">
      <c r="A883" s="2"/>
      <c r="B883" s="1"/>
      <c r="C883" s="1"/>
      <c r="D883" s="1"/>
      <c r="E883" s="1"/>
      <c r="F883" s="2"/>
      <c r="G883" s="2"/>
      <c r="H883" s="2"/>
      <c r="I883" s="2"/>
      <c r="J883" s="2"/>
      <c r="K883" s="2"/>
      <c r="L883" s="2"/>
      <c r="M883" s="2"/>
      <c r="N883" s="2"/>
      <c r="O883" s="2"/>
      <c r="P883" s="2"/>
      <c r="Q883" s="2"/>
      <c r="R883" s="2"/>
      <c r="S883" s="2"/>
      <c r="T883" s="2"/>
      <c r="U883" s="2"/>
      <c r="V883" s="2"/>
      <c r="W883" s="2"/>
      <c r="X883" s="2"/>
      <c r="Y883" s="2"/>
    </row>
    <row r="884" spans="1:25" ht="14.25" customHeight="1" x14ac:dyDescent="0.3">
      <c r="A884" s="2"/>
      <c r="B884" s="1"/>
      <c r="C884" s="1"/>
      <c r="D884" s="1"/>
      <c r="E884" s="1"/>
      <c r="F884" s="2"/>
      <c r="G884" s="2"/>
      <c r="H884" s="2"/>
      <c r="I884" s="2"/>
      <c r="J884" s="2"/>
      <c r="K884" s="2"/>
      <c r="L884" s="2"/>
      <c r="M884" s="2"/>
      <c r="N884" s="2"/>
      <c r="O884" s="2"/>
      <c r="P884" s="2"/>
      <c r="Q884" s="2"/>
      <c r="R884" s="2"/>
      <c r="S884" s="2"/>
      <c r="T884" s="2"/>
      <c r="U884" s="2"/>
      <c r="V884" s="2"/>
      <c r="W884" s="2"/>
      <c r="X884" s="2"/>
      <c r="Y884" s="2"/>
    </row>
    <row r="885" spans="1:25" ht="14.25" customHeight="1" x14ac:dyDescent="0.3">
      <c r="A885" s="2"/>
      <c r="B885" s="1"/>
      <c r="C885" s="1"/>
      <c r="D885" s="1"/>
      <c r="E885" s="1"/>
      <c r="F885" s="2"/>
      <c r="G885" s="2"/>
      <c r="H885" s="2"/>
      <c r="I885" s="2"/>
      <c r="J885" s="2"/>
      <c r="K885" s="2"/>
      <c r="L885" s="2"/>
      <c r="M885" s="2"/>
      <c r="N885" s="2"/>
      <c r="O885" s="2"/>
      <c r="P885" s="2"/>
      <c r="Q885" s="2"/>
      <c r="R885" s="2"/>
      <c r="S885" s="2"/>
      <c r="T885" s="2"/>
      <c r="U885" s="2"/>
      <c r="V885" s="2"/>
      <c r="W885" s="2"/>
      <c r="X885" s="2"/>
      <c r="Y885" s="2"/>
    </row>
    <row r="886" spans="1:25" ht="14.25" customHeight="1" x14ac:dyDescent="0.3">
      <c r="A886" s="2"/>
      <c r="B886" s="1"/>
      <c r="C886" s="1"/>
      <c r="D886" s="1"/>
      <c r="E886" s="1"/>
      <c r="F886" s="2"/>
      <c r="G886" s="2"/>
      <c r="H886" s="2"/>
      <c r="I886" s="2"/>
      <c r="J886" s="2"/>
      <c r="K886" s="2"/>
      <c r="L886" s="2"/>
      <c r="M886" s="2"/>
      <c r="N886" s="2"/>
      <c r="O886" s="2"/>
      <c r="P886" s="2"/>
      <c r="Q886" s="2"/>
      <c r="R886" s="2"/>
      <c r="S886" s="2"/>
      <c r="T886" s="2"/>
      <c r="U886" s="2"/>
      <c r="V886" s="2"/>
      <c r="W886" s="2"/>
      <c r="X886" s="2"/>
      <c r="Y886" s="2"/>
    </row>
    <row r="887" spans="1:25" ht="14.25" customHeight="1" x14ac:dyDescent="0.3">
      <c r="A887" s="2"/>
      <c r="B887" s="1"/>
      <c r="C887" s="1"/>
      <c r="D887" s="1"/>
      <c r="E887" s="1"/>
      <c r="F887" s="2"/>
      <c r="G887" s="2"/>
      <c r="H887" s="2"/>
      <c r="I887" s="2"/>
      <c r="J887" s="2"/>
      <c r="K887" s="2"/>
      <c r="L887" s="2"/>
      <c r="M887" s="2"/>
      <c r="N887" s="2"/>
      <c r="O887" s="2"/>
      <c r="P887" s="2"/>
      <c r="Q887" s="2"/>
      <c r="R887" s="2"/>
      <c r="S887" s="2"/>
      <c r="T887" s="2"/>
      <c r="U887" s="2"/>
      <c r="V887" s="2"/>
      <c r="W887" s="2"/>
      <c r="X887" s="2"/>
      <c r="Y887" s="2"/>
    </row>
    <row r="888" spans="1:25" ht="14.25" customHeight="1" x14ac:dyDescent="0.3">
      <c r="A888" s="2"/>
      <c r="B888" s="1"/>
      <c r="C888" s="1"/>
      <c r="D888" s="1"/>
      <c r="E888" s="1"/>
      <c r="F888" s="2"/>
      <c r="G888" s="2"/>
      <c r="H888" s="2"/>
      <c r="I888" s="2"/>
      <c r="J888" s="2"/>
      <c r="K888" s="2"/>
      <c r="L888" s="2"/>
      <c r="M888" s="2"/>
      <c r="N888" s="2"/>
      <c r="O888" s="2"/>
      <c r="P888" s="2"/>
      <c r="Q888" s="2"/>
      <c r="R888" s="2"/>
      <c r="S888" s="2"/>
      <c r="T888" s="2"/>
      <c r="U888" s="2"/>
      <c r="V888" s="2"/>
      <c r="W888" s="2"/>
      <c r="X888" s="2"/>
      <c r="Y888" s="2"/>
    </row>
    <row r="889" spans="1:25" ht="14.25" customHeight="1" x14ac:dyDescent="0.3">
      <c r="A889" s="2"/>
      <c r="B889" s="1"/>
      <c r="C889" s="1"/>
      <c r="D889" s="1"/>
      <c r="E889" s="1"/>
      <c r="F889" s="2"/>
      <c r="G889" s="2"/>
      <c r="H889" s="2"/>
      <c r="I889" s="2"/>
      <c r="J889" s="2"/>
      <c r="K889" s="2"/>
      <c r="L889" s="2"/>
      <c r="M889" s="2"/>
      <c r="N889" s="2"/>
      <c r="O889" s="2"/>
      <c r="P889" s="2"/>
      <c r="Q889" s="2"/>
      <c r="R889" s="2"/>
      <c r="S889" s="2"/>
      <c r="T889" s="2"/>
      <c r="U889" s="2"/>
      <c r="V889" s="2"/>
      <c r="W889" s="2"/>
      <c r="X889" s="2"/>
      <c r="Y889" s="2"/>
    </row>
    <row r="890" spans="1:25" ht="14.25" customHeight="1" x14ac:dyDescent="0.3">
      <c r="A890" s="2"/>
      <c r="B890" s="1"/>
      <c r="C890" s="1"/>
      <c r="D890" s="1"/>
      <c r="E890" s="1"/>
      <c r="F890" s="2"/>
      <c r="G890" s="2"/>
      <c r="H890" s="2"/>
      <c r="I890" s="2"/>
      <c r="J890" s="2"/>
      <c r="K890" s="2"/>
      <c r="L890" s="2"/>
      <c r="M890" s="2"/>
      <c r="N890" s="2"/>
      <c r="O890" s="2"/>
      <c r="P890" s="2"/>
      <c r="Q890" s="2"/>
      <c r="R890" s="2"/>
      <c r="S890" s="2"/>
      <c r="T890" s="2"/>
      <c r="U890" s="2"/>
      <c r="V890" s="2"/>
      <c r="W890" s="2"/>
      <c r="X890" s="2"/>
      <c r="Y890" s="2"/>
    </row>
    <row r="891" spans="1:25" ht="14.25" customHeight="1" x14ac:dyDescent="0.3">
      <c r="A891" s="2"/>
      <c r="B891" s="1"/>
      <c r="C891" s="1"/>
      <c r="D891" s="1"/>
      <c r="E891" s="1"/>
      <c r="F891" s="2"/>
      <c r="G891" s="2"/>
      <c r="H891" s="2"/>
      <c r="I891" s="2"/>
      <c r="J891" s="2"/>
      <c r="K891" s="2"/>
      <c r="L891" s="2"/>
      <c r="M891" s="2"/>
      <c r="N891" s="2"/>
      <c r="O891" s="2"/>
      <c r="P891" s="2"/>
      <c r="Q891" s="2"/>
      <c r="R891" s="2"/>
      <c r="S891" s="2"/>
      <c r="T891" s="2"/>
      <c r="U891" s="2"/>
      <c r="V891" s="2"/>
      <c r="W891" s="2"/>
      <c r="X891" s="2"/>
      <c r="Y891" s="2"/>
    </row>
    <row r="892" spans="1:25" ht="14.25" customHeight="1" x14ac:dyDescent="0.3">
      <c r="A892" s="2"/>
      <c r="B892" s="1"/>
      <c r="C892" s="1"/>
      <c r="D892" s="1"/>
      <c r="E892" s="1"/>
      <c r="F892" s="2"/>
      <c r="G892" s="2"/>
      <c r="H892" s="2"/>
      <c r="I892" s="2"/>
      <c r="J892" s="2"/>
      <c r="K892" s="2"/>
      <c r="L892" s="2"/>
      <c r="M892" s="2"/>
      <c r="N892" s="2"/>
      <c r="O892" s="2"/>
      <c r="P892" s="2"/>
      <c r="Q892" s="2"/>
      <c r="R892" s="2"/>
      <c r="S892" s="2"/>
      <c r="T892" s="2"/>
      <c r="U892" s="2"/>
      <c r="V892" s="2"/>
      <c r="W892" s="2"/>
      <c r="X892" s="2"/>
      <c r="Y892" s="2"/>
    </row>
    <row r="893" spans="1:25" ht="14.25" customHeight="1" x14ac:dyDescent="0.3">
      <c r="A893" s="2"/>
      <c r="B893" s="1"/>
      <c r="C893" s="1"/>
      <c r="D893" s="1"/>
      <c r="E893" s="1"/>
      <c r="F893" s="2"/>
      <c r="G893" s="2"/>
      <c r="H893" s="2"/>
      <c r="I893" s="2"/>
      <c r="J893" s="2"/>
      <c r="K893" s="2"/>
      <c r="L893" s="2"/>
      <c r="M893" s="2"/>
      <c r="N893" s="2"/>
      <c r="O893" s="2"/>
      <c r="P893" s="2"/>
      <c r="Q893" s="2"/>
      <c r="R893" s="2"/>
      <c r="S893" s="2"/>
      <c r="T893" s="2"/>
      <c r="U893" s="2"/>
      <c r="V893" s="2"/>
      <c r="W893" s="2"/>
      <c r="X893" s="2"/>
      <c r="Y893" s="2"/>
    </row>
    <row r="894" spans="1:25" ht="14.25" customHeight="1" x14ac:dyDescent="0.3">
      <c r="A894" s="2"/>
      <c r="B894" s="1"/>
      <c r="C894" s="1"/>
      <c r="D894" s="1"/>
      <c r="E894" s="1"/>
      <c r="F894" s="2"/>
      <c r="G894" s="2"/>
      <c r="H894" s="2"/>
      <c r="I894" s="2"/>
      <c r="J894" s="2"/>
      <c r="K894" s="2"/>
      <c r="L894" s="2"/>
      <c r="M894" s="2"/>
      <c r="N894" s="2"/>
      <c r="O894" s="2"/>
      <c r="P894" s="2"/>
      <c r="Q894" s="2"/>
      <c r="R894" s="2"/>
      <c r="S894" s="2"/>
      <c r="T894" s="2"/>
      <c r="U894" s="2"/>
      <c r="V894" s="2"/>
      <c r="W894" s="2"/>
      <c r="X894" s="2"/>
      <c r="Y894" s="2"/>
    </row>
    <row r="895" spans="1:25" ht="14.25" customHeight="1" x14ac:dyDescent="0.3">
      <c r="A895" s="2"/>
      <c r="B895" s="1"/>
      <c r="C895" s="1"/>
      <c r="D895" s="1"/>
      <c r="E895" s="1"/>
      <c r="F895" s="2"/>
      <c r="G895" s="2"/>
      <c r="H895" s="2"/>
      <c r="I895" s="2"/>
      <c r="J895" s="2"/>
      <c r="K895" s="2"/>
      <c r="L895" s="2"/>
      <c r="M895" s="2"/>
      <c r="N895" s="2"/>
      <c r="O895" s="2"/>
      <c r="P895" s="2"/>
      <c r="Q895" s="2"/>
      <c r="R895" s="2"/>
      <c r="S895" s="2"/>
      <c r="T895" s="2"/>
      <c r="U895" s="2"/>
      <c r="V895" s="2"/>
      <c r="W895" s="2"/>
      <c r="X895" s="2"/>
      <c r="Y895" s="2"/>
    </row>
    <row r="896" spans="1:25" ht="14.25" customHeight="1" x14ac:dyDescent="0.3">
      <c r="A896" s="2"/>
      <c r="B896" s="1"/>
      <c r="C896" s="1"/>
      <c r="D896" s="1"/>
      <c r="E896" s="1"/>
      <c r="F896" s="2"/>
      <c r="G896" s="2"/>
      <c r="H896" s="2"/>
      <c r="I896" s="2"/>
      <c r="J896" s="2"/>
      <c r="K896" s="2"/>
      <c r="L896" s="2"/>
      <c r="M896" s="2"/>
      <c r="N896" s="2"/>
      <c r="O896" s="2"/>
      <c r="P896" s="2"/>
      <c r="Q896" s="2"/>
      <c r="R896" s="2"/>
      <c r="S896" s="2"/>
      <c r="T896" s="2"/>
      <c r="U896" s="2"/>
      <c r="V896" s="2"/>
      <c r="W896" s="2"/>
      <c r="X896" s="2"/>
      <c r="Y896" s="2"/>
    </row>
    <row r="897" spans="1:25" ht="14.25" customHeight="1" x14ac:dyDescent="0.3">
      <c r="A897" s="2"/>
      <c r="B897" s="1"/>
      <c r="C897" s="1"/>
      <c r="D897" s="1"/>
      <c r="E897" s="1"/>
      <c r="F897" s="2"/>
      <c r="G897" s="2"/>
      <c r="H897" s="2"/>
      <c r="I897" s="2"/>
      <c r="J897" s="2"/>
      <c r="K897" s="2"/>
      <c r="L897" s="2"/>
      <c r="M897" s="2"/>
      <c r="N897" s="2"/>
      <c r="O897" s="2"/>
      <c r="P897" s="2"/>
      <c r="Q897" s="2"/>
      <c r="R897" s="2"/>
      <c r="S897" s="2"/>
      <c r="T897" s="2"/>
      <c r="U897" s="2"/>
      <c r="V897" s="2"/>
      <c r="W897" s="2"/>
      <c r="X897" s="2"/>
      <c r="Y897" s="2"/>
    </row>
    <row r="898" spans="1:25" ht="14.25" customHeight="1" x14ac:dyDescent="0.3">
      <c r="A898" s="2"/>
      <c r="B898" s="1"/>
      <c r="C898" s="1"/>
      <c r="D898" s="1"/>
      <c r="E898" s="1"/>
      <c r="F898" s="2"/>
      <c r="G898" s="2"/>
      <c r="H898" s="2"/>
      <c r="I898" s="2"/>
      <c r="J898" s="2"/>
      <c r="K898" s="2"/>
      <c r="L898" s="2"/>
      <c r="M898" s="2"/>
      <c r="N898" s="2"/>
      <c r="O898" s="2"/>
      <c r="P898" s="2"/>
      <c r="Q898" s="2"/>
      <c r="R898" s="2"/>
      <c r="S898" s="2"/>
      <c r="T898" s="2"/>
      <c r="U898" s="2"/>
      <c r="V898" s="2"/>
      <c r="W898" s="2"/>
      <c r="X898" s="2"/>
      <c r="Y898" s="2"/>
    </row>
    <row r="899" spans="1:25" ht="14.25" customHeight="1" x14ac:dyDescent="0.3">
      <c r="A899" s="2"/>
      <c r="B899" s="1"/>
      <c r="C899" s="1"/>
      <c r="D899" s="1"/>
      <c r="E899" s="1"/>
      <c r="F899" s="2"/>
      <c r="G899" s="2"/>
      <c r="H899" s="2"/>
      <c r="I899" s="2"/>
      <c r="J899" s="2"/>
      <c r="K899" s="2"/>
      <c r="L899" s="2"/>
      <c r="M899" s="2"/>
      <c r="N899" s="2"/>
      <c r="O899" s="2"/>
      <c r="P899" s="2"/>
      <c r="Q899" s="2"/>
      <c r="R899" s="2"/>
      <c r="S899" s="2"/>
      <c r="T899" s="2"/>
      <c r="U899" s="2"/>
      <c r="V899" s="2"/>
      <c r="W899" s="2"/>
      <c r="X899" s="2"/>
      <c r="Y899" s="2"/>
    </row>
    <row r="900" spans="1:25" ht="14.25" customHeight="1" x14ac:dyDescent="0.3">
      <c r="A900" s="2"/>
      <c r="B900" s="1"/>
      <c r="C900" s="1"/>
      <c r="D900" s="1"/>
      <c r="E900" s="1"/>
      <c r="F900" s="2"/>
      <c r="G900" s="2"/>
      <c r="H900" s="2"/>
      <c r="I900" s="2"/>
      <c r="J900" s="2"/>
      <c r="K900" s="2"/>
      <c r="L900" s="2"/>
      <c r="M900" s="2"/>
      <c r="N900" s="2"/>
      <c r="O900" s="2"/>
      <c r="P900" s="2"/>
      <c r="Q900" s="2"/>
      <c r="R900" s="2"/>
      <c r="S900" s="2"/>
      <c r="T900" s="2"/>
      <c r="U900" s="2"/>
      <c r="V900" s="2"/>
      <c r="W900" s="2"/>
      <c r="X900" s="2"/>
      <c r="Y900" s="2"/>
    </row>
    <row r="901" spans="1:25" ht="14.25" customHeight="1" x14ac:dyDescent="0.3">
      <c r="A901" s="2"/>
      <c r="B901" s="1"/>
      <c r="C901" s="1"/>
      <c r="D901" s="1"/>
      <c r="E901" s="1"/>
      <c r="F901" s="2"/>
      <c r="G901" s="2"/>
      <c r="H901" s="2"/>
      <c r="I901" s="2"/>
      <c r="J901" s="2"/>
      <c r="K901" s="2"/>
      <c r="L901" s="2"/>
      <c r="M901" s="2"/>
      <c r="N901" s="2"/>
      <c r="O901" s="2"/>
      <c r="P901" s="2"/>
      <c r="Q901" s="2"/>
      <c r="R901" s="2"/>
      <c r="S901" s="2"/>
      <c r="T901" s="2"/>
      <c r="U901" s="2"/>
      <c r="V901" s="2"/>
      <c r="W901" s="2"/>
      <c r="X901" s="2"/>
      <c r="Y901" s="2"/>
    </row>
    <row r="902" spans="1:25" ht="14.25" customHeight="1" x14ac:dyDescent="0.3">
      <c r="A902" s="2"/>
      <c r="B902" s="1"/>
      <c r="C902" s="1"/>
      <c r="D902" s="1"/>
      <c r="E902" s="1"/>
      <c r="F902" s="2"/>
      <c r="G902" s="2"/>
      <c r="H902" s="2"/>
      <c r="I902" s="2"/>
      <c r="J902" s="2"/>
      <c r="K902" s="2"/>
      <c r="L902" s="2"/>
      <c r="M902" s="2"/>
      <c r="N902" s="2"/>
      <c r="O902" s="2"/>
      <c r="P902" s="2"/>
      <c r="Q902" s="2"/>
      <c r="R902" s="2"/>
      <c r="S902" s="2"/>
      <c r="T902" s="2"/>
      <c r="U902" s="2"/>
      <c r="V902" s="2"/>
      <c r="W902" s="2"/>
      <c r="X902" s="2"/>
      <c r="Y902" s="2"/>
    </row>
    <row r="903" spans="1:25" ht="14.25" customHeight="1" x14ac:dyDescent="0.3">
      <c r="A903" s="2"/>
      <c r="B903" s="1"/>
      <c r="C903" s="1"/>
      <c r="D903" s="1"/>
      <c r="E903" s="1"/>
      <c r="F903" s="2"/>
      <c r="G903" s="2"/>
      <c r="H903" s="2"/>
      <c r="I903" s="2"/>
      <c r="J903" s="2"/>
      <c r="K903" s="2"/>
      <c r="L903" s="2"/>
      <c r="M903" s="2"/>
      <c r="N903" s="2"/>
      <c r="O903" s="2"/>
      <c r="P903" s="2"/>
      <c r="Q903" s="2"/>
      <c r="R903" s="2"/>
      <c r="S903" s="2"/>
      <c r="T903" s="2"/>
      <c r="U903" s="2"/>
      <c r="V903" s="2"/>
      <c r="W903" s="2"/>
      <c r="X903" s="2"/>
      <c r="Y903" s="2"/>
    </row>
    <row r="904" spans="1:25" ht="14.25" customHeight="1" x14ac:dyDescent="0.3">
      <c r="A904" s="2"/>
      <c r="B904" s="1"/>
      <c r="C904" s="1"/>
      <c r="D904" s="1"/>
      <c r="E904" s="1"/>
      <c r="F904" s="2"/>
      <c r="G904" s="2"/>
      <c r="H904" s="2"/>
      <c r="I904" s="2"/>
      <c r="J904" s="2"/>
      <c r="K904" s="2"/>
      <c r="L904" s="2"/>
      <c r="M904" s="2"/>
      <c r="N904" s="2"/>
      <c r="O904" s="2"/>
      <c r="P904" s="2"/>
      <c r="Q904" s="2"/>
      <c r="R904" s="2"/>
      <c r="S904" s="2"/>
      <c r="T904" s="2"/>
      <c r="U904" s="2"/>
      <c r="V904" s="2"/>
      <c r="W904" s="2"/>
      <c r="X904" s="2"/>
      <c r="Y904" s="2"/>
    </row>
    <row r="905" spans="1:25" ht="14.25" customHeight="1" x14ac:dyDescent="0.3">
      <c r="A905" s="2"/>
      <c r="B905" s="1"/>
      <c r="C905" s="1"/>
      <c r="D905" s="1"/>
      <c r="E905" s="1"/>
      <c r="F905" s="2"/>
      <c r="G905" s="2"/>
      <c r="H905" s="2"/>
      <c r="I905" s="2"/>
      <c r="J905" s="2"/>
      <c r="K905" s="2"/>
      <c r="L905" s="2"/>
      <c r="M905" s="2"/>
      <c r="N905" s="2"/>
      <c r="O905" s="2"/>
      <c r="P905" s="2"/>
      <c r="Q905" s="2"/>
      <c r="R905" s="2"/>
      <c r="S905" s="2"/>
      <c r="T905" s="2"/>
      <c r="U905" s="2"/>
      <c r="V905" s="2"/>
      <c r="W905" s="2"/>
      <c r="X905" s="2"/>
      <c r="Y905" s="2"/>
    </row>
    <row r="906" spans="1:25" ht="14.25" customHeight="1" x14ac:dyDescent="0.3">
      <c r="A906" s="2"/>
      <c r="B906" s="1"/>
      <c r="C906" s="1"/>
      <c r="D906" s="1"/>
      <c r="E906" s="1"/>
      <c r="F906" s="2"/>
      <c r="G906" s="2"/>
      <c r="H906" s="2"/>
      <c r="I906" s="2"/>
      <c r="J906" s="2"/>
      <c r="K906" s="2"/>
      <c r="L906" s="2"/>
      <c r="M906" s="2"/>
      <c r="N906" s="2"/>
      <c r="O906" s="2"/>
      <c r="P906" s="2"/>
      <c r="Q906" s="2"/>
      <c r="R906" s="2"/>
      <c r="S906" s="2"/>
      <c r="T906" s="2"/>
      <c r="U906" s="2"/>
      <c r="V906" s="2"/>
      <c r="W906" s="2"/>
      <c r="X906" s="2"/>
      <c r="Y906" s="2"/>
    </row>
    <row r="907" spans="1:25" ht="14.25" customHeight="1" x14ac:dyDescent="0.3">
      <c r="A907" s="2"/>
      <c r="B907" s="1"/>
      <c r="C907" s="1"/>
      <c r="D907" s="1"/>
      <c r="E907" s="1"/>
      <c r="F907" s="2"/>
      <c r="G907" s="2"/>
      <c r="H907" s="2"/>
      <c r="I907" s="2"/>
      <c r="J907" s="2"/>
      <c r="K907" s="2"/>
      <c r="L907" s="2"/>
      <c r="M907" s="2"/>
      <c r="N907" s="2"/>
      <c r="O907" s="2"/>
      <c r="P907" s="2"/>
      <c r="Q907" s="2"/>
      <c r="R907" s="2"/>
      <c r="S907" s="2"/>
      <c r="T907" s="2"/>
      <c r="U907" s="2"/>
      <c r="V907" s="2"/>
      <c r="W907" s="2"/>
      <c r="X907" s="2"/>
      <c r="Y907" s="2"/>
    </row>
    <row r="908" spans="1:25" ht="14.25" customHeight="1" x14ac:dyDescent="0.3">
      <c r="A908" s="2"/>
      <c r="B908" s="1"/>
      <c r="C908" s="1"/>
      <c r="D908" s="1"/>
      <c r="E908" s="1"/>
      <c r="F908" s="2"/>
      <c r="G908" s="2"/>
      <c r="H908" s="2"/>
      <c r="I908" s="2"/>
      <c r="J908" s="2"/>
      <c r="K908" s="2"/>
      <c r="L908" s="2"/>
      <c r="M908" s="2"/>
      <c r="N908" s="2"/>
      <c r="O908" s="2"/>
      <c r="P908" s="2"/>
      <c r="Q908" s="2"/>
      <c r="R908" s="2"/>
      <c r="S908" s="2"/>
      <c r="T908" s="2"/>
      <c r="U908" s="2"/>
      <c r="V908" s="2"/>
      <c r="W908" s="2"/>
      <c r="X908" s="2"/>
      <c r="Y908" s="2"/>
    </row>
    <row r="909" spans="1:25" ht="14.25" customHeight="1" x14ac:dyDescent="0.3">
      <c r="A909" s="2"/>
      <c r="B909" s="1"/>
      <c r="C909" s="1"/>
      <c r="D909" s="1"/>
      <c r="E909" s="1"/>
      <c r="F909" s="2"/>
      <c r="G909" s="2"/>
      <c r="H909" s="2"/>
      <c r="I909" s="2"/>
      <c r="J909" s="2"/>
      <c r="K909" s="2"/>
      <c r="L909" s="2"/>
      <c r="M909" s="2"/>
      <c r="N909" s="2"/>
      <c r="O909" s="2"/>
      <c r="P909" s="2"/>
      <c r="Q909" s="2"/>
      <c r="R909" s="2"/>
      <c r="S909" s="2"/>
      <c r="T909" s="2"/>
      <c r="U909" s="2"/>
      <c r="V909" s="2"/>
      <c r="W909" s="2"/>
      <c r="X909" s="2"/>
      <c r="Y909" s="2"/>
    </row>
    <row r="910" spans="1:25" ht="14.25" customHeight="1" x14ac:dyDescent="0.3">
      <c r="A910" s="2"/>
      <c r="B910" s="1"/>
      <c r="C910" s="1"/>
      <c r="D910" s="1"/>
      <c r="E910" s="1"/>
      <c r="F910" s="2"/>
      <c r="G910" s="2"/>
      <c r="H910" s="2"/>
      <c r="I910" s="2"/>
      <c r="J910" s="2"/>
      <c r="K910" s="2"/>
      <c r="L910" s="2"/>
      <c r="M910" s="2"/>
      <c r="N910" s="2"/>
      <c r="O910" s="2"/>
      <c r="P910" s="2"/>
      <c r="Q910" s="2"/>
      <c r="R910" s="2"/>
      <c r="S910" s="2"/>
      <c r="T910" s="2"/>
      <c r="U910" s="2"/>
      <c r="V910" s="2"/>
      <c r="W910" s="2"/>
      <c r="X910" s="2"/>
      <c r="Y910" s="2"/>
    </row>
    <row r="911" spans="1:25" ht="14.25" customHeight="1" x14ac:dyDescent="0.3">
      <c r="A911" s="2"/>
      <c r="B911" s="1"/>
      <c r="C911" s="1"/>
      <c r="D911" s="1"/>
      <c r="E911" s="1"/>
      <c r="F911" s="2"/>
      <c r="G911" s="2"/>
      <c r="H911" s="2"/>
      <c r="I911" s="2"/>
      <c r="J911" s="2"/>
      <c r="K911" s="2"/>
      <c r="L911" s="2"/>
      <c r="M911" s="2"/>
      <c r="N911" s="2"/>
      <c r="O911" s="2"/>
      <c r="P911" s="2"/>
      <c r="Q911" s="2"/>
      <c r="R911" s="2"/>
      <c r="S911" s="2"/>
      <c r="T911" s="2"/>
      <c r="U911" s="2"/>
      <c r="V911" s="2"/>
      <c r="W911" s="2"/>
      <c r="X911" s="2"/>
      <c r="Y911" s="2"/>
    </row>
    <row r="912" spans="1:25" ht="14.25" customHeight="1" x14ac:dyDescent="0.3">
      <c r="A912" s="2"/>
      <c r="B912" s="1"/>
      <c r="C912" s="1"/>
      <c r="D912" s="1"/>
      <c r="E912" s="1"/>
      <c r="F912" s="2"/>
      <c r="G912" s="2"/>
      <c r="H912" s="2"/>
      <c r="I912" s="2"/>
      <c r="J912" s="2"/>
      <c r="K912" s="2"/>
      <c r="L912" s="2"/>
      <c r="M912" s="2"/>
      <c r="N912" s="2"/>
      <c r="O912" s="2"/>
      <c r="P912" s="2"/>
      <c r="Q912" s="2"/>
      <c r="R912" s="2"/>
      <c r="S912" s="2"/>
      <c r="T912" s="2"/>
      <c r="U912" s="2"/>
      <c r="V912" s="2"/>
      <c r="W912" s="2"/>
      <c r="X912" s="2"/>
      <c r="Y912" s="2"/>
    </row>
    <row r="913" spans="1:25" ht="14.25" customHeight="1" x14ac:dyDescent="0.3">
      <c r="A913" s="2"/>
      <c r="B913" s="1"/>
      <c r="C913" s="1"/>
      <c r="D913" s="1"/>
      <c r="E913" s="1"/>
      <c r="F913" s="2"/>
      <c r="G913" s="2"/>
      <c r="H913" s="2"/>
      <c r="I913" s="2"/>
      <c r="J913" s="2"/>
      <c r="K913" s="2"/>
      <c r="L913" s="2"/>
      <c r="M913" s="2"/>
      <c r="N913" s="2"/>
      <c r="O913" s="2"/>
      <c r="P913" s="2"/>
      <c r="Q913" s="2"/>
      <c r="R913" s="2"/>
      <c r="S913" s="2"/>
      <c r="T913" s="2"/>
      <c r="U913" s="2"/>
      <c r="V913" s="2"/>
      <c r="W913" s="2"/>
      <c r="X913" s="2"/>
      <c r="Y913" s="2"/>
    </row>
    <row r="914" spans="1:25" ht="14.25" customHeight="1" x14ac:dyDescent="0.3">
      <c r="A914" s="2"/>
      <c r="B914" s="1"/>
      <c r="C914" s="1"/>
      <c r="D914" s="1"/>
      <c r="E914" s="1"/>
      <c r="F914" s="2"/>
      <c r="G914" s="2"/>
      <c r="H914" s="2"/>
      <c r="I914" s="2"/>
      <c r="J914" s="2"/>
      <c r="K914" s="2"/>
      <c r="L914" s="2"/>
      <c r="M914" s="2"/>
      <c r="N914" s="2"/>
      <c r="O914" s="2"/>
      <c r="P914" s="2"/>
      <c r="Q914" s="2"/>
      <c r="R914" s="2"/>
      <c r="S914" s="2"/>
      <c r="T914" s="2"/>
      <c r="U914" s="2"/>
      <c r="V914" s="2"/>
      <c r="W914" s="2"/>
      <c r="X914" s="2"/>
      <c r="Y914" s="2"/>
    </row>
    <row r="915" spans="1:25" ht="14.25" customHeight="1" x14ac:dyDescent="0.3">
      <c r="A915" s="2"/>
      <c r="B915" s="1"/>
      <c r="C915" s="1"/>
      <c r="D915" s="1"/>
      <c r="E915" s="1"/>
      <c r="F915" s="2"/>
      <c r="G915" s="2"/>
      <c r="H915" s="2"/>
      <c r="I915" s="2"/>
      <c r="J915" s="2"/>
      <c r="K915" s="2"/>
      <c r="L915" s="2"/>
      <c r="M915" s="2"/>
      <c r="N915" s="2"/>
      <c r="O915" s="2"/>
      <c r="P915" s="2"/>
      <c r="Q915" s="2"/>
      <c r="R915" s="2"/>
      <c r="S915" s="2"/>
      <c r="T915" s="2"/>
      <c r="U915" s="2"/>
      <c r="V915" s="2"/>
      <c r="W915" s="2"/>
      <c r="X915" s="2"/>
      <c r="Y915" s="2"/>
    </row>
    <row r="916" spans="1:25" ht="14.25" customHeight="1" x14ac:dyDescent="0.3">
      <c r="A916" s="2"/>
      <c r="B916" s="1"/>
      <c r="C916" s="1"/>
      <c r="D916" s="1"/>
      <c r="E916" s="1"/>
      <c r="F916" s="2"/>
      <c r="G916" s="2"/>
      <c r="H916" s="2"/>
      <c r="I916" s="2"/>
      <c r="J916" s="2"/>
      <c r="K916" s="2"/>
      <c r="L916" s="2"/>
      <c r="M916" s="2"/>
      <c r="N916" s="2"/>
      <c r="O916" s="2"/>
      <c r="P916" s="2"/>
      <c r="Q916" s="2"/>
      <c r="R916" s="2"/>
      <c r="S916" s="2"/>
      <c r="T916" s="2"/>
      <c r="U916" s="2"/>
      <c r="V916" s="2"/>
      <c r="W916" s="2"/>
      <c r="X916" s="2"/>
      <c r="Y916" s="2"/>
    </row>
    <row r="917" spans="1:25" ht="14.25" customHeight="1" x14ac:dyDescent="0.3">
      <c r="A917" s="2"/>
      <c r="B917" s="1"/>
      <c r="C917" s="1"/>
      <c r="D917" s="1"/>
      <c r="E917" s="1"/>
      <c r="F917" s="2"/>
      <c r="G917" s="2"/>
      <c r="H917" s="2"/>
      <c r="I917" s="2"/>
      <c r="J917" s="2"/>
      <c r="K917" s="2"/>
      <c r="L917" s="2"/>
      <c r="M917" s="2"/>
      <c r="N917" s="2"/>
      <c r="O917" s="2"/>
      <c r="P917" s="2"/>
      <c r="Q917" s="2"/>
      <c r="R917" s="2"/>
      <c r="S917" s="2"/>
      <c r="T917" s="2"/>
      <c r="U917" s="2"/>
      <c r="V917" s="2"/>
      <c r="W917" s="2"/>
      <c r="X917" s="2"/>
      <c r="Y917" s="2"/>
    </row>
    <row r="918" spans="1:25" ht="14.25" customHeight="1" x14ac:dyDescent="0.3">
      <c r="A918" s="2"/>
      <c r="B918" s="1"/>
      <c r="C918" s="1"/>
      <c r="D918" s="1"/>
      <c r="E918" s="1"/>
      <c r="F918" s="2"/>
      <c r="G918" s="2"/>
      <c r="H918" s="2"/>
      <c r="I918" s="2"/>
      <c r="J918" s="2"/>
      <c r="K918" s="2"/>
      <c r="L918" s="2"/>
      <c r="M918" s="2"/>
      <c r="N918" s="2"/>
      <c r="O918" s="2"/>
      <c r="P918" s="2"/>
      <c r="Q918" s="2"/>
      <c r="R918" s="2"/>
      <c r="S918" s="2"/>
      <c r="T918" s="2"/>
      <c r="U918" s="2"/>
      <c r="V918" s="2"/>
      <c r="W918" s="2"/>
      <c r="X918" s="2"/>
      <c r="Y918" s="2"/>
    </row>
    <row r="919" spans="1:25" ht="14.25" customHeight="1" x14ac:dyDescent="0.3">
      <c r="A919" s="2"/>
      <c r="B919" s="1"/>
      <c r="C919" s="1"/>
      <c r="D919" s="1"/>
      <c r="E919" s="1"/>
      <c r="F919" s="2"/>
      <c r="G919" s="2"/>
      <c r="H919" s="2"/>
      <c r="I919" s="2"/>
      <c r="J919" s="2"/>
      <c r="K919" s="2"/>
      <c r="L919" s="2"/>
      <c r="M919" s="2"/>
      <c r="N919" s="2"/>
      <c r="O919" s="2"/>
      <c r="P919" s="2"/>
      <c r="Q919" s="2"/>
      <c r="R919" s="2"/>
      <c r="S919" s="2"/>
      <c r="T919" s="2"/>
      <c r="U919" s="2"/>
      <c r="V919" s="2"/>
      <c r="W919" s="2"/>
      <c r="X919" s="2"/>
      <c r="Y919" s="2"/>
    </row>
    <row r="920" spans="1:25" ht="14.25" customHeight="1" x14ac:dyDescent="0.3">
      <c r="A920" s="2"/>
      <c r="B920" s="1"/>
      <c r="C920" s="1"/>
      <c r="D920" s="1"/>
      <c r="E920" s="1"/>
      <c r="F920" s="2"/>
      <c r="G920" s="2"/>
      <c r="H920" s="2"/>
      <c r="I920" s="2"/>
      <c r="J920" s="2"/>
      <c r="K920" s="2"/>
      <c r="L920" s="2"/>
      <c r="M920" s="2"/>
      <c r="N920" s="2"/>
      <c r="O920" s="2"/>
      <c r="P920" s="2"/>
      <c r="Q920" s="2"/>
      <c r="R920" s="2"/>
      <c r="S920" s="2"/>
      <c r="T920" s="2"/>
      <c r="U920" s="2"/>
      <c r="V920" s="2"/>
      <c r="W920" s="2"/>
      <c r="X920" s="2"/>
      <c r="Y920" s="2"/>
    </row>
    <row r="921" spans="1:25" ht="14.25" customHeight="1" x14ac:dyDescent="0.3">
      <c r="A921" s="2"/>
      <c r="B921" s="1"/>
      <c r="C921" s="1"/>
      <c r="D921" s="1"/>
      <c r="E921" s="1"/>
      <c r="F921" s="2"/>
      <c r="G921" s="2"/>
      <c r="H921" s="2"/>
      <c r="I921" s="2"/>
      <c r="J921" s="2"/>
      <c r="K921" s="2"/>
      <c r="L921" s="2"/>
      <c r="M921" s="2"/>
      <c r="N921" s="2"/>
      <c r="O921" s="2"/>
      <c r="P921" s="2"/>
      <c r="Q921" s="2"/>
      <c r="R921" s="2"/>
      <c r="S921" s="2"/>
      <c r="T921" s="2"/>
      <c r="U921" s="2"/>
      <c r="V921" s="2"/>
      <c r="W921" s="2"/>
      <c r="X921" s="2"/>
      <c r="Y921" s="2"/>
    </row>
    <row r="922" spans="1:25" ht="14.25" customHeight="1" x14ac:dyDescent="0.3">
      <c r="A922" s="2"/>
      <c r="B922" s="1"/>
      <c r="C922" s="1"/>
      <c r="D922" s="1"/>
      <c r="E922" s="1"/>
      <c r="F922" s="2"/>
      <c r="G922" s="2"/>
      <c r="H922" s="2"/>
      <c r="I922" s="2"/>
      <c r="J922" s="2"/>
      <c r="K922" s="2"/>
      <c r="L922" s="2"/>
      <c r="M922" s="2"/>
      <c r="N922" s="2"/>
      <c r="O922" s="2"/>
      <c r="P922" s="2"/>
      <c r="Q922" s="2"/>
      <c r="R922" s="2"/>
      <c r="S922" s="2"/>
      <c r="T922" s="2"/>
      <c r="U922" s="2"/>
      <c r="V922" s="2"/>
      <c r="W922" s="2"/>
      <c r="X922" s="2"/>
      <c r="Y922" s="2"/>
    </row>
    <row r="923" spans="1:25" ht="14.25" customHeight="1" x14ac:dyDescent="0.3">
      <c r="A923" s="2"/>
      <c r="B923" s="1"/>
      <c r="C923" s="1"/>
      <c r="D923" s="1"/>
      <c r="E923" s="1"/>
      <c r="F923" s="2"/>
      <c r="G923" s="2"/>
      <c r="H923" s="2"/>
      <c r="I923" s="2"/>
      <c r="J923" s="2"/>
      <c r="K923" s="2"/>
      <c r="L923" s="2"/>
      <c r="M923" s="2"/>
      <c r="N923" s="2"/>
      <c r="O923" s="2"/>
      <c r="P923" s="2"/>
      <c r="Q923" s="2"/>
      <c r="R923" s="2"/>
      <c r="S923" s="2"/>
      <c r="T923" s="2"/>
      <c r="U923" s="2"/>
      <c r="V923" s="2"/>
      <c r="W923" s="2"/>
      <c r="X923" s="2"/>
      <c r="Y923" s="2"/>
    </row>
    <row r="924" spans="1:25" ht="14.25" customHeight="1" x14ac:dyDescent="0.3">
      <c r="A924" s="2"/>
      <c r="B924" s="1"/>
      <c r="C924" s="1"/>
      <c r="D924" s="1"/>
      <c r="E924" s="1"/>
      <c r="F924" s="2"/>
      <c r="G924" s="2"/>
      <c r="H924" s="2"/>
      <c r="I924" s="2"/>
      <c r="J924" s="2"/>
      <c r="K924" s="2"/>
      <c r="L924" s="2"/>
      <c r="M924" s="2"/>
      <c r="N924" s="2"/>
      <c r="O924" s="2"/>
      <c r="P924" s="2"/>
      <c r="Q924" s="2"/>
      <c r="R924" s="2"/>
      <c r="S924" s="2"/>
      <c r="T924" s="2"/>
      <c r="U924" s="2"/>
      <c r="V924" s="2"/>
      <c r="W924" s="2"/>
      <c r="X924" s="2"/>
      <c r="Y924" s="2"/>
    </row>
    <row r="925" spans="1:25" ht="14.25" customHeight="1" x14ac:dyDescent="0.3">
      <c r="A925" s="2"/>
      <c r="B925" s="1"/>
      <c r="C925" s="1"/>
      <c r="D925" s="1"/>
      <c r="E925" s="1"/>
      <c r="F925" s="2"/>
      <c r="G925" s="2"/>
      <c r="H925" s="2"/>
      <c r="I925" s="2"/>
      <c r="J925" s="2"/>
      <c r="K925" s="2"/>
      <c r="L925" s="2"/>
      <c r="M925" s="2"/>
      <c r="N925" s="2"/>
      <c r="O925" s="2"/>
      <c r="P925" s="2"/>
      <c r="Q925" s="2"/>
      <c r="R925" s="2"/>
      <c r="S925" s="2"/>
      <c r="T925" s="2"/>
      <c r="U925" s="2"/>
      <c r="V925" s="2"/>
      <c r="W925" s="2"/>
      <c r="X925" s="2"/>
      <c r="Y925" s="2"/>
    </row>
    <row r="926" spans="1:25" ht="14.25" customHeight="1" x14ac:dyDescent="0.3">
      <c r="A926" s="2"/>
      <c r="B926" s="1"/>
      <c r="C926" s="1"/>
      <c r="D926" s="1"/>
      <c r="E926" s="1"/>
      <c r="F926" s="2"/>
      <c r="G926" s="2"/>
      <c r="H926" s="2"/>
      <c r="I926" s="2"/>
      <c r="J926" s="2"/>
      <c r="K926" s="2"/>
      <c r="L926" s="2"/>
      <c r="M926" s="2"/>
      <c r="N926" s="2"/>
      <c r="O926" s="2"/>
      <c r="P926" s="2"/>
      <c r="Q926" s="2"/>
      <c r="R926" s="2"/>
      <c r="S926" s="2"/>
      <c r="T926" s="2"/>
      <c r="U926" s="2"/>
      <c r="V926" s="2"/>
      <c r="W926" s="2"/>
      <c r="X926" s="2"/>
      <c r="Y926" s="2"/>
    </row>
    <row r="927" spans="1:25" ht="14.25" customHeight="1" x14ac:dyDescent="0.3">
      <c r="A927" s="2"/>
      <c r="B927" s="1"/>
      <c r="C927" s="1"/>
      <c r="D927" s="1"/>
      <c r="E927" s="1"/>
      <c r="F927" s="2"/>
      <c r="G927" s="2"/>
      <c r="H927" s="2"/>
      <c r="I927" s="2"/>
      <c r="J927" s="2"/>
      <c r="K927" s="2"/>
      <c r="L927" s="2"/>
      <c r="M927" s="2"/>
      <c r="N927" s="2"/>
      <c r="O927" s="2"/>
      <c r="P927" s="2"/>
      <c r="Q927" s="2"/>
      <c r="R927" s="2"/>
      <c r="S927" s="2"/>
      <c r="T927" s="2"/>
      <c r="U927" s="2"/>
      <c r="V927" s="2"/>
      <c r="W927" s="2"/>
      <c r="X927" s="2"/>
      <c r="Y927" s="2"/>
    </row>
    <row r="928" spans="1:25" ht="14.25" customHeight="1" x14ac:dyDescent="0.3">
      <c r="A928" s="2"/>
      <c r="B928" s="1"/>
      <c r="C928" s="1"/>
      <c r="D928" s="1"/>
      <c r="E928" s="1"/>
      <c r="F928" s="2"/>
      <c r="G928" s="2"/>
      <c r="H928" s="2"/>
      <c r="I928" s="2"/>
      <c r="J928" s="2"/>
      <c r="K928" s="2"/>
      <c r="L928" s="2"/>
      <c r="M928" s="2"/>
      <c r="N928" s="2"/>
      <c r="O928" s="2"/>
      <c r="P928" s="2"/>
      <c r="Q928" s="2"/>
      <c r="R928" s="2"/>
      <c r="S928" s="2"/>
      <c r="T928" s="2"/>
      <c r="U928" s="2"/>
      <c r="V928" s="2"/>
      <c r="W928" s="2"/>
      <c r="X928" s="2"/>
      <c r="Y928" s="2"/>
    </row>
    <row r="929" spans="1:25" ht="14.25" customHeight="1" x14ac:dyDescent="0.3">
      <c r="A929" s="2"/>
      <c r="B929" s="1"/>
      <c r="C929" s="1"/>
      <c r="D929" s="1"/>
      <c r="E929" s="1"/>
      <c r="F929" s="2"/>
      <c r="G929" s="2"/>
      <c r="H929" s="2"/>
      <c r="I929" s="2"/>
      <c r="J929" s="2"/>
      <c r="K929" s="2"/>
      <c r="L929" s="2"/>
      <c r="M929" s="2"/>
      <c r="N929" s="2"/>
      <c r="O929" s="2"/>
      <c r="P929" s="2"/>
      <c r="Q929" s="2"/>
      <c r="R929" s="2"/>
      <c r="S929" s="2"/>
      <c r="T929" s="2"/>
      <c r="U929" s="2"/>
      <c r="V929" s="2"/>
      <c r="W929" s="2"/>
      <c r="X929" s="2"/>
      <c r="Y929" s="2"/>
    </row>
    <row r="930" spans="1:25" ht="14.25" customHeight="1" x14ac:dyDescent="0.3">
      <c r="A930" s="2"/>
      <c r="B930" s="1"/>
      <c r="C930" s="1"/>
      <c r="D930" s="1"/>
      <c r="E930" s="1"/>
      <c r="F930" s="2"/>
      <c r="G930" s="2"/>
      <c r="H930" s="2"/>
      <c r="I930" s="2"/>
      <c r="J930" s="2"/>
      <c r="K930" s="2"/>
      <c r="L930" s="2"/>
      <c r="M930" s="2"/>
      <c r="N930" s="2"/>
      <c r="O930" s="2"/>
      <c r="P930" s="2"/>
      <c r="Q930" s="2"/>
      <c r="R930" s="2"/>
      <c r="S930" s="2"/>
      <c r="T930" s="2"/>
      <c r="U930" s="2"/>
      <c r="V930" s="2"/>
      <c r="W930" s="2"/>
      <c r="X930" s="2"/>
      <c r="Y930" s="2"/>
    </row>
    <row r="931" spans="1:25" ht="14.25" customHeight="1" x14ac:dyDescent="0.3">
      <c r="A931" s="2"/>
      <c r="B931" s="1"/>
      <c r="C931" s="1"/>
      <c r="D931" s="1"/>
      <c r="E931" s="1"/>
      <c r="F931" s="2"/>
      <c r="G931" s="2"/>
      <c r="H931" s="2"/>
      <c r="I931" s="2"/>
      <c r="J931" s="2"/>
      <c r="K931" s="2"/>
      <c r="L931" s="2"/>
      <c r="M931" s="2"/>
      <c r="N931" s="2"/>
      <c r="O931" s="2"/>
      <c r="P931" s="2"/>
      <c r="Q931" s="2"/>
      <c r="R931" s="2"/>
      <c r="S931" s="2"/>
      <c r="T931" s="2"/>
      <c r="U931" s="2"/>
      <c r="V931" s="2"/>
      <c r="W931" s="2"/>
      <c r="X931" s="2"/>
      <c r="Y931" s="2"/>
    </row>
    <row r="932" spans="1:25" ht="14.25" customHeight="1" x14ac:dyDescent="0.3">
      <c r="A932" s="2"/>
      <c r="B932" s="1"/>
      <c r="C932" s="1"/>
      <c r="D932" s="1"/>
      <c r="E932" s="1"/>
      <c r="F932" s="2"/>
      <c r="G932" s="2"/>
      <c r="H932" s="2"/>
      <c r="I932" s="2"/>
      <c r="J932" s="2"/>
      <c r="K932" s="2"/>
      <c r="L932" s="2"/>
      <c r="M932" s="2"/>
      <c r="N932" s="2"/>
      <c r="O932" s="2"/>
      <c r="P932" s="2"/>
      <c r="Q932" s="2"/>
      <c r="R932" s="2"/>
      <c r="S932" s="2"/>
      <c r="T932" s="2"/>
      <c r="U932" s="2"/>
      <c r="V932" s="2"/>
      <c r="W932" s="2"/>
      <c r="X932" s="2"/>
      <c r="Y932" s="2"/>
    </row>
    <row r="933" spans="1:25" ht="14.25" customHeight="1" x14ac:dyDescent="0.3">
      <c r="A933" s="2"/>
      <c r="B933" s="1"/>
      <c r="C933" s="1"/>
      <c r="D933" s="1"/>
      <c r="E933" s="1"/>
      <c r="F933" s="2"/>
      <c r="G933" s="2"/>
      <c r="H933" s="2"/>
      <c r="I933" s="2"/>
      <c r="J933" s="2"/>
      <c r="K933" s="2"/>
      <c r="L933" s="2"/>
      <c r="M933" s="2"/>
      <c r="N933" s="2"/>
      <c r="O933" s="2"/>
      <c r="P933" s="2"/>
      <c r="Q933" s="2"/>
      <c r="R933" s="2"/>
      <c r="S933" s="2"/>
      <c r="T933" s="2"/>
      <c r="U933" s="2"/>
      <c r="V933" s="2"/>
      <c r="W933" s="2"/>
      <c r="X933" s="2"/>
      <c r="Y933" s="2"/>
    </row>
    <row r="934" spans="1:25" ht="14.25" customHeight="1" x14ac:dyDescent="0.3">
      <c r="A934" s="2"/>
      <c r="B934" s="1"/>
      <c r="C934" s="1"/>
      <c r="D934" s="1"/>
      <c r="E934" s="1"/>
      <c r="F934" s="2"/>
      <c r="G934" s="2"/>
      <c r="H934" s="2"/>
      <c r="I934" s="2"/>
      <c r="J934" s="2"/>
      <c r="K934" s="2"/>
      <c r="L934" s="2"/>
      <c r="M934" s="2"/>
      <c r="N934" s="2"/>
      <c r="O934" s="2"/>
      <c r="P934" s="2"/>
      <c r="Q934" s="2"/>
      <c r="R934" s="2"/>
      <c r="S934" s="2"/>
      <c r="T934" s="2"/>
      <c r="U934" s="2"/>
      <c r="V934" s="2"/>
      <c r="W934" s="2"/>
      <c r="X934" s="2"/>
      <c r="Y934" s="2"/>
    </row>
    <row r="935" spans="1:25" ht="14.25" customHeight="1" x14ac:dyDescent="0.3">
      <c r="A935" s="2"/>
      <c r="B935" s="1"/>
      <c r="C935" s="1"/>
      <c r="D935" s="1"/>
      <c r="E935" s="1"/>
      <c r="F935" s="2"/>
      <c r="G935" s="2"/>
      <c r="H935" s="2"/>
      <c r="I935" s="2"/>
      <c r="J935" s="2"/>
      <c r="K935" s="2"/>
      <c r="L935" s="2"/>
      <c r="M935" s="2"/>
      <c r="N935" s="2"/>
      <c r="O935" s="2"/>
      <c r="P935" s="2"/>
      <c r="Q935" s="2"/>
      <c r="R935" s="2"/>
      <c r="S935" s="2"/>
      <c r="T935" s="2"/>
      <c r="U935" s="2"/>
      <c r="V935" s="2"/>
      <c r="W935" s="2"/>
      <c r="X935" s="2"/>
      <c r="Y935" s="2"/>
    </row>
    <row r="936" spans="1:25" ht="14.25" customHeight="1" x14ac:dyDescent="0.3">
      <c r="A936" s="2"/>
      <c r="B936" s="1"/>
      <c r="C936" s="1"/>
      <c r="D936" s="1"/>
      <c r="E936" s="1"/>
      <c r="F936" s="2"/>
      <c r="G936" s="2"/>
      <c r="H936" s="2"/>
      <c r="I936" s="2"/>
      <c r="J936" s="2"/>
      <c r="K936" s="2"/>
      <c r="L936" s="2"/>
      <c r="M936" s="2"/>
      <c r="N936" s="2"/>
      <c r="O936" s="2"/>
      <c r="P936" s="2"/>
      <c r="Q936" s="2"/>
      <c r="R936" s="2"/>
      <c r="S936" s="2"/>
      <c r="T936" s="2"/>
      <c r="U936" s="2"/>
      <c r="V936" s="2"/>
      <c r="W936" s="2"/>
      <c r="X936" s="2"/>
      <c r="Y936" s="2"/>
    </row>
    <row r="937" spans="1:25" ht="14.25" customHeight="1" x14ac:dyDescent="0.3">
      <c r="A937" s="2"/>
      <c r="B937" s="1"/>
      <c r="C937" s="1"/>
      <c r="D937" s="1"/>
      <c r="E937" s="1"/>
      <c r="F937" s="2"/>
      <c r="G937" s="2"/>
      <c r="H937" s="2"/>
      <c r="I937" s="2"/>
      <c r="J937" s="2"/>
      <c r="K937" s="2"/>
      <c r="L937" s="2"/>
      <c r="M937" s="2"/>
      <c r="N937" s="2"/>
      <c r="O937" s="2"/>
      <c r="P937" s="2"/>
      <c r="Q937" s="2"/>
      <c r="R937" s="2"/>
      <c r="S937" s="2"/>
      <c r="T937" s="2"/>
      <c r="U937" s="2"/>
      <c r="V937" s="2"/>
      <c r="W937" s="2"/>
      <c r="X937" s="2"/>
      <c r="Y937" s="2"/>
    </row>
    <row r="938" spans="1:25" ht="14.25" customHeight="1" x14ac:dyDescent="0.3">
      <c r="A938" s="2"/>
      <c r="B938" s="1"/>
      <c r="C938" s="1"/>
      <c r="D938" s="1"/>
      <c r="E938" s="1"/>
      <c r="F938" s="2"/>
      <c r="G938" s="2"/>
      <c r="H938" s="2"/>
      <c r="I938" s="2"/>
      <c r="J938" s="2"/>
      <c r="K938" s="2"/>
      <c r="L938" s="2"/>
      <c r="M938" s="2"/>
      <c r="N938" s="2"/>
      <c r="O938" s="2"/>
      <c r="P938" s="2"/>
      <c r="Q938" s="2"/>
      <c r="R938" s="2"/>
      <c r="S938" s="2"/>
      <c r="T938" s="2"/>
      <c r="U938" s="2"/>
      <c r="V938" s="2"/>
      <c r="W938" s="2"/>
      <c r="X938" s="2"/>
      <c r="Y938" s="2"/>
    </row>
    <row r="939" spans="1:25" ht="14.25" customHeight="1" x14ac:dyDescent="0.3">
      <c r="A939" s="2"/>
      <c r="B939" s="1"/>
      <c r="C939" s="1"/>
      <c r="D939" s="1"/>
      <c r="E939" s="1"/>
      <c r="F939" s="2"/>
      <c r="G939" s="2"/>
      <c r="H939" s="2"/>
      <c r="I939" s="2"/>
      <c r="J939" s="2"/>
      <c r="K939" s="2"/>
      <c r="L939" s="2"/>
      <c r="M939" s="2"/>
      <c r="N939" s="2"/>
      <c r="O939" s="2"/>
      <c r="P939" s="2"/>
      <c r="Q939" s="2"/>
      <c r="R939" s="2"/>
      <c r="S939" s="2"/>
      <c r="T939" s="2"/>
      <c r="U939" s="2"/>
      <c r="V939" s="2"/>
      <c r="W939" s="2"/>
      <c r="X939" s="2"/>
      <c r="Y939" s="2"/>
    </row>
    <row r="940" spans="1:25" ht="14.25" customHeight="1" x14ac:dyDescent="0.3">
      <c r="A940" s="2"/>
      <c r="B940" s="1"/>
      <c r="C940" s="1"/>
      <c r="D940" s="1"/>
      <c r="E940" s="1"/>
      <c r="F940" s="2"/>
      <c r="G940" s="2"/>
      <c r="H940" s="2"/>
      <c r="I940" s="2"/>
      <c r="J940" s="2"/>
      <c r="K940" s="2"/>
      <c r="L940" s="2"/>
      <c r="M940" s="2"/>
      <c r="N940" s="2"/>
      <c r="O940" s="2"/>
      <c r="P940" s="2"/>
      <c r="Q940" s="2"/>
      <c r="R940" s="2"/>
      <c r="S940" s="2"/>
      <c r="T940" s="2"/>
      <c r="U940" s="2"/>
      <c r="V940" s="2"/>
      <c r="W940" s="2"/>
      <c r="X940" s="2"/>
      <c r="Y940" s="2"/>
    </row>
    <row r="941" spans="1:25" ht="14.25" customHeight="1" x14ac:dyDescent="0.3">
      <c r="A941" s="2"/>
      <c r="B941" s="1"/>
      <c r="C941" s="1"/>
      <c r="D941" s="1"/>
      <c r="E941" s="1"/>
      <c r="F941" s="2"/>
      <c r="G941" s="2"/>
      <c r="H941" s="2"/>
      <c r="I941" s="2"/>
      <c r="J941" s="2"/>
      <c r="K941" s="2"/>
      <c r="L941" s="2"/>
      <c r="M941" s="2"/>
      <c r="N941" s="2"/>
      <c r="O941" s="2"/>
      <c r="P941" s="2"/>
      <c r="Q941" s="2"/>
      <c r="R941" s="2"/>
      <c r="S941" s="2"/>
      <c r="T941" s="2"/>
      <c r="U941" s="2"/>
      <c r="V941" s="2"/>
      <c r="W941" s="2"/>
      <c r="X941" s="2"/>
      <c r="Y941" s="2"/>
    </row>
    <row r="942" spans="1:25" ht="14.25" customHeight="1" x14ac:dyDescent="0.3">
      <c r="A942" s="2"/>
      <c r="B942" s="1"/>
      <c r="C942" s="1"/>
      <c r="D942" s="1"/>
      <c r="E942" s="1"/>
      <c r="F942" s="2"/>
      <c r="G942" s="2"/>
      <c r="H942" s="2"/>
      <c r="I942" s="2"/>
      <c r="J942" s="2"/>
      <c r="K942" s="2"/>
      <c r="L942" s="2"/>
      <c r="M942" s="2"/>
      <c r="N942" s="2"/>
      <c r="O942" s="2"/>
      <c r="P942" s="2"/>
      <c r="Q942" s="2"/>
      <c r="R942" s="2"/>
      <c r="S942" s="2"/>
      <c r="T942" s="2"/>
      <c r="U942" s="2"/>
      <c r="V942" s="2"/>
      <c r="W942" s="2"/>
      <c r="X942" s="2"/>
      <c r="Y942" s="2"/>
    </row>
    <row r="943" spans="1:25" ht="14.25" customHeight="1" x14ac:dyDescent="0.3">
      <c r="A943" s="2"/>
      <c r="B943" s="1"/>
      <c r="C943" s="1"/>
      <c r="D943" s="1"/>
      <c r="E943" s="1"/>
      <c r="F943" s="2"/>
      <c r="G943" s="2"/>
      <c r="H943" s="2"/>
      <c r="I943" s="2"/>
      <c r="J943" s="2"/>
      <c r="K943" s="2"/>
      <c r="L943" s="2"/>
      <c r="M943" s="2"/>
      <c r="N943" s="2"/>
      <c r="O943" s="2"/>
      <c r="P943" s="2"/>
      <c r="Q943" s="2"/>
      <c r="R943" s="2"/>
      <c r="S943" s="2"/>
      <c r="T943" s="2"/>
      <c r="U943" s="2"/>
      <c r="V943" s="2"/>
      <c r="W943" s="2"/>
      <c r="X943" s="2"/>
      <c r="Y943" s="2"/>
    </row>
    <row r="944" spans="1:25" ht="14.25" customHeight="1" x14ac:dyDescent="0.3">
      <c r="A944" s="2"/>
      <c r="B944" s="1"/>
      <c r="C944" s="1"/>
      <c r="D944" s="1"/>
      <c r="E944" s="1"/>
      <c r="F944" s="2"/>
      <c r="G944" s="2"/>
      <c r="H944" s="2"/>
      <c r="I944" s="2"/>
      <c r="J944" s="2"/>
      <c r="K944" s="2"/>
      <c r="L944" s="2"/>
      <c r="M944" s="2"/>
      <c r="N944" s="2"/>
      <c r="O944" s="2"/>
      <c r="P944" s="2"/>
      <c r="Q944" s="2"/>
      <c r="R944" s="2"/>
      <c r="S944" s="2"/>
      <c r="T944" s="2"/>
      <c r="U944" s="2"/>
      <c r="V944" s="2"/>
      <c r="W944" s="2"/>
      <c r="X944" s="2"/>
      <c r="Y944" s="2"/>
    </row>
    <row r="945" spans="1:25" ht="14.25" customHeight="1" x14ac:dyDescent="0.3">
      <c r="A945" s="2"/>
      <c r="B945" s="1"/>
      <c r="C945" s="1"/>
      <c r="D945" s="1"/>
      <c r="E945" s="1"/>
      <c r="F945" s="2"/>
      <c r="G945" s="2"/>
      <c r="H945" s="2"/>
      <c r="I945" s="2"/>
      <c r="J945" s="2"/>
      <c r="K945" s="2"/>
      <c r="L945" s="2"/>
      <c r="M945" s="2"/>
      <c r="N945" s="2"/>
      <c r="O945" s="2"/>
      <c r="P945" s="2"/>
      <c r="Q945" s="2"/>
      <c r="R945" s="2"/>
      <c r="S945" s="2"/>
      <c r="T945" s="2"/>
      <c r="U945" s="2"/>
      <c r="V945" s="2"/>
      <c r="W945" s="2"/>
      <c r="X945" s="2"/>
      <c r="Y945" s="2"/>
    </row>
    <row r="946" spans="1:25" ht="14.25" customHeight="1" x14ac:dyDescent="0.3">
      <c r="A946" s="2"/>
      <c r="B946" s="1"/>
      <c r="C946" s="1"/>
      <c r="D946" s="1"/>
      <c r="E946" s="1"/>
      <c r="F946" s="2"/>
      <c r="G946" s="2"/>
      <c r="H946" s="2"/>
      <c r="I946" s="2"/>
      <c r="J946" s="2"/>
      <c r="K946" s="2"/>
      <c r="L946" s="2"/>
      <c r="M946" s="2"/>
      <c r="N946" s="2"/>
      <c r="O946" s="2"/>
      <c r="P946" s="2"/>
      <c r="Q946" s="2"/>
      <c r="R946" s="2"/>
      <c r="S946" s="2"/>
      <c r="T946" s="2"/>
      <c r="U946" s="2"/>
      <c r="V946" s="2"/>
      <c r="W946" s="2"/>
      <c r="X946" s="2"/>
      <c r="Y946" s="2"/>
    </row>
    <row r="947" spans="1:25" ht="14.25" customHeight="1" x14ac:dyDescent="0.3">
      <c r="A947" s="2"/>
      <c r="B947" s="1"/>
      <c r="C947" s="1"/>
      <c r="D947" s="1"/>
      <c r="E947" s="1"/>
      <c r="F947" s="2"/>
      <c r="G947" s="2"/>
      <c r="H947" s="2"/>
      <c r="I947" s="2"/>
      <c r="J947" s="2"/>
      <c r="K947" s="2"/>
      <c r="L947" s="2"/>
      <c r="M947" s="2"/>
      <c r="N947" s="2"/>
      <c r="O947" s="2"/>
      <c r="P947" s="2"/>
      <c r="Q947" s="2"/>
      <c r="R947" s="2"/>
      <c r="S947" s="2"/>
      <c r="T947" s="2"/>
      <c r="U947" s="2"/>
      <c r="V947" s="2"/>
      <c r="W947" s="2"/>
      <c r="X947" s="2"/>
      <c r="Y947" s="2"/>
    </row>
    <row r="948" spans="1:25" ht="14.25" customHeight="1" x14ac:dyDescent="0.3">
      <c r="A948" s="2"/>
      <c r="B948" s="1"/>
      <c r="C948" s="1"/>
      <c r="D948" s="1"/>
      <c r="E948" s="1"/>
      <c r="F948" s="2"/>
      <c r="G948" s="2"/>
      <c r="H948" s="2"/>
      <c r="I948" s="2"/>
      <c r="J948" s="2"/>
      <c r="K948" s="2"/>
      <c r="L948" s="2"/>
      <c r="M948" s="2"/>
      <c r="N948" s="2"/>
      <c r="O948" s="2"/>
      <c r="P948" s="2"/>
      <c r="Q948" s="2"/>
      <c r="R948" s="2"/>
      <c r="S948" s="2"/>
      <c r="T948" s="2"/>
      <c r="U948" s="2"/>
      <c r="V948" s="2"/>
      <c r="W948" s="2"/>
      <c r="X948" s="2"/>
      <c r="Y948" s="2"/>
    </row>
    <row r="949" spans="1:25" ht="14.25" customHeight="1" x14ac:dyDescent="0.3">
      <c r="A949" s="2"/>
      <c r="B949" s="1"/>
      <c r="C949" s="1"/>
      <c r="D949" s="1"/>
      <c r="E949" s="1"/>
      <c r="F949" s="2"/>
      <c r="G949" s="2"/>
      <c r="H949" s="2"/>
      <c r="I949" s="2"/>
      <c r="J949" s="2"/>
      <c r="K949" s="2"/>
      <c r="L949" s="2"/>
      <c r="M949" s="2"/>
      <c r="N949" s="2"/>
      <c r="O949" s="2"/>
      <c r="P949" s="2"/>
      <c r="Q949" s="2"/>
      <c r="R949" s="2"/>
      <c r="S949" s="2"/>
      <c r="T949" s="2"/>
      <c r="U949" s="2"/>
      <c r="V949" s="2"/>
      <c r="W949" s="2"/>
      <c r="X949" s="2"/>
      <c r="Y949" s="2"/>
    </row>
    <row r="950" spans="1:25" ht="14.25" customHeight="1" x14ac:dyDescent="0.3">
      <c r="A950" s="2"/>
      <c r="B950" s="1"/>
      <c r="C950" s="1"/>
      <c r="D950" s="1"/>
      <c r="E950" s="1"/>
      <c r="F950" s="2"/>
      <c r="G950" s="2"/>
      <c r="H950" s="2"/>
      <c r="I950" s="2"/>
      <c r="J950" s="2"/>
      <c r="K950" s="2"/>
      <c r="L950" s="2"/>
      <c r="M950" s="2"/>
      <c r="N950" s="2"/>
      <c r="O950" s="2"/>
      <c r="P950" s="2"/>
      <c r="Q950" s="2"/>
      <c r="R950" s="2"/>
      <c r="S950" s="2"/>
      <c r="T950" s="2"/>
      <c r="U950" s="2"/>
      <c r="V950" s="2"/>
      <c r="W950" s="2"/>
      <c r="X950" s="2"/>
      <c r="Y950" s="2"/>
    </row>
    <row r="951" spans="1:25" ht="14.25" customHeight="1" x14ac:dyDescent="0.3">
      <c r="A951" s="2"/>
      <c r="B951" s="1"/>
      <c r="C951" s="1"/>
      <c r="D951" s="1"/>
      <c r="E951" s="1"/>
      <c r="F951" s="2"/>
      <c r="G951" s="2"/>
      <c r="H951" s="2"/>
      <c r="I951" s="2"/>
      <c r="J951" s="2"/>
      <c r="K951" s="2"/>
      <c r="L951" s="2"/>
      <c r="M951" s="2"/>
      <c r="N951" s="2"/>
      <c r="O951" s="2"/>
      <c r="P951" s="2"/>
      <c r="Q951" s="2"/>
      <c r="R951" s="2"/>
      <c r="S951" s="2"/>
      <c r="T951" s="2"/>
      <c r="U951" s="2"/>
      <c r="V951" s="2"/>
      <c r="W951" s="2"/>
      <c r="X951" s="2"/>
      <c r="Y951" s="2"/>
    </row>
    <row r="952" spans="1:25" ht="14.25" customHeight="1" x14ac:dyDescent="0.3">
      <c r="A952" s="2"/>
      <c r="B952" s="1"/>
      <c r="C952" s="1"/>
      <c r="D952" s="1"/>
      <c r="E952" s="1"/>
      <c r="F952" s="2"/>
      <c r="G952" s="2"/>
      <c r="H952" s="2"/>
      <c r="I952" s="2"/>
      <c r="J952" s="2"/>
      <c r="K952" s="2"/>
      <c r="L952" s="2"/>
      <c r="M952" s="2"/>
      <c r="N952" s="2"/>
      <c r="O952" s="2"/>
      <c r="P952" s="2"/>
      <c r="Q952" s="2"/>
      <c r="R952" s="2"/>
      <c r="S952" s="2"/>
      <c r="T952" s="2"/>
      <c r="U952" s="2"/>
      <c r="V952" s="2"/>
      <c r="W952" s="2"/>
      <c r="X952" s="2"/>
      <c r="Y952" s="2"/>
    </row>
    <row r="953" spans="1:25" ht="14.25" customHeight="1" x14ac:dyDescent="0.3">
      <c r="A953" s="2"/>
      <c r="B953" s="1"/>
      <c r="C953" s="1"/>
      <c r="D953" s="1"/>
      <c r="E953" s="1"/>
      <c r="F953" s="2"/>
      <c r="G953" s="2"/>
      <c r="H953" s="2"/>
      <c r="I953" s="2"/>
      <c r="J953" s="2"/>
      <c r="K953" s="2"/>
      <c r="L953" s="2"/>
      <c r="M953" s="2"/>
      <c r="N953" s="2"/>
      <c r="O953" s="2"/>
      <c r="P953" s="2"/>
      <c r="Q953" s="2"/>
      <c r="R953" s="2"/>
      <c r="S953" s="2"/>
      <c r="T953" s="2"/>
      <c r="U953" s="2"/>
      <c r="V953" s="2"/>
      <c r="W953" s="2"/>
      <c r="X953" s="2"/>
      <c r="Y953" s="2"/>
    </row>
    <row r="954" spans="1:25" ht="14.25" customHeight="1" x14ac:dyDescent="0.3">
      <c r="A954" s="2"/>
      <c r="B954" s="1"/>
      <c r="C954" s="1"/>
      <c r="D954" s="1"/>
      <c r="E954" s="1"/>
      <c r="F954" s="2"/>
      <c r="G954" s="2"/>
      <c r="H954" s="2"/>
      <c r="I954" s="2"/>
      <c r="J954" s="2"/>
      <c r="K954" s="2"/>
      <c r="L954" s="2"/>
      <c r="M954" s="2"/>
      <c r="N954" s="2"/>
      <c r="O954" s="2"/>
      <c r="P954" s="2"/>
      <c r="Q954" s="2"/>
      <c r="R954" s="2"/>
      <c r="S954" s="2"/>
      <c r="T954" s="2"/>
      <c r="U954" s="2"/>
      <c r="V954" s="2"/>
      <c r="W954" s="2"/>
      <c r="X954" s="2"/>
      <c r="Y954" s="2"/>
    </row>
    <row r="955" spans="1:25" ht="14.25" customHeight="1" x14ac:dyDescent="0.3">
      <c r="A955" s="2"/>
      <c r="B955" s="1"/>
      <c r="C955" s="1"/>
      <c r="D955" s="1"/>
      <c r="E955" s="1"/>
      <c r="F955" s="2"/>
      <c r="G955" s="2"/>
      <c r="H955" s="2"/>
      <c r="I955" s="2"/>
      <c r="J955" s="2"/>
      <c r="K955" s="2"/>
      <c r="L955" s="2"/>
      <c r="M955" s="2"/>
      <c r="N955" s="2"/>
      <c r="O955" s="2"/>
      <c r="P955" s="2"/>
      <c r="Q955" s="2"/>
      <c r="R955" s="2"/>
      <c r="S955" s="2"/>
      <c r="T955" s="2"/>
      <c r="U955" s="2"/>
      <c r="V955" s="2"/>
      <c r="W955" s="2"/>
      <c r="X955" s="2"/>
      <c r="Y955" s="2"/>
    </row>
    <row r="956" spans="1:25" ht="14.25" customHeight="1" x14ac:dyDescent="0.3">
      <c r="A956" s="2"/>
      <c r="B956" s="1"/>
      <c r="C956" s="1"/>
      <c r="D956" s="1"/>
      <c r="E956" s="1"/>
      <c r="F956" s="2"/>
      <c r="G956" s="2"/>
      <c r="H956" s="2"/>
      <c r="I956" s="2"/>
      <c r="J956" s="2"/>
      <c r="K956" s="2"/>
      <c r="L956" s="2"/>
      <c r="M956" s="2"/>
      <c r="N956" s="2"/>
      <c r="O956" s="2"/>
      <c r="P956" s="2"/>
      <c r="Q956" s="2"/>
      <c r="R956" s="2"/>
      <c r="S956" s="2"/>
      <c r="T956" s="2"/>
      <c r="U956" s="2"/>
      <c r="V956" s="2"/>
      <c r="W956" s="2"/>
      <c r="X956" s="2"/>
      <c r="Y956" s="2"/>
    </row>
    <row r="957" spans="1:25" ht="14.25" customHeight="1" x14ac:dyDescent="0.3">
      <c r="A957" s="2"/>
      <c r="B957" s="1"/>
      <c r="C957" s="1"/>
      <c r="D957" s="1"/>
      <c r="E957" s="1"/>
      <c r="F957" s="2"/>
      <c r="G957" s="2"/>
      <c r="H957" s="2"/>
      <c r="I957" s="2"/>
      <c r="J957" s="2"/>
      <c r="K957" s="2"/>
      <c r="L957" s="2"/>
      <c r="M957" s="2"/>
      <c r="N957" s="2"/>
      <c r="O957" s="2"/>
      <c r="P957" s="2"/>
      <c r="Q957" s="2"/>
      <c r="R957" s="2"/>
      <c r="S957" s="2"/>
      <c r="T957" s="2"/>
      <c r="U957" s="2"/>
      <c r="V957" s="2"/>
      <c r="W957" s="2"/>
      <c r="X957" s="2"/>
      <c r="Y957" s="2"/>
    </row>
    <row r="958" spans="1:25" ht="14.25" customHeight="1" x14ac:dyDescent="0.3">
      <c r="A958" s="2"/>
      <c r="B958" s="1"/>
      <c r="C958" s="1"/>
      <c r="D958" s="1"/>
      <c r="E958" s="1"/>
      <c r="F958" s="2"/>
      <c r="G958" s="2"/>
      <c r="H958" s="2"/>
      <c r="I958" s="2"/>
      <c r="J958" s="2"/>
      <c r="K958" s="2"/>
      <c r="L958" s="2"/>
      <c r="M958" s="2"/>
      <c r="N958" s="2"/>
      <c r="O958" s="2"/>
      <c r="P958" s="2"/>
      <c r="Q958" s="2"/>
      <c r="R958" s="2"/>
      <c r="S958" s="2"/>
      <c r="T958" s="2"/>
      <c r="U958" s="2"/>
      <c r="V958" s="2"/>
      <c r="W958" s="2"/>
      <c r="X958" s="2"/>
      <c r="Y958" s="2"/>
    </row>
    <row r="959" spans="1:25" ht="14.25" customHeight="1" x14ac:dyDescent="0.3">
      <c r="A959" s="2"/>
      <c r="B959" s="1"/>
      <c r="C959" s="1"/>
      <c r="D959" s="1"/>
      <c r="E959" s="1"/>
      <c r="F959" s="2"/>
      <c r="G959" s="2"/>
      <c r="H959" s="2"/>
      <c r="I959" s="2"/>
      <c r="J959" s="2"/>
      <c r="K959" s="2"/>
      <c r="L959" s="2"/>
      <c r="M959" s="2"/>
      <c r="N959" s="2"/>
      <c r="O959" s="2"/>
      <c r="P959" s="2"/>
      <c r="Q959" s="2"/>
      <c r="R959" s="2"/>
      <c r="S959" s="2"/>
      <c r="T959" s="2"/>
      <c r="U959" s="2"/>
      <c r="V959" s="2"/>
      <c r="W959" s="2"/>
      <c r="X959" s="2"/>
      <c r="Y959" s="2"/>
    </row>
    <row r="960" spans="1:25" ht="14.25" customHeight="1" x14ac:dyDescent="0.3">
      <c r="A960" s="2"/>
      <c r="B960" s="1"/>
      <c r="C960" s="1"/>
      <c r="D960" s="1"/>
      <c r="E960" s="1"/>
      <c r="F960" s="2"/>
      <c r="G960" s="2"/>
      <c r="H960" s="2"/>
      <c r="I960" s="2"/>
      <c r="J960" s="2"/>
      <c r="K960" s="2"/>
      <c r="L960" s="2"/>
      <c r="M960" s="2"/>
      <c r="N960" s="2"/>
      <c r="O960" s="2"/>
      <c r="P960" s="2"/>
      <c r="Q960" s="2"/>
      <c r="R960" s="2"/>
      <c r="S960" s="2"/>
      <c r="T960" s="2"/>
      <c r="U960" s="2"/>
      <c r="V960" s="2"/>
      <c r="W960" s="2"/>
      <c r="X960" s="2"/>
      <c r="Y960" s="2"/>
    </row>
    <row r="961" spans="1:25" ht="14.25" customHeight="1" x14ac:dyDescent="0.3">
      <c r="A961" s="2"/>
      <c r="B961" s="1"/>
      <c r="C961" s="1"/>
      <c r="D961" s="1"/>
      <c r="E961" s="1"/>
      <c r="F961" s="2"/>
      <c r="G961" s="2"/>
      <c r="H961" s="2"/>
      <c r="I961" s="2"/>
      <c r="J961" s="2"/>
      <c r="K961" s="2"/>
      <c r="L961" s="2"/>
      <c r="M961" s="2"/>
      <c r="N961" s="2"/>
      <c r="O961" s="2"/>
      <c r="P961" s="2"/>
      <c r="Q961" s="2"/>
      <c r="R961" s="2"/>
      <c r="S961" s="2"/>
      <c r="T961" s="2"/>
      <c r="U961" s="2"/>
      <c r="V961" s="2"/>
      <c r="W961" s="2"/>
      <c r="X961" s="2"/>
      <c r="Y961" s="2"/>
    </row>
    <row r="962" spans="1:25" ht="14.25" customHeight="1" x14ac:dyDescent="0.3">
      <c r="A962" s="2"/>
      <c r="B962" s="1"/>
      <c r="C962" s="1"/>
      <c r="D962" s="1"/>
      <c r="E962" s="1"/>
      <c r="F962" s="2"/>
      <c r="G962" s="2"/>
      <c r="H962" s="2"/>
      <c r="I962" s="2"/>
      <c r="J962" s="2"/>
      <c r="K962" s="2"/>
      <c r="L962" s="2"/>
      <c r="M962" s="2"/>
      <c r="N962" s="2"/>
      <c r="O962" s="2"/>
      <c r="P962" s="2"/>
      <c r="Q962" s="2"/>
      <c r="R962" s="2"/>
      <c r="S962" s="2"/>
      <c r="T962" s="2"/>
      <c r="U962" s="2"/>
      <c r="V962" s="2"/>
      <c r="W962" s="2"/>
      <c r="X962" s="2"/>
      <c r="Y962" s="2"/>
    </row>
    <row r="963" spans="1:25" ht="14.25" customHeight="1" x14ac:dyDescent="0.3">
      <c r="A963" s="2"/>
      <c r="B963" s="1"/>
      <c r="C963" s="1"/>
      <c r="D963" s="1"/>
      <c r="E963" s="1"/>
      <c r="F963" s="2"/>
      <c r="G963" s="2"/>
      <c r="H963" s="2"/>
      <c r="I963" s="2"/>
      <c r="J963" s="2"/>
      <c r="K963" s="2"/>
      <c r="L963" s="2"/>
      <c r="M963" s="2"/>
      <c r="N963" s="2"/>
      <c r="O963" s="2"/>
      <c r="P963" s="2"/>
      <c r="Q963" s="2"/>
      <c r="R963" s="2"/>
      <c r="S963" s="2"/>
      <c r="T963" s="2"/>
      <c r="U963" s="2"/>
      <c r="V963" s="2"/>
      <c r="W963" s="2"/>
      <c r="X963" s="2"/>
      <c r="Y963" s="2"/>
    </row>
    <row r="964" spans="1:25" ht="14.25" customHeight="1" x14ac:dyDescent="0.3">
      <c r="A964" s="2"/>
      <c r="B964" s="1"/>
      <c r="C964" s="1"/>
      <c r="D964" s="1"/>
      <c r="E964" s="1"/>
      <c r="F964" s="2"/>
      <c r="G964" s="2"/>
      <c r="H964" s="2"/>
      <c r="I964" s="2"/>
      <c r="J964" s="2"/>
      <c r="K964" s="2"/>
      <c r="L964" s="2"/>
      <c r="M964" s="2"/>
      <c r="N964" s="2"/>
      <c r="O964" s="2"/>
      <c r="P964" s="2"/>
      <c r="Q964" s="2"/>
      <c r="R964" s="2"/>
      <c r="S964" s="2"/>
      <c r="T964" s="2"/>
      <c r="U964" s="2"/>
      <c r="V964" s="2"/>
      <c r="W964" s="2"/>
      <c r="X964" s="2"/>
      <c r="Y964" s="2"/>
    </row>
    <row r="965" spans="1:25" ht="14.25" customHeight="1" x14ac:dyDescent="0.3">
      <c r="A965" s="2"/>
      <c r="B965" s="1"/>
      <c r="C965" s="1"/>
      <c r="D965" s="1"/>
      <c r="E965" s="1"/>
      <c r="F965" s="2"/>
      <c r="G965" s="2"/>
      <c r="H965" s="2"/>
      <c r="I965" s="2"/>
      <c r="J965" s="2"/>
      <c r="K965" s="2"/>
      <c r="L965" s="2"/>
      <c r="M965" s="2"/>
      <c r="N965" s="2"/>
      <c r="O965" s="2"/>
      <c r="P965" s="2"/>
      <c r="Q965" s="2"/>
      <c r="R965" s="2"/>
      <c r="S965" s="2"/>
      <c r="T965" s="2"/>
      <c r="U965" s="2"/>
      <c r="V965" s="2"/>
      <c r="W965" s="2"/>
      <c r="X965" s="2"/>
      <c r="Y965" s="2"/>
    </row>
    <row r="966" spans="1:25" ht="14.25" customHeight="1" x14ac:dyDescent="0.3">
      <c r="A966" s="2"/>
      <c r="B966" s="1"/>
      <c r="C966" s="1"/>
      <c r="D966" s="1"/>
      <c r="E966" s="1"/>
      <c r="F966" s="2"/>
      <c r="G966" s="2"/>
      <c r="H966" s="2"/>
      <c r="I966" s="2"/>
      <c r="J966" s="2"/>
      <c r="K966" s="2"/>
      <c r="L966" s="2"/>
      <c r="M966" s="2"/>
      <c r="N966" s="2"/>
      <c r="O966" s="2"/>
      <c r="P966" s="2"/>
      <c r="Q966" s="2"/>
      <c r="R966" s="2"/>
      <c r="S966" s="2"/>
      <c r="T966" s="2"/>
      <c r="U966" s="2"/>
      <c r="V966" s="2"/>
      <c r="W966" s="2"/>
      <c r="X966" s="2"/>
      <c r="Y966" s="2"/>
    </row>
    <row r="967" spans="1:25" ht="14.25" customHeight="1" x14ac:dyDescent="0.3">
      <c r="A967" s="2"/>
      <c r="B967" s="1"/>
      <c r="C967" s="1"/>
      <c r="D967" s="1"/>
      <c r="E967" s="1"/>
      <c r="F967" s="2"/>
      <c r="G967" s="2"/>
      <c r="H967" s="2"/>
      <c r="I967" s="2"/>
      <c r="J967" s="2"/>
      <c r="K967" s="2"/>
      <c r="L967" s="2"/>
      <c r="M967" s="2"/>
      <c r="N967" s="2"/>
      <c r="O967" s="2"/>
      <c r="P967" s="2"/>
      <c r="Q967" s="2"/>
      <c r="R967" s="2"/>
      <c r="S967" s="2"/>
      <c r="T967" s="2"/>
      <c r="U967" s="2"/>
      <c r="V967" s="2"/>
      <c r="W967" s="2"/>
      <c r="X967" s="2"/>
      <c r="Y967" s="2"/>
    </row>
    <row r="968" spans="1:25" ht="14.25" customHeight="1" x14ac:dyDescent="0.3">
      <c r="A968" s="2"/>
      <c r="B968" s="1"/>
      <c r="C968" s="1"/>
      <c r="D968" s="1"/>
      <c r="E968" s="1"/>
      <c r="F968" s="2"/>
      <c r="G968" s="2"/>
      <c r="H968" s="2"/>
      <c r="I968" s="2"/>
      <c r="J968" s="2"/>
      <c r="K968" s="2"/>
      <c r="L968" s="2"/>
      <c r="M968" s="2"/>
      <c r="N968" s="2"/>
      <c r="O968" s="2"/>
      <c r="P968" s="2"/>
      <c r="Q968" s="2"/>
      <c r="R968" s="2"/>
      <c r="S968" s="2"/>
      <c r="T968" s="2"/>
      <c r="U968" s="2"/>
      <c r="V968" s="2"/>
      <c r="W968" s="2"/>
      <c r="X968" s="2"/>
      <c r="Y968" s="2"/>
    </row>
    <row r="969" spans="1:25" ht="14.25" customHeight="1" x14ac:dyDescent="0.3">
      <c r="A969" s="2"/>
      <c r="B969" s="1"/>
      <c r="C969" s="1"/>
      <c r="D969" s="1"/>
      <c r="E969" s="1"/>
      <c r="F969" s="2"/>
      <c r="G969" s="2"/>
      <c r="H969" s="2"/>
      <c r="I969" s="2"/>
      <c r="J969" s="2"/>
      <c r="K969" s="2"/>
      <c r="L969" s="2"/>
      <c r="M969" s="2"/>
      <c r="N969" s="2"/>
      <c r="O969" s="2"/>
      <c r="P969" s="2"/>
      <c r="Q969" s="2"/>
      <c r="R969" s="2"/>
      <c r="S969" s="2"/>
      <c r="T969" s="2"/>
      <c r="U969" s="2"/>
      <c r="V969" s="2"/>
      <c r="W969" s="2"/>
      <c r="X969" s="2"/>
      <c r="Y969" s="2"/>
    </row>
    <row r="970" spans="1:25" ht="14.25" customHeight="1" x14ac:dyDescent="0.3">
      <c r="A970" s="2"/>
      <c r="B970" s="1"/>
      <c r="C970" s="1"/>
      <c r="D970" s="1"/>
      <c r="E970" s="1"/>
      <c r="F970" s="2"/>
      <c r="G970" s="2"/>
      <c r="H970" s="2"/>
      <c r="I970" s="2"/>
      <c r="J970" s="2"/>
      <c r="K970" s="2"/>
      <c r="L970" s="2"/>
      <c r="M970" s="2"/>
      <c r="N970" s="2"/>
      <c r="O970" s="2"/>
      <c r="P970" s="2"/>
      <c r="Q970" s="2"/>
      <c r="R970" s="2"/>
      <c r="S970" s="2"/>
      <c r="T970" s="2"/>
      <c r="U970" s="2"/>
      <c r="V970" s="2"/>
      <c r="W970" s="2"/>
      <c r="X970" s="2"/>
      <c r="Y970" s="2"/>
    </row>
    <row r="971" spans="1:25" ht="14.25" customHeight="1" x14ac:dyDescent="0.3">
      <c r="A971" s="2"/>
      <c r="B971" s="1"/>
      <c r="C971" s="1"/>
      <c r="D971" s="1"/>
      <c r="E971" s="1"/>
      <c r="F971" s="2"/>
      <c r="G971" s="2"/>
      <c r="H971" s="2"/>
      <c r="I971" s="2"/>
      <c r="J971" s="2"/>
      <c r="K971" s="2"/>
      <c r="L971" s="2"/>
      <c r="M971" s="2"/>
      <c r="N971" s="2"/>
      <c r="O971" s="2"/>
      <c r="P971" s="2"/>
      <c r="Q971" s="2"/>
      <c r="R971" s="2"/>
      <c r="S971" s="2"/>
      <c r="T971" s="2"/>
      <c r="U971" s="2"/>
      <c r="V971" s="2"/>
      <c r="W971" s="2"/>
      <c r="X971" s="2"/>
      <c r="Y971" s="2"/>
    </row>
    <row r="972" spans="1:25" ht="14.25" customHeight="1" x14ac:dyDescent="0.3">
      <c r="A972" s="2"/>
      <c r="B972" s="1"/>
      <c r="C972" s="1"/>
      <c r="D972" s="1"/>
      <c r="E972" s="1"/>
      <c r="F972" s="2"/>
      <c r="G972" s="2"/>
      <c r="H972" s="2"/>
      <c r="I972" s="2"/>
      <c r="J972" s="2"/>
      <c r="K972" s="2"/>
      <c r="L972" s="2"/>
      <c r="M972" s="2"/>
      <c r="N972" s="2"/>
      <c r="O972" s="2"/>
      <c r="P972" s="2"/>
      <c r="Q972" s="2"/>
      <c r="R972" s="2"/>
      <c r="S972" s="2"/>
      <c r="T972" s="2"/>
      <c r="U972" s="2"/>
      <c r="V972" s="2"/>
      <c r="W972" s="2"/>
      <c r="X972" s="2"/>
      <c r="Y972" s="2"/>
    </row>
    <row r="973" spans="1:25" ht="14.25" customHeight="1" x14ac:dyDescent="0.3">
      <c r="A973" s="2"/>
      <c r="B973" s="1"/>
      <c r="C973" s="1"/>
      <c r="D973" s="1"/>
      <c r="E973" s="1"/>
      <c r="F973" s="2"/>
      <c r="G973" s="2"/>
      <c r="H973" s="2"/>
      <c r="I973" s="2"/>
      <c r="J973" s="2"/>
      <c r="K973" s="2"/>
      <c r="L973" s="2"/>
      <c r="M973" s="2"/>
      <c r="N973" s="2"/>
      <c r="O973" s="2"/>
      <c r="P973" s="2"/>
      <c r="Q973" s="2"/>
      <c r="R973" s="2"/>
      <c r="S973" s="2"/>
      <c r="T973" s="2"/>
      <c r="U973" s="2"/>
      <c r="V973" s="2"/>
      <c r="W973" s="2"/>
      <c r="X973" s="2"/>
      <c r="Y973" s="2"/>
    </row>
    <row r="974" spans="1:25" ht="14.25" customHeight="1" x14ac:dyDescent="0.3">
      <c r="A974" s="2"/>
      <c r="B974" s="1"/>
      <c r="C974" s="1"/>
      <c r="D974" s="1"/>
      <c r="E974" s="1"/>
      <c r="F974" s="2"/>
      <c r="G974" s="2"/>
      <c r="H974" s="2"/>
      <c r="I974" s="2"/>
      <c r="J974" s="2"/>
      <c r="K974" s="2"/>
      <c r="L974" s="2"/>
      <c r="M974" s="2"/>
      <c r="N974" s="2"/>
      <c r="O974" s="2"/>
      <c r="P974" s="2"/>
      <c r="Q974" s="2"/>
      <c r="R974" s="2"/>
      <c r="S974" s="2"/>
      <c r="T974" s="2"/>
      <c r="U974" s="2"/>
      <c r="V974" s="2"/>
      <c r="W974" s="2"/>
      <c r="X974" s="2"/>
      <c r="Y974" s="2"/>
    </row>
    <row r="975" spans="1:25" ht="14.25" customHeight="1" x14ac:dyDescent="0.3">
      <c r="A975" s="2"/>
      <c r="B975" s="1"/>
      <c r="C975" s="1"/>
      <c r="D975" s="1"/>
      <c r="E975" s="1"/>
      <c r="F975" s="2"/>
      <c r="G975" s="2"/>
      <c r="H975" s="2"/>
      <c r="I975" s="2"/>
      <c r="J975" s="2"/>
      <c r="K975" s="2"/>
      <c r="L975" s="2"/>
      <c r="M975" s="2"/>
      <c r="N975" s="2"/>
      <c r="O975" s="2"/>
      <c r="P975" s="2"/>
      <c r="Q975" s="2"/>
      <c r="R975" s="2"/>
      <c r="S975" s="2"/>
      <c r="T975" s="2"/>
      <c r="U975" s="2"/>
      <c r="V975" s="2"/>
      <c r="W975" s="2"/>
      <c r="X975" s="2"/>
      <c r="Y975" s="2"/>
    </row>
    <row r="976" spans="1:25" ht="14.25" customHeight="1" x14ac:dyDescent="0.3">
      <c r="A976" s="2"/>
      <c r="B976" s="1"/>
      <c r="C976" s="1"/>
      <c r="D976" s="1"/>
      <c r="E976" s="1"/>
      <c r="F976" s="2"/>
      <c r="G976" s="2"/>
      <c r="H976" s="2"/>
      <c r="I976" s="2"/>
      <c r="J976" s="2"/>
      <c r="K976" s="2"/>
      <c r="L976" s="2"/>
      <c r="M976" s="2"/>
      <c r="N976" s="2"/>
      <c r="O976" s="2"/>
      <c r="P976" s="2"/>
      <c r="Q976" s="2"/>
      <c r="R976" s="2"/>
      <c r="S976" s="2"/>
      <c r="T976" s="2"/>
      <c r="U976" s="2"/>
      <c r="V976" s="2"/>
      <c r="W976" s="2"/>
      <c r="X976" s="2"/>
      <c r="Y976" s="2"/>
    </row>
    <row r="977" spans="1:25" ht="14.25" customHeight="1" x14ac:dyDescent="0.3">
      <c r="A977" s="2"/>
      <c r="B977" s="1"/>
      <c r="C977" s="1"/>
      <c r="D977" s="1"/>
      <c r="E977" s="1"/>
      <c r="F977" s="2"/>
      <c r="G977" s="2"/>
      <c r="H977" s="2"/>
      <c r="I977" s="2"/>
      <c r="J977" s="2"/>
      <c r="K977" s="2"/>
      <c r="L977" s="2"/>
      <c r="M977" s="2"/>
      <c r="N977" s="2"/>
      <c r="O977" s="2"/>
      <c r="P977" s="2"/>
      <c r="Q977" s="2"/>
      <c r="R977" s="2"/>
      <c r="S977" s="2"/>
      <c r="T977" s="2"/>
      <c r="U977" s="2"/>
      <c r="V977" s="2"/>
      <c r="W977" s="2"/>
      <c r="X977" s="2"/>
      <c r="Y977" s="2"/>
    </row>
    <row r="978" spans="1:25" ht="14.25" customHeight="1" x14ac:dyDescent="0.3">
      <c r="A978" s="2"/>
      <c r="B978" s="1"/>
      <c r="C978" s="1"/>
      <c r="D978" s="1"/>
      <c r="E978" s="1"/>
      <c r="F978" s="2"/>
      <c r="G978" s="2"/>
      <c r="H978" s="2"/>
      <c r="I978" s="2"/>
      <c r="J978" s="2"/>
      <c r="K978" s="2"/>
      <c r="L978" s="2"/>
      <c r="M978" s="2"/>
      <c r="N978" s="2"/>
      <c r="O978" s="2"/>
      <c r="P978" s="2"/>
      <c r="Q978" s="2"/>
      <c r="R978" s="2"/>
      <c r="S978" s="2"/>
      <c r="T978" s="2"/>
      <c r="U978" s="2"/>
      <c r="V978" s="2"/>
      <c r="W978" s="2"/>
      <c r="X978" s="2"/>
      <c r="Y978" s="2"/>
    </row>
    <row r="979" spans="1:25" ht="14.25" customHeight="1" x14ac:dyDescent="0.3">
      <c r="A979" s="2"/>
      <c r="B979" s="1"/>
      <c r="C979" s="1"/>
      <c r="D979" s="1"/>
      <c r="E979" s="1"/>
      <c r="F979" s="2"/>
      <c r="G979" s="2"/>
      <c r="H979" s="2"/>
      <c r="I979" s="2"/>
      <c r="J979" s="2"/>
      <c r="K979" s="2"/>
      <c r="L979" s="2"/>
      <c r="M979" s="2"/>
      <c r="N979" s="2"/>
      <c r="O979" s="2"/>
      <c r="P979" s="2"/>
      <c r="Q979" s="2"/>
      <c r="R979" s="2"/>
      <c r="S979" s="2"/>
      <c r="T979" s="2"/>
      <c r="U979" s="2"/>
      <c r="V979" s="2"/>
      <c r="W979" s="2"/>
      <c r="X979" s="2"/>
      <c r="Y979" s="2"/>
    </row>
    <row r="980" spans="1:25" ht="14.25" customHeight="1" x14ac:dyDescent="0.3">
      <c r="A980" s="2"/>
      <c r="B980" s="1"/>
      <c r="C980" s="1"/>
      <c r="D980" s="1"/>
      <c r="E980" s="1"/>
      <c r="F980" s="2"/>
      <c r="G980" s="2"/>
      <c r="H980" s="2"/>
      <c r="I980" s="2"/>
      <c r="J980" s="2"/>
      <c r="K980" s="2"/>
      <c r="L980" s="2"/>
      <c r="M980" s="2"/>
      <c r="N980" s="2"/>
      <c r="O980" s="2"/>
      <c r="P980" s="2"/>
      <c r="Q980" s="2"/>
      <c r="R980" s="2"/>
      <c r="S980" s="2"/>
      <c r="T980" s="2"/>
      <c r="U980" s="2"/>
      <c r="V980" s="2"/>
      <c r="W980" s="2"/>
      <c r="X980" s="2"/>
      <c r="Y980" s="2"/>
    </row>
    <row r="981" spans="1:25" ht="14.25" customHeight="1" x14ac:dyDescent="0.3">
      <c r="A981" s="2"/>
      <c r="B981" s="1"/>
      <c r="C981" s="1"/>
      <c r="D981" s="1"/>
      <c r="E981" s="1"/>
      <c r="F981" s="2"/>
      <c r="G981" s="2"/>
      <c r="H981" s="2"/>
      <c r="I981" s="2"/>
      <c r="J981" s="2"/>
      <c r="K981" s="2"/>
      <c r="L981" s="2"/>
      <c r="M981" s="2"/>
      <c r="N981" s="2"/>
      <c r="O981" s="2"/>
      <c r="P981" s="2"/>
      <c r="Q981" s="2"/>
      <c r="R981" s="2"/>
      <c r="S981" s="2"/>
      <c r="T981" s="2"/>
      <c r="U981" s="2"/>
      <c r="V981" s="2"/>
      <c r="W981" s="2"/>
      <c r="X981" s="2"/>
      <c r="Y981" s="2"/>
    </row>
    <row r="982" spans="1:25" ht="14.25" customHeight="1" x14ac:dyDescent="0.3">
      <c r="A982" s="2"/>
      <c r="B982" s="1"/>
      <c r="C982" s="1"/>
      <c r="D982" s="1"/>
      <c r="E982" s="1"/>
      <c r="F982" s="2"/>
      <c r="G982" s="2"/>
      <c r="H982" s="2"/>
      <c r="I982" s="2"/>
      <c r="J982" s="2"/>
      <c r="K982" s="2"/>
      <c r="L982" s="2"/>
      <c r="M982" s="2"/>
      <c r="N982" s="2"/>
      <c r="O982" s="2"/>
      <c r="P982" s="2"/>
      <c r="Q982" s="2"/>
      <c r="R982" s="2"/>
      <c r="S982" s="2"/>
      <c r="T982" s="2"/>
      <c r="U982" s="2"/>
      <c r="V982" s="2"/>
      <c r="W982" s="2"/>
      <c r="X982" s="2"/>
      <c r="Y982" s="2"/>
    </row>
    <row r="983" spans="1:25" ht="14.25" customHeight="1" x14ac:dyDescent="0.3">
      <c r="A983" s="2"/>
      <c r="B983" s="1"/>
      <c r="C983" s="1"/>
      <c r="D983" s="1"/>
      <c r="E983" s="1"/>
      <c r="F983" s="2"/>
      <c r="G983" s="2"/>
      <c r="H983" s="2"/>
      <c r="I983" s="2"/>
      <c r="J983" s="2"/>
      <c r="K983" s="2"/>
      <c r="L983" s="2"/>
      <c r="M983" s="2"/>
      <c r="N983" s="2"/>
      <c r="O983" s="2"/>
      <c r="P983" s="2"/>
      <c r="Q983" s="2"/>
      <c r="R983" s="2"/>
      <c r="S983" s="2"/>
      <c r="T983" s="2"/>
      <c r="U983" s="2"/>
      <c r="V983" s="2"/>
      <c r="W983" s="2"/>
      <c r="X983" s="2"/>
      <c r="Y983" s="2"/>
    </row>
    <row r="984" spans="1:25" ht="14.25" customHeight="1" x14ac:dyDescent="0.3">
      <c r="A984" s="2"/>
      <c r="B984" s="1"/>
      <c r="C984" s="1"/>
      <c r="D984" s="1"/>
      <c r="E984" s="1"/>
      <c r="F984" s="2"/>
      <c r="G984" s="2"/>
      <c r="H984" s="2"/>
      <c r="I984" s="2"/>
      <c r="J984" s="2"/>
      <c r="K984" s="2"/>
      <c r="L984" s="2"/>
      <c r="M984" s="2"/>
      <c r="N984" s="2"/>
      <c r="O984" s="2"/>
      <c r="P984" s="2"/>
      <c r="Q984" s="2"/>
      <c r="R984" s="2"/>
      <c r="S984" s="2"/>
      <c r="T984" s="2"/>
      <c r="U984" s="2"/>
      <c r="V984" s="2"/>
      <c r="W984" s="2"/>
      <c r="X984" s="2"/>
      <c r="Y984" s="2"/>
    </row>
    <row r="985" spans="1:25" ht="14.25" customHeight="1" x14ac:dyDescent="0.3">
      <c r="A985" s="2"/>
      <c r="B985" s="1"/>
      <c r="C985" s="1"/>
      <c r="D985" s="1"/>
      <c r="E985" s="1"/>
      <c r="F985" s="2"/>
      <c r="G985" s="2"/>
      <c r="H985" s="2"/>
      <c r="I985" s="2"/>
      <c r="J985" s="2"/>
      <c r="K985" s="2"/>
      <c r="L985" s="2"/>
      <c r="M985" s="2"/>
      <c r="N985" s="2"/>
      <c r="O985" s="2"/>
      <c r="P985" s="2"/>
      <c r="Q985" s="2"/>
      <c r="R985" s="2"/>
      <c r="S985" s="2"/>
      <c r="T985" s="2"/>
      <c r="U985" s="2"/>
      <c r="V985" s="2"/>
      <c r="W985" s="2"/>
      <c r="X985" s="2"/>
      <c r="Y985" s="2"/>
    </row>
    <row r="986" spans="1:25" ht="14.25" customHeight="1" x14ac:dyDescent="0.3">
      <c r="A986" s="2"/>
      <c r="B986" s="1"/>
      <c r="C986" s="1"/>
      <c r="D986" s="1"/>
      <c r="E986" s="1"/>
      <c r="F986" s="2"/>
      <c r="G986" s="2"/>
      <c r="H986" s="2"/>
      <c r="I986" s="2"/>
      <c r="J986" s="2"/>
      <c r="K986" s="2"/>
      <c r="L986" s="2"/>
      <c r="M986" s="2"/>
      <c r="N986" s="2"/>
      <c r="O986" s="2"/>
      <c r="P986" s="2"/>
      <c r="Q986" s="2"/>
      <c r="R986" s="2"/>
      <c r="S986" s="2"/>
      <c r="T986" s="2"/>
      <c r="U986" s="2"/>
      <c r="V986" s="2"/>
      <c r="W986" s="2"/>
      <c r="X986" s="2"/>
      <c r="Y986" s="2"/>
    </row>
    <row r="987" spans="1:25" ht="14.25" customHeight="1" x14ac:dyDescent="0.3">
      <c r="A987" s="2"/>
      <c r="B987" s="1"/>
      <c r="C987" s="1"/>
      <c r="D987" s="1"/>
      <c r="E987" s="1"/>
      <c r="F987" s="2"/>
      <c r="G987" s="2"/>
      <c r="H987" s="2"/>
      <c r="I987" s="2"/>
      <c r="J987" s="2"/>
      <c r="K987" s="2"/>
      <c r="L987" s="2"/>
      <c r="M987" s="2"/>
      <c r="N987" s="2"/>
      <c r="O987" s="2"/>
      <c r="P987" s="2"/>
      <c r="Q987" s="2"/>
      <c r="R987" s="2"/>
      <c r="S987" s="2"/>
      <c r="T987" s="2"/>
      <c r="U987" s="2"/>
      <c r="V987" s="2"/>
      <c r="W987" s="2"/>
      <c r="X987" s="2"/>
      <c r="Y987" s="2"/>
    </row>
    <row r="988" spans="1:25" ht="14.25" customHeight="1" x14ac:dyDescent="0.3">
      <c r="A988" s="2"/>
      <c r="B988" s="1"/>
      <c r="C988" s="1"/>
      <c r="D988" s="1"/>
      <c r="E988" s="1"/>
      <c r="F988" s="2"/>
      <c r="G988" s="2"/>
      <c r="H988" s="2"/>
      <c r="I988" s="2"/>
      <c r="J988" s="2"/>
      <c r="K988" s="2"/>
      <c r="L988" s="2"/>
      <c r="M988" s="2"/>
      <c r="N988" s="2"/>
      <c r="O988" s="2"/>
      <c r="P988" s="2"/>
      <c r="Q988" s="2"/>
      <c r="R988" s="2"/>
      <c r="S988" s="2"/>
      <c r="T988" s="2"/>
      <c r="U988" s="2"/>
      <c r="V988" s="2"/>
      <c r="W988" s="2"/>
      <c r="X988" s="2"/>
      <c r="Y988" s="2"/>
    </row>
    <row r="989" spans="1:25" ht="14.25" customHeight="1" x14ac:dyDescent="0.3">
      <c r="A989" s="2"/>
      <c r="B989" s="1"/>
      <c r="C989" s="1"/>
      <c r="D989" s="1"/>
      <c r="E989" s="1"/>
      <c r="F989" s="2"/>
      <c r="G989" s="2"/>
      <c r="H989" s="2"/>
      <c r="I989" s="2"/>
      <c r="J989" s="2"/>
      <c r="K989" s="2"/>
      <c r="L989" s="2"/>
      <c r="M989" s="2"/>
      <c r="N989" s="2"/>
      <c r="O989" s="2"/>
      <c r="P989" s="2"/>
      <c r="Q989" s="2"/>
      <c r="R989" s="2"/>
      <c r="S989" s="2"/>
      <c r="T989" s="2"/>
      <c r="U989" s="2"/>
      <c r="V989" s="2"/>
      <c r="W989" s="2"/>
      <c r="X989" s="2"/>
      <c r="Y989" s="2"/>
    </row>
    <row r="990" spans="1:25" ht="14.25" customHeight="1" x14ac:dyDescent="0.3">
      <c r="A990" s="2"/>
      <c r="B990" s="1"/>
      <c r="C990" s="1"/>
      <c r="D990" s="1"/>
      <c r="E990" s="1"/>
      <c r="F990" s="2"/>
      <c r="G990" s="2"/>
      <c r="H990" s="2"/>
      <c r="I990" s="2"/>
      <c r="J990" s="2"/>
      <c r="K990" s="2"/>
      <c r="L990" s="2"/>
      <c r="M990" s="2"/>
      <c r="N990" s="2"/>
      <c r="O990" s="2"/>
      <c r="P990" s="2"/>
      <c r="Q990" s="2"/>
      <c r="R990" s="2"/>
      <c r="S990" s="2"/>
      <c r="T990" s="2"/>
      <c r="U990" s="2"/>
      <c r="V990" s="2"/>
      <c r="W990" s="2"/>
      <c r="X990" s="2"/>
      <c r="Y990" s="2"/>
    </row>
    <row r="991" spans="1:25" ht="14.25" customHeight="1" x14ac:dyDescent="0.3">
      <c r="A991" s="2"/>
      <c r="B991" s="1"/>
      <c r="C991" s="1"/>
      <c r="D991" s="1"/>
      <c r="E991" s="1"/>
      <c r="F991" s="2"/>
      <c r="G991" s="2"/>
      <c r="H991" s="2"/>
      <c r="I991" s="2"/>
      <c r="J991" s="2"/>
      <c r="K991" s="2"/>
      <c r="L991" s="2"/>
      <c r="M991" s="2"/>
      <c r="N991" s="2"/>
      <c r="O991" s="2"/>
      <c r="P991" s="2"/>
      <c r="Q991" s="2"/>
      <c r="R991" s="2"/>
      <c r="S991" s="2"/>
      <c r="T991" s="2"/>
      <c r="U991" s="2"/>
      <c r="V991" s="2"/>
      <c r="W991" s="2"/>
      <c r="X991" s="2"/>
      <c r="Y991" s="2"/>
    </row>
    <row r="992" spans="1:25" ht="14.25" customHeight="1" x14ac:dyDescent="0.3">
      <c r="A992" s="2"/>
      <c r="B992" s="1"/>
      <c r="C992" s="1"/>
      <c r="D992" s="1"/>
      <c r="E992" s="1"/>
      <c r="F992" s="2"/>
      <c r="G992" s="2"/>
      <c r="H992" s="2"/>
      <c r="I992" s="2"/>
      <c r="J992" s="2"/>
      <c r="K992" s="2"/>
      <c r="L992" s="2"/>
      <c r="M992" s="2"/>
      <c r="N992" s="2"/>
      <c r="O992" s="2"/>
      <c r="P992" s="2"/>
      <c r="Q992" s="2"/>
      <c r="R992" s="2"/>
      <c r="S992" s="2"/>
      <c r="T992" s="2"/>
      <c r="U992" s="2"/>
      <c r="V992" s="2"/>
      <c r="W992" s="2"/>
      <c r="X992" s="2"/>
      <c r="Y992" s="2"/>
    </row>
    <row r="993" spans="1:25" ht="14.25" customHeight="1" x14ac:dyDescent="0.3">
      <c r="A993" s="2"/>
      <c r="B993" s="1"/>
      <c r="C993" s="1"/>
      <c r="D993" s="1"/>
      <c r="E993" s="1"/>
      <c r="F993" s="2"/>
      <c r="G993" s="2"/>
      <c r="H993" s="2"/>
      <c r="I993" s="2"/>
      <c r="J993" s="2"/>
      <c r="K993" s="2"/>
      <c r="L993" s="2"/>
      <c r="M993" s="2"/>
      <c r="N993" s="2"/>
      <c r="O993" s="2"/>
      <c r="P993" s="2"/>
      <c r="Q993" s="2"/>
      <c r="R993" s="2"/>
      <c r="S993" s="2"/>
      <c r="T993" s="2"/>
      <c r="U993" s="2"/>
      <c r="V993" s="2"/>
      <c r="W993" s="2"/>
      <c r="X993" s="2"/>
      <c r="Y993" s="2"/>
    </row>
    <row r="994" spans="1:25" ht="14.25" customHeight="1" x14ac:dyDescent="0.3">
      <c r="A994" s="2"/>
      <c r="B994" s="1"/>
      <c r="C994" s="1"/>
      <c r="D994" s="1"/>
      <c r="E994" s="1"/>
      <c r="F994" s="2"/>
      <c r="G994" s="2"/>
      <c r="H994" s="2"/>
      <c r="I994" s="2"/>
      <c r="J994" s="2"/>
      <c r="K994" s="2"/>
      <c r="L994" s="2"/>
      <c r="M994" s="2"/>
      <c r="N994" s="2"/>
      <c r="O994" s="2"/>
      <c r="P994" s="2"/>
      <c r="Q994" s="2"/>
      <c r="R994" s="2"/>
      <c r="S994" s="2"/>
      <c r="T994" s="2"/>
      <c r="U994" s="2"/>
      <c r="V994" s="2"/>
      <c r="W994" s="2"/>
      <c r="X994" s="2"/>
      <c r="Y994" s="2"/>
    </row>
    <row r="995" spans="1:25" ht="14.25" customHeight="1" x14ac:dyDescent="0.3">
      <c r="A995" s="2"/>
      <c r="B995" s="1"/>
      <c r="C995" s="1"/>
      <c r="D995" s="1"/>
      <c r="E995" s="1"/>
      <c r="F995" s="2"/>
      <c r="G995" s="2"/>
      <c r="H995" s="2"/>
      <c r="I995" s="2"/>
      <c r="J995" s="2"/>
      <c r="K995" s="2"/>
      <c r="L995" s="2"/>
      <c r="M995" s="2"/>
      <c r="N995" s="2"/>
      <c r="O995" s="2"/>
      <c r="P995" s="2"/>
      <c r="Q995" s="2"/>
      <c r="R995" s="2"/>
      <c r="S995" s="2"/>
      <c r="T995" s="2"/>
      <c r="U995" s="2"/>
      <c r="V995" s="2"/>
      <c r="W995" s="2"/>
      <c r="X995" s="2"/>
      <c r="Y995" s="2"/>
    </row>
  </sheetData>
  <mergeCells count="8">
    <mergeCell ref="C8:E8"/>
    <mergeCell ref="C9:E9"/>
    <mergeCell ref="B10:E10"/>
    <mergeCell ref="B2:B4"/>
    <mergeCell ref="C2:E4"/>
    <mergeCell ref="C6:E6"/>
    <mergeCell ref="C7:E7"/>
    <mergeCell ref="C5:D5"/>
  </mergeCells>
  <phoneticPr fontId="31" type="noConversion"/>
  <conditionalFormatting sqref="E12:E15">
    <cfRule type="colorScale" priority="1">
      <colorScale>
        <cfvo type="min"/>
        <cfvo type="percentile" val="50"/>
        <cfvo type="max"/>
        <color rgb="FF63BE7B"/>
        <color rgb="FFFFEB84"/>
        <color rgb="FFF8696B"/>
      </colorScale>
    </cfRule>
  </conditionalFormatting>
  <pageMargins left="0.7" right="0.7" top="0.75" bottom="0.75" header="0" footer="0"/>
  <pageSetup scale="65" fitToHeight="0" orientation="portrait" r:id="rId1"/>
  <ignoredErrors>
    <ignoredError sqref="B16 B12:B1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923EC-D6B1-4876-8F7C-73E0E2D06BDE}">
  <sheetPr>
    <pageSetUpPr fitToPage="1"/>
  </sheetPr>
  <dimension ref="A1:X941"/>
  <sheetViews>
    <sheetView view="pageBreakPreview" zoomScale="80" zoomScaleNormal="70" zoomScaleSheetLayoutView="80" workbookViewId="0">
      <selection activeCell="B43" sqref="B43:F43"/>
    </sheetView>
  </sheetViews>
  <sheetFormatPr baseColWidth="10" defaultColWidth="14.44140625" defaultRowHeight="15.75" customHeight="1" x14ac:dyDescent="0.3"/>
  <cols>
    <col min="1" max="1" width="6.6640625" bestFit="1" customWidth="1"/>
    <col min="2" max="2" width="11.44140625" bestFit="1" customWidth="1"/>
    <col min="3" max="3" width="147.6640625" style="135" customWidth="1"/>
    <col min="4" max="4" width="9.6640625" customWidth="1"/>
    <col min="5" max="5" width="10.6640625" bestFit="1" customWidth="1"/>
    <col min="6" max="6" width="20" customWidth="1"/>
    <col min="7" max="7" width="17.88671875" bestFit="1" customWidth="1"/>
    <col min="8" max="8" width="23.33203125" bestFit="1" customWidth="1"/>
    <col min="9" max="9" width="21.33203125" customWidth="1"/>
    <col min="10" max="10" width="16.5546875" customWidth="1"/>
    <col min="11" max="11" width="13.109375" customWidth="1"/>
    <col min="12" max="12" width="11" customWidth="1"/>
    <col min="13" max="13" width="12.6640625" bestFit="1" customWidth="1"/>
    <col min="14" max="24" width="11" customWidth="1"/>
  </cols>
  <sheetData>
    <row r="1" spans="1:24" ht="15" customHeight="1" x14ac:dyDescent="0.3">
      <c r="A1" s="6"/>
      <c r="B1" s="7"/>
      <c r="C1" s="136"/>
      <c r="D1" s="8"/>
      <c r="E1" s="8"/>
      <c r="F1" s="9"/>
      <c r="G1" s="10"/>
      <c r="H1" s="9"/>
      <c r="I1" s="4"/>
      <c r="J1" s="4"/>
      <c r="K1" s="11"/>
      <c r="L1" s="4"/>
      <c r="M1" s="4"/>
      <c r="N1" s="4"/>
      <c r="O1" s="4"/>
      <c r="P1" s="4"/>
      <c r="Q1" s="4"/>
      <c r="R1" s="4"/>
      <c r="S1" s="4"/>
      <c r="T1" s="4"/>
      <c r="U1" s="4"/>
      <c r="V1" s="4"/>
      <c r="W1" s="4"/>
      <c r="X1" s="4"/>
    </row>
    <row r="2" spans="1:24" ht="12.75" customHeight="1" x14ac:dyDescent="0.3">
      <c r="A2" s="1067" t="str">
        <f>+RESUMEN!C5</f>
        <v>ESTUDIOS TÉCNICOS Y DISEÑOS DEL PROYECTO: "REALIZAR LA REVISIÓN Y/O AJUSTE A LOS ESTUDIOS Y DISEÑOS TÉCNICOS EXISTENTES, REALIZAR ESTUDIOS GEOTÉCNICOS, PATOLOGIA ESTRUCTURAL Y VULNERABILIDAD SISMICA Y LOS DISEÑOS A NIVEL DE DETALLE (FASE III) DE LA ALTERNATIVA PARA LA PUESTA EN FUNCIONAMIENTO DEL ESTADIO DE FUTBOL GUILLERMO PLAZAS ALCID, RECUPERACIÓN DE LA PISTA ATLETICA Y EL URBANISMO DE LA VILLA OLIMPICA "</v>
      </c>
      <c r="B2" s="1068"/>
      <c r="C2" s="1068"/>
      <c r="D2" s="1068"/>
      <c r="E2" s="1068"/>
      <c r="F2" s="1068"/>
      <c r="G2" s="1068"/>
      <c r="H2" s="1069"/>
      <c r="I2" s="4"/>
      <c r="J2" s="4"/>
      <c r="K2" s="11"/>
      <c r="L2" s="4"/>
      <c r="M2" s="4"/>
      <c r="N2" s="4"/>
      <c r="O2" s="4"/>
      <c r="P2" s="4"/>
      <c r="Q2" s="4"/>
      <c r="R2" s="4"/>
      <c r="S2" s="4"/>
      <c r="T2" s="4"/>
      <c r="U2" s="4"/>
      <c r="V2" s="4"/>
      <c r="W2" s="4"/>
      <c r="X2" s="4"/>
    </row>
    <row r="3" spans="1:24" ht="11.25" customHeight="1" x14ac:dyDescent="0.3">
      <c r="A3" s="1070"/>
      <c r="B3" s="1071"/>
      <c r="C3" s="1071"/>
      <c r="D3" s="1071"/>
      <c r="E3" s="1071"/>
      <c r="F3" s="1071"/>
      <c r="G3" s="1071"/>
      <c r="H3" s="1072"/>
      <c r="I3" s="4"/>
      <c r="J3" s="4"/>
      <c r="K3" s="11"/>
      <c r="L3" s="4"/>
      <c r="M3" s="4"/>
      <c r="N3" s="4"/>
      <c r="O3" s="4"/>
      <c r="P3" s="4"/>
      <c r="Q3" s="4"/>
      <c r="R3" s="4"/>
      <c r="S3" s="4"/>
      <c r="T3" s="4"/>
      <c r="U3" s="4"/>
      <c r="V3" s="4"/>
      <c r="W3" s="4"/>
      <c r="X3" s="4"/>
    </row>
    <row r="4" spans="1:24" ht="11.25" customHeight="1" thickBot="1" x14ac:dyDescent="0.35">
      <c r="A4" s="1073"/>
      <c r="B4" s="1074"/>
      <c r="C4" s="1074"/>
      <c r="D4" s="1074"/>
      <c r="E4" s="1074"/>
      <c r="F4" s="1074"/>
      <c r="G4" s="1074"/>
      <c r="H4" s="1075"/>
      <c r="I4" s="4"/>
      <c r="J4" s="4"/>
      <c r="K4" s="11"/>
      <c r="L4" s="4"/>
      <c r="M4" s="4"/>
      <c r="N4" s="4"/>
      <c r="O4" s="4"/>
      <c r="P4" s="4"/>
      <c r="Q4" s="4"/>
      <c r="R4" s="4"/>
      <c r="S4" s="4"/>
      <c r="T4" s="4"/>
      <c r="U4" s="4"/>
      <c r="V4" s="4"/>
      <c r="W4" s="4"/>
      <c r="X4" s="4"/>
    </row>
    <row r="5" spans="1:24" ht="32.25" customHeight="1" x14ac:dyDescent="0.3">
      <c r="A5" s="12" t="s">
        <v>15</v>
      </c>
      <c r="B5" s="13" t="s">
        <v>16</v>
      </c>
      <c r="C5" s="14" t="s">
        <v>17</v>
      </c>
      <c r="D5" s="15" t="s">
        <v>18</v>
      </c>
      <c r="E5" s="16" t="s">
        <v>19</v>
      </c>
      <c r="F5" s="17" t="s">
        <v>20</v>
      </c>
      <c r="G5" s="18" t="s">
        <v>21</v>
      </c>
      <c r="H5" s="19" t="s">
        <v>22</v>
      </c>
      <c r="I5" s="4"/>
      <c r="J5" s="4"/>
      <c r="K5" s="11"/>
      <c r="L5" s="144"/>
      <c r="M5" s="145"/>
      <c r="N5" s="4"/>
      <c r="O5" s="4"/>
      <c r="P5" s="4"/>
      <c r="Q5" s="4"/>
      <c r="R5" s="4"/>
      <c r="S5" s="4"/>
      <c r="T5" s="4"/>
      <c r="U5" s="4"/>
      <c r="V5" s="4"/>
      <c r="W5" s="4"/>
      <c r="X5" s="4"/>
    </row>
    <row r="6" spans="1:24" s="189" customFormat="1" ht="15" customHeight="1" x14ac:dyDescent="0.3">
      <c r="A6" s="190" t="s">
        <v>864</v>
      </c>
      <c r="B6" s="190"/>
      <c r="C6" s="550" t="s">
        <v>310</v>
      </c>
      <c r="D6" s="191"/>
      <c r="E6" s="191"/>
      <c r="F6" s="192"/>
      <c r="G6" s="193"/>
      <c r="H6" s="192"/>
      <c r="I6" s="188"/>
      <c r="J6" s="188"/>
      <c r="K6" s="194"/>
      <c r="L6" s="188"/>
      <c r="M6" s="188"/>
      <c r="N6" s="188"/>
      <c r="O6" s="188"/>
      <c r="P6" s="188"/>
      <c r="Q6" s="188"/>
      <c r="R6" s="188"/>
      <c r="S6" s="188"/>
      <c r="T6" s="188"/>
      <c r="U6" s="188"/>
      <c r="V6" s="188"/>
      <c r="W6" s="188"/>
      <c r="X6" s="188"/>
    </row>
    <row r="7" spans="1:24" s="202" customFormat="1" ht="31.2" x14ac:dyDescent="0.3">
      <c r="A7" s="195"/>
      <c r="B7" s="195" t="s">
        <v>871</v>
      </c>
      <c r="C7" s="551" t="s">
        <v>1011</v>
      </c>
      <c r="D7" s="553" t="s">
        <v>31</v>
      </c>
      <c r="E7" s="554">
        <v>1</v>
      </c>
      <c r="F7" s="154">
        <f>APUS!$J$34</f>
        <v>15650000</v>
      </c>
      <c r="G7" s="561">
        <f>+F7*E7</f>
        <v>15650000</v>
      </c>
      <c r="H7" s="557"/>
      <c r="I7" s="198"/>
      <c r="J7" s="199"/>
      <c r="K7" s="200"/>
      <c r="L7" s="201"/>
      <c r="M7" s="201"/>
      <c r="N7" s="201"/>
      <c r="O7" s="201"/>
      <c r="P7" s="201"/>
      <c r="Q7" s="201"/>
      <c r="R7" s="201"/>
      <c r="S7" s="201"/>
      <c r="T7" s="201"/>
      <c r="U7" s="201"/>
      <c r="V7" s="201"/>
      <c r="W7" s="201"/>
      <c r="X7" s="201"/>
    </row>
    <row r="8" spans="1:24" s="209" customFormat="1" ht="31.2" x14ac:dyDescent="0.3">
      <c r="A8" s="195"/>
      <c r="B8" s="195" t="s">
        <v>872</v>
      </c>
      <c r="C8" s="552" t="s">
        <v>131</v>
      </c>
      <c r="D8" s="555" t="s">
        <v>31</v>
      </c>
      <c r="E8" s="556">
        <v>1</v>
      </c>
      <c r="F8" s="562">
        <f>APUS!$J$144</f>
        <v>16315000</v>
      </c>
      <c r="G8" s="563">
        <f>+F8*E8</f>
        <v>16315000</v>
      </c>
      <c r="H8" s="557"/>
      <c r="I8" s="205"/>
      <c r="J8" s="206"/>
      <c r="K8" s="207"/>
      <c r="L8" s="208"/>
      <c r="M8" s="208"/>
      <c r="N8" s="208"/>
      <c r="O8" s="208"/>
      <c r="P8" s="208"/>
      <c r="Q8" s="208"/>
      <c r="R8" s="208"/>
      <c r="S8" s="208"/>
      <c r="T8" s="208"/>
      <c r="U8" s="208"/>
      <c r="V8" s="208"/>
      <c r="W8" s="208"/>
      <c r="X8" s="208"/>
    </row>
    <row r="9" spans="1:24" s="209" customFormat="1" ht="15.6" x14ac:dyDescent="0.3">
      <c r="A9" s="195"/>
      <c r="B9" s="195" t="s">
        <v>873</v>
      </c>
      <c r="C9" s="552" t="s">
        <v>132</v>
      </c>
      <c r="D9" s="555" t="s">
        <v>31</v>
      </c>
      <c r="E9" s="556">
        <v>1</v>
      </c>
      <c r="F9" s="562">
        <f>APUS!$J$171</f>
        <v>7700000</v>
      </c>
      <c r="G9" s="563">
        <f>+F9*E9</f>
        <v>7700000</v>
      </c>
      <c r="H9" s="557"/>
      <c r="I9" s="205"/>
      <c r="J9" s="206"/>
      <c r="K9" s="207"/>
      <c r="L9" s="208"/>
      <c r="M9" s="208"/>
      <c r="N9" s="208"/>
      <c r="O9" s="208"/>
      <c r="P9" s="208"/>
      <c r="Q9" s="208"/>
      <c r="R9" s="208"/>
      <c r="S9" s="208"/>
      <c r="T9" s="208"/>
      <c r="U9" s="208"/>
      <c r="V9" s="208"/>
      <c r="W9" s="208"/>
      <c r="X9" s="208"/>
    </row>
    <row r="10" spans="1:24" s="209" customFormat="1" ht="15.6" x14ac:dyDescent="0.3">
      <c r="A10" s="195"/>
      <c r="B10" s="195"/>
      <c r="C10" s="203"/>
      <c r="D10" s="555"/>
      <c r="E10" s="556"/>
      <c r="F10" s="562"/>
      <c r="G10" s="563"/>
      <c r="H10" s="560">
        <f>SUM(G7:G9)</f>
        <v>39665000</v>
      </c>
      <c r="I10" s="205"/>
      <c r="J10" s="206"/>
      <c r="K10" s="207"/>
      <c r="L10" s="208"/>
      <c r="M10" s="208"/>
      <c r="N10" s="208"/>
      <c r="O10" s="208"/>
      <c r="P10" s="208"/>
      <c r="Q10" s="208"/>
      <c r="R10" s="208"/>
      <c r="S10" s="208"/>
      <c r="T10" s="208"/>
      <c r="U10" s="208"/>
      <c r="V10" s="208"/>
      <c r="W10" s="208"/>
      <c r="X10" s="208"/>
    </row>
    <row r="11" spans="1:24" s="202" customFormat="1" ht="15.6" x14ac:dyDescent="0.3">
      <c r="A11" s="195" t="s">
        <v>865</v>
      </c>
      <c r="B11" s="195"/>
      <c r="C11" s="550" t="s">
        <v>311</v>
      </c>
      <c r="D11" s="553"/>
      <c r="E11" s="554"/>
      <c r="F11" s="154"/>
      <c r="G11" s="561"/>
      <c r="H11" s="557"/>
      <c r="I11" s="198"/>
      <c r="J11" s="199"/>
      <c r="K11" s="200"/>
      <c r="L11" s="201"/>
      <c r="M11" s="201"/>
      <c r="N11" s="201"/>
      <c r="O11" s="201"/>
      <c r="P11" s="201"/>
      <c r="Q11" s="201"/>
      <c r="R11" s="201"/>
      <c r="S11" s="201"/>
      <c r="T11" s="201"/>
      <c r="U11" s="201"/>
      <c r="V11" s="201"/>
      <c r="W11" s="201"/>
      <c r="X11" s="201"/>
    </row>
    <row r="12" spans="1:24" s="202" customFormat="1" ht="15" customHeight="1" x14ac:dyDescent="0.3">
      <c r="A12" s="195"/>
      <c r="B12" s="210" t="s">
        <v>874</v>
      </c>
      <c r="C12" s="551" t="s">
        <v>121</v>
      </c>
      <c r="D12" s="553" t="s">
        <v>31</v>
      </c>
      <c r="E12" s="554">
        <v>1</v>
      </c>
      <c r="F12" s="154">
        <f>APUS!J299</f>
        <v>8540000</v>
      </c>
      <c r="G12" s="155">
        <f>+F12*E12</f>
        <v>8540000</v>
      </c>
      <c r="H12" s="557"/>
      <c r="I12" s="211"/>
      <c r="J12" s="199"/>
      <c r="K12" s="200"/>
      <c r="L12" s="201"/>
      <c r="M12" s="201"/>
      <c r="N12" s="201"/>
      <c r="O12" s="201"/>
      <c r="P12" s="201"/>
      <c r="Q12" s="201"/>
      <c r="R12" s="201"/>
      <c r="S12" s="201"/>
      <c r="T12" s="201"/>
      <c r="U12" s="201"/>
      <c r="V12" s="201"/>
      <c r="W12" s="201"/>
      <c r="X12" s="201"/>
    </row>
    <row r="13" spans="1:24" s="209" customFormat="1" ht="15.6" x14ac:dyDescent="0.3">
      <c r="A13" s="195"/>
      <c r="B13" s="212" t="s">
        <v>875</v>
      </c>
      <c r="C13" s="552" t="s">
        <v>124</v>
      </c>
      <c r="D13" s="553" t="s">
        <v>31</v>
      </c>
      <c r="E13" s="556">
        <v>1</v>
      </c>
      <c r="F13" s="562">
        <f>APUS!J331</f>
        <v>24300000</v>
      </c>
      <c r="G13" s="564">
        <f>+F13*E13</f>
        <v>24300000</v>
      </c>
      <c r="H13" s="557"/>
      <c r="I13" s="205"/>
      <c r="J13" s="206"/>
      <c r="K13" s="207"/>
      <c r="L13" s="208"/>
      <c r="M13" s="208"/>
      <c r="N13" s="208"/>
      <c r="O13" s="208"/>
      <c r="P13" s="208"/>
      <c r="Q13" s="208"/>
      <c r="R13" s="208"/>
      <c r="S13" s="208"/>
      <c r="T13" s="208"/>
      <c r="U13" s="208"/>
      <c r="V13" s="208"/>
      <c r="W13" s="208"/>
      <c r="X13" s="208"/>
    </row>
    <row r="14" spans="1:24" s="209" customFormat="1" ht="15" customHeight="1" x14ac:dyDescent="0.3">
      <c r="A14" s="157"/>
      <c r="B14" s="210" t="s">
        <v>876</v>
      </c>
      <c r="C14" s="552" t="s">
        <v>134</v>
      </c>
      <c r="D14" s="553" t="s">
        <v>31</v>
      </c>
      <c r="E14" s="556">
        <v>1</v>
      </c>
      <c r="F14" s="562">
        <f>APUS!J429</f>
        <v>5400000</v>
      </c>
      <c r="G14" s="564">
        <f>+F14*E14</f>
        <v>5400000</v>
      </c>
      <c r="H14" s="557"/>
      <c r="I14" s="205"/>
      <c r="J14" s="206"/>
      <c r="K14" s="207"/>
      <c r="L14" s="208"/>
      <c r="M14" s="208"/>
      <c r="N14" s="208"/>
      <c r="O14" s="208"/>
      <c r="P14" s="208"/>
      <c r="Q14" s="208"/>
      <c r="R14" s="208"/>
      <c r="S14" s="208"/>
      <c r="T14" s="208"/>
      <c r="U14" s="208"/>
      <c r="V14" s="208"/>
      <c r="W14" s="208"/>
      <c r="X14" s="208"/>
    </row>
    <row r="15" spans="1:24" s="209" customFormat="1" ht="15" customHeight="1" x14ac:dyDescent="0.3">
      <c r="A15" s="157"/>
      <c r="B15" s="212" t="s">
        <v>877</v>
      </c>
      <c r="C15" s="552" t="s">
        <v>133</v>
      </c>
      <c r="D15" s="553" t="s">
        <v>31</v>
      </c>
      <c r="E15" s="556">
        <v>1</v>
      </c>
      <c r="F15" s="562">
        <f>APUS!J364</f>
        <v>19490080</v>
      </c>
      <c r="G15" s="564">
        <f>+F15*E15</f>
        <v>19490080</v>
      </c>
      <c r="H15" s="557"/>
      <c r="I15" s="205"/>
      <c r="J15" s="206"/>
      <c r="K15" s="207"/>
      <c r="L15" s="208"/>
      <c r="M15" s="208"/>
      <c r="N15" s="208"/>
      <c r="O15" s="208"/>
      <c r="P15" s="208"/>
      <c r="Q15" s="208"/>
      <c r="R15" s="208"/>
      <c r="S15" s="208"/>
      <c r="T15" s="208"/>
      <c r="U15" s="208"/>
      <c r="V15" s="208"/>
      <c r="W15" s="208"/>
      <c r="X15" s="208"/>
    </row>
    <row r="16" spans="1:24" s="209" customFormat="1" ht="15" customHeight="1" x14ac:dyDescent="0.3">
      <c r="A16" s="157"/>
      <c r="B16" s="210" t="s">
        <v>878</v>
      </c>
      <c r="C16" s="552" t="s">
        <v>870</v>
      </c>
      <c r="D16" s="553" t="s">
        <v>31</v>
      </c>
      <c r="E16" s="556">
        <v>1</v>
      </c>
      <c r="F16" s="562">
        <f>APUS!J397</f>
        <v>9800000</v>
      </c>
      <c r="G16" s="564">
        <f>F16*E16</f>
        <v>9800000</v>
      </c>
      <c r="H16" s="557"/>
      <c r="I16" s="205"/>
      <c r="J16" s="206"/>
      <c r="K16" s="207"/>
      <c r="L16" s="208"/>
      <c r="M16" s="208"/>
      <c r="N16" s="208"/>
      <c r="O16" s="208"/>
      <c r="P16" s="208"/>
      <c r="Q16" s="208"/>
      <c r="R16" s="208"/>
      <c r="S16" s="208"/>
      <c r="T16" s="208"/>
      <c r="U16" s="208"/>
      <c r="V16" s="208"/>
      <c r="W16" s="208"/>
      <c r="X16" s="208"/>
    </row>
    <row r="17" spans="1:24" s="209" customFormat="1" ht="15" customHeight="1" x14ac:dyDescent="0.3">
      <c r="A17" s="157"/>
      <c r="B17" s="212"/>
      <c r="C17" s="552"/>
      <c r="D17" s="553"/>
      <c r="E17" s="556"/>
      <c r="F17" s="562"/>
      <c r="G17" s="564"/>
      <c r="H17" s="560">
        <f>SUM(G12:G16)</f>
        <v>67530080</v>
      </c>
      <c r="I17" s="205"/>
      <c r="J17" s="206"/>
      <c r="K17" s="207"/>
      <c r="L17" s="208"/>
      <c r="M17" s="208"/>
      <c r="N17" s="208"/>
      <c r="O17" s="208"/>
      <c r="P17" s="208"/>
      <c r="Q17" s="208"/>
      <c r="R17" s="208"/>
      <c r="S17" s="208"/>
      <c r="T17" s="208"/>
      <c r="U17" s="208"/>
      <c r="V17" s="208"/>
      <c r="W17" s="208"/>
      <c r="X17" s="208"/>
    </row>
    <row r="18" spans="1:24" s="202" customFormat="1" ht="15.6" x14ac:dyDescent="0.3">
      <c r="A18" s="195" t="s">
        <v>866</v>
      </c>
      <c r="B18" s="195"/>
      <c r="C18" s="550" t="s">
        <v>312</v>
      </c>
      <c r="D18" s="553"/>
      <c r="E18" s="554"/>
      <c r="F18" s="154"/>
      <c r="G18" s="561"/>
      <c r="H18" s="557"/>
      <c r="I18" s="198"/>
      <c r="J18" s="199"/>
      <c r="K18" s="200"/>
      <c r="L18" s="201"/>
      <c r="M18" s="201"/>
      <c r="N18" s="201"/>
      <c r="O18" s="201"/>
      <c r="P18" s="201"/>
      <c r="Q18" s="201"/>
      <c r="R18" s="201"/>
      <c r="S18" s="201"/>
      <c r="T18" s="201"/>
      <c r="U18" s="201"/>
      <c r="V18" s="201"/>
      <c r="W18" s="201"/>
      <c r="X18" s="201"/>
    </row>
    <row r="19" spans="1:24" s="202" customFormat="1" ht="31.2" x14ac:dyDescent="0.3">
      <c r="A19" s="195"/>
      <c r="B19" s="195" t="s">
        <v>879</v>
      </c>
      <c r="C19" s="551" t="s">
        <v>140</v>
      </c>
      <c r="D19" s="553" t="s">
        <v>31</v>
      </c>
      <c r="E19" s="554">
        <v>1</v>
      </c>
      <c r="F19" s="154">
        <f>APUS!$J$61</f>
        <v>17560000</v>
      </c>
      <c r="G19" s="561">
        <f>+F19*E19</f>
        <v>17560000</v>
      </c>
      <c r="H19" s="557"/>
      <c r="I19" s="198"/>
      <c r="J19" s="199"/>
      <c r="K19" s="200"/>
      <c r="L19" s="201"/>
      <c r="M19" s="201"/>
      <c r="N19" s="201"/>
      <c r="O19" s="201"/>
      <c r="P19" s="201"/>
      <c r="Q19" s="201"/>
      <c r="R19" s="201"/>
      <c r="S19" s="201"/>
      <c r="T19" s="201"/>
      <c r="U19" s="201"/>
      <c r="V19" s="201"/>
      <c r="W19" s="201"/>
      <c r="X19" s="201"/>
    </row>
    <row r="20" spans="1:24" s="202" customFormat="1" ht="15.6" x14ac:dyDescent="0.3">
      <c r="A20" s="195"/>
      <c r="B20" s="195" t="s">
        <v>880</v>
      </c>
      <c r="C20" s="551" t="s">
        <v>125</v>
      </c>
      <c r="D20" s="553" t="s">
        <v>31</v>
      </c>
      <c r="E20" s="554">
        <v>1</v>
      </c>
      <c r="F20" s="154">
        <f>APUS!J455</f>
        <v>16765000</v>
      </c>
      <c r="G20" s="561">
        <f>+F20*E20</f>
        <v>16765000</v>
      </c>
      <c r="H20" s="557"/>
      <c r="I20" s="198"/>
      <c r="J20" s="199"/>
      <c r="K20" s="200"/>
      <c r="L20" s="201"/>
      <c r="M20" s="201"/>
      <c r="N20" s="201"/>
      <c r="O20" s="201"/>
      <c r="P20" s="201"/>
      <c r="Q20" s="201"/>
      <c r="R20" s="201"/>
      <c r="S20" s="201"/>
      <c r="T20" s="201"/>
      <c r="U20" s="201"/>
      <c r="V20" s="201"/>
      <c r="W20" s="201"/>
      <c r="X20" s="201"/>
    </row>
    <row r="21" spans="1:24" s="202" customFormat="1" ht="15.6" x14ac:dyDescent="0.3">
      <c r="A21" s="195"/>
      <c r="B21" s="195"/>
      <c r="C21" s="551"/>
      <c r="D21" s="553"/>
      <c r="E21" s="554"/>
      <c r="F21" s="154"/>
      <c r="G21" s="561"/>
      <c r="H21" s="557"/>
      <c r="I21" s="198"/>
      <c r="J21" s="199"/>
      <c r="K21" s="200"/>
      <c r="L21" s="201"/>
      <c r="M21" s="201"/>
      <c r="N21" s="201"/>
      <c r="O21" s="201"/>
      <c r="P21" s="201"/>
      <c r="Q21" s="201"/>
      <c r="R21" s="201"/>
      <c r="S21" s="201"/>
      <c r="T21" s="201"/>
      <c r="U21" s="201"/>
      <c r="V21" s="201"/>
      <c r="W21" s="201"/>
      <c r="X21" s="201"/>
    </row>
    <row r="22" spans="1:24" s="22" customFormat="1" ht="15.75" customHeight="1" x14ac:dyDescent="0.3">
      <c r="A22" s="195" t="s">
        <v>867</v>
      </c>
      <c r="B22" s="213"/>
      <c r="C22" s="550" t="s">
        <v>313</v>
      </c>
      <c r="D22" s="213"/>
      <c r="E22" s="213"/>
      <c r="F22" s="565"/>
      <c r="G22" s="565"/>
      <c r="H22" s="560">
        <f>SUM(G19:G20)</f>
        <v>34325000</v>
      </c>
    </row>
    <row r="23" spans="1:24" s="202" customFormat="1" ht="15.6" x14ac:dyDescent="0.3">
      <c r="A23" s="195"/>
      <c r="B23" s="195" t="s">
        <v>881</v>
      </c>
      <c r="C23" s="551" t="s">
        <v>123</v>
      </c>
      <c r="D23" s="553" t="s">
        <v>31</v>
      </c>
      <c r="E23" s="554">
        <v>1</v>
      </c>
      <c r="F23" s="154">
        <f>APUS!$J$203</f>
        <v>75321000</v>
      </c>
      <c r="G23" s="561">
        <f>+F23*E23</f>
        <v>75321000</v>
      </c>
      <c r="H23" s="557"/>
      <c r="I23" s="198"/>
      <c r="J23" s="199"/>
      <c r="K23" s="200"/>
      <c r="L23" s="201"/>
      <c r="M23" s="201"/>
      <c r="N23" s="201"/>
      <c r="O23" s="201"/>
      <c r="P23" s="201"/>
      <c r="Q23" s="201"/>
      <c r="R23" s="201"/>
      <c r="S23" s="201"/>
      <c r="T23" s="201"/>
      <c r="U23" s="201"/>
      <c r="V23" s="201"/>
      <c r="W23" s="201"/>
      <c r="X23" s="201"/>
    </row>
    <row r="24" spans="1:24" s="209" customFormat="1" ht="15" customHeight="1" x14ac:dyDescent="0.3">
      <c r="A24" s="195"/>
      <c r="B24" s="195" t="s">
        <v>882</v>
      </c>
      <c r="C24" s="552" t="s">
        <v>119</v>
      </c>
      <c r="D24" s="553" t="s">
        <v>31</v>
      </c>
      <c r="E24" s="556">
        <v>1</v>
      </c>
      <c r="F24" s="562">
        <f>APUS!J234</f>
        <v>15429999.9</v>
      </c>
      <c r="G24" s="564">
        <f>+F24*E24</f>
        <v>15429999.9</v>
      </c>
      <c r="H24" s="557"/>
      <c r="I24" s="205"/>
      <c r="J24" s="206"/>
      <c r="K24" s="207"/>
      <c r="L24" s="208"/>
      <c r="M24" s="208"/>
      <c r="N24" s="208"/>
      <c r="O24" s="208"/>
      <c r="P24" s="208"/>
      <c r="Q24" s="208"/>
      <c r="R24" s="208"/>
      <c r="S24" s="208"/>
      <c r="T24" s="208"/>
      <c r="U24" s="208"/>
      <c r="V24" s="208"/>
      <c r="W24" s="208"/>
      <c r="X24" s="208"/>
    </row>
    <row r="25" spans="1:24" s="209" customFormat="1" ht="15" customHeight="1" x14ac:dyDescent="0.3">
      <c r="A25" s="157"/>
      <c r="B25" s="195" t="s">
        <v>883</v>
      </c>
      <c r="C25" s="552" t="s">
        <v>120</v>
      </c>
      <c r="D25" s="553" t="s">
        <v>31</v>
      </c>
      <c r="E25" s="556">
        <v>1</v>
      </c>
      <c r="F25" s="562">
        <f>APUS!J267</f>
        <v>18410000</v>
      </c>
      <c r="G25" s="564">
        <f>+F25*E25</f>
        <v>18410000</v>
      </c>
      <c r="H25" s="557"/>
      <c r="I25" s="205"/>
      <c r="J25" s="206"/>
      <c r="K25" s="207"/>
      <c r="L25" s="208"/>
      <c r="M25" s="208"/>
      <c r="N25" s="208"/>
      <c r="O25" s="208"/>
      <c r="P25" s="208"/>
      <c r="Q25" s="208"/>
      <c r="R25" s="208"/>
      <c r="S25" s="208"/>
      <c r="T25" s="208"/>
      <c r="U25" s="208"/>
      <c r="V25" s="208"/>
      <c r="W25" s="208"/>
      <c r="X25" s="208"/>
    </row>
    <row r="26" spans="1:24" s="218" customFormat="1" ht="15.6" x14ac:dyDescent="0.3">
      <c r="A26" s="195"/>
      <c r="B26" s="195" t="s">
        <v>884</v>
      </c>
      <c r="C26" s="551" t="s">
        <v>141</v>
      </c>
      <c r="D26" s="555" t="s">
        <v>31</v>
      </c>
      <c r="E26" s="554">
        <v>1</v>
      </c>
      <c r="F26" s="566">
        <f>APUS!$J$89</f>
        <v>25500000</v>
      </c>
      <c r="G26" s="563">
        <f>+F26*E26</f>
        <v>25500000</v>
      </c>
      <c r="H26" s="558"/>
      <c r="I26" s="214"/>
      <c r="J26" s="215"/>
      <c r="K26" s="216"/>
      <c r="L26" s="217"/>
      <c r="M26" s="217"/>
      <c r="N26" s="217"/>
      <c r="O26" s="217"/>
      <c r="P26" s="217"/>
      <c r="Q26" s="217"/>
      <c r="R26" s="217"/>
      <c r="S26" s="217"/>
      <c r="T26" s="217"/>
      <c r="U26" s="217"/>
      <c r="V26" s="217"/>
      <c r="W26" s="217"/>
      <c r="X26" s="217"/>
    </row>
    <row r="27" spans="1:24" s="218" customFormat="1" ht="15.6" x14ac:dyDescent="0.3">
      <c r="A27" s="195"/>
      <c r="B27" s="195"/>
      <c r="C27" s="196"/>
      <c r="D27" s="555"/>
      <c r="E27" s="554"/>
      <c r="F27" s="566"/>
      <c r="G27" s="563"/>
      <c r="H27" s="560">
        <f>SUM(G23:G26)</f>
        <v>134660999.90000001</v>
      </c>
      <c r="I27" s="214"/>
      <c r="J27" s="215"/>
      <c r="K27" s="216"/>
      <c r="L27" s="217"/>
      <c r="M27" s="217"/>
      <c r="N27" s="217"/>
      <c r="O27" s="217"/>
      <c r="P27" s="217"/>
      <c r="Q27" s="217"/>
      <c r="R27" s="217"/>
      <c r="S27" s="217"/>
      <c r="T27" s="217"/>
      <c r="U27" s="217"/>
      <c r="V27" s="217"/>
      <c r="W27" s="217"/>
      <c r="X27" s="217"/>
    </row>
    <row r="28" spans="1:24" s="218" customFormat="1" ht="15.6" x14ac:dyDescent="0.3">
      <c r="A28" s="195" t="s">
        <v>868</v>
      </c>
      <c r="B28" s="195"/>
      <c r="C28" s="550" t="s">
        <v>316</v>
      </c>
      <c r="D28" s="555"/>
      <c r="E28" s="554"/>
      <c r="F28" s="566"/>
      <c r="G28" s="563"/>
      <c r="H28" s="558"/>
      <c r="I28" s="214"/>
      <c r="J28" s="215"/>
      <c r="K28" s="216"/>
      <c r="L28" s="217"/>
      <c r="M28" s="217"/>
      <c r="N28" s="217"/>
      <c r="O28" s="217"/>
      <c r="P28" s="217"/>
      <c r="Q28" s="217"/>
      <c r="R28" s="217"/>
      <c r="S28" s="217"/>
      <c r="T28" s="217"/>
      <c r="U28" s="217"/>
      <c r="V28" s="217"/>
      <c r="W28" s="217"/>
      <c r="X28" s="217"/>
    </row>
    <row r="29" spans="1:24" s="202" customFormat="1" ht="15.6" x14ac:dyDescent="0.3">
      <c r="A29" s="195"/>
      <c r="B29" s="219" t="s">
        <v>885</v>
      </c>
      <c r="C29" s="551" t="s">
        <v>122</v>
      </c>
      <c r="D29" s="555" t="s">
        <v>31</v>
      </c>
      <c r="E29" s="554">
        <v>1</v>
      </c>
      <c r="F29" s="154">
        <f>APUS!$J$118</f>
        <v>41074600</v>
      </c>
      <c r="G29" s="563">
        <f t="shared" ref="G29" si="0">+F29*E29</f>
        <v>41074600</v>
      </c>
      <c r="H29" s="557"/>
      <c r="I29" s="198"/>
      <c r="J29" s="199"/>
      <c r="K29" s="200"/>
      <c r="L29" s="201"/>
      <c r="M29" s="201"/>
      <c r="N29" s="201"/>
      <c r="O29" s="201"/>
      <c r="P29" s="201"/>
      <c r="Q29" s="201"/>
      <c r="R29" s="201"/>
      <c r="S29" s="201"/>
      <c r="T29" s="201"/>
      <c r="U29" s="201"/>
      <c r="V29" s="201"/>
      <c r="W29" s="201"/>
      <c r="X29" s="201"/>
    </row>
    <row r="30" spans="1:24" s="202" customFormat="1" ht="15.6" x14ac:dyDescent="0.3">
      <c r="A30" s="195"/>
      <c r="B30" s="219"/>
      <c r="C30" s="196"/>
      <c r="D30" s="204"/>
      <c r="E30" s="197"/>
      <c r="F30" s="567"/>
      <c r="G30" s="568"/>
      <c r="H30" s="560">
        <f>SUM(G29)</f>
        <v>41074600</v>
      </c>
      <c r="I30" s="198"/>
      <c r="J30" s="199"/>
      <c r="K30" s="200"/>
      <c r="L30" s="201"/>
      <c r="M30" s="201"/>
      <c r="N30" s="201"/>
      <c r="O30" s="201"/>
      <c r="P30" s="201"/>
      <c r="Q30" s="201"/>
      <c r="R30" s="201"/>
      <c r="S30" s="201"/>
      <c r="T30" s="201"/>
      <c r="U30" s="201"/>
      <c r="V30" s="201"/>
      <c r="W30" s="201"/>
      <c r="X30" s="201"/>
    </row>
    <row r="31" spans="1:24" ht="16.2" thickBot="1" x14ac:dyDescent="0.35">
      <c r="A31" s="23"/>
      <c r="B31" s="24"/>
      <c r="C31" s="25"/>
      <c r="D31" s="26"/>
      <c r="E31" s="27"/>
      <c r="F31" s="28"/>
      <c r="G31" s="29"/>
      <c r="H31" s="559"/>
      <c r="I31" s="22"/>
      <c r="J31" s="22"/>
      <c r="K31" s="21"/>
      <c r="L31" s="4"/>
      <c r="M31" s="4"/>
      <c r="N31" s="4"/>
      <c r="O31" s="4"/>
      <c r="P31" s="4"/>
      <c r="Q31" s="4"/>
      <c r="R31" s="4"/>
      <c r="S31" s="4"/>
      <c r="T31" s="4"/>
      <c r="U31" s="4"/>
      <c r="V31" s="4"/>
      <c r="W31" s="4"/>
      <c r="X31" s="4"/>
    </row>
    <row r="32" spans="1:24" ht="16.2" thickBot="1" x14ac:dyDescent="0.35">
      <c r="A32" s="30"/>
      <c r="B32" s="31"/>
      <c r="C32" s="1064" t="s">
        <v>27</v>
      </c>
      <c r="D32" s="1065"/>
      <c r="E32" s="1065"/>
      <c r="F32" s="1065"/>
      <c r="G32" s="1066"/>
      <c r="H32" s="32">
        <f>SUM(H7:H30)</f>
        <v>317255679.89999998</v>
      </c>
      <c r="I32" s="158"/>
      <c r="J32" s="22"/>
      <c r="K32" s="21"/>
      <c r="L32" s="4"/>
      <c r="M32" s="4"/>
      <c r="N32" s="4"/>
      <c r="O32" s="4"/>
      <c r="P32" s="4"/>
      <c r="Q32" s="4"/>
      <c r="R32" s="4"/>
      <c r="S32" s="4"/>
      <c r="T32" s="4"/>
      <c r="U32" s="4"/>
      <c r="V32" s="4"/>
      <c r="W32" s="4"/>
      <c r="X32" s="4"/>
    </row>
    <row r="33" spans="1:24" ht="20.25" customHeight="1" x14ac:dyDescent="0.3">
      <c r="A33" s="33"/>
      <c r="B33" s="34"/>
      <c r="C33" s="35"/>
      <c r="D33" s="36"/>
      <c r="E33" s="37"/>
      <c r="F33" s="38"/>
      <c r="G33" s="39"/>
      <c r="H33" s="40"/>
      <c r="I33" s="4"/>
      <c r="J33" s="4"/>
      <c r="K33" s="11"/>
      <c r="L33" s="4"/>
      <c r="M33" s="4"/>
      <c r="N33" s="4"/>
      <c r="O33" s="4"/>
      <c r="P33" s="4"/>
      <c r="Q33" s="4"/>
      <c r="R33" s="4"/>
      <c r="S33" s="4"/>
      <c r="T33" s="4"/>
      <c r="U33" s="4"/>
      <c r="V33" s="4"/>
      <c r="W33" s="4"/>
      <c r="X33" s="4"/>
    </row>
    <row r="34" spans="1:24" ht="15.6" x14ac:dyDescent="0.3">
      <c r="A34" s="42"/>
      <c r="B34" s="42"/>
      <c r="C34" s="42"/>
      <c r="D34" s="42"/>
      <c r="E34" s="42"/>
      <c r="F34" s="42"/>
      <c r="G34" s="43"/>
      <c r="H34" s="42"/>
      <c r="I34" s="42"/>
      <c r="J34" s="42"/>
      <c r="K34" s="44"/>
      <c r="L34" s="4"/>
      <c r="M34" s="4"/>
      <c r="N34" s="4"/>
      <c r="O34" s="4"/>
      <c r="P34" s="4"/>
      <c r="Q34" s="4"/>
      <c r="R34" s="4"/>
      <c r="S34" s="4"/>
      <c r="T34" s="4"/>
      <c r="U34" s="4"/>
      <c r="V34" s="4"/>
      <c r="W34" s="4"/>
      <c r="X34" s="4"/>
    </row>
    <row r="35" spans="1:24" ht="17.399999999999999" x14ac:dyDescent="0.3">
      <c r="A35" s="42"/>
      <c r="B35" s="734"/>
      <c r="C35" s="734"/>
      <c r="D35" s="734"/>
      <c r="E35" s="734"/>
      <c r="F35" s="734"/>
      <c r="G35" s="43"/>
      <c r="H35" s="42"/>
      <c r="I35" s="42"/>
      <c r="J35" s="42"/>
      <c r="K35" s="44"/>
      <c r="L35" s="4"/>
      <c r="M35" s="4"/>
      <c r="N35" s="4"/>
      <c r="O35" s="4"/>
      <c r="P35" s="4"/>
      <c r="Q35" s="4"/>
      <c r="R35" s="4"/>
      <c r="S35" s="4"/>
      <c r="T35" s="4"/>
      <c r="U35" s="4"/>
      <c r="V35" s="4"/>
      <c r="W35" s="4"/>
      <c r="X35" s="4"/>
    </row>
    <row r="36" spans="1:24" ht="17.399999999999999" x14ac:dyDescent="0.3">
      <c r="A36" s="42"/>
      <c r="B36" s="734"/>
      <c r="C36" s="734"/>
      <c r="D36" s="734"/>
      <c r="E36" s="734"/>
      <c r="F36" s="734"/>
      <c r="G36" s="43"/>
      <c r="H36" s="42"/>
      <c r="I36" s="42"/>
      <c r="J36" s="42"/>
      <c r="K36" s="44"/>
      <c r="L36" s="4"/>
      <c r="M36" s="4"/>
      <c r="N36" s="4"/>
      <c r="O36" s="4"/>
      <c r="P36" s="4"/>
      <c r="Q36" s="4"/>
      <c r="R36" s="4"/>
      <c r="S36" s="4"/>
      <c r="T36" s="4"/>
      <c r="U36" s="4"/>
      <c r="V36" s="4"/>
      <c r="W36" s="4"/>
      <c r="X36" s="4"/>
    </row>
    <row r="37" spans="1:24" ht="17.399999999999999" x14ac:dyDescent="0.3">
      <c r="A37" s="42"/>
      <c r="B37" s="734"/>
      <c r="C37" s="734"/>
      <c r="D37" s="734"/>
      <c r="E37" s="734"/>
      <c r="F37" s="734"/>
      <c r="G37" s="43"/>
      <c r="H37" s="42"/>
      <c r="I37" s="42"/>
      <c r="J37" s="42"/>
      <c r="K37" s="44"/>
      <c r="L37" s="4"/>
      <c r="M37" s="4"/>
      <c r="N37" s="4"/>
      <c r="O37" s="4"/>
      <c r="P37" s="4"/>
      <c r="Q37" s="4"/>
      <c r="R37" s="4"/>
      <c r="S37" s="4"/>
      <c r="T37" s="4"/>
      <c r="U37" s="4"/>
      <c r="V37" s="4"/>
      <c r="W37" s="4"/>
      <c r="X37" s="4"/>
    </row>
    <row r="38" spans="1:24" ht="17.399999999999999" x14ac:dyDescent="0.3">
      <c r="A38" s="42"/>
      <c r="B38" s="734"/>
      <c r="C38" s="734"/>
      <c r="D38" s="734"/>
      <c r="E38" s="734"/>
      <c r="F38" s="734"/>
      <c r="G38" s="43"/>
      <c r="H38" s="42"/>
      <c r="I38" s="42"/>
      <c r="J38" s="42"/>
      <c r="K38" s="44"/>
      <c r="L38" s="4"/>
      <c r="M38" s="4"/>
      <c r="N38" s="4"/>
      <c r="O38" s="4"/>
      <c r="P38" s="4"/>
      <c r="Q38" s="4"/>
      <c r="R38" s="4"/>
      <c r="S38" s="4"/>
      <c r="T38" s="4"/>
      <c r="U38" s="4"/>
      <c r="V38" s="4"/>
      <c r="W38" s="4"/>
      <c r="X38" s="4"/>
    </row>
    <row r="39" spans="1:24" ht="17.399999999999999" x14ac:dyDescent="0.3">
      <c r="A39" s="42"/>
      <c r="B39" s="734"/>
      <c r="C39" s="734"/>
      <c r="D39" s="734"/>
      <c r="E39" s="734"/>
      <c r="F39" s="734"/>
      <c r="G39" s="43"/>
      <c r="H39" s="42"/>
      <c r="I39" s="42"/>
      <c r="J39" s="42"/>
      <c r="K39" s="44"/>
      <c r="L39" s="4"/>
      <c r="M39" s="4"/>
      <c r="N39" s="4"/>
      <c r="O39" s="4"/>
      <c r="P39" s="4"/>
      <c r="Q39" s="4"/>
      <c r="R39" s="4"/>
      <c r="S39" s="4"/>
      <c r="T39" s="4"/>
      <c r="U39" s="4"/>
      <c r="V39" s="4"/>
      <c r="W39" s="4"/>
      <c r="X39" s="4"/>
    </row>
    <row r="40" spans="1:24" ht="17.399999999999999" x14ac:dyDescent="0.3">
      <c r="A40" s="42"/>
      <c r="B40" s="734"/>
      <c r="C40" s="734"/>
      <c r="D40" s="734"/>
      <c r="E40" s="734"/>
      <c r="F40" s="734"/>
      <c r="G40" s="43"/>
      <c r="H40" s="42"/>
      <c r="I40" s="42"/>
      <c r="J40" s="42"/>
      <c r="K40" s="44"/>
      <c r="L40" s="4"/>
      <c r="M40" s="4"/>
      <c r="N40" s="4"/>
      <c r="O40" s="4"/>
      <c r="P40" s="4"/>
      <c r="Q40" s="4"/>
      <c r="R40" s="4"/>
      <c r="S40" s="4"/>
      <c r="T40" s="4"/>
      <c r="U40" s="4"/>
      <c r="V40" s="4"/>
      <c r="W40" s="4"/>
      <c r="X40" s="4"/>
    </row>
    <row r="41" spans="1:24" ht="17.399999999999999" x14ac:dyDescent="0.3">
      <c r="A41" s="42"/>
      <c r="B41" s="1076" t="s">
        <v>1005</v>
      </c>
      <c r="C41" s="1076"/>
      <c r="D41" s="1076"/>
      <c r="E41" s="1076"/>
      <c r="F41" s="1076"/>
      <c r="G41" s="43"/>
      <c r="H41" s="42"/>
      <c r="I41" s="42"/>
      <c r="J41" s="42"/>
      <c r="K41" s="44"/>
      <c r="L41" s="4"/>
      <c r="M41" s="4"/>
      <c r="N41" s="4"/>
      <c r="O41" s="4"/>
      <c r="P41" s="4"/>
      <c r="Q41" s="4"/>
      <c r="R41" s="4"/>
      <c r="S41" s="4"/>
      <c r="T41" s="4"/>
      <c r="U41" s="4"/>
      <c r="V41" s="4"/>
      <c r="W41" s="4"/>
      <c r="X41" s="4"/>
    </row>
    <row r="42" spans="1:24" ht="17.399999999999999" x14ac:dyDescent="0.3">
      <c r="A42" s="42"/>
      <c r="B42" s="1077" t="s">
        <v>1010</v>
      </c>
      <c r="C42" s="1077"/>
      <c r="D42" s="1077"/>
      <c r="E42" s="1077"/>
      <c r="F42" s="1077"/>
      <c r="G42" s="43"/>
      <c r="H42" s="42"/>
      <c r="I42" s="42"/>
      <c r="J42" s="42"/>
      <c r="K42" s="44"/>
      <c r="L42" s="4"/>
      <c r="M42" s="4"/>
      <c r="N42" s="4"/>
      <c r="O42" s="4"/>
      <c r="P42" s="4"/>
      <c r="Q42" s="4"/>
      <c r="R42" s="4"/>
      <c r="S42" s="4"/>
      <c r="T42" s="4"/>
      <c r="U42" s="4"/>
      <c r="V42" s="4"/>
      <c r="W42" s="4"/>
      <c r="X42" s="4"/>
    </row>
    <row r="43" spans="1:24" ht="17.399999999999999" x14ac:dyDescent="0.3">
      <c r="A43" s="42"/>
      <c r="B43" s="1077" t="s">
        <v>1006</v>
      </c>
      <c r="C43" s="1077"/>
      <c r="D43" s="1077"/>
      <c r="E43" s="1077"/>
      <c r="F43" s="1077"/>
      <c r="G43" s="43"/>
      <c r="H43" s="42"/>
      <c r="I43" s="42"/>
      <c r="J43" s="42"/>
      <c r="K43" s="44"/>
      <c r="L43" s="4"/>
      <c r="M43" s="4"/>
      <c r="N43" s="4"/>
      <c r="O43" s="4"/>
      <c r="P43" s="4"/>
      <c r="Q43" s="4"/>
      <c r="R43" s="4"/>
      <c r="S43" s="4"/>
      <c r="T43" s="4"/>
      <c r="U43" s="4"/>
      <c r="V43" s="4"/>
      <c r="W43" s="4"/>
      <c r="X43" s="4"/>
    </row>
    <row r="44" spans="1:24" ht="17.399999999999999" x14ac:dyDescent="0.3">
      <c r="A44" s="42"/>
      <c r="B44" s="734"/>
      <c r="C44" s="734"/>
      <c r="D44" s="735"/>
      <c r="E44" s="734"/>
      <c r="F44" s="734"/>
      <c r="G44" s="43"/>
      <c r="H44" s="42"/>
      <c r="I44" s="42"/>
      <c r="J44" s="42"/>
      <c r="K44" s="44"/>
      <c r="L44" s="4"/>
      <c r="M44" s="4"/>
      <c r="N44" s="4"/>
      <c r="O44" s="4"/>
      <c r="P44" s="4"/>
      <c r="Q44" s="4"/>
      <c r="R44" s="4"/>
      <c r="S44" s="4"/>
      <c r="T44" s="4"/>
      <c r="U44" s="4"/>
      <c r="V44" s="4"/>
      <c r="W44" s="4"/>
      <c r="X44" s="4"/>
    </row>
    <row r="45" spans="1:24" ht="15.6" x14ac:dyDescent="0.3">
      <c r="A45" s="42"/>
      <c r="B45" s="42"/>
      <c r="C45" s="42"/>
      <c r="D45" s="42"/>
      <c r="E45" s="42"/>
      <c r="F45" s="42"/>
      <c r="G45" s="43"/>
      <c r="H45" s="42"/>
      <c r="I45" s="42"/>
      <c r="J45" s="42"/>
      <c r="K45" s="44"/>
      <c r="L45" s="4"/>
      <c r="M45" s="4"/>
      <c r="N45" s="4"/>
      <c r="O45" s="4"/>
      <c r="P45" s="4"/>
      <c r="Q45" s="4"/>
      <c r="R45" s="4"/>
      <c r="S45" s="4"/>
      <c r="T45" s="4"/>
      <c r="U45" s="4"/>
      <c r="V45" s="4"/>
      <c r="W45" s="4"/>
      <c r="X45" s="4"/>
    </row>
    <row r="46" spans="1:24" ht="15.6" x14ac:dyDescent="0.3">
      <c r="A46" s="42"/>
      <c r="B46" s="42"/>
      <c r="C46" s="42"/>
      <c r="D46" s="42"/>
      <c r="E46" s="42"/>
      <c r="F46" s="42"/>
      <c r="G46" s="43"/>
      <c r="H46" s="42"/>
      <c r="I46" s="42"/>
      <c r="J46" s="42"/>
      <c r="K46" s="44"/>
      <c r="L46" s="4"/>
      <c r="M46" s="4"/>
      <c r="N46" s="4"/>
      <c r="O46" s="4"/>
      <c r="P46" s="4"/>
      <c r="Q46" s="4"/>
      <c r="R46" s="4"/>
      <c r="S46" s="4"/>
      <c r="T46" s="4"/>
      <c r="U46" s="4"/>
      <c r="V46" s="4"/>
      <c r="W46" s="4"/>
      <c r="X46" s="4"/>
    </row>
    <row r="47" spans="1:24" ht="15.6" x14ac:dyDescent="0.3">
      <c r="A47" s="42"/>
      <c r="B47" s="42"/>
      <c r="C47" s="42"/>
      <c r="D47" s="42"/>
      <c r="E47" s="42"/>
      <c r="F47" s="42"/>
      <c r="G47" s="43"/>
      <c r="H47" s="42"/>
      <c r="I47" s="42"/>
      <c r="J47" s="42"/>
      <c r="K47" s="44"/>
      <c r="L47" s="4"/>
      <c r="M47" s="4"/>
      <c r="N47" s="4"/>
      <c r="O47" s="4"/>
      <c r="P47" s="4"/>
      <c r="Q47" s="4"/>
      <c r="R47" s="4"/>
      <c r="S47" s="4"/>
      <c r="T47" s="4"/>
      <c r="U47" s="4"/>
      <c r="V47" s="4"/>
      <c r="W47" s="4"/>
      <c r="X47" s="4"/>
    </row>
    <row r="48" spans="1:24" ht="15.6" x14ac:dyDescent="0.3">
      <c r="A48" s="42"/>
      <c r="B48" s="42"/>
      <c r="C48" s="42"/>
      <c r="D48" s="42"/>
      <c r="E48" s="42"/>
      <c r="F48" s="42"/>
      <c r="G48" s="43"/>
      <c r="H48" s="42"/>
      <c r="I48" s="42"/>
      <c r="J48" s="42"/>
      <c r="K48" s="44"/>
      <c r="L48" s="4"/>
      <c r="M48" s="4"/>
      <c r="N48" s="4"/>
      <c r="O48" s="4"/>
      <c r="P48" s="4"/>
      <c r="Q48" s="4"/>
      <c r="R48" s="4"/>
      <c r="S48" s="4"/>
      <c r="T48" s="4"/>
      <c r="U48" s="4"/>
      <c r="V48" s="4"/>
      <c r="W48" s="4"/>
      <c r="X48" s="4"/>
    </row>
    <row r="49" spans="1:24" ht="15.6" x14ac:dyDescent="0.3">
      <c r="A49" s="42"/>
      <c r="B49" s="42"/>
      <c r="C49" s="42"/>
      <c r="D49" s="42"/>
      <c r="E49" s="42"/>
      <c r="F49" s="42"/>
      <c r="G49" s="43"/>
      <c r="H49" s="42"/>
      <c r="I49" s="42"/>
      <c r="J49" s="42"/>
      <c r="K49" s="44"/>
      <c r="L49" s="4"/>
      <c r="M49" s="4"/>
      <c r="N49" s="4"/>
      <c r="O49" s="4"/>
      <c r="P49" s="4"/>
      <c r="Q49" s="4"/>
      <c r="R49" s="4"/>
      <c r="S49" s="4"/>
      <c r="T49" s="4"/>
      <c r="U49" s="4"/>
      <c r="V49" s="4"/>
      <c r="W49" s="4"/>
      <c r="X49" s="4"/>
    </row>
    <row r="50" spans="1:24" ht="15.6" x14ac:dyDescent="0.3">
      <c r="A50" s="6"/>
      <c r="B50" s="7"/>
      <c r="C50" s="136"/>
      <c r="D50" s="8"/>
      <c r="E50" s="8"/>
      <c r="F50" s="9"/>
      <c r="G50" s="10"/>
      <c r="H50" s="9"/>
      <c r="I50" s="42"/>
      <c r="J50" s="42"/>
      <c r="K50" s="11"/>
      <c r="L50" s="4"/>
      <c r="M50" s="4"/>
      <c r="N50" s="4"/>
      <c r="O50" s="4"/>
      <c r="P50" s="4"/>
      <c r="Q50" s="4"/>
      <c r="R50" s="4"/>
      <c r="S50" s="4"/>
      <c r="T50" s="4"/>
      <c r="U50" s="4"/>
      <c r="V50" s="4"/>
      <c r="W50" s="4"/>
      <c r="X50" s="4"/>
    </row>
    <row r="51" spans="1:24" ht="15.6" x14ac:dyDescent="0.3">
      <c r="A51" s="6"/>
      <c r="B51" s="7"/>
      <c r="C51" s="136"/>
      <c r="D51" s="8"/>
      <c r="E51" s="8"/>
      <c r="F51" s="9"/>
      <c r="G51" s="10"/>
      <c r="H51" s="9"/>
      <c r="I51" s="42"/>
      <c r="J51" s="42"/>
      <c r="K51" s="11"/>
      <c r="L51" s="4"/>
      <c r="M51" s="4"/>
      <c r="N51" s="4"/>
      <c r="O51" s="4"/>
      <c r="P51" s="4"/>
      <c r="Q51" s="4"/>
      <c r="R51" s="4"/>
      <c r="S51" s="4"/>
      <c r="T51" s="4"/>
      <c r="U51" s="4"/>
      <c r="V51" s="4"/>
      <c r="W51" s="4"/>
      <c r="X51" s="4"/>
    </row>
    <row r="52" spans="1:24" ht="15.6" x14ac:dyDescent="0.3">
      <c r="A52" s="6"/>
      <c r="B52" s="7"/>
      <c r="C52" s="136"/>
      <c r="D52" s="8"/>
      <c r="E52" s="8"/>
      <c r="F52" s="9"/>
      <c r="G52" s="10"/>
      <c r="H52" s="9"/>
      <c r="I52" s="42"/>
      <c r="J52" s="42"/>
      <c r="K52" s="11"/>
      <c r="L52" s="4"/>
      <c r="M52" s="4"/>
      <c r="N52" s="4"/>
      <c r="O52" s="4"/>
      <c r="P52" s="4"/>
      <c r="Q52" s="4"/>
      <c r="R52" s="4"/>
      <c r="S52" s="4"/>
      <c r="T52" s="4"/>
      <c r="U52" s="4"/>
      <c r="V52" s="4"/>
      <c r="W52" s="4"/>
      <c r="X52" s="4"/>
    </row>
    <row r="53" spans="1:24" ht="15.6" x14ac:dyDescent="0.3">
      <c r="A53" s="6"/>
      <c r="B53" s="7"/>
      <c r="C53" s="136"/>
      <c r="D53" s="8"/>
      <c r="E53" s="8"/>
      <c r="F53" s="9"/>
      <c r="G53" s="10"/>
      <c r="H53" s="9"/>
      <c r="I53" s="42"/>
      <c r="J53" s="42"/>
      <c r="K53" s="11"/>
      <c r="L53" s="4"/>
      <c r="M53" s="4"/>
      <c r="N53" s="4"/>
      <c r="O53" s="4"/>
      <c r="P53" s="4"/>
      <c r="Q53" s="4"/>
      <c r="R53" s="4"/>
      <c r="S53" s="4"/>
      <c r="T53" s="4"/>
      <c r="U53" s="4"/>
      <c r="V53" s="4"/>
      <c r="W53" s="4"/>
      <c r="X53" s="4"/>
    </row>
    <row r="54" spans="1:24" ht="15.6" x14ac:dyDescent="0.3">
      <c r="A54" s="6"/>
      <c r="B54" s="7"/>
      <c r="C54" s="136"/>
      <c r="D54" s="8"/>
      <c r="E54" s="8"/>
      <c r="F54" s="9"/>
      <c r="G54" s="10"/>
      <c r="H54" s="9"/>
      <c r="I54" s="42"/>
      <c r="J54" s="42"/>
      <c r="K54" s="11"/>
      <c r="L54" s="4"/>
      <c r="M54" s="4"/>
      <c r="N54" s="4"/>
      <c r="O54" s="4"/>
      <c r="P54" s="4"/>
      <c r="Q54" s="4"/>
      <c r="R54" s="4"/>
      <c r="S54" s="4"/>
      <c r="T54" s="4"/>
      <c r="U54" s="4"/>
      <c r="V54" s="4"/>
      <c r="W54" s="4"/>
      <c r="X54" s="4"/>
    </row>
    <row r="55" spans="1:24" ht="15.6" x14ac:dyDescent="0.3">
      <c r="A55" s="6"/>
      <c r="B55" s="7"/>
      <c r="C55" s="136"/>
      <c r="D55" s="8"/>
      <c r="E55" s="8"/>
      <c r="F55" s="9"/>
      <c r="G55" s="10"/>
      <c r="H55" s="9"/>
      <c r="I55" s="42"/>
      <c r="J55" s="42"/>
      <c r="K55" s="11"/>
      <c r="L55" s="4"/>
      <c r="M55" s="4"/>
      <c r="N55" s="4"/>
      <c r="O55" s="4"/>
      <c r="P55" s="4"/>
      <c r="Q55" s="4"/>
      <c r="R55" s="4"/>
      <c r="S55" s="4"/>
      <c r="T55" s="4"/>
      <c r="U55" s="4"/>
      <c r="V55" s="4"/>
      <c r="W55" s="4"/>
      <c r="X55" s="4"/>
    </row>
    <row r="56" spans="1:24" ht="15.6" x14ac:dyDescent="0.3">
      <c r="A56" s="6"/>
      <c r="B56" s="7"/>
      <c r="C56" s="136"/>
      <c r="D56" s="8"/>
      <c r="E56" s="8"/>
      <c r="F56" s="9"/>
      <c r="G56" s="10"/>
      <c r="H56" s="9"/>
      <c r="I56" s="4"/>
      <c r="J56" s="4"/>
      <c r="K56" s="11"/>
      <c r="L56" s="4"/>
      <c r="M56" s="4"/>
      <c r="N56" s="4"/>
      <c r="O56" s="4"/>
      <c r="P56" s="4"/>
      <c r="Q56" s="4"/>
      <c r="R56" s="4"/>
      <c r="S56" s="4"/>
      <c r="T56" s="4"/>
      <c r="U56" s="4"/>
      <c r="V56" s="4"/>
      <c r="W56" s="4"/>
      <c r="X56" s="4"/>
    </row>
    <row r="57" spans="1:24" ht="15.6" x14ac:dyDescent="0.3">
      <c r="A57" s="6"/>
      <c r="B57" s="7"/>
      <c r="C57" s="136"/>
      <c r="D57" s="8"/>
      <c r="E57" s="8"/>
      <c r="F57" s="9"/>
      <c r="G57" s="10"/>
      <c r="H57" s="9"/>
      <c r="I57" s="4"/>
      <c r="J57" s="4"/>
      <c r="K57" s="11"/>
      <c r="L57" s="4"/>
      <c r="M57" s="4"/>
      <c r="N57" s="4"/>
      <c r="O57" s="4"/>
      <c r="P57" s="4"/>
      <c r="Q57" s="4"/>
      <c r="R57" s="4"/>
      <c r="S57" s="4"/>
      <c r="T57" s="4"/>
      <c r="U57" s="4"/>
      <c r="V57" s="4"/>
      <c r="W57" s="4"/>
      <c r="X57" s="4"/>
    </row>
    <row r="58" spans="1:24" ht="15.6" x14ac:dyDescent="0.3">
      <c r="A58" s="6"/>
      <c r="B58" s="7"/>
      <c r="C58" s="136"/>
      <c r="D58" s="8"/>
      <c r="E58" s="8"/>
      <c r="F58" s="9"/>
      <c r="G58" s="10"/>
      <c r="H58" s="9"/>
      <c r="I58" s="4"/>
      <c r="J58" s="4"/>
      <c r="K58" s="11"/>
      <c r="L58" s="4"/>
      <c r="M58" s="4"/>
      <c r="N58" s="4"/>
      <c r="O58" s="4"/>
      <c r="P58" s="4"/>
      <c r="Q58" s="4"/>
      <c r="R58" s="4"/>
      <c r="S58" s="4"/>
      <c r="T58" s="4"/>
      <c r="U58" s="4"/>
      <c r="V58" s="4"/>
      <c r="W58" s="4"/>
      <c r="X58" s="4"/>
    </row>
    <row r="59" spans="1:24" ht="15.6" x14ac:dyDescent="0.3">
      <c r="A59" s="6"/>
      <c r="B59" s="7"/>
      <c r="C59" s="136"/>
      <c r="D59" s="8"/>
      <c r="E59" s="8"/>
      <c r="F59" s="9"/>
      <c r="G59" s="10"/>
      <c r="H59" s="9"/>
      <c r="I59" s="4"/>
      <c r="J59" s="4"/>
      <c r="K59" s="11"/>
      <c r="L59" s="4"/>
      <c r="M59" s="4"/>
      <c r="N59" s="4"/>
      <c r="O59" s="4"/>
      <c r="P59" s="4"/>
      <c r="Q59" s="4"/>
      <c r="R59" s="4"/>
      <c r="S59" s="4"/>
      <c r="T59" s="4"/>
      <c r="U59" s="4"/>
      <c r="V59" s="4"/>
      <c r="W59" s="4"/>
      <c r="X59" s="4"/>
    </row>
    <row r="60" spans="1:24" ht="15.6" x14ac:dyDescent="0.3">
      <c r="A60" s="6"/>
      <c r="B60" s="7"/>
      <c r="C60" s="136"/>
      <c r="D60" s="8"/>
      <c r="E60" s="8"/>
      <c r="F60" s="9"/>
      <c r="G60" s="10"/>
      <c r="H60" s="9"/>
      <c r="I60" s="4"/>
      <c r="J60" s="4"/>
      <c r="K60" s="11"/>
      <c r="L60" s="4"/>
      <c r="M60" s="4"/>
      <c r="N60" s="4"/>
      <c r="O60" s="4"/>
      <c r="P60" s="4"/>
      <c r="Q60" s="4"/>
      <c r="R60" s="4"/>
      <c r="S60" s="4"/>
      <c r="T60" s="4"/>
      <c r="U60" s="4"/>
      <c r="V60" s="4"/>
      <c r="W60" s="4"/>
      <c r="X60" s="4"/>
    </row>
    <row r="61" spans="1:24" ht="15.6" x14ac:dyDescent="0.3">
      <c r="A61" s="6"/>
      <c r="B61" s="7"/>
      <c r="C61" s="136"/>
      <c r="D61" s="8"/>
      <c r="E61" s="8"/>
      <c r="F61" s="9"/>
      <c r="G61" s="10"/>
      <c r="H61" s="9"/>
      <c r="I61" s="4"/>
      <c r="J61" s="4"/>
      <c r="K61" s="11"/>
      <c r="L61" s="4"/>
      <c r="M61" s="4"/>
      <c r="N61" s="4"/>
      <c r="O61" s="4"/>
      <c r="P61" s="4"/>
      <c r="Q61" s="4"/>
      <c r="R61" s="4"/>
      <c r="S61" s="4"/>
      <c r="T61" s="4"/>
      <c r="U61" s="4"/>
      <c r="V61" s="4"/>
      <c r="W61" s="4"/>
      <c r="X61" s="4"/>
    </row>
    <row r="62" spans="1:24" ht="15.6" x14ac:dyDescent="0.3">
      <c r="A62" s="6"/>
      <c r="B62" s="7"/>
      <c r="C62" s="136"/>
      <c r="D62" s="8"/>
      <c r="E62" s="8"/>
      <c r="F62" s="9"/>
      <c r="G62" s="10"/>
      <c r="H62" s="9"/>
      <c r="I62" s="4"/>
      <c r="J62" s="4"/>
      <c r="K62" s="11"/>
      <c r="L62" s="4"/>
      <c r="M62" s="4"/>
      <c r="N62" s="4"/>
      <c r="O62" s="4"/>
      <c r="P62" s="4"/>
      <c r="Q62" s="4"/>
      <c r="R62" s="4"/>
      <c r="S62" s="4"/>
      <c r="T62" s="4"/>
      <c r="U62" s="4"/>
      <c r="V62" s="4"/>
      <c r="W62" s="4"/>
      <c r="X62" s="4"/>
    </row>
    <row r="63" spans="1:24" ht="15.6" x14ac:dyDescent="0.3">
      <c r="A63" s="6"/>
      <c r="B63" s="7"/>
      <c r="C63" s="136"/>
      <c r="D63" s="8"/>
      <c r="E63" s="8"/>
      <c r="F63" s="9"/>
      <c r="G63" s="10"/>
      <c r="H63" s="9"/>
      <c r="I63" s="4"/>
      <c r="J63" s="4"/>
      <c r="K63" s="11"/>
      <c r="L63" s="4"/>
      <c r="M63" s="4"/>
      <c r="N63" s="4"/>
      <c r="O63" s="4"/>
      <c r="P63" s="4"/>
      <c r="Q63" s="4"/>
      <c r="R63" s="4"/>
      <c r="S63" s="4"/>
      <c r="T63" s="4"/>
      <c r="U63" s="4"/>
      <c r="V63" s="4"/>
      <c r="W63" s="4"/>
      <c r="X63" s="4"/>
    </row>
    <row r="64" spans="1:24" ht="15.6" x14ac:dyDescent="0.3">
      <c r="A64" s="6"/>
      <c r="B64" s="7"/>
      <c r="C64" s="136"/>
      <c r="D64" s="8"/>
      <c r="E64" s="8"/>
      <c r="F64" s="9"/>
      <c r="G64" s="10"/>
      <c r="H64" s="9"/>
      <c r="I64" s="4"/>
      <c r="J64" s="4"/>
      <c r="K64" s="11"/>
      <c r="L64" s="4"/>
      <c r="M64" s="4"/>
      <c r="N64" s="4"/>
      <c r="O64" s="4"/>
      <c r="P64" s="4"/>
      <c r="Q64" s="4"/>
      <c r="R64" s="4"/>
      <c r="S64" s="4"/>
      <c r="T64" s="4"/>
      <c r="U64" s="4"/>
      <c r="V64" s="4"/>
      <c r="W64" s="4"/>
      <c r="X64" s="4"/>
    </row>
    <row r="65" spans="1:24" ht="15.6" x14ac:dyDescent="0.3">
      <c r="A65" s="6"/>
      <c r="B65" s="7"/>
      <c r="C65" s="136"/>
      <c r="D65" s="8"/>
      <c r="E65" s="8"/>
      <c r="F65" s="9"/>
      <c r="G65" s="10"/>
      <c r="H65" s="9"/>
      <c r="I65" s="4"/>
      <c r="J65" s="4"/>
      <c r="K65" s="11"/>
      <c r="L65" s="4"/>
      <c r="M65" s="4"/>
      <c r="N65" s="4"/>
      <c r="O65" s="4"/>
      <c r="P65" s="4"/>
      <c r="Q65" s="4"/>
      <c r="R65" s="4"/>
      <c r="S65" s="4"/>
      <c r="T65" s="4"/>
      <c r="U65" s="4"/>
      <c r="V65" s="4"/>
      <c r="W65" s="4"/>
      <c r="X65" s="4"/>
    </row>
    <row r="66" spans="1:24" ht="15.6" x14ac:dyDescent="0.3">
      <c r="A66" s="6"/>
      <c r="B66" s="7"/>
      <c r="C66" s="136"/>
      <c r="D66" s="8"/>
      <c r="E66" s="8"/>
      <c r="F66" s="9"/>
      <c r="G66" s="10"/>
      <c r="H66" s="9"/>
      <c r="I66" s="4"/>
      <c r="J66" s="4"/>
      <c r="K66" s="11"/>
      <c r="L66" s="4"/>
      <c r="M66" s="4"/>
      <c r="N66" s="4"/>
      <c r="O66" s="4"/>
      <c r="P66" s="4"/>
      <c r="Q66" s="4"/>
      <c r="R66" s="4"/>
      <c r="S66" s="4"/>
      <c r="T66" s="4"/>
      <c r="U66" s="4"/>
      <c r="V66" s="4"/>
      <c r="W66" s="4"/>
      <c r="X66" s="4"/>
    </row>
    <row r="67" spans="1:24" ht="15.6" x14ac:dyDescent="0.3">
      <c r="A67" s="6"/>
      <c r="B67" s="7"/>
      <c r="C67" s="136"/>
      <c r="D67" s="8"/>
      <c r="E67" s="8"/>
      <c r="F67" s="9"/>
      <c r="G67" s="10"/>
      <c r="H67" s="9"/>
      <c r="I67" s="4"/>
      <c r="J67" s="4"/>
      <c r="K67" s="11"/>
      <c r="L67" s="4"/>
      <c r="M67" s="4"/>
      <c r="N67" s="4"/>
      <c r="O67" s="4"/>
      <c r="P67" s="4"/>
      <c r="Q67" s="4"/>
      <c r="R67" s="4"/>
      <c r="S67" s="4"/>
      <c r="T67" s="4"/>
      <c r="U67" s="4"/>
      <c r="V67" s="4"/>
      <c r="W67" s="4"/>
      <c r="X67" s="4"/>
    </row>
    <row r="68" spans="1:24" ht="15.6" x14ac:dyDescent="0.3">
      <c r="A68" s="6"/>
      <c r="B68" s="7"/>
      <c r="C68" s="136"/>
      <c r="D68" s="8"/>
      <c r="E68" s="8"/>
      <c r="F68" s="9"/>
      <c r="G68" s="10"/>
      <c r="H68" s="9"/>
      <c r="I68" s="4"/>
      <c r="J68" s="4"/>
      <c r="K68" s="11"/>
      <c r="L68" s="4"/>
      <c r="M68" s="4"/>
      <c r="N68" s="4"/>
      <c r="O68" s="4"/>
      <c r="P68" s="4"/>
      <c r="Q68" s="4"/>
      <c r="R68" s="4"/>
      <c r="S68" s="4"/>
      <c r="T68" s="4"/>
      <c r="U68" s="4"/>
      <c r="V68" s="4"/>
      <c r="W68" s="4"/>
      <c r="X68" s="4"/>
    </row>
    <row r="69" spans="1:24" ht="15.6" x14ac:dyDescent="0.3">
      <c r="A69" s="6"/>
      <c r="B69" s="7"/>
      <c r="C69" s="136"/>
      <c r="D69" s="8"/>
      <c r="E69" s="8"/>
      <c r="F69" s="9"/>
      <c r="G69" s="10"/>
      <c r="H69" s="9"/>
      <c r="I69" s="4"/>
      <c r="J69" s="4"/>
      <c r="K69" s="11"/>
      <c r="L69" s="4"/>
      <c r="M69" s="4"/>
      <c r="N69" s="4"/>
      <c r="O69" s="4"/>
      <c r="P69" s="4"/>
      <c r="Q69" s="4"/>
      <c r="R69" s="4"/>
      <c r="S69" s="4"/>
      <c r="T69" s="4"/>
      <c r="U69" s="4"/>
      <c r="V69" s="4"/>
      <c r="W69" s="4"/>
      <c r="X69" s="4"/>
    </row>
    <row r="70" spans="1:24" ht="15.6" x14ac:dyDescent="0.3">
      <c r="A70" s="6"/>
      <c r="B70" s="7"/>
      <c r="C70" s="136"/>
      <c r="D70" s="8"/>
      <c r="E70" s="8"/>
      <c r="F70" s="9"/>
      <c r="G70" s="10"/>
      <c r="H70" s="9"/>
      <c r="I70" s="4"/>
      <c r="J70" s="4"/>
      <c r="K70" s="11"/>
      <c r="L70" s="4"/>
      <c r="M70" s="4"/>
      <c r="N70" s="4"/>
      <c r="O70" s="4"/>
      <c r="P70" s="4"/>
      <c r="Q70" s="4"/>
      <c r="R70" s="4"/>
      <c r="S70" s="4"/>
      <c r="T70" s="4"/>
      <c r="U70" s="4"/>
      <c r="V70" s="4"/>
      <c r="W70" s="4"/>
      <c r="X70" s="4"/>
    </row>
    <row r="71" spans="1:24" ht="15.6" x14ac:dyDescent="0.3">
      <c r="A71" s="6"/>
      <c r="B71" s="7"/>
      <c r="C71" s="136"/>
      <c r="D71" s="8"/>
      <c r="E71" s="8"/>
      <c r="F71" s="9"/>
      <c r="G71" s="10"/>
      <c r="H71" s="9"/>
      <c r="I71" s="4"/>
      <c r="J71" s="4"/>
      <c r="K71" s="11"/>
      <c r="L71" s="4"/>
      <c r="M71" s="4"/>
      <c r="N71" s="4"/>
      <c r="O71" s="4"/>
      <c r="P71" s="4"/>
      <c r="Q71" s="4"/>
      <c r="R71" s="4"/>
      <c r="S71" s="4"/>
      <c r="T71" s="4"/>
      <c r="U71" s="4"/>
      <c r="V71" s="4"/>
      <c r="W71" s="4"/>
      <c r="X71" s="4"/>
    </row>
    <row r="72" spans="1:24" ht="15.6" x14ac:dyDescent="0.3">
      <c r="A72" s="6"/>
      <c r="B72" s="7"/>
      <c r="C72" s="136"/>
      <c r="D72" s="8"/>
      <c r="E72" s="8"/>
      <c r="F72" s="9"/>
      <c r="G72" s="10"/>
      <c r="H72" s="9"/>
      <c r="I72" s="4"/>
      <c r="J72" s="4"/>
      <c r="K72" s="11"/>
      <c r="L72" s="4"/>
      <c r="M72" s="4"/>
      <c r="N72" s="4"/>
      <c r="O72" s="4"/>
      <c r="P72" s="4"/>
      <c r="Q72" s="4"/>
      <c r="R72" s="4"/>
      <c r="S72" s="4"/>
      <c r="T72" s="4"/>
      <c r="U72" s="4"/>
      <c r="V72" s="4"/>
      <c r="W72" s="4"/>
      <c r="X72" s="4"/>
    </row>
    <row r="73" spans="1:24" ht="15.6" x14ac:dyDescent="0.3">
      <c r="A73" s="6"/>
      <c r="B73" s="7"/>
      <c r="C73" s="136"/>
      <c r="D73" s="8"/>
      <c r="E73" s="8"/>
      <c r="F73" s="9"/>
      <c r="G73" s="10"/>
      <c r="H73" s="9"/>
      <c r="I73" s="4"/>
      <c r="J73" s="4"/>
      <c r="K73" s="11"/>
      <c r="L73" s="4"/>
      <c r="M73" s="4"/>
      <c r="N73" s="4"/>
      <c r="O73" s="4"/>
      <c r="P73" s="4"/>
      <c r="Q73" s="4"/>
      <c r="R73" s="4"/>
      <c r="S73" s="4"/>
      <c r="T73" s="4"/>
      <c r="U73" s="4"/>
      <c r="V73" s="4"/>
      <c r="W73" s="4"/>
      <c r="X73" s="4"/>
    </row>
    <row r="74" spans="1:24" ht="15.6" x14ac:dyDescent="0.3">
      <c r="A74" s="6"/>
      <c r="B74" s="7"/>
      <c r="C74" s="136"/>
      <c r="D74" s="8"/>
      <c r="E74" s="8"/>
      <c r="F74" s="9"/>
      <c r="G74" s="10"/>
      <c r="H74" s="9"/>
      <c r="I74" s="4"/>
      <c r="J74" s="4"/>
      <c r="K74" s="11"/>
      <c r="L74" s="4"/>
      <c r="M74" s="4"/>
      <c r="N74" s="4"/>
      <c r="O74" s="4"/>
      <c r="P74" s="4"/>
      <c r="Q74" s="4"/>
      <c r="R74" s="4"/>
      <c r="S74" s="4"/>
      <c r="T74" s="4"/>
      <c r="U74" s="4"/>
      <c r="V74" s="4"/>
      <c r="W74" s="4"/>
      <c r="X74" s="4"/>
    </row>
    <row r="75" spans="1:24" ht="15.6" x14ac:dyDescent="0.3">
      <c r="A75" s="6"/>
      <c r="B75" s="7"/>
      <c r="C75" s="136"/>
      <c r="D75" s="8"/>
      <c r="E75" s="8"/>
      <c r="F75" s="9"/>
      <c r="G75" s="10"/>
      <c r="H75" s="9"/>
      <c r="I75" s="4"/>
      <c r="J75" s="4"/>
      <c r="K75" s="11"/>
      <c r="L75" s="4"/>
      <c r="M75" s="4"/>
      <c r="N75" s="4"/>
      <c r="O75" s="4"/>
      <c r="P75" s="4"/>
      <c r="Q75" s="4"/>
      <c r="R75" s="4"/>
      <c r="S75" s="4"/>
      <c r="T75" s="4"/>
      <c r="U75" s="4"/>
      <c r="V75" s="4"/>
      <c r="W75" s="4"/>
      <c r="X75" s="4"/>
    </row>
    <row r="76" spans="1:24" ht="15.6" x14ac:dyDescent="0.3">
      <c r="A76" s="6"/>
      <c r="B76" s="7"/>
      <c r="C76" s="136"/>
      <c r="D76" s="8"/>
      <c r="E76" s="8"/>
      <c r="F76" s="9"/>
      <c r="G76" s="10"/>
      <c r="H76" s="9"/>
      <c r="I76" s="4"/>
      <c r="J76" s="4"/>
      <c r="K76" s="11"/>
      <c r="L76" s="4"/>
      <c r="M76" s="4"/>
      <c r="N76" s="4"/>
      <c r="O76" s="4"/>
      <c r="P76" s="4"/>
      <c r="Q76" s="4"/>
      <c r="R76" s="4"/>
      <c r="S76" s="4"/>
      <c r="T76" s="4"/>
      <c r="U76" s="4"/>
      <c r="V76" s="4"/>
      <c r="W76" s="4"/>
      <c r="X76" s="4"/>
    </row>
    <row r="77" spans="1:24" ht="15.6" x14ac:dyDescent="0.3">
      <c r="A77" s="6"/>
      <c r="B77" s="7"/>
      <c r="C77" s="136"/>
      <c r="D77" s="8"/>
      <c r="E77" s="8"/>
      <c r="F77" s="9"/>
      <c r="G77" s="10"/>
      <c r="H77" s="9"/>
      <c r="I77" s="4"/>
      <c r="J77" s="4"/>
      <c r="K77" s="11"/>
      <c r="L77" s="4"/>
      <c r="M77" s="4"/>
      <c r="N77" s="4"/>
      <c r="O77" s="4"/>
      <c r="P77" s="4"/>
      <c r="Q77" s="4"/>
      <c r="R77" s="4"/>
      <c r="S77" s="4"/>
      <c r="T77" s="4"/>
      <c r="U77" s="4"/>
      <c r="V77" s="4"/>
      <c r="W77" s="4"/>
      <c r="X77" s="4"/>
    </row>
    <row r="78" spans="1:24" ht="15.6" x14ac:dyDescent="0.3">
      <c r="A78" s="6"/>
      <c r="B78" s="7"/>
      <c r="C78" s="136"/>
      <c r="D78" s="8"/>
      <c r="E78" s="8"/>
      <c r="F78" s="9"/>
      <c r="G78" s="10"/>
      <c r="H78" s="9"/>
      <c r="I78" s="4"/>
      <c r="J78" s="4"/>
      <c r="K78" s="11"/>
      <c r="L78" s="4"/>
      <c r="M78" s="4"/>
      <c r="N78" s="4"/>
      <c r="O78" s="4"/>
      <c r="P78" s="4"/>
      <c r="Q78" s="4"/>
      <c r="R78" s="4"/>
      <c r="S78" s="4"/>
      <c r="T78" s="4"/>
      <c r="U78" s="4"/>
      <c r="V78" s="4"/>
      <c r="W78" s="4"/>
      <c r="X78" s="4"/>
    </row>
    <row r="79" spans="1:24" ht="15.6" x14ac:dyDescent="0.3">
      <c r="A79" s="6"/>
      <c r="B79" s="7"/>
      <c r="C79" s="136"/>
      <c r="D79" s="8"/>
      <c r="E79" s="8"/>
      <c r="F79" s="9"/>
      <c r="G79" s="10"/>
      <c r="H79" s="9"/>
      <c r="I79" s="4"/>
      <c r="J79" s="4"/>
      <c r="K79" s="11"/>
      <c r="L79" s="4"/>
      <c r="M79" s="4"/>
      <c r="N79" s="4"/>
      <c r="O79" s="4"/>
      <c r="P79" s="4"/>
      <c r="Q79" s="4"/>
      <c r="R79" s="4"/>
      <c r="S79" s="4"/>
      <c r="T79" s="4"/>
      <c r="U79" s="4"/>
      <c r="V79" s="4"/>
      <c r="W79" s="4"/>
      <c r="X79" s="4"/>
    </row>
    <row r="80" spans="1:24" ht="15.6" x14ac:dyDescent="0.3">
      <c r="A80" s="6"/>
      <c r="B80" s="7"/>
      <c r="C80" s="136"/>
      <c r="D80" s="8"/>
      <c r="E80" s="8"/>
      <c r="F80" s="9"/>
      <c r="G80" s="10"/>
      <c r="H80" s="9"/>
      <c r="I80" s="4"/>
      <c r="J80" s="4"/>
      <c r="K80" s="11"/>
      <c r="L80" s="4"/>
      <c r="M80" s="4"/>
      <c r="N80" s="4"/>
      <c r="O80" s="4"/>
      <c r="P80" s="4"/>
      <c r="Q80" s="4"/>
      <c r="R80" s="4"/>
      <c r="S80" s="4"/>
      <c r="T80" s="4"/>
      <c r="U80" s="4"/>
      <c r="V80" s="4"/>
      <c r="W80" s="4"/>
      <c r="X80" s="4"/>
    </row>
    <row r="81" spans="1:24" ht="15.6" x14ac:dyDescent="0.3">
      <c r="A81" s="6"/>
      <c r="B81" s="7"/>
      <c r="C81" s="136"/>
      <c r="D81" s="8"/>
      <c r="E81" s="8"/>
      <c r="F81" s="9"/>
      <c r="G81" s="10"/>
      <c r="H81" s="9"/>
      <c r="I81" s="4"/>
      <c r="J81" s="4"/>
      <c r="K81" s="11"/>
      <c r="L81" s="4"/>
      <c r="M81" s="4"/>
      <c r="N81" s="4"/>
      <c r="O81" s="4"/>
      <c r="P81" s="4"/>
      <c r="Q81" s="4"/>
      <c r="R81" s="4"/>
      <c r="S81" s="4"/>
      <c r="T81" s="4"/>
      <c r="U81" s="4"/>
      <c r="V81" s="4"/>
      <c r="W81" s="4"/>
      <c r="X81" s="4"/>
    </row>
    <row r="82" spans="1:24" ht="15.6" x14ac:dyDescent="0.3">
      <c r="A82" s="6"/>
      <c r="B82" s="7"/>
      <c r="C82" s="136"/>
      <c r="D82" s="8"/>
      <c r="E82" s="8"/>
      <c r="F82" s="9"/>
      <c r="G82" s="10"/>
      <c r="H82" s="9"/>
      <c r="I82" s="4"/>
      <c r="J82" s="4"/>
      <c r="K82" s="11"/>
      <c r="L82" s="4"/>
      <c r="M82" s="4"/>
      <c r="N82" s="4"/>
      <c r="O82" s="4"/>
      <c r="P82" s="4"/>
      <c r="Q82" s="4"/>
      <c r="R82" s="4"/>
      <c r="S82" s="4"/>
      <c r="T82" s="4"/>
      <c r="U82" s="4"/>
      <c r="V82" s="4"/>
      <c r="W82" s="4"/>
      <c r="X82" s="4"/>
    </row>
    <row r="83" spans="1:24" ht="15.6" x14ac:dyDescent="0.3">
      <c r="A83" s="6"/>
      <c r="B83" s="7"/>
      <c r="C83" s="136"/>
      <c r="D83" s="8"/>
      <c r="E83" s="8"/>
      <c r="F83" s="9"/>
      <c r="G83" s="10"/>
      <c r="H83" s="9"/>
      <c r="I83" s="4"/>
      <c r="J83" s="4"/>
      <c r="K83" s="11"/>
      <c r="L83" s="4"/>
      <c r="M83" s="4"/>
      <c r="N83" s="4"/>
      <c r="O83" s="4"/>
      <c r="P83" s="4"/>
      <c r="Q83" s="4"/>
      <c r="R83" s="4"/>
      <c r="S83" s="4"/>
      <c r="T83" s="4"/>
      <c r="U83" s="4"/>
      <c r="V83" s="4"/>
      <c r="W83" s="4"/>
      <c r="X83" s="4"/>
    </row>
    <row r="84" spans="1:24" ht="15.6" x14ac:dyDescent="0.3">
      <c r="A84" s="6"/>
      <c r="B84" s="7"/>
      <c r="C84" s="136"/>
      <c r="D84" s="8"/>
      <c r="E84" s="8"/>
      <c r="F84" s="9"/>
      <c r="G84" s="10"/>
      <c r="H84" s="9"/>
      <c r="I84" s="4"/>
      <c r="J84" s="4"/>
      <c r="K84" s="11"/>
      <c r="L84" s="4"/>
      <c r="M84" s="4"/>
      <c r="N84" s="4"/>
      <c r="O84" s="4"/>
      <c r="P84" s="4"/>
      <c r="Q84" s="4"/>
      <c r="R84" s="4"/>
      <c r="S84" s="4"/>
      <c r="T84" s="4"/>
      <c r="U84" s="4"/>
      <c r="V84" s="4"/>
      <c r="W84" s="4"/>
      <c r="X84" s="4"/>
    </row>
    <row r="85" spans="1:24" ht="15.6" x14ac:dyDescent="0.3">
      <c r="A85" s="6"/>
      <c r="B85" s="7"/>
      <c r="C85" s="136"/>
      <c r="D85" s="8"/>
      <c r="E85" s="8"/>
      <c r="F85" s="9"/>
      <c r="G85" s="10"/>
      <c r="H85" s="9"/>
      <c r="I85" s="4"/>
      <c r="J85" s="4"/>
      <c r="K85" s="11"/>
      <c r="L85" s="4"/>
      <c r="M85" s="4"/>
      <c r="N85" s="4"/>
      <c r="O85" s="4"/>
      <c r="P85" s="4"/>
      <c r="Q85" s="4"/>
      <c r="R85" s="4"/>
      <c r="S85" s="4"/>
      <c r="T85" s="4"/>
      <c r="U85" s="4"/>
      <c r="V85" s="4"/>
      <c r="W85" s="4"/>
      <c r="X85" s="4"/>
    </row>
    <row r="86" spans="1:24" ht="15.6" x14ac:dyDescent="0.3">
      <c r="A86" s="6"/>
      <c r="B86" s="7"/>
      <c r="C86" s="136"/>
      <c r="D86" s="8"/>
      <c r="E86" s="8"/>
      <c r="F86" s="9"/>
      <c r="G86" s="10"/>
      <c r="H86" s="9"/>
      <c r="I86" s="4"/>
      <c r="J86" s="4"/>
      <c r="K86" s="11"/>
      <c r="L86" s="4"/>
      <c r="M86" s="4"/>
      <c r="N86" s="4"/>
      <c r="O86" s="4"/>
      <c r="P86" s="4"/>
      <c r="Q86" s="4"/>
      <c r="R86" s="4"/>
      <c r="S86" s="4"/>
      <c r="T86" s="4"/>
      <c r="U86" s="4"/>
      <c r="V86" s="4"/>
      <c r="W86" s="4"/>
      <c r="X86" s="4"/>
    </row>
    <row r="87" spans="1:24" ht="15.6" x14ac:dyDescent="0.3">
      <c r="A87" s="6"/>
      <c r="B87" s="7"/>
      <c r="C87" s="136"/>
      <c r="D87" s="8"/>
      <c r="E87" s="8"/>
      <c r="F87" s="9"/>
      <c r="G87" s="10"/>
      <c r="H87" s="9"/>
      <c r="I87" s="4"/>
      <c r="J87" s="4"/>
      <c r="K87" s="11"/>
      <c r="L87" s="4"/>
      <c r="M87" s="4"/>
      <c r="N87" s="4"/>
      <c r="O87" s="4"/>
      <c r="P87" s="4"/>
      <c r="Q87" s="4"/>
      <c r="R87" s="4"/>
      <c r="S87" s="4"/>
      <c r="T87" s="4"/>
      <c r="U87" s="4"/>
      <c r="V87" s="4"/>
      <c r="W87" s="4"/>
      <c r="X87" s="4"/>
    </row>
    <row r="88" spans="1:24" ht="15.6" x14ac:dyDescent="0.3">
      <c r="A88" s="6"/>
      <c r="B88" s="7"/>
      <c r="C88" s="136"/>
      <c r="D88" s="8"/>
      <c r="E88" s="8"/>
      <c r="F88" s="9"/>
      <c r="G88" s="10"/>
      <c r="H88" s="9"/>
      <c r="I88" s="4"/>
      <c r="J88" s="4"/>
      <c r="K88" s="11"/>
      <c r="L88" s="4"/>
      <c r="M88" s="4"/>
      <c r="N88" s="4"/>
      <c r="O88" s="4"/>
      <c r="P88" s="4"/>
      <c r="Q88" s="4"/>
      <c r="R88" s="4"/>
      <c r="S88" s="4"/>
      <c r="T88" s="4"/>
      <c r="U88" s="4"/>
      <c r="V88" s="4"/>
      <c r="W88" s="4"/>
      <c r="X88" s="4"/>
    </row>
    <row r="89" spans="1:24" ht="15.6" x14ac:dyDescent="0.3">
      <c r="A89" s="6"/>
      <c r="B89" s="7"/>
      <c r="C89" s="136"/>
      <c r="D89" s="8"/>
      <c r="E89" s="8"/>
      <c r="F89" s="9"/>
      <c r="G89" s="10"/>
      <c r="H89" s="9"/>
      <c r="I89" s="4"/>
      <c r="J89" s="4"/>
      <c r="K89" s="11"/>
      <c r="L89" s="4"/>
      <c r="M89" s="4"/>
      <c r="N89" s="4"/>
      <c r="O89" s="4"/>
      <c r="P89" s="4"/>
      <c r="Q89" s="4"/>
      <c r="R89" s="4"/>
      <c r="S89" s="4"/>
      <c r="T89" s="4"/>
      <c r="U89" s="4"/>
      <c r="V89" s="4"/>
      <c r="W89" s="4"/>
      <c r="X89" s="4"/>
    </row>
    <row r="90" spans="1:24" ht="15.6" x14ac:dyDescent="0.3">
      <c r="A90" s="6"/>
      <c r="B90" s="7"/>
      <c r="C90" s="136"/>
      <c r="D90" s="8"/>
      <c r="E90" s="8"/>
      <c r="F90" s="9"/>
      <c r="G90" s="10"/>
      <c r="H90" s="9"/>
      <c r="I90" s="4"/>
      <c r="J90" s="4"/>
      <c r="K90" s="11"/>
      <c r="L90" s="4"/>
      <c r="M90" s="4"/>
      <c r="N90" s="4"/>
      <c r="O90" s="4"/>
      <c r="P90" s="4"/>
      <c r="Q90" s="4"/>
      <c r="R90" s="4"/>
      <c r="S90" s="4"/>
      <c r="T90" s="4"/>
      <c r="U90" s="4"/>
      <c r="V90" s="4"/>
      <c r="W90" s="4"/>
      <c r="X90" s="4"/>
    </row>
    <row r="91" spans="1:24" ht="15.6" x14ac:dyDescent="0.3">
      <c r="A91" s="6"/>
      <c r="B91" s="7"/>
      <c r="C91" s="136"/>
      <c r="D91" s="8"/>
      <c r="E91" s="8"/>
      <c r="F91" s="9"/>
      <c r="G91" s="10"/>
      <c r="H91" s="9"/>
      <c r="I91" s="4"/>
      <c r="J91" s="4"/>
      <c r="K91" s="11"/>
      <c r="L91" s="4"/>
      <c r="M91" s="4"/>
      <c r="N91" s="4"/>
      <c r="O91" s="4"/>
      <c r="P91" s="4"/>
      <c r="Q91" s="4"/>
      <c r="R91" s="4"/>
      <c r="S91" s="4"/>
      <c r="T91" s="4"/>
      <c r="U91" s="4"/>
      <c r="V91" s="4"/>
      <c r="W91" s="4"/>
      <c r="X91" s="4"/>
    </row>
    <row r="92" spans="1:24" ht="15.6" x14ac:dyDescent="0.3">
      <c r="A92" s="6"/>
      <c r="B92" s="7"/>
      <c r="C92" s="136"/>
      <c r="D92" s="8"/>
      <c r="E92" s="8"/>
      <c r="F92" s="9"/>
      <c r="G92" s="10"/>
      <c r="H92" s="9"/>
      <c r="I92" s="4"/>
      <c r="J92" s="4"/>
      <c r="K92" s="11"/>
      <c r="L92" s="4"/>
      <c r="M92" s="4"/>
      <c r="N92" s="4"/>
      <c r="O92" s="4"/>
      <c r="P92" s="4"/>
      <c r="Q92" s="4"/>
      <c r="R92" s="4"/>
      <c r="S92" s="4"/>
      <c r="T92" s="4"/>
      <c r="U92" s="4"/>
      <c r="V92" s="4"/>
      <c r="W92" s="4"/>
      <c r="X92" s="4"/>
    </row>
    <row r="93" spans="1:24" ht="15.6" x14ac:dyDescent="0.3">
      <c r="A93" s="6"/>
      <c r="B93" s="7"/>
      <c r="C93" s="136"/>
      <c r="D93" s="8"/>
      <c r="E93" s="8"/>
      <c r="F93" s="9"/>
      <c r="G93" s="10"/>
      <c r="H93" s="9"/>
      <c r="I93" s="4"/>
      <c r="J93" s="4"/>
      <c r="K93" s="11"/>
      <c r="L93" s="4"/>
      <c r="M93" s="4"/>
      <c r="N93" s="4"/>
      <c r="O93" s="4"/>
      <c r="P93" s="4"/>
      <c r="Q93" s="4"/>
      <c r="R93" s="4"/>
      <c r="S93" s="4"/>
      <c r="T93" s="4"/>
      <c r="U93" s="4"/>
      <c r="V93" s="4"/>
      <c r="W93" s="4"/>
      <c r="X93" s="4"/>
    </row>
    <row r="94" spans="1:24" ht="15.6" x14ac:dyDescent="0.3">
      <c r="A94" s="6"/>
      <c r="B94" s="7"/>
      <c r="C94" s="136"/>
      <c r="D94" s="8"/>
      <c r="E94" s="8"/>
      <c r="F94" s="9"/>
      <c r="G94" s="10"/>
      <c r="H94" s="9"/>
      <c r="I94" s="4"/>
      <c r="J94" s="4"/>
      <c r="K94" s="11"/>
      <c r="L94" s="4"/>
      <c r="M94" s="4"/>
      <c r="N94" s="4"/>
      <c r="O94" s="4"/>
      <c r="P94" s="4"/>
      <c r="Q94" s="4"/>
      <c r="R94" s="4"/>
      <c r="S94" s="4"/>
      <c r="T94" s="4"/>
      <c r="U94" s="4"/>
      <c r="V94" s="4"/>
      <c r="W94" s="4"/>
      <c r="X94" s="4"/>
    </row>
    <row r="95" spans="1:24" ht="15.6" x14ac:dyDescent="0.3">
      <c r="A95" s="6"/>
      <c r="B95" s="7"/>
      <c r="C95" s="136"/>
      <c r="D95" s="8"/>
      <c r="E95" s="8"/>
      <c r="F95" s="9"/>
      <c r="G95" s="10"/>
      <c r="H95" s="9"/>
      <c r="I95" s="4"/>
      <c r="J95" s="4"/>
      <c r="K95" s="11"/>
      <c r="L95" s="4"/>
      <c r="M95" s="4"/>
      <c r="N95" s="4"/>
      <c r="O95" s="4"/>
      <c r="P95" s="4"/>
      <c r="Q95" s="4"/>
      <c r="R95" s="4"/>
      <c r="S95" s="4"/>
      <c r="T95" s="4"/>
      <c r="U95" s="4"/>
      <c r="V95" s="4"/>
      <c r="W95" s="4"/>
      <c r="X95" s="4"/>
    </row>
    <row r="96" spans="1:24" ht="15.6" x14ac:dyDescent="0.3">
      <c r="A96" s="6"/>
      <c r="B96" s="7"/>
      <c r="C96" s="136"/>
      <c r="D96" s="8"/>
      <c r="E96" s="8"/>
      <c r="F96" s="9"/>
      <c r="G96" s="10"/>
      <c r="H96" s="9"/>
      <c r="I96" s="4"/>
      <c r="J96" s="4"/>
      <c r="K96" s="11"/>
      <c r="L96" s="4"/>
      <c r="M96" s="4"/>
      <c r="N96" s="4"/>
      <c r="O96" s="4"/>
      <c r="P96" s="4"/>
      <c r="Q96" s="4"/>
      <c r="R96" s="4"/>
      <c r="S96" s="4"/>
      <c r="T96" s="4"/>
      <c r="U96" s="4"/>
      <c r="V96" s="4"/>
      <c r="W96" s="4"/>
      <c r="X96" s="4"/>
    </row>
    <row r="97" spans="1:24" ht="15.6" x14ac:dyDescent="0.3">
      <c r="A97" s="6"/>
      <c r="B97" s="7"/>
      <c r="C97" s="136"/>
      <c r="D97" s="8"/>
      <c r="E97" s="8"/>
      <c r="F97" s="9"/>
      <c r="G97" s="10"/>
      <c r="H97" s="9"/>
      <c r="I97" s="4"/>
      <c r="J97" s="4"/>
      <c r="K97" s="11"/>
      <c r="L97" s="4"/>
      <c r="M97" s="4"/>
      <c r="N97" s="4"/>
      <c r="O97" s="4"/>
      <c r="P97" s="4"/>
      <c r="Q97" s="4"/>
      <c r="R97" s="4"/>
      <c r="S97" s="4"/>
      <c r="T97" s="4"/>
      <c r="U97" s="4"/>
      <c r="V97" s="4"/>
      <c r="W97" s="4"/>
      <c r="X97" s="4"/>
    </row>
    <row r="98" spans="1:24" ht="15.6" x14ac:dyDescent="0.3">
      <c r="A98" s="6"/>
      <c r="B98" s="7"/>
      <c r="C98" s="136"/>
      <c r="D98" s="8"/>
      <c r="E98" s="8"/>
      <c r="F98" s="9"/>
      <c r="G98" s="10"/>
      <c r="H98" s="9"/>
      <c r="I98" s="4"/>
      <c r="J98" s="4"/>
      <c r="K98" s="11"/>
      <c r="L98" s="4"/>
      <c r="M98" s="4"/>
      <c r="N98" s="4"/>
      <c r="O98" s="4"/>
      <c r="P98" s="4"/>
      <c r="Q98" s="4"/>
      <c r="R98" s="4"/>
      <c r="S98" s="4"/>
      <c r="T98" s="4"/>
      <c r="U98" s="4"/>
      <c r="V98" s="4"/>
      <c r="W98" s="4"/>
      <c r="X98" s="4"/>
    </row>
    <row r="99" spans="1:24" ht="15.6" x14ac:dyDescent="0.3">
      <c r="A99" s="6"/>
      <c r="B99" s="7"/>
      <c r="C99" s="136"/>
      <c r="D99" s="8"/>
      <c r="E99" s="8"/>
      <c r="F99" s="9"/>
      <c r="G99" s="10"/>
      <c r="H99" s="9"/>
      <c r="I99" s="4"/>
      <c r="J99" s="4"/>
      <c r="K99" s="11"/>
      <c r="L99" s="4"/>
      <c r="M99" s="4"/>
      <c r="N99" s="4"/>
      <c r="O99" s="4"/>
      <c r="P99" s="4"/>
      <c r="Q99" s="4"/>
      <c r="R99" s="4"/>
      <c r="S99" s="4"/>
      <c r="T99" s="4"/>
      <c r="U99" s="4"/>
      <c r="V99" s="4"/>
      <c r="W99" s="4"/>
      <c r="X99" s="4"/>
    </row>
    <row r="100" spans="1:24" ht="15.6" x14ac:dyDescent="0.3">
      <c r="A100" s="6"/>
      <c r="B100" s="7"/>
      <c r="C100" s="136"/>
      <c r="D100" s="8"/>
      <c r="E100" s="8"/>
      <c r="F100" s="9"/>
      <c r="G100" s="10"/>
      <c r="H100" s="9"/>
      <c r="I100" s="4"/>
      <c r="J100" s="4"/>
      <c r="K100" s="11"/>
      <c r="L100" s="4"/>
      <c r="M100" s="4"/>
      <c r="N100" s="4"/>
      <c r="O100" s="4"/>
      <c r="P100" s="4"/>
      <c r="Q100" s="4"/>
      <c r="R100" s="4"/>
      <c r="S100" s="4"/>
      <c r="T100" s="4"/>
      <c r="U100" s="4"/>
      <c r="V100" s="4"/>
      <c r="W100" s="4"/>
      <c r="X100" s="4"/>
    </row>
    <row r="101" spans="1:24" ht="15.6" x14ac:dyDescent="0.3">
      <c r="A101" s="6"/>
      <c r="B101" s="7"/>
      <c r="C101" s="136"/>
      <c r="D101" s="8"/>
      <c r="E101" s="8"/>
      <c r="F101" s="9"/>
      <c r="G101" s="10"/>
      <c r="H101" s="9"/>
      <c r="I101" s="4"/>
      <c r="J101" s="4"/>
      <c r="K101" s="11"/>
      <c r="L101" s="4"/>
      <c r="M101" s="4"/>
      <c r="N101" s="4"/>
      <c r="O101" s="4"/>
      <c r="P101" s="4"/>
      <c r="Q101" s="4"/>
      <c r="R101" s="4"/>
      <c r="S101" s="4"/>
      <c r="T101" s="4"/>
      <c r="U101" s="4"/>
      <c r="V101" s="4"/>
      <c r="W101" s="4"/>
      <c r="X101" s="4"/>
    </row>
    <row r="102" spans="1:24" ht="15.6" x14ac:dyDescent="0.3">
      <c r="A102" s="6"/>
      <c r="B102" s="7"/>
      <c r="C102" s="136"/>
      <c r="D102" s="8"/>
      <c r="E102" s="8"/>
      <c r="F102" s="9"/>
      <c r="G102" s="10"/>
      <c r="H102" s="9"/>
      <c r="I102" s="4"/>
      <c r="J102" s="4"/>
      <c r="K102" s="11"/>
      <c r="L102" s="4"/>
      <c r="M102" s="4"/>
      <c r="N102" s="4"/>
      <c r="O102" s="4"/>
      <c r="P102" s="4"/>
      <c r="Q102" s="4"/>
      <c r="R102" s="4"/>
      <c r="S102" s="4"/>
      <c r="T102" s="4"/>
      <c r="U102" s="4"/>
      <c r="V102" s="4"/>
      <c r="W102" s="4"/>
      <c r="X102" s="4"/>
    </row>
    <row r="103" spans="1:24" ht="15.6" x14ac:dyDescent="0.3">
      <c r="A103" s="6"/>
      <c r="B103" s="7"/>
      <c r="C103" s="136"/>
      <c r="D103" s="8"/>
      <c r="E103" s="8"/>
      <c r="F103" s="9"/>
      <c r="G103" s="10"/>
      <c r="H103" s="9"/>
      <c r="I103" s="4"/>
      <c r="J103" s="4"/>
      <c r="K103" s="11"/>
      <c r="L103" s="4"/>
      <c r="M103" s="4"/>
      <c r="N103" s="4"/>
      <c r="O103" s="4"/>
      <c r="P103" s="4"/>
      <c r="Q103" s="4"/>
      <c r="R103" s="4"/>
      <c r="S103" s="4"/>
      <c r="T103" s="4"/>
      <c r="U103" s="4"/>
      <c r="V103" s="4"/>
      <c r="W103" s="4"/>
      <c r="X103" s="4"/>
    </row>
    <row r="104" spans="1:24" ht="15.6" x14ac:dyDescent="0.3">
      <c r="A104" s="6"/>
      <c r="B104" s="7"/>
      <c r="C104" s="136"/>
      <c r="D104" s="8"/>
      <c r="E104" s="8"/>
      <c r="F104" s="9"/>
      <c r="G104" s="10"/>
      <c r="H104" s="9"/>
      <c r="I104" s="4"/>
      <c r="J104" s="4"/>
      <c r="K104" s="11"/>
      <c r="L104" s="4"/>
      <c r="M104" s="4"/>
      <c r="N104" s="4"/>
      <c r="O104" s="4"/>
      <c r="P104" s="4"/>
      <c r="Q104" s="4"/>
      <c r="R104" s="4"/>
      <c r="S104" s="4"/>
      <c r="T104" s="4"/>
      <c r="U104" s="4"/>
      <c r="V104" s="4"/>
      <c r="W104" s="4"/>
      <c r="X104" s="4"/>
    </row>
    <row r="105" spans="1:24" ht="15.6" x14ac:dyDescent="0.3">
      <c r="A105" s="6"/>
      <c r="B105" s="7"/>
      <c r="C105" s="136"/>
      <c r="D105" s="8"/>
      <c r="E105" s="8"/>
      <c r="F105" s="9"/>
      <c r="G105" s="10"/>
      <c r="H105" s="9"/>
      <c r="I105" s="4"/>
      <c r="J105" s="4"/>
      <c r="K105" s="11"/>
      <c r="L105" s="4"/>
      <c r="M105" s="4"/>
      <c r="N105" s="4"/>
      <c r="O105" s="4"/>
      <c r="P105" s="4"/>
      <c r="Q105" s="4"/>
      <c r="R105" s="4"/>
      <c r="S105" s="4"/>
      <c r="T105" s="4"/>
      <c r="U105" s="4"/>
      <c r="V105" s="4"/>
      <c r="W105" s="4"/>
      <c r="X105" s="4"/>
    </row>
    <row r="106" spans="1:24" ht="15.6" x14ac:dyDescent="0.3">
      <c r="A106" s="6"/>
      <c r="B106" s="7"/>
      <c r="C106" s="136"/>
      <c r="D106" s="8"/>
      <c r="E106" s="8"/>
      <c r="F106" s="9"/>
      <c r="G106" s="10"/>
      <c r="H106" s="9"/>
      <c r="I106" s="4"/>
      <c r="J106" s="4"/>
      <c r="K106" s="11"/>
      <c r="L106" s="4"/>
      <c r="M106" s="4"/>
      <c r="N106" s="4"/>
      <c r="O106" s="4"/>
      <c r="P106" s="4"/>
      <c r="Q106" s="4"/>
      <c r="R106" s="4"/>
      <c r="S106" s="4"/>
      <c r="T106" s="4"/>
      <c r="U106" s="4"/>
      <c r="V106" s="4"/>
      <c r="W106" s="4"/>
      <c r="X106" s="4"/>
    </row>
    <row r="107" spans="1:24" ht="15.6" x14ac:dyDescent="0.3">
      <c r="A107" s="6"/>
      <c r="B107" s="7"/>
      <c r="C107" s="136"/>
      <c r="D107" s="8"/>
      <c r="E107" s="8"/>
      <c r="F107" s="9"/>
      <c r="G107" s="10"/>
      <c r="H107" s="9"/>
      <c r="I107" s="4"/>
      <c r="J107" s="4"/>
      <c r="K107" s="11"/>
      <c r="L107" s="4"/>
      <c r="M107" s="4"/>
      <c r="N107" s="4"/>
      <c r="O107" s="4"/>
      <c r="P107" s="4"/>
      <c r="Q107" s="4"/>
      <c r="R107" s="4"/>
      <c r="S107" s="4"/>
      <c r="T107" s="4"/>
      <c r="U107" s="4"/>
      <c r="V107" s="4"/>
      <c r="W107" s="4"/>
      <c r="X107" s="4"/>
    </row>
    <row r="108" spans="1:24" ht="15.6" x14ac:dyDescent="0.3">
      <c r="A108" s="6"/>
      <c r="B108" s="7"/>
      <c r="C108" s="136"/>
      <c r="D108" s="8"/>
      <c r="E108" s="8"/>
      <c r="F108" s="9"/>
      <c r="G108" s="10"/>
      <c r="H108" s="9"/>
      <c r="I108" s="4"/>
      <c r="J108" s="4"/>
      <c r="K108" s="11"/>
      <c r="L108" s="4"/>
      <c r="M108" s="4"/>
      <c r="N108" s="4"/>
      <c r="O108" s="4"/>
      <c r="P108" s="4"/>
      <c r="Q108" s="4"/>
      <c r="R108" s="4"/>
      <c r="S108" s="4"/>
      <c r="T108" s="4"/>
      <c r="U108" s="4"/>
      <c r="V108" s="4"/>
      <c r="W108" s="4"/>
      <c r="X108" s="4"/>
    </row>
    <row r="109" spans="1:24" ht="15.6" x14ac:dyDescent="0.3">
      <c r="A109" s="6"/>
      <c r="B109" s="7"/>
      <c r="C109" s="136"/>
      <c r="D109" s="8"/>
      <c r="E109" s="8"/>
      <c r="F109" s="9"/>
      <c r="G109" s="10"/>
      <c r="H109" s="9"/>
      <c r="I109" s="4"/>
      <c r="J109" s="4"/>
      <c r="K109" s="11"/>
      <c r="L109" s="4"/>
      <c r="M109" s="4"/>
      <c r="N109" s="4"/>
      <c r="O109" s="4"/>
      <c r="P109" s="4"/>
      <c r="Q109" s="4"/>
      <c r="R109" s="4"/>
      <c r="S109" s="4"/>
      <c r="T109" s="4"/>
      <c r="U109" s="4"/>
      <c r="V109" s="4"/>
      <c r="W109" s="4"/>
      <c r="X109" s="4"/>
    </row>
    <row r="110" spans="1:24" ht="15.6" x14ac:dyDescent="0.3">
      <c r="A110" s="6"/>
      <c r="B110" s="7"/>
      <c r="C110" s="136"/>
      <c r="D110" s="8"/>
      <c r="E110" s="8"/>
      <c r="F110" s="9"/>
      <c r="G110" s="10"/>
      <c r="H110" s="9"/>
      <c r="I110" s="4"/>
      <c r="J110" s="4"/>
      <c r="K110" s="11"/>
      <c r="L110" s="4"/>
      <c r="M110" s="4"/>
      <c r="N110" s="4"/>
      <c r="O110" s="4"/>
      <c r="P110" s="4"/>
      <c r="Q110" s="4"/>
      <c r="R110" s="4"/>
      <c r="S110" s="4"/>
      <c r="T110" s="4"/>
      <c r="U110" s="4"/>
      <c r="V110" s="4"/>
      <c r="W110" s="4"/>
      <c r="X110" s="4"/>
    </row>
    <row r="111" spans="1:24" ht="15.6" x14ac:dyDescent="0.3">
      <c r="A111" s="6"/>
      <c r="B111" s="7"/>
      <c r="C111" s="136"/>
      <c r="D111" s="8"/>
      <c r="E111" s="8"/>
      <c r="F111" s="9"/>
      <c r="G111" s="10"/>
      <c r="H111" s="9"/>
      <c r="I111" s="4"/>
      <c r="J111" s="4"/>
      <c r="K111" s="11"/>
      <c r="L111" s="4"/>
      <c r="M111" s="4"/>
      <c r="N111" s="4"/>
      <c r="O111" s="4"/>
      <c r="P111" s="4"/>
      <c r="Q111" s="4"/>
      <c r="R111" s="4"/>
      <c r="S111" s="4"/>
      <c r="T111" s="4"/>
      <c r="U111" s="4"/>
      <c r="V111" s="4"/>
      <c r="W111" s="4"/>
      <c r="X111" s="4"/>
    </row>
    <row r="112" spans="1:24" ht="15.6" x14ac:dyDescent="0.3">
      <c r="A112" s="6"/>
      <c r="B112" s="7"/>
      <c r="C112" s="136"/>
      <c r="D112" s="8"/>
      <c r="E112" s="8"/>
      <c r="F112" s="9"/>
      <c r="G112" s="10"/>
      <c r="H112" s="9"/>
      <c r="I112" s="4"/>
      <c r="J112" s="4"/>
      <c r="K112" s="11"/>
      <c r="L112" s="4"/>
      <c r="M112" s="4"/>
      <c r="N112" s="4"/>
      <c r="O112" s="4"/>
      <c r="P112" s="4"/>
      <c r="Q112" s="4"/>
      <c r="R112" s="4"/>
      <c r="S112" s="4"/>
      <c r="T112" s="4"/>
      <c r="U112" s="4"/>
      <c r="V112" s="4"/>
      <c r="W112" s="4"/>
      <c r="X112" s="4"/>
    </row>
    <row r="113" spans="1:24" ht="15.6" x14ac:dyDescent="0.3">
      <c r="A113" s="6"/>
      <c r="B113" s="7"/>
      <c r="C113" s="136"/>
      <c r="D113" s="8"/>
      <c r="E113" s="8"/>
      <c r="F113" s="9"/>
      <c r="G113" s="10"/>
      <c r="H113" s="9"/>
      <c r="I113" s="4"/>
      <c r="J113" s="4"/>
      <c r="K113" s="11"/>
      <c r="L113" s="4"/>
      <c r="M113" s="4"/>
      <c r="N113" s="4"/>
      <c r="O113" s="4"/>
      <c r="P113" s="4"/>
      <c r="Q113" s="4"/>
      <c r="R113" s="4"/>
      <c r="S113" s="4"/>
      <c r="T113" s="4"/>
      <c r="U113" s="4"/>
      <c r="V113" s="4"/>
      <c r="W113" s="4"/>
      <c r="X113" s="4"/>
    </row>
    <row r="114" spans="1:24" ht="15.6" x14ac:dyDescent="0.3">
      <c r="A114" s="6"/>
      <c r="B114" s="7"/>
      <c r="C114" s="136"/>
      <c r="D114" s="8"/>
      <c r="E114" s="8"/>
      <c r="F114" s="9"/>
      <c r="G114" s="10"/>
      <c r="H114" s="9"/>
      <c r="I114" s="4"/>
      <c r="J114" s="4"/>
      <c r="K114" s="11"/>
      <c r="L114" s="4"/>
      <c r="M114" s="4"/>
      <c r="N114" s="4"/>
      <c r="O114" s="4"/>
      <c r="P114" s="4"/>
      <c r="Q114" s="4"/>
      <c r="R114" s="4"/>
      <c r="S114" s="4"/>
      <c r="T114" s="4"/>
      <c r="U114" s="4"/>
      <c r="V114" s="4"/>
      <c r="W114" s="4"/>
      <c r="X114" s="4"/>
    </row>
    <row r="115" spans="1:24" ht="15.6" x14ac:dyDescent="0.3">
      <c r="A115" s="6"/>
      <c r="B115" s="7"/>
      <c r="C115" s="136"/>
      <c r="D115" s="8"/>
      <c r="E115" s="8"/>
      <c r="F115" s="9"/>
      <c r="G115" s="10"/>
      <c r="H115" s="9"/>
      <c r="I115" s="4"/>
      <c r="J115" s="4"/>
      <c r="K115" s="11"/>
      <c r="L115" s="4"/>
      <c r="M115" s="4"/>
      <c r="N115" s="4"/>
      <c r="O115" s="4"/>
      <c r="P115" s="4"/>
      <c r="Q115" s="4"/>
      <c r="R115" s="4"/>
      <c r="S115" s="4"/>
      <c r="T115" s="4"/>
      <c r="U115" s="4"/>
      <c r="V115" s="4"/>
      <c r="W115" s="4"/>
      <c r="X115" s="4"/>
    </row>
    <row r="116" spans="1:24" ht="15.6" x14ac:dyDescent="0.3">
      <c r="A116" s="6"/>
      <c r="B116" s="7"/>
      <c r="C116" s="136"/>
      <c r="D116" s="8"/>
      <c r="E116" s="8"/>
      <c r="F116" s="9"/>
      <c r="G116" s="10"/>
      <c r="H116" s="9"/>
      <c r="I116" s="4"/>
      <c r="J116" s="4"/>
      <c r="K116" s="11"/>
      <c r="L116" s="4"/>
      <c r="M116" s="4"/>
      <c r="N116" s="4"/>
      <c r="O116" s="4"/>
      <c r="P116" s="4"/>
      <c r="Q116" s="4"/>
      <c r="R116" s="4"/>
      <c r="S116" s="4"/>
      <c r="T116" s="4"/>
      <c r="U116" s="4"/>
      <c r="V116" s="4"/>
      <c r="W116" s="4"/>
      <c r="X116" s="4"/>
    </row>
    <row r="117" spans="1:24" ht="15.6" x14ac:dyDescent="0.3">
      <c r="A117" s="6"/>
      <c r="B117" s="7"/>
      <c r="C117" s="136"/>
      <c r="D117" s="8"/>
      <c r="E117" s="8"/>
      <c r="F117" s="9"/>
      <c r="G117" s="10"/>
      <c r="H117" s="9"/>
      <c r="I117" s="4"/>
      <c r="J117" s="4"/>
      <c r="K117" s="11"/>
      <c r="L117" s="4"/>
      <c r="M117" s="4"/>
      <c r="N117" s="4"/>
      <c r="O117" s="4"/>
      <c r="P117" s="4"/>
      <c r="Q117" s="4"/>
      <c r="R117" s="4"/>
      <c r="S117" s="4"/>
      <c r="T117" s="4"/>
      <c r="U117" s="4"/>
      <c r="V117" s="4"/>
      <c r="W117" s="4"/>
      <c r="X117" s="4"/>
    </row>
    <row r="118" spans="1:24" ht="15.6" x14ac:dyDescent="0.3">
      <c r="A118" s="6"/>
      <c r="B118" s="7"/>
      <c r="C118" s="136"/>
      <c r="D118" s="8"/>
      <c r="E118" s="8"/>
      <c r="F118" s="9"/>
      <c r="G118" s="10"/>
      <c r="H118" s="9"/>
      <c r="I118" s="4"/>
      <c r="J118" s="4"/>
      <c r="K118" s="11"/>
      <c r="L118" s="4"/>
      <c r="M118" s="4"/>
      <c r="N118" s="4"/>
      <c r="O118" s="4"/>
      <c r="P118" s="4"/>
      <c r="Q118" s="4"/>
      <c r="R118" s="4"/>
      <c r="S118" s="4"/>
      <c r="T118" s="4"/>
      <c r="U118" s="4"/>
      <c r="V118" s="4"/>
      <c r="W118" s="4"/>
      <c r="X118" s="4"/>
    </row>
    <row r="119" spans="1:24" ht="15.6" x14ac:dyDescent="0.3">
      <c r="A119" s="6"/>
      <c r="B119" s="7"/>
      <c r="C119" s="136"/>
      <c r="D119" s="8"/>
      <c r="E119" s="8"/>
      <c r="F119" s="9"/>
      <c r="G119" s="10"/>
      <c r="H119" s="9"/>
      <c r="I119" s="4"/>
      <c r="J119" s="4"/>
      <c r="K119" s="11"/>
      <c r="L119" s="4"/>
      <c r="M119" s="4"/>
      <c r="N119" s="4"/>
      <c r="O119" s="4"/>
      <c r="P119" s="4"/>
      <c r="Q119" s="4"/>
      <c r="R119" s="4"/>
      <c r="S119" s="4"/>
      <c r="T119" s="4"/>
      <c r="U119" s="4"/>
      <c r="V119" s="4"/>
      <c r="W119" s="4"/>
      <c r="X119" s="4"/>
    </row>
    <row r="120" spans="1:24" ht="15.6" x14ac:dyDescent="0.3">
      <c r="A120" s="6"/>
      <c r="B120" s="7"/>
      <c r="C120" s="136"/>
      <c r="D120" s="8"/>
      <c r="E120" s="8"/>
      <c r="F120" s="9"/>
      <c r="G120" s="10"/>
      <c r="H120" s="9"/>
      <c r="I120" s="4"/>
      <c r="J120" s="4"/>
      <c r="K120" s="11"/>
      <c r="L120" s="4"/>
      <c r="M120" s="4"/>
      <c r="N120" s="4"/>
      <c r="O120" s="4"/>
      <c r="P120" s="4"/>
      <c r="Q120" s="4"/>
      <c r="R120" s="4"/>
      <c r="S120" s="4"/>
      <c r="T120" s="4"/>
      <c r="U120" s="4"/>
      <c r="V120" s="4"/>
      <c r="W120" s="4"/>
      <c r="X120" s="4"/>
    </row>
    <row r="121" spans="1:24" ht="15.6" x14ac:dyDescent="0.3">
      <c r="A121" s="6"/>
      <c r="B121" s="7"/>
      <c r="C121" s="136"/>
      <c r="D121" s="8"/>
      <c r="E121" s="8"/>
      <c r="F121" s="9"/>
      <c r="G121" s="10"/>
      <c r="H121" s="9"/>
      <c r="I121" s="4"/>
      <c r="J121" s="4"/>
      <c r="K121" s="11"/>
      <c r="L121" s="4"/>
      <c r="M121" s="4"/>
      <c r="N121" s="4"/>
      <c r="O121" s="4"/>
      <c r="P121" s="4"/>
      <c r="Q121" s="4"/>
      <c r="R121" s="4"/>
      <c r="S121" s="4"/>
      <c r="T121" s="4"/>
      <c r="U121" s="4"/>
      <c r="V121" s="4"/>
      <c r="W121" s="4"/>
      <c r="X121" s="4"/>
    </row>
    <row r="122" spans="1:24" ht="15.6" x14ac:dyDescent="0.3">
      <c r="A122" s="6"/>
      <c r="B122" s="7"/>
      <c r="C122" s="136"/>
      <c r="D122" s="8"/>
      <c r="E122" s="8"/>
      <c r="F122" s="9"/>
      <c r="G122" s="10"/>
      <c r="H122" s="9"/>
      <c r="I122" s="4"/>
      <c r="J122" s="4"/>
      <c r="K122" s="11"/>
      <c r="L122" s="4"/>
      <c r="M122" s="4"/>
      <c r="N122" s="4"/>
      <c r="O122" s="4"/>
      <c r="P122" s="4"/>
      <c r="Q122" s="4"/>
      <c r="R122" s="4"/>
      <c r="S122" s="4"/>
      <c r="T122" s="4"/>
      <c r="U122" s="4"/>
      <c r="V122" s="4"/>
      <c r="W122" s="4"/>
      <c r="X122" s="4"/>
    </row>
    <row r="123" spans="1:24" ht="15.6" x14ac:dyDescent="0.3">
      <c r="A123" s="6"/>
      <c r="B123" s="7"/>
      <c r="C123" s="136"/>
      <c r="D123" s="8"/>
      <c r="E123" s="8"/>
      <c r="F123" s="9"/>
      <c r="G123" s="10"/>
      <c r="H123" s="9"/>
      <c r="I123" s="4"/>
      <c r="J123" s="4"/>
      <c r="K123" s="11"/>
      <c r="L123" s="4"/>
      <c r="M123" s="4"/>
      <c r="N123" s="4"/>
      <c r="O123" s="4"/>
      <c r="P123" s="4"/>
      <c r="Q123" s="4"/>
      <c r="R123" s="4"/>
      <c r="S123" s="4"/>
      <c r="T123" s="4"/>
      <c r="U123" s="4"/>
      <c r="V123" s="4"/>
      <c r="W123" s="4"/>
      <c r="X123" s="4"/>
    </row>
    <row r="124" spans="1:24" ht="15.6" x14ac:dyDescent="0.3">
      <c r="A124" s="6"/>
      <c r="B124" s="7"/>
      <c r="C124" s="136"/>
      <c r="D124" s="8"/>
      <c r="E124" s="8"/>
      <c r="F124" s="9"/>
      <c r="G124" s="10"/>
      <c r="H124" s="9"/>
      <c r="I124" s="4"/>
      <c r="J124" s="4"/>
      <c r="K124" s="11"/>
      <c r="L124" s="4"/>
      <c r="M124" s="4"/>
      <c r="N124" s="4"/>
      <c r="O124" s="4"/>
      <c r="P124" s="4"/>
      <c r="Q124" s="4"/>
      <c r="R124" s="4"/>
      <c r="S124" s="4"/>
      <c r="T124" s="4"/>
      <c r="U124" s="4"/>
      <c r="V124" s="4"/>
      <c r="W124" s="4"/>
      <c r="X124" s="4"/>
    </row>
    <row r="125" spans="1:24" ht="15.6" x14ac:dyDescent="0.3">
      <c r="A125" s="6"/>
      <c r="B125" s="7"/>
      <c r="C125" s="136"/>
      <c r="D125" s="8"/>
      <c r="E125" s="8"/>
      <c r="F125" s="9"/>
      <c r="G125" s="10"/>
      <c r="H125" s="9"/>
      <c r="I125" s="4"/>
      <c r="J125" s="4"/>
      <c r="K125" s="11"/>
      <c r="L125" s="4"/>
      <c r="M125" s="4"/>
      <c r="N125" s="4"/>
      <c r="O125" s="4"/>
      <c r="P125" s="4"/>
      <c r="Q125" s="4"/>
      <c r="R125" s="4"/>
      <c r="S125" s="4"/>
      <c r="T125" s="4"/>
      <c r="U125" s="4"/>
      <c r="V125" s="4"/>
      <c r="W125" s="4"/>
      <c r="X125" s="4"/>
    </row>
    <row r="126" spans="1:24" ht="15.6" x14ac:dyDescent="0.3">
      <c r="A126" s="6"/>
      <c r="B126" s="7"/>
      <c r="C126" s="136"/>
      <c r="D126" s="8"/>
      <c r="E126" s="8"/>
      <c r="F126" s="9"/>
      <c r="G126" s="10"/>
      <c r="H126" s="9"/>
      <c r="I126" s="4"/>
      <c r="J126" s="4"/>
      <c r="K126" s="11"/>
      <c r="L126" s="4"/>
      <c r="M126" s="4"/>
      <c r="N126" s="4"/>
      <c r="O126" s="4"/>
      <c r="P126" s="4"/>
      <c r="Q126" s="4"/>
      <c r="R126" s="4"/>
      <c r="S126" s="4"/>
      <c r="T126" s="4"/>
      <c r="U126" s="4"/>
      <c r="V126" s="4"/>
      <c r="W126" s="4"/>
      <c r="X126" s="4"/>
    </row>
    <row r="127" spans="1:24" ht="15.6" x14ac:dyDescent="0.3">
      <c r="A127" s="6"/>
      <c r="B127" s="7"/>
      <c r="C127" s="136"/>
      <c r="D127" s="8"/>
      <c r="E127" s="8"/>
      <c r="F127" s="9"/>
      <c r="G127" s="10"/>
      <c r="H127" s="9"/>
      <c r="I127" s="4"/>
      <c r="J127" s="4"/>
      <c r="K127" s="11"/>
      <c r="L127" s="4"/>
      <c r="M127" s="4"/>
      <c r="N127" s="4"/>
      <c r="O127" s="4"/>
      <c r="P127" s="4"/>
      <c r="Q127" s="4"/>
      <c r="R127" s="4"/>
      <c r="S127" s="4"/>
      <c r="T127" s="4"/>
      <c r="U127" s="4"/>
      <c r="V127" s="4"/>
      <c r="W127" s="4"/>
      <c r="X127" s="4"/>
    </row>
    <row r="128" spans="1:24" ht="15.6" x14ac:dyDescent="0.3">
      <c r="A128" s="6"/>
      <c r="B128" s="7"/>
      <c r="C128" s="136"/>
      <c r="D128" s="8"/>
      <c r="E128" s="8"/>
      <c r="F128" s="9"/>
      <c r="G128" s="10"/>
      <c r="H128" s="9"/>
      <c r="I128" s="4"/>
      <c r="J128" s="4"/>
      <c r="K128" s="11"/>
      <c r="L128" s="4"/>
      <c r="M128" s="4"/>
      <c r="N128" s="4"/>
      <c r="O128" s="4"/>
      <c r="P128" s="4"/>
      <c r="Q128" s="4"/>
      <c r="R128" s="4"/>
      <c r="S128" s="4"/>
      <c r="T128" s="4"/>
      <c r="U128" s="4"/>
      <c r="V128" s="4"/>
      <c r="W128" s="4"/>
      <c r="X128" s="4"/>
    </row>
    <row r="129" spans="1:24" ht="15.6" x14ac:dyDescent="0.3">
      <c r="A129" s="6"/>
      <c r="B129" s="7"/>
      <c r="C129" s="136"/>
      <c r="D129" s="8"/>
      <c r="E129" s="8"/>
      <c r="F129" s="9"/>
      <c r="G129" s="10"/>
      <c r="H129" s="9"/>
      <c r="I129" s="4"/>
      <c r="J129" s="4"/>
      <c r="K129" s="11"/>
      <c r="L129" s="4"/>
      <c r="M129" s="4"/>
      <c r="N129" s="4"/>
      <c r="O129" s="4"/>
      <c r="P129" s="4"/>
      <c r="Q129" s="4"/>
      <c r="R129" s="4"/>
      <c r="S129" s="4"/>
      <c r="T129" s="4"/>
      <c r="U129" s="4"/>
      <c r="V129" s="4"/>
      <c r="W129" s="4"/>
      <c r="X129" s="4"/>
    </row>
    <row r="130" spans="1:24" ht="15.6" x14ac:dyDescent="0.3">
      <c r="A130" s="6"/>
      <c r="B130" s="7"/>
      <c r="C130" s="136"/>
      <c r="D130" s="8"/>
      <c r="E130" s="8"/>
      <c r="F130" s="9"/>
      <c r="G130" s="10"/>
      <c r="H130" s="9"/>
      <c r="I130" s="4"/>
      <c r="J130" s="4"/>
      <c r="K130" s="11"/>
      <c r="L130" s="4"/>
      <c r="M130" s="4"/>
      <c r="N130" s="4"/>
      <c r="O130" s="4"/>
      <c r="P130" s="4"/>
      <c r="Q130" s="4"/>
      <c r="R130" s="4"/>
      <c r="S130" s="4"/>
      <c r="T130" s="4"/>
      <c r="U130" s="4"/>
      <c r="V130" s="4"/>
      <c r="W130" s="4"/>
      <c r="X130" s="4"/>
    </row>
    <row r="131" spans="1:24" ht="15.6" x14ac:dyDescent="0.3">
      <c r="A131" s="6"/>
      <c r="B131" s="7"/>
      <c r="C131" s="136"/>
      <c r="D131" s="8"/>
      <c r="E131" s="8"/>
      <c r="F131" s="9"/>
      <c r="G131" s="10"/>
      <c r="H131" s="9"/>
      <c r="I131" s="4"/>
      <c r="J131" s="4"/>
      <c r="K131" s="11"/>
      <c r="L131" s="4"/>
      <c r="M131" s="4"/>
      <c r="N131" s="4"/>
      <c r="O131" s="4"/>
      <c r="P131" s="4"/>
      <c r="Q131" s="4"/>
      <c r="R131" s="4"/>
      <c r="S131" s="4"/>
      <c r="T131" s="4"/>
      <c r="U131" s="4"/>
      <c r="V131" s="4"/>
      <c r="W131" s="4"/>
      <c r="X131" s="4"/>
    </row>
    <row r="132" spans="1:24" ht="15.6" x14ac:dyDescent="0.3">
      <c r="A132" s="6"/>
      <c r="B132" s="7"/>
      <c r="C132" s="136"/>
      <c r="D132" s="8"/>
      <c r="E132" s="8"/>
      <c r="F132" s="9"/>
      <c r="G132" s="10"/>
      <c r="H132" s="9"/>
      <c r="I132" s="4"/>
      <c r="J132" s="4"/>
      <c r="K132" s="11"/>
      <c r="L132" s="4"/>
      <c r="M132" s="4"/>
      <c r="N132" s="4"/>
      <c r="O132" s="4"/>
      <c r="P132" s="4"/>
      <c r="Q132" s="4"/>
      <c r="R132" s="4"/>
      <c r="S132" s="4"/>
      <c r="T132" s="4"/>
      <c r="U132" s="4"/>
      <c r="V132" s="4"/>
      <c r="W132" s="4"/>
      <c r="X132" s="4"/>
    </row>
    <row r="133" spans="1:24" ht="15.6" x14ac:dyDescent="0.3">
      <c r="A133" s="6"/>
      <c r="B133" s="7"/>
      <c r="C133" s="136"/>
      <c r="D133" s="8"/>
      <c r="E133" s="8"/>
      <c r="F133" s="9"/>
      <c r="G133" s="10"/>
      <c r="H133" s="9"/>
      <c r="I133" s="4"/>
      <c r="J133" s="4"/>
      <c r="K133" s="11"/>
      <c r="L133" s="4"/>
      <c r="M133" s="4"/>
      <c r="N133" s="4"/>
      <c r="O133" s="4"/>
      <c r="P133" s="4"/>
      <c r="Q133" s="4"/>
      <c r="R133" s="4"/>
      <c r="S133" s="4"/>
      <c r="T133" s="4"/>
      <c r="U133" s="4"/>
      <c r="V133" s="4"/>
      <c r="W133" s="4"/>
      <c r="X133" s="4"/>
    </row>
    <row r="134" spans="1:24" ht="15.6" x14ac:dyDescent="0.3">
      <c r="A134" s="6"/>
      <c r="B134" s="7"/>
      <c r="C134" s="136"/>
      <c r="D134" s="8"/>
      <c r="E134" s="8"/>
      <c r="F134" s="9"/>
      <c r="G134" s="10"/>
      <c r="H134" s="9"/>
      <c r="I134" s="4"/>
      <c r="J134" s="4"/>
      <c r="K134" s="11"/>
      <c r="L134" s="4"/>
      <c r="M134" s="4"/>
      <c r="N134" s="4"/>
      <c r="O134" s="4"/>
      <c r="P134" s="4"/>
      <c r="Q134" s="4"/>
      <c r="R134" s="4"/>
      <c r="S134" s="4"/>
      <c r="T134" s="4"/>
      <c r="U134" s="4"/>
      <c r="V134" s="4"/>
      <c r="W134" s="4"/>
      <c r="X134" s="4"/>
    </row>
    <row r="135" spans="1:24" ht="15.6" x14ac:dyDescent="0.3">
      <c r="A135" s="6"/>
      <c r="B135" s="7"/>
      <c r="C135" s="136"/>
      <c r="D135" s="8"/>
      <c r="E135" s="8"/>
      <c r="F135" s="9"/>
      <c r="G135" s="10"/>
      <c r="H135" s="9"/>
      <c r="I135" s="4"/>
      <c r="J135" s="4"/>
      <c r="K135" s="11"/>
      <c r="L135" s="4"/>
      <c r="M135" s="4"/>
      <c r="N135" s="4"/>
      <c r="O135" s="4"/>
      <c r="P135" s="4"/>
      <c r="Q135" s="4"/>
      <c r="R135" s="4"/>
      <c r="S135" s="4"/>
      <c r="T135" s="4"/>
      <c r="U135" s="4"/>
      <c r="V135" s="4"/>
      <c r="W135" s="4"/>
      <c r="X135" s="4"/>
    </row>
    <row r="136" spans="1:24" ht="15.6" x14ac:dyDescent="0.3">
      <c r="A136" s="6"/>
      <c r="B136" s="7"/>
      <c r="C136" s="136"/>
      <c r="D136" s="8"/>
      <c r="E136" s="8"/>
      <c r="F136" s="9"/>
      <c r="G136" s="10"/>
      <c r="H136" s="9"/>
      <c r="I136" s="4"/>
      <c r="J136" s="4"/>
      <c r="K136" s="11"/>
      <c r="L136" s="4"/>
      <c r="M136" s="4"/>
      <c r="N136" s="4"/>
      <c r="O136" s="4"/>
      <c r="P136" s="4"/>
      <c r="Q136" s="4"/>
      <c r="R136" s="4"/>
      <c r="S136" s="4"/>
      <c r="T136" s="4"/>
      <c r="U136" s="4"/>
      <c r="V136" s="4"/>
      <c r="W136" s="4"/>
      <c r="X136" s="4"/>
    </row>
    <row r="137" spans="1:24" ht="15.6" x14ac:dyDescent="0.3">
      <c r="A137" s="6"/>
      <c r="B137" s="7"/>
      <c r="C137" s="136"/>
      <c r="D137" s="8"/>
      <c r="E137" s="8"/>
      <c r="F137" s="9"/>
      <c r="G137" s="10"/>
      <c r="H137" s="9"/>
      <c r="I137" s="4"/>
      <c r="J137" s="4"/>
      <c r="K137" s="11"/>
      <c r="L137" s="4"/>
      <c r="M137" s="4"/>
      <c r="N137" s="4"/>
      <c r="O137" s="4"/>
      <c r="P137" s="4"/>
      <c r="Q137" s="4"/>
      <c r="R137" s="4"/>
      <c r="S137" s="4"/>
      <c r="T137" s="4"/>
      <c r="U137" s="4"/>
      <c r="V137" s="4"/>
      <c r="W137" s="4"/>
      <c r="X137" s="4"/>
    </row>
    <row r="138" spans="1:24" ht="15.6" x14ac:dyDescent="0.3">
      <c r="A138" s="6"/>
      <c r="B138" s="7"/>
      <c r="C138" s="136"/>
      <c r="D138" s="8"/>
      <c r="E138" s="8"/>
      <c r="F138" s="9"/>
      <c r="G138" s="10"/>
      <c r="H138" s="9"/>
      <c r="I138" s="4"/>
      <c r="J138" s="4"/>
      <c r="K138" s="11"/>
      <c r="L138" s="4"/>
      <c r="M138" s="4"/>
      <c r="N138" s="4"/>
      <c r="O138" s="4"/>
      <c r="P138" s="4"/>
      <c r="Q138" s="4"/>
      <c r="R138" s="4"/>
      <c r="S138" s="4"/>
      <c r="T138" s="4"/>
      <c r="U138" s="4"/>
      <c r="V138" s="4"/>
      <c r="W138" s="4"/>
      <c r="X138" s="4"/>
    </row>
    <row r="139" spans="1:24" ht="15.6" x14ac:dyDescent="0.3">
      <c r="A139" s="6"/>
      <c r="B139" s="7"/>
      <c r="C139" s="136"/>
      <c r="D139" s="8"/>
      <c r="E139" s="8"/>
      <c r="F139" s="9"/>
      <c r="G139" s="10"/>
      <c r="H139" s="9"/>
      <c r="I139" s="4"/>
      <c r="J139" s="4"/>
      <c r="K139" s="11"/>
      <c r="L139" s="4"/>
      <c r="M139" s="4"/>
      <c r="N139" s="4"/>
      <c r="O139" s="4"/>
      <c r="P139" s="4"/>
      <c r="Q139" s="4"/>
      <c r="R139" s="4"/>
      <c r="S139" s="4"/>
      <c r="T139" s="4"/>
      <c r="U139" s="4"/>
      <c r="V139" s="4"/>
      <c r="W139" s="4"/>
      <c r="X139" s="4"/>
    </row>
    <row r="140" spans="1:24" ht="15.6" x14ac:dyDescent="0.3">
      <c r="A140" s="6"/>
      <c r="B140" s="7"/>
      <c r="C140" s="136"/>
      <c r="D140" s="8"/>
      <c r="E140" s="8"/>
      <c r="F140" s="9"/>
      <c r="G140" s="10"/>
      <c r="H140" s="9"/>
      <c r="I140" s="4"/>
      <c r="J140" s="4"/>
      <c r="K140" s="11"/>
      <c r="L140" s="4"/>
      <c r="M140" s="4"/>
      <c r="N140" s="4"/>
      <c r="O140" s="4"/>
      <c r="P140" s="4"/>
      <c r="Q140" s="4"/>
      <c r="R140" s="4"/>
      <c r="S140" s="4"/>
      <c r="T140" s="4"/>
      <c r="U140" s="4"/>
      <c r="V140" s="4"/>
      <c r="W140" s="4"/>
      <c r="X140" s="4"/>
    </row>
    <row r="141" spans="1:24" ht="15.6" x14ac:dyDescent="0.3">
      <c r="A141" s="6"/>
      <c r="B141" s="7"/>
      <c r="C141" s="136"/>
      <c r="D141" s="8"/>
      <c r="E141" s="8"/>
      <c r="F141" s="9"/>
      <c r="G141" s="10"/>
      <c r="H141" s="9"/>
      <c r="I141" s="4"/>
      <c r="J141" s="4"/>
      <c r="K141" s="11"/>
      <c r="L141" s="4"/>
      <c r="M141" s="4"/>
      <c r="N141" s="4"/>
      <c r="O141" s="4"/>
      <c r="P141" s="4"/>
      <c r="Q141" s="4"/>
      <c r="R141" s="4"/>
      <c r="S141" s="4"/>
      <c r="T141" s="4"/>
      <c r="U141" s="4"/>
      <c r="V141" s="4"/>
      <c r="W141" s="4"/>
      <c r="X141" s="4"/>
    </row>
    <row r="142" spans="1:24" ht="15.6" x14ac:dyDescent="0.3">
      <c r="A142" s="6"/>
      <c r="B142" s="7"/>
      <c r="C142" s="136"/>
      <c r="D142" s="8"/>
      <c r="E142" s="8"/>
      <c r="F142" s="9"/>
      <c r="G142" s="10"/>
      <c r="H142" s="9"/>
      <c r="I142" s="4"/>
      <c r="J142" s="4"/>
      <c r="K142" s="11"/>
      <c r="L142" s="4"/>
      <c r="M142" s="4"/>
      <c r="N142" s="4"/>
      <c r="O142" s="4"/>
      <c r="P142" s="4"/>
      <c r="Q142" s="4"/>
      <c r="R142" s="4"/>
      <c r="S142" s="4"/>
      <c r="T142" s="4"/>
      <c r="U142" s="4"/>
      <c r="V142" s="4"/>
      <c r="W142" s="4"/>
      <c r="X142" s="4"/>
    </row>
    <row r="143" spans="1:24" ht="15.6" x14ac:dyDescent="0.3">
      <c r="A143" s="6"/>
      <c r="B143" s="7"/>
      <c r="C143" s="136"/>
      <c r="D143" s="8"/>
      <c r="E143" s="8"/>
      <c r="F143" s="9"/>
      <c r="G143" s="10"/>
      <c r="H143" s="9"/>
      <c r="I143" s="4"/>
      <c r="J143" s="4"/>
      <c r="K143" s="11"/>
      <c r="L143" s="4"/>
      <c r="M143" s="4"/>
      <c r="N143" s="4"/>
      <c r="O143" s="4"/>
      <c r="P143" s="4"/>
      <c r="Q143" s="4"/>
      <c r="R143" s="4"/>
      <c r="S143" s="4"/>
      <c r="T143" s="4"/>
      <c r="U143" s="4"/>
      <c r="V143" s="4"/>
      <c r="W143" s="4"/>
      <c r="X143" s="4"/>
    </row>
    <row r="144" spans="1:24" ht="15.6" x14ac:dyDescent="0.3">
      <c r="A144" s="6"/>
      <c r="B144" s="7"/>
      <c r="C144" s="136"/>
      <c r="D144" s="8"/>
      <c r="E144" s="8"/>
      <c r="F144" s="9"/>
      <c r="G144" s="10"/>
      <c r="H144" s="9"/>
      <c r="I144" s="4"/>
      <c r="J144" s="4"/>
      <c r="K144" s="11"/>
      <c r="L144" s="4"/>
      <c r="M144" s="4"/>
      <c r="N144" s="4"/>
      <c r="O144" s="4"/>
      <c r="P144" s="4"/>
      <c r="Q144" s="4"/>
      <c r="R144" s="4"/>
      <c r="S144" s="4"/>
      <c r="T144" s="4"/>
      <c r="U144" s="4"/>
      <c r="V144" s="4"/>
      <c r="W144" s="4"/>
      <c r="X144" s="4"/>
    </row>
    <row r="145" spans="1:24" ht="15.6" x14ac:dyDescent="0.3">
      <c r="A145" s="6"/>
      <c r="B145" s="7"/>
      <c r="C145" s="136"/>
      <c r="D145" s="8"/>
      <c r="E145" s="8"/>
      <c r="F145" s="9"/>
      <c r="G145" s="10"/>
      <c r="H145" s="9"/>
      <c r="I145" s="4"/>
      <c r="J145" s="4"/>
      <c r="K145" s="11"/>
      <c r="L145" s="4"/>
      <c r="M145" s="4"/>
      <c r="N145" s="4"/>
      <c r="O145" s="4"/>
      <c r="P145" s="4"/>
      <c r="Q145" s="4"/>
      <c r="R145" s="4"/>
      <c r="S145" s="4"/>
      <c r="T145" s="4"/>
      <c r="U145" s="4"/>
      <c r="V145" s="4"/>
      <c r="W145" s="4"/>
      <c r="X145" s="4"/>
    </row>
    <row r="146" spans="1:24" ht="15.6" x14ac:dyDescent="0.3">
      <c r="A146" s="6"/>
      <c r="B146" s="7"/>
      <c r="C146" s="136"/>
      <c r="D146" s="8"/>
      <c r="E146" s="8"/>
      <c r="F146" s="9"/>
      <c r="G146" s="10"/>
      <c r="H146" s="9"/>
      <c r="I146" s="4"/>
      <c r="J146" s="4"/>
      <c r="K146" s="11"/>
      <c r="L146" s="4"/>
      <c r="M146" s="4"/>
      <c r="N146" s="4"/>
      <c r="O146" s="4"/>
      <c r="P146" s="4"/>
      <c r="Q146" s="4"/>
      <c r="R146" s="4"/>
      <c r="S146" s="4"/>
      <c r="T146" s="4"/>
      <c r="U146" s="4"/>
      <c r="V146" s="4"/>
      <c r="W146" s="4"/>
      <c r="X146" s="4"/>
    </row>
    <row r="147" spans="1:24" ht="15.6" x14ac:dyDescent="0.3">
      <c r="A147" s="6"/>
      <c r="B147" s="7"/>
      <c r="C147" s="136"/>
      <c r="D147" s="8"/>
      <c r="E147" s="8"/>
      <c r="F147" s="9"/>
      <c r="G147" s="10"/>
      <c r="H147" s="9"/>
      <c r="I147" s="4"/>
      <c r="J147" s="4"/>
      <c r="K147" s="11"/>
      <c r="L147" s="4"/>
      <c r="M147" s="4"/>
      <c r="N147" s="4"/>
      <c r="O147" s="4"/>
      <c r="P147" s="4"/>
      <c r="Q147" s="4"/>
      <c r="R147" s="4"/>
      <c r="S147" s="4"/>
      <c r="T147" s="4"/>
      <c r="U147" s="4"/>
      <c r="V147" s="4"/>
      <c r="W147" s="4"/>
      <c r="X147" s="4"/>
    </row>
    <row r="148" spans="1:24" ht="15.6" x14ac:dyDescent="0.3">
      <c r="A148" s="6"/>
      <c r="B148" s="7"/>
      <c r="C148" s="136"/>
      <c r="D148" s="8"/>
      <c r="E148" s="8"/>
      <c r="F148" s="9"/>
      <c r="G148" s="10"/>
      <c r="H148" s="9"/>
      <c r="I148" s="4"/>
      <c r="J148" s="4"/>
      <c r="K148" s="11"/>
      <c r="L148" s="4"/>
      <c r="M148" s="4"/>
      <c r="N148" s="4"/>
      <c r="O148" s="4"/>
      <c r="P148" s="4"/>
      <c r="Q148" s="4"/>
      <c r="R148" s="4"/>
      <c r="S148" s="4"/>
      <c r="T148" s="4"/>
      <c r="U148" s="4"/>
      <c r="V148" s="4"/>
      <c r="W148" s="4"/>
      <c r="X148" s="4"/>
    </row>
    <row r="149" spans="1:24" ht="15.6" x14ac:dyDescent="0.3">
      <c r="A149" s="6"/>
      <c r="B149" s="7"/>
      <c r="C149" s="136"/>
      <c r="D149" s="8"/>
      <c r="E149" s="8"/>
      <c r="F149" s="9"/>
      <c r="G149" s="10"/>
      <c r="H149" s="9"/>
      <c r="I149" s="4"/>
      <c r="J149" s="4"/>
      <c r="K149" s="11"/>
      <c r="L149" s="4"/>
      <c r="M149" s="4"/>
      <c r="N149" s="4"/>
      <c r="O149" s="4"/>
      <c r="P149" s="4"/>
      <c r="Q149" s="4"/>
      <c r="R149" s="4"/>
      <c r="S149" s="4"/>
      <c r="T149" s="4"/>
      <c r="U149" s="4"/>
      <c r="V149" s="4"/>
      <c r="W149" s="4"/>
      <c r="X149" s="4"/>
    </row>
    <row r="150" spans="1:24" ht="15.6" x14ac:dyDescent="0.3">
      <c r="A150" s="6"/>
      <c r="B150" s="7"/>
      <c r="C150" s="136"/>
      <c r="D150" s="8"/>
      <c r="E150" s="8"/>
      <c r="F150" s="9"/>
      <c r="G150" s="10"/>
      <c r="H150" s="9"/>
      <c r="I150" s="4"/>
      <c r="J150" s="4"/>
      <c r="K150" s="11"/>
      <c r="L150" s="4"/>
      <c r="M150" s="4"/>
      <c r="N150" s="4"/>
      <c r="O150" s="4"/>
      <c r="P150" s="4"/>
      <c r="Q150" s="4"/>
      <c r="R150" s="4"/>
      <c r="S150" s="4"/>
      <c r="T150" s="4"/>
      <c r="U150" s="4"/>
      <c r="V150" s="4"/>
      <c r="W150" s="4"/>
      <c r="X150" s="4"/>
    </row>
    <row r="151" spans="1:24" ht="15.6" x14ac:dyDescent="0.3">
      <c r="A151" s="6"/>
      <c r="B151" s="7"/>
      <c r="C151" s="136"/>
      <c r="D151" s="8"/>
      <c r="E151" s="8"/>
      <c r="F151" s="9"/>
      <c r="G151" s="10"/>
      <c r="H151" s="9"/>
      <c r="I151" s="4"/>
      <c r="J151" s="4"/>
      <c r="K151" s="11"/>
      <c r="L151" s="4"/>
      <c r="M151" s="4"/>
      <c r="N151" s="4"/>
      <c r="O151" s="4"/>
      <c r="P151" s="4"/>
      <c r="Q151" s="4"/>
      <c r="R151" s="4"/>
      <c r="S151" s="4"/>
      <c r="T151" s="4"/>
      <c r="U151" s="4"/>
      <c r="V151" s="4"/>
      <c r="W151" s="4"/>
      <c r="X151" s="4"/>
    </row>
    <row r="152" spans="1:24" ht="15.6" x14ac:dyDescent="0.3">
      <c r="A152" s="6"/>
      <c r="B152" s="7"/>
      <c r="C152" s="136"/>
      <c r="D152" s="8"/>
      <c r="E152" s="8"/>
      <c r="F152" s="9"/>
      <c r="G152" s="10"/>
      <c r="H152" s="9"/>
      <c r="I152" s="4"/>
      <c r="J152" s="4"/>
      <c r="K152" s="11"/>
      <c r="L152" s="4"/>
      <c r="M152" s="4"/>
      <c r="N152" s="4"/>
      <c r="O152" s="4"/>
      <c r="P152" s="4"/>
      <c r="Q152" s="4"/>
      <c r="R152" s="4"/>
      <c r="S152" s="4"/>
      <c r="T152" s="4"/>
      <c r="U152" s="4"/>
      <c r="V152" s="4"/>
      <c r="W152" s="4"/>
      <c r="X152" s="4"/>
    </row>
    <row r="153" spans="1:24" ht="15.6" x14ac:dyDescent="0.3">
      <c r="A153" s="6"/>
      <c r="B153" s="7"/>
      <c r="C153" s="136"/>
      <c r="D153" s="8"/>
      <c r="E153" s="8"/>
      <c r="F153" s="9"/>
      <c r="G153" s="10"/>
      <c r="H153" s="9"/>
      <c r="I153" s="4"/>
      <c r="J153" s="4"/>
      <c r="K153" s="11"/>
      <c r="L153" s="4"/>
      <c r="M153" s="4"/>
      <c r="N153" s="4"/>
      <c r="O153" s="4"/>
      <c r="P153" s="4"/>
      <c r="Q153" s="4"/>
      <c r="R153" s="4"/>
      <c r="S153" s="4"/>
      <c r="T153" s="4"/>
      <c r="U153" s="4"/>
      <c r="V153" s="4"/>
      <c r="W153" s="4"/>
      <c r="X153" s="4"/>
    </row>
    <row r="154" spans="1:24" ht="15.6" x14ac:dyDescent="0.3">
      <c r="A154" s="6"/>
      <c r="B154" s="7"/>
      <c r="C154" s="136"/>
      <c r="D154" s="8"/>
      <c r="E154" s="8"/>
      <c r="F154" s="9"/>
      <c r="G154" s="10"/>
      <c r="H154" s="9"/>
      <c r="I154" s="4"/>
      <c r="J154" s="4"/>
      <c r="K154" s="11"/>
      <c r="L154" s="4"/>
      <c r="M154" s="4"/>
      <c r="N154" s="4"/>
      <c r="O154" s="4"/>
      <c r="P154" s="4"/>
      <c r="Q154" s="4"/>
      <c r="R154" s="4"/>
      <c r="S154" s="4"/>
      <c r="T154" s="4"/>
      <c r="U154" s="4"/>
      <c r="V154" s="4"/>
      <c r="W154" s="4"/>
      <c r="X154" s="4"/>
    </row>
    <row r="155" spans="1:24" ht="15.6" x14ac:dyDescent="0.3">
      <c r="A155" s="6"/>
      <c r="B155" s="7"/>
      <c r="C155" s="136"/>
      <c r="D155" s="8"/>
      <c r="E155" s="8"/>
      <c r="F155" s="9"/>
      <c r="G155" s="10"/>
      <c r="H155" s="9"/>
      <c r="I155" s="4"/>
      <c r="J155" s="4"/>
      <c r="K155" s="11"/>
      <c r="L155" s="4"/>
      <c r="M155" s="4"/>
      <c r="N155" s="4"/>
      <c r="O155" s="4"/>
      <c r="P155" s="4"/>
      <c r="Q155" s="4"/>
      <c r="R155" s="4"/>
      <c r="S155" s="4"/>
      <c r="T155" s="4"/>
      <c r="U155" s="4"/>
      <c r="V155" s="4"/>
      <c r="W155" s="4"/>
      <c r="X155" s="4"/>
    </row>
    <row r="156" spans="1:24" ht="15.6" x14ac:dyDescent="0.3">
      <c r="A156" s="6"/>
      <c r="B156" s="7"/>
      <c r="C156" s="136"/>
      <c r="D156" s="8"/>
      <c r="E156" s="8"/>
      <c r="F156" s="9"/>
      <c r="G156" s="10"/>
      <c r="H156" s="9"/>
      <c r="I156" s="4"/>
      <c r="J156" s="4"/>
      <c r="K156" s="11"/>
      <c r="L156" s="4"/>
      <c r="M156" s="4"/>
      <c r="N156" s="4"/>
      <c r="O156" s="4"/>
      <c r="P156" s="4"/>
      <c r="Q156" s="4"/>
      <c r="R156" s="4"/>
      <c r="S156" s="4"/>
      <c r="T156" s="4"/>
      <c r="U156" s="4"/>
      <c r="V156" s="4"/>
      <c r="W156" s="4"/>
      <c r="X156" s="4"/>
    </row>
    <row r="157" spans="1:24" ht="15.6" x14ac:dyDescent="0.3">
      <c r="A157" s="6"/>
      <c r="B157" s="7"/>
      <c r="C157" s="136"/>
      <c r="D157" s="8"/>
      <c r="E157" s="8"/>
      <c r="F157" s="9"/>
      <c r="G157" s="10"/>
      <c r="H157" s="9"/>
      <c r="I157" s="4"/>
      <c r="J157" s="4"/>
      <c r="K157" s="11"/>
      <c r="L157" s="4"/>
      <c r="M157" s="4"/>
      <c r="N157" s="4"/>
      <c r="O157" s="4"/>
      <c r="P157" s="4"/>
      <c r="Q157" s="4"/>
      <c r="R157" s="4"/>
      <c r="S157" s="4"/>
      <c r="T157" s="4"/>
      <c r="U157" s="4"/>
      <c r="V157" s="4"/>
      <c r="W157" s="4"/>
      <c r="X157" s="4"/>
    </row>
    <row r="158" spans="1:24" ht="15.6" x14ac:dyDescent="0.3">
      <c r="A158" s="6"/>
      <c r="B158" s="7"/>
      <c r="C158" s="136"/>
      <c r="D158" s="8"/>
      <c r="E158" s="8"/>
      <c r="F158" s="9"/>
      <c r="G158" s="10"/>
      <c r="H158" s="9"/>
      <c r="I158" s="4"/>
      <c r="J158" s="4"/>
      <c r="K158" s="11"/>
      <c r="L158" s="4"/>
      <c r="M158" s="4"/>
      <c r="N158" s="4"/>
      <c r="O158" s="4"/>
      <c r="P158" s="4"/>
      <c r="Q158" s="4"/>
      <c r="R158" s="4"/>
      <c r="S158" s="4"/>
      <c r="T158" s="4"/>
      <c r="U158" s="4"/>
      <c r="V158" s="4"/>
      <c r="W158" s="4"/>
      <c r="X158" s="4"/>
    </row>
    <row r="159" spans="1:24" ht="15.6" x14ac:dyDescent="0.3">
      <c r="A159" s="6"/>
      <c r="B159" s="7"/>
      <c r="C159" s="136"/>
      <c r="D159" s="8"/>
      <c r="E159" s="8"/>
      <c r="F159" s="9"/>
      <c r="G159" s="10"/>
      <c r="H159" s="9"/>
      <c r="I159" s="4"/>
      <c r="J159" s="4"/>
      <c r="K159" s="11"/>
      <c r="L159" s="4"/>
      <c r="M159" s="4"/>
      <c r="N159" s="4"/>
      <c r="O159" s="4"/>
      <c r="P159" s="4"/>
      <c r="Q159" s="4"/>
      <c r="R159" s="4"/>
      <c r="S159" s="4"/>
      <c r="T159" s="4"/>
      <c r="U159" s="4"/>
      <c r="V159" s="4"/>
      <c r="W159" s="4"/>
      <c r="X159" s="4"/>
    </row>
    <row r="160" spans="1:24" ht="15.6" x14ac:dyDescent="0.3">
      <c r="A160" s="6"/>
      <c r="B160" s="7"/>
      <c r="C160" s="136"/>
      <c r="D160" s="8"/>
      <c r="E160" s="8"/>
      <c r="F160" s="9"/>
      <c r="G160" s="10"/>
      <c r="H160" s="9"/>
      <c r="I160" s="4"/>
      <c r="J160" s="4"/>
      <c r="K160" s="11"/>
      <c r="L160" s="4"/>
      <c r="M160" s="4"/>
      <c r="N160" s="4"/>
      <c r="O160" s="4"/>
      <c r="P160" s="4"/>
      <c r="Q160" s="4"/>
      <c r="R160" s="4"/>
      <c r="S160" s="4"/>
      <c r="T160" s="4"/>
      <c r="U160" s="4"/>
      <c r="V160" s="4"/>
      <c r="W160" s="4"/>
      <c r="X160" s="4"/>
    </row>
    <row r="161" spans="1:24" ht="15.6" x14ac:dyDescent="0.3">
      <c r="A161" s="6"/>
      <c r="B161" s="7"/>
      <c r="C161" s="136"/>
      <c r="D161" s="8"/>
      <c r="E161" s="8"/>
      <c r="F161" s="9"/>
      <c r="G161" s="10"/>
      <c r="H161" s="9"/>
      <c r="I161" s="4"/>
      <c r="J161" s="4"/>
      <c r="K161" s="11"/>
      <c r="L161" s="4"/>
      <c r="M161" s="4"/>
      <c r="N161" s="4"/>
      <c r="O161" s="4"/>
      <c r="P161" s="4"/>
      <c r="Q161" s="4"/>
      <c r="R161" s="4"/>
      <c r="S161" s="4"/>
      <c r="T161" s="4"/>
      <c r="U161" s="4"/>
      <c r="V161" s="4"/>
      <c r="W161" s="4"/>
      <c r="X161" s="4"/>
    </row>
    <row r="162" spans="1:24" ht="15.6" x14ac:dyDescent="0.3">
      <c r="A162" s="6"/>
      <c r="B162" s="7"/>
      <c r="C162" s="136"/>
      <c r="D162" s="8"/>
      <c r="E162" s="8"/>
      <c r="F162" s="9"/>
      <c r="G162" s="10"/>
      <c r="H162" s="9"/>
      <c r="I162" s="4"/>
      <c r="J162" s="4"/>
      <c r="K162" s="11"/>
      <c r="L162" s="4"/>
      <c r="M162" s="4"/>
      <c r="N162" s="4"/>
      <c r="O162" s="4"/>
      <c r="P162" s="4"/>
      <c r="Q162" s="4"/>
      <c r="R162" s="4"/>
      <c r="S162" s="4"/>
      <c r="T162" s="4"/>
      <c r="U162" s="4"/>
      <c r="V162" s="4"/>
      <c r="W162" s="4"/>
      <c r="X162" s="4"/>
    </row>
    <row r="163" spans="1:24" ht="15.6" x14ac:dyDescent="0.3">
      <c r="A163" s="6"/>
      <c r="B163" s="7"/>
      <c r="C163" s="136"/>
      <c r="D163" s="8"/>
      <c r="E163" s="8"/>
      <c r="F163" s="9"/>
      <c r="G163" s="10"/>
      <c r="H163" s="9"/>
      <c r="I163" s="4"/>
      <c r="J163" s="4"/>
      <c r="K163" s="11"/>
      <c r="L163" s="4"/>
      <c r="M163" s="4"/>
      <c r="N163" s="4"/>
      <c r="O163" s="4"/>
      <c r="P163" s="4"/>
      <c r="Q163" s="4"/>
      <c r="R163" s="4"/>
      <c r="S163" s="4"/>
      <c r="T163" s="4"/>
      <c r="U163" s="4"/>
      <c r="V163" s="4"/>
      <c r="W163" s="4"/>
      <c r="X163" s="4"/>
    </row>
    <row r="164" spans="1:24" ht="15.6" x14ac:dyDescent="0.3">
      <c r="A164" s="6"/>
      <c r="B164" s="7"/>
      <c r="C164" s="136"/>
      <c r="D164" s="8"/>
      <c r="E164" s="8"/>
      <c r="F164" s="9"/>
      <c r="G164" s="10"/>
      <c r="H164" s="9"/>
      <c r="I164" s="4"/>
      <c r="J164" s="4"/>
      <c r="K164" s="11"/>
      <c r="L164" s="4"/>
      <c r="M164" s="4"/>
      <c r="N164" s="4"/>
      <c r="O164" s="4"/>
      <c r="P164" s="4"/>
      <c r="Q164" s="4"/>
      <c r="R164" s="4"/>
      <c r="S164" s="4"/>
      <c r="T164" s="4"/>
      <c r="U164" s="4"/>
      <c r="V164" s="4"/>
      <c r="W164" s="4"/>
      <c r="X164" s="4"/>
    </row>
    <row r="165" spans="1:24" ht="15.6" x14ac:dyDescent="0.3">
      <c r="A165" s="6"/>
      <c r="B165" s="7"/>
      <c r="C165" s="136"/>
      <c r="D165" s="8"/>
      <c r="E165" s="8"/>
      <c r="F165" s="9"/>
      <c r="G165" s="10"/>
      <c r="H165" s="9"/>
      <c r="I165" s="4"/>
      <c r="J165" s="4"/>
      <c r="K165" s="11"/>
      <c r="L165" s="4"/>
      <c r="M165" s="4"/>
      <c r="N165" s="4"/>
      <c r="O165" s="4"/>
      <c r="P165" s="4"/>
      <c r="Q165" s="4"/>
      <c r="R165" s="4"/>
      <c r="S165" s="4"/>
      <c r="T165" s="4"/>
      <c r="U165" s="4"/>
      <c r="V165" s="4"/>
      <c r="W165" s="4"/>
      <c r="X165" s="4"/>
    </row>
    <row r="166" spans="1:24" ht="15.6" x14ac:dyDescent="0.3">
      <c r="A166" s="6"/>
      <c r="B166" s="7"/>
      <c r="C166" s="136"/>
      <c r="D166" s="8"/>
      <c r="E166" s="8"/>
      <c r="F166" s="9"/>
      <c r="G166" s="10"/>
      <c r="H166" s="9"/>
      <c r="I166" s="4"/>
      <c r="J166" s="4"/>
      <c r="K166" s="11"/>
      <c r="L166" s="4"/>
      <c r="M166" s="4"/>
      <c r="N166" s="4"/>
      <c r="O166" s="4"/>
      <c r="P166" s="4"/>
      <c r="Q166" s="4"/>
      <c r="R166" s="4"/>
      <c r="S166" s="4"/>
      <c r="T166" s="4"/>
      <c r="U166" s="4"/>
      <c r="V166" s="4"/>
      <c r="W166" s="4"/>
      <c r="X166" s="4"/>
    </row>
    <row r="167" spans="1:24" ht="15.6" x14ac:dyDescent="0.3">
      <c r="A167" s="6"/>
      <c r="B167" s="7"/>
      <c r="C167" s="136"/>
      <c r="D167" s="8"/>
      <c r="E167" s="8"/>
      <c r="F167" s="9"/>
      <c r="G167" s="10"/>
      <c r="H167" s="9"/>
      <c r="I167" s="4"/>
      <c r="J167" s="4"/>
      <c r="K167" s="11"/>
      <c r="L167" s="4"/>
      <c r="M167" s="4"/>
      <c r="N167" s="4"/>
      <c r="O167" s="4"/>
      <c r="P167" s="4"/>
      <c r="Q167" s="4"/>
      <c r="R167" s="4"/>
      <c r="S167" s="4"/>
      <c r="T167" s="4"/>
      <c r="U167" s="4"/>
      <c r="V167" s="4"/>
      <c r="W167" s="4"/>
      <c r="X167" s="4"/>
    </row>
    <row r="168" spans="1:24" ht="15.6" x14ac:dyDescent="0.3">
      <c r="A168" s="6"/>
      <c r="B168" s="7"/>
      <c r="C168" s="136"/>
      <c r="D168" s="8"/>
      <c r="E168" s="8"/>
      <c r="F168" s="9"/>
      <c r="G168" s="10"/>
      <c r="H168" s="9"/>
      <c r="I168" s="4"/>
      <c r="J168" s="4"/>
      <c r="K168" s="11"/>
      <c r="L168" s="4"/>
      <c r="M168" s="4"/>
      <c r="N168" s="4"/>
      <c r="O168" s="4"/>
      <c r="P168" s="4"/>
      <c r="Q168" s="4"/>
      <c r="R168" s="4"/>
      <c r="S168" s="4"/>
      <c r="T168" s="4"/>
      <c r="U168" s="4"/>
      <c r="V168" s="4"/>
      <c r="W168" s="4"/>
      <c r="X168" s="4"/>
    </row>
    <row r="169" spans="1:24" ht="15.6" x14ac:dyDescent="0.3">
      <c r="A169" s="6"/>
      <c r="B169" s="7"/>
      <c r="C169" s="136"/>
      <c r="D169" s="8"/>
      <c r="E169" s="8"/>
      <c r="F169" s="9"/>
      <c r="G169" s="10"/>
      <c r="H169" s="9"/>
      <c r="I169" s="4"/>
      <c r="J169" s="4"/>
      <c r="K169" s="11"/>
      <c r="L169" s="4"/>
      <c r="M169" s="4"/>
      <c r="N169" s="4"/>
      <c r="O169" s="4"/>
      <c r="P169" s="4"/>
      <c r="Q169" s="4"/>
      <c r="R169" s="4"/>
      <c r="S169" s="4"/>
      <c r="T169" s="4"/>
      <c r="U169" s="4"/>
      <c r="V169" s="4"/>
      <c r="W169" s="4"/>
      <c r="X169" s="4"/>
    </row>
    <row r="170" spans="1:24" ht="15.6" x14ac:dyDescent="0.3">
      <c r="A170" s="6"/>
      <c r="B170" s="7"/>
      <c r="C170" s="136"/>
      <c r="D170" s="8"/>
      <c r="E170" s="8"/>
      <c r="F170" s="9"/>
      <c r="G170" s="10"/>
      <c r="H170" s="9"/>
      <c r="I170" s="4"/>
      <c r="J170" s="4"/>
      <c r="K170" s="11"/>
      <c r="L170" s="4"/>
      <c r="M170" s="4"/>
      <c r="N170" s="4"/>
      <c r="O170" s="4"/>
      <c r="P170" s="4"/>
      <c r="Q170" s="4"/>
      <c r="R170" s="4"/>
      <c r="S170" s="4"/>
      <c r="T170" s="4"/>
      <c r="U170" s="4"/>
      <c r="V170" s="4"/>
      <c r="W170" s="4"/>
      <c r="X170" s="4"/>
    </row>
    <row r="171" spans="1:24" ht="15.6" x14ac:dyDescent="0.3">
      <c r="A171" s="6"/>
      <c r="B171" s="7"/>
      <c r="C171" s="136"/>
      <c r="D171" s="8"/>
      <c r="E171" s="8"/>
      <c r="F171" s="9"/>
      <c r="G171" s="10"/>
      <c r="H171" s="9"/>
      <c r="I171" s="4"/>
      <c r="J171" s="4"/>
      <c r="K171" s="11"/>
      <c r="L171" s="4"/>
      <c r="M171" s="4"/>
      <c r="N171" s="4"/>
      <c r="O171" s="4"/>
      <c r="P171" s="4"/>
      <c r="Q171" s="4"/>
      <c r="R171" s="4"/>
      <c r="S171" s="4"/>
      <c r="T171" s="4"/>
      <c r="U171" s="4"/>
      <c r="V171" s="4"/>
      <c r="W171" s="4"/>
      <c r="X171" s="4"/>
    </row>
    <row r="172" spans="1:24" ht="15.6" x14ac:dyDescent="0.3">
      <c r="A172" s="6"/>
      <c r="B172" s="7"/>
      <c r="C172" s="136"/>
      <c r="D172" s="8"/>
      <c r="E172" s="8"/>
      <c r="F172" s="9"/>
      <c r="G172" s="10"/>
      <c r="H172" s="9"/>
      <c r="I172" s="4"/>
      <c r="J172" s="4"/>
      <c r="K172" s="11"/>
      <c r="L172" s="4"/>
      <c r="M172" s="4"/>
      <c r="N172" s="4"/>
      <c r="O172" s="4"/>
      <c r="P172" s="4"/>
      <c r="Q172" s="4"/>
      <c r="R172" s="4"/>
      <c r="S172" s="4"/>
      <c r="T172" s="4"/>
      <c r="U172" s="4"/>
      <c r="V172" s="4"/>
      <c r="W172" s="4"/>
      <c r="X172" s="4"/>
    </row>
    <row r="173" spans="1:24" ht="15.6" x14ac:dyDescent="0.3">
      <c r="A173" s="6"/>
      <c r="B173" s="7"/>
      <c r="C173" s="136"/>
      <c r="D173" s="8"/>
      <c r="E173" s="8"/>
      <c r="F173" s="9"/>
      <c r="G173" s="10"/>
      <c r="H173" s="9"/>
      <c r="I173" s="4"/>
      <c r="J173" s="4"/>
      <c r="K173" s="11"/>
      <c r="L173" s="4"/>
      <c r="M173" s="4"/>
      <c r="N173" s="4"/>
      <c r="O173" s="4"/>
      <c r="P173" s="4"/>
      <c r="Q173" s="4"/>
      <c r="R173" s="4"/>
      <c r="S173" s="4"/>
      <c r="T173" s="4"/>
      <c r="U173" s="4"/>
      <c r="V173" s="4"/>
      <c r="W173" s="4"/>
      <c r="X173" s="4"/>
    </row>
    <row r="174" spans="1:24" ht="15.6" x14ac:dyDescent="0.3">
      <c r="A174" s="6"/>
      <c r="B174" s="7"/>
      <c r="C174" s="136"/>
      <c r="D174" s="8"/>
      <c r="E174" s="8"/>
      <c r="F174" s="9"/>
      <c r="G174" s="10"/>
      <c r="H174" s="9"/>
      <c r="I174" s="4"/>
      <c r="J174" s="4"/>
      <c r="K174" s="11"/>
      <c r="L174" s="4"/>
      <c r="M174" s="4"/>
      <c r="N174" s="4"/>
      <c r="O174" s="4"/>
      <c r="P174" s="4"/>
      <c r="Q174" s="4"/>
      <c r="R174" s="4"/>
      <c r="S174" s="4"/>
      <c r="T174" s="4"/>
      <c r="U174" s="4"/>
      <c r="V174" s="4"/>
      <c r="W174" s="4"/>
      <c r="X174" s="4"/>
    </row>
    <row r="175" spans="1:24" ht="15.6" x14ac:dyDescent="0.3">
      <c r="A175" s="6"/>
      <c r="B175" s="7"/>
      <c r="C175" s="136"/>
      <c r="D175" s="8"/>
      <c r="E175" s="8"/>
      <c r="F175" s="9"/>
      <c r="G175" s="10"/>
      <c r="H175" s="9"/>
      <c r="I175" s="4"/>
      <c r="J175" s="4"/>
      <c r="K175" s="11"/>
      <c r="L175" s="4"/>
      <c r="M175" s="4"/>
      <c r="N175" s="4"/>
      <c r="O175" s="4"/>
      <c r="P175" s="4"/>
      <c r="Q175" s="4"/>
      <c r="R175" s="4"/>
      <c r="S175" s="4"/>
      <c r="T175" s="4"/>
      <c r="U175" s="4"/>
      <c r="V175" s="4"/>
      <c r="W175" s="4"/>
      <c r="X175" s="4"/>
    </row>
    <row r="176" spans="1:24" ht="15.6" x14ac:dyDescent="0.3">
      <c r="A176" s="6"/>
      <c r="B176" s="7"/>
      <c r="C176" s="136"/>
      <c r="D176" s="8"/>
      <c r="E176" s="8"/>
      <c r="F176" s="9"/>
      <c r="G176" s="10"/>
      <c r="H176" s="9"/>
      <c r="I176" s="4"/>
      <c r="J176" s="4"/>
      <c r="K176" s="11"/>
      <c r="L176" s="4"/>
      <c r="M176" s="4"/>
      <c r="N176" s="4"/>
      <c r="O176" s="4"/>
      <c r="P176" s="4"/>
      <c r="Q176" s="4"/>
      <c r="R176" s="4"/>
      <c r="S176" s="4"/>
      <c r="T176" s="4"/>
      <c r="U176" s="4"/>
      <c r="V176" s="4"/>
      <c r="W176" s="4"/>
      <c r="X176" s="4"/>
    </row>
    <row r="177" spans="1:24" ht="15.6" x14ac:dyDescent="0.3">
      <c r="A177" s="6"/>
      <c r="B177" s="7"/>
      <c r="C177" s="136"/>
      <c r="D177" s="8"/>
      <c r="E177" s="8"/>
      <c r="F177" s="9"/>
      <c r="G177" s="10"/>
      <c r="H177" s="9"/>
      <c r="I177" s="4"/>
      <c r="J177" s="4"/>
      <c r="K177" s="11"/>
      <c r="L177" s="4"/>
      <c r="M177" s="4"/>
      <c r="N177" s="4"/>
      <c r="O177" s="4"/>
      <c r="P177" s="4"/>
      <c r="Q177" s="4"/>
      <c r="R177" s="4"/>
      <c r="S177" s="4"/>
      <c r="T177" s="4"/>
      <c r="U177" s="4"/>
      <c r="V177" s="4"/>
      <c r="W177" s="4"/>
      <c r="X177" s="4"/>
    </row>
    <row r="178" spans="1:24" ht="15.6" x14ac:dyDescent="0.3">
      <c r="A178" s="6"/>
      <c r="B178" s="7"/>
      <c r="C178" s="136"/>
      <c r="D178" s="8"/>
      <c r="E178" s="8"/>
      <c r="F178" s="9"/>
      <c r="G178" s="10"/>
      <c r="H178" s="9"/>
      <c r="I178" s="4"/>
      <c r="J178" s="4"/>
      <c r="K178" s="11"/>
      <c r="L178" s="4"/>
      <c r="M178" s="4"/>
      <c r="N178" s="4"/>
      <c r="O178" s="4"/>
      <c r="P178" s="4"/>
      <c r="Q178" s="4"/>
      <c r="R178" s="4"/>
      <c r="S178" s="4"/>
      <c r="T178" s="4"/>
      <c r="U178" s="4"/>
      <c r="V178" s="4"/>
      <c r="W178" s="4"/>
      <c r="X178" s="4"/>
    </row>
    <row r="179" spans="1:24" ht="15.6" x14ac:dyDescent="0.3">
      <c r="A179" s="6"/>
      <c r="B179" s="7"/>
      <c r="C179" s="136"/>
      <c r="D179" s="8"/>
      <c r="E179" s="8"/>
      <c r="F179" s="9"/>
      <c r="G179" s="10"/>
      <c r="H179" s="9"/>
      <c r="I179" s="4"/>
      <c r="J179" s="4"/>
      <c r="K179" s="11"/>
      <c r="L179" s="4"/>
      <c r="M179" s="4"/>
      <c r="N179" s="4"/>
      <c r="O179" s="4"/>
      <c r="P179" s="4"/>
      <c r="Q179" s="4"/>
      <c r="R179" s="4"/>
      <c r="S179" s="4"/>
      <c r="T179" s="4"/>
      <c r="U179" s="4"/>
      <c r="V179" s="4"/>
      <c r="W179" s="4"/>
      <c r="X179" s="4"/>
    </row>
    <row r="180" spans="1:24" ht="15.6" x14ac:dyDescent="0.3">
      <c r="A180" s="6"/>
      <c r="B180" s="7"/>
      <c r="C180" s="136"/>
      <c r="D180" s="8"/>
      <c r="E180" s="8"/>
      <c r="F180" s="9"/>
      <c r="G180" s="10"/>
      <c r="H180" s="9"/>
      <c r="I180" s="4"/>
      <c r="J180" s="4"/>
      <c r="K180" s="11"/>
      <c r="L180" s="4"/>
      <c r="M180" s="4"/>
      <c r="N180" s="4"/>
      <c r="O180" s="4"/>
      <c r="P180" s="4"/>
      <c r="Q180" s="4"/>
      <c r="R180" s="4"/>
      <c r="S180" s="4"/>
      <c r="T180" s="4"/>
      <c r="U180" s="4"/>
      <c r="V180" s="4"/>
      <c r="W180" s="4"/>
      <c r="X180" s="4"/>
    </row>
    <row r="181" spans="1:24" ht="15.6" x14ac:dyDescent="0.3">
      <c r="A181" s="6"/>
      <c r="B181" s="7"/>
      <c r="C181" s="136"/>
      <c r="D181" s="8"/>
      <c r="E181" s="8"/>
      <c r="F181" s="9"/>
      <c r="G181" s="10"/>
      <c r="H181" s="9"/>
      <c r="I181" s="4"/>
      <c r="J181" s="4"/>
      <c r="K181" s="11"/>
      <c r="L181" s="4"/>
      <c r="M181" s="4"/>
      <c r="N181" s="4"/>
      <c r="O181" s="4"/>
      <c r="P181" s="4"/>
      <c r="Q181" s="4"/>
      <c r="R181" s="4"/>
      <c r="S181" s="4"/>
      <c r="T181" s="4"/>
      <c r="U181" s="4"/>
      <c r="V181" s="4"/>
      <c r="W181" s="4"/>
      <c r="X181" s="4"/>
    </row>
    <row r="182" spans="1:24" ht="15.6" x14ac:dyDescent="0.3">
      <c r="A182" s="6"/>
      <c r="B182" s="7"/>
      <c r="C182" s="136"/>
      <c r="D182" s="8"/>
      <c r="E182" s="8"/>
      <c r="F182" s="9"/>
      <c r="G182" s="10"/>
      <c r="H182" s="9"/>
      <c r="I182" s="4"/>
      <c r="J182" s="4"/>
      <c r="K182" s="11"/>
      <c r="L182" s="4"/>
      <c r="M182" s="4"/>
      <c r="N182" s="4"/>
      <c r="O182" s="4"/>
      <c r="P182" s="4"/>
      <c r="Q182" s="4"/>
      <c r="R182" s="4"/>
      <c r="S182" s="4"/>
      <c r="T182" s="4"/>
      <c r="U182" s="4"/>
      <c r="V182" s="4"/>
      <c r="W182" s="4"/>
      <c r="X182" s="4"/>
    </row>
    <row r="183" spans="1:24" ht="15.6" x14ac:dyDescent="0.3">
      <c r="A183" s="6"/>
      <c r="B183" s="7"/>
      <c r="C183" s="136"/>
      <c r="D183" s="8"/>
      <c r="E183" s="8"/>
      <c r="F183" s="9"/>
      <c r="G183" s="10"/>
      <c r="H183" s="9"/>
      <c r="I183" s="4"/>
      <c r="J183" s="4"/>
      <c r="K183" s="11"/>
      <c r="L183" s="4"/>
      <c r="M183" s="4"/>
      <c r="N183" s="4"/>
      <c r="O183" s="4"/>
      <c r="P183" s="4"/>
      <c r="Q183" s="4"/>
      <c r="R183" s="4"/>
      <c r="S183" s="4"/>
      <c r="T183" s="4"/>
      <c r="U183" s="4"/>
      <c r="V183" s="4"/>
      <c r="W183" s="4"/>
      <c r="X183" s="4"/>
    </row>
    <row r="184" spans="1:24" ht="15.6" x14ac:dyDescent="0.3">
      <c r="A184" s="6"/>
      <c r="B184" s="7"/>
      <c r="C184" s="136"/>
      <c r="D184" s="8"/>
      <c r="E184" s="8"/>
      <c r="F184" s="9"/>
      <c r="G184" s="10"/>
      <c r="H184" s="9"/>
      <c r="I184" s="4"/>
      <c r="J184" s="4"/>
      <c r="K184" s="11"/>
      <c r="L184" s="4"/>
      <c r="M184" s="4"/>
      <c r="N184" s="4"/>
      <c r="O184" s="4"/>
      <c r="P184" s="4"/>
      <c r="Q184" s="4"/>
      <c r="R184" s="4"/>
      <c r="S184" s="4"/>
      <c r="T184" s="4"/>
      <c r="U184" s="4"/>
      <c r="V184" s="4"/>
      <c r="W184" s="4"/>
      <c r="X184" s="4"/>
    </row>
    <row r="185" spans="1:24" ht="15.6" x14ac:dyDescent="0.3">
      <c r="A185" s="6"/>
      <c r="B185" s="7"/>
      <c r="C185" s="136"/>
      <c r="D185" s="8"/>
      <c r="E185" s="8"/>
      <c r="F185" s="9"/>
      <c r="G185" s="10"/>
      <c r="H185" s="9"/>
      <c r="I185" s="4"/>
      <c r="J185" s="4"/>
      <c r="K185" s="11"/>
      <c r="L185" s="4"/>
      <c r="M185" s="4"/>
      <c r="N185" s="4"/>
      <c r="O185" s="4"/>
      <c r="P185" s="4"/>
      <c r="Q185" s="4"/>
      <c r="R185" s="4"/>
      <c r="S185" s="4"/>
      <c r="T185" s="4"/>
      <c r="U185" s="4"/>
      <c r="V185" s="4"/>
      <c r="W185" s="4"/>
      <c r="X185" s="4"/>
    </row>
    <row r="186" spans="1:24" ht="15.6" x14ac:dyDescent="0.3">
      <c r="A186" s="6"/>
      <c r="B186" s="7"/>
      <c r="C186" s="136"/>
      <c r="D186" s="8"/>
      <c r="E186" s="8"/>
      <c r="F186" s="9"/>
      <c r="G186" s="10"/>
      <c r="H186" s="9"/>
      <c r="I186" s="4"/>
      <c r="J186" s="4"/>
      <c r="K186" s="11"/>
      <c r="L186" s="4"/>
      <c r="M186" s="4"/>
      <c r="N186" s="4"/>
      <c r="O186" s="4"/>
      <c r="P186" s="4"/>
      <c r="Q186" s="4"/>
      <c r="R186" s="4"/>
      <c r="S186" s="4"/>
      <c r="T186" s="4"/>
      <c r="U186" s="4"/>
      <c r="V186" s="4"/>
      <c r="W186" s="4"/>
      <c r="X186" s="4"/>
    </row>
    <row r="187" spans="1:24" ht="15.6" x14ac:dyDescent="0.3">
      <c r="A187" s="6"/>
      <c r="B187" s="7"/>
      <c r="C187" s="136"/>
      <c r="D187" s="8"/>
      <c r="E187" s="8"/>
      <c r="F187" s="9"/>
      <c r="G187" s="10"/>
      <c r="H187" s="9"/>
      <c r="I187" s="4"/>
      <c r="J187" s="4"/>
      <c r="K187" s="11"/>
      <c r="L187" s="4"/>
      <c r="M187" s="4"/>
      <c r="N187" s="4"/>
      <c r="O187" s="4"/>
      <c r="P187" s="4"/>
      <c r="Q187" s="4"/>
      <c r="R187" s="4"/>
      <c r="S187" s="4"/>
      <c r="T187" s="4"/>
      <c r="U187" s="4"/>
      <c r="V187" s="4"/>
      <c r="W187" s="4"/>
      <c r="X187" s="4"/>
    </row>
    <row r="188" spans="1:24" ht="15.6" x14ac:dyDescent="0.3">
      <c r="A188" s="6"/>
      <c r="B188" s="7"/>
      <c r="C188" s="136"/>
      <c r="D188" s="8"/>
      <c r="E188" s="8"/>
      <c r="F188" s="9"/>
      <c r="G188" s="10"/>
      <c r="H188" s="9"/>
      <c r="I188" s="4"/>
      <c r="J188" s="4"/>
      <c r="K188" s="11"/>
      <c r="L188" s="4"/>
      <c r="M188" s="4"/>
      <c r="N188" s="4"/>
      <c r="O188" s="4"/>
      <c r="P188" s="4"/>
      <c r="Q188" s="4"/>
      <c r="R188" s="4"/>
      <c r="S188" s="4"/>
      <c r="T188" s="4"/>
      <c r="U188" s="4"/>
      <c r="V188" s="4"/>
      <c r="W188" s="4"/>
      <c r="X188" s="4"/>
    </row>
    <row r="189" spans="1:24" ht="15.6" x14ac:dyDescent="0.3">
      <c r="A189" s="6"/>
      <c r="B189" s="7"/>
      <c r="C189" s="136"/>
      <c r="D189" s="8"/>
      <c r="E189" s="8"/>
      <c r="F189" s="9"/>
      <c r="G189" s="10"/>
      <c r="H189" s="9"/>
      <c r="I189" s="4"/>
      <c r="J189" s="4"/>
      <c r="K189" s="11"/>
      <c r="L189" s="4"/>
      <c r="M189" s="4"/>
      <c r="N189" s="4"/>
      <c r="O189" s="4"/>
      <c r="P189" s="4"/>
      <c r="Q189" s="4"/>
      <c r="R189" s="4"/>
      <c r="S189" s="4"/>
      <c r="T189" s="4"/>
      <c r="U189" s="4"/>
      <c r="V189" s="4"/>
      <c r="W189" s="4"/>
      <c r="X189" s="4"/>
    </row>
    <row r="190" spans="1:24" ht="15.6" x14ac:dyDescent="0.3">
      <c r="A190" s="6"/>
      <c r="B190" s="7"/>
      <c r="C190" s="136"/>
      <c r="D190" s="8"/>
      <c r="E190" s="8"/>
      <c r="F190" s="9"/>
      <c r="G190" s="10"/>
      <c r="H190" s="9"/>
      <c r="I190" s="4"/>
      <c r="J190" s="4"/>
      <c r="K190" s="11"/>
      <c r="L190" s="4"/>
      <c r="M190" s="4"/>
      <c r="N190" s="4"/>
      <c r="O190" s="4"/>
      <c r="P190" s="4"/>
      <c r="Q190" s="4"/>
      <c r="R190" s="4"/>
      <c r="S190" s="4"/>
      <c r="T190" s="4"/>
      <c r="U190" s="4"/>
      <c r="V190" s="4"/>
      <c r="W190" s="4"/>
      <c r="X190" s="4"/>
    </row>
    <row r="191" spans="1:24" ht="15.6" x14ac:dyDescent="0.3">
      <c r="A191" s="6"/>
      <c r="B191" s="7"/>
      <c r="C191" s="136"/>
      <c r="D191" s="8"/>
      <c r="E191" s="8"/>
      <c r="F191" s="9"/>
      <c r="G191" s="10"/>
      <c r="H191" s="9"/>
      <c r="I191" s="4"/>
      <c r="J191" s="4"/>
      <c r="K191" s="11"/>
      <c r="L191" s="4"/>
      <c r="M191" s="4"/>
      <c r="N191" s="4"/>
      <c r="O191" s="4"/>
      <c r="P191" s="4"/>
      <c r="Q191" s="4"/>
      <c r="R191" s="4"/>
      <c r="S191" s="4"/>
      <c r="T191" s="4"/>
      <c r="U191" s="4"/>
      <c r="V191" s="4"/>
      <c r="W191" s="4"/>
      <c r="X191" s="4"/>
    </row>
    <row r="192" spans="1:24" ht="15.6" x14ac:dyDescent="0.3">
      <c r="A192" s="6"/>
      <c r="B192" s="7"/>
      <c r="C192" s="136"/>
      <c r="D192" s="8"/>
      <c r="E192" s="8"/>
      <c r="F192" s="9"/>
      <c r="G192" s="10"/>
      <c r="H192" s="9"/>
      <c r="I192" s="4"/>
      <c r="J192" s="4"/>
      <c r="K192" s="11"/>
      <c r="L192" s="4"/>
      <c r="M192" s="4"/>
      <c r="N192" s="4"/>
      <c r="O192" s="4"/>
      <c r="P192" s="4"/>
      <c r="Q192" s="4"/>
      <c r="R192" s="4"/>
      <c r="S192" s="4"/>
      <c r="T192" s="4"/>
      <c r="U192" s="4"/>
      <c r="V192" s="4"/>
      <c r="W192" s="4"/>
      <c r="X192" s="4"/>
    </row>
    <row r="193" spans="1:24" ht="15.6" x14ac:dyDescent="0.3">
      <c r="A193" s="6"/>
      <c r="B193" s="7"/>
      <c r="C193" s="136"/>
      <c r="D193" s="8"/>
      <c r="E193" s="8"/>
      <c r="F193" s="9"/>
      <c r="G193" s="10"/>
      <c r="H193" s="9"/>
      <c r="I193" s="4"/>
      <c r="J193" s="4"/>
      <c r="K193" s="11"/>
      <c r="L193" s="4"/>
      <c r="M193" s="4"/>
      <c r="N193" s="4"/>
      <c r="O193" s="4"/>
      <c r="P193" s="4"/>
      <c r="Q193" s="4"/>
      <c r="R193" s="4"/>
      <c r="S193" s="4"/>
      <c r="T193" s="4"/>
      <c r="U193" s="4"/>
      <c r="V193" s="4"/>
      <c r="W193" s="4"/>
      <c r="X193" s="4"/>
    </row>
    <row r="194" spans="1:24" ht="15.6" x14ac:dyDescent="0.3">
      <c r="A194" s="6"/>
      <c r="B194" s="7"/>
      <c r="C194" s="136"/>
      <c r="D194" s="8"/>
      <c r="E194" s="8"/>
      <c r="F194" s="9"/>
      <c r="G194" s="10"/>
      <c r="H194" s="9"/>
      <c r="I194" s="4"/>
      <c r="J194" s="4"/>
      <c r="K194" s="11"/>
      <c r="L194" s="4"/>
      <c r="M194" s="4"/>
      <c r="N194" s="4"/>
      <c r="O194" s="4"/>
      <c r="P194" s="4"/>
      <c r="Q194" s="4"/>
      <c r="R194" s="4"/>
      <c r="S194" s="4"/>
      <c r="T194" s="4"/>
      <c r="U194" s="4"/>
      <c r="V194" s="4"/>
      <c r="W194" s="4"/>
      <c r="X194" s="4"/>
    </row>
    <row r="195" spans="1:24" ht="15.6" x14ac:dyDescent="0.3">
      <c r="A195" s="6"/>
      <c r="B195" s="7"/>
      <c r="C195" s="136"/>
      <c r="D195" s="8"/>
      <c r="E195" s="8"/>
      <c r="F195" s="9"/>
      <c r="G195" s="10"/>
      <c r="H195" s="9"/>
      <c r="I195" s="4"/>
      <c r="J195" s="4"/>
      <c r="K195" s="11"/>
      <c r="L195" s="4"/>
      <c r="M195" s="4"/>
      <c r="N195" s="4"/>
      <c r="O195" s="4"/>
      <c r="P195" s="4"/>
      <c r="Q195" s="4"/>
      <c r="R195" s="4"/>
      <c r="S195" s="4"/>
      <c r="T195" s="4"/>
      <c r="U195" s="4"/>
      <c r="V195" s="4"/>
      <c r="W195" s="4"/>
      <c r="X195" s="4"/>
    </row>
    <row r="196" spans="1:24" ht="15.6" x14ac:dyDescent="0.3">
      <c r="A196" s="6"/>
      <c r="B196" s="7"/>
      <c r="C196" s="136"/>
      <c r="D196" s="8"/>
      <c r="E196" s="8"/>
      <c r="F196" s="9"/>
      <c r="G196" s="10"/>
      <c r="H196" s="9"/>
      <c r="I196" s="4"/>
      <c r="J196" s="4"/>
      <c r="K196" s="11"/>
      <c r="L196" s="4"/>
      <c r="M196" s="4"/>
      <c r="N196" s="4"/>
      <c r="O196" s="4"/>
      <c r="P196" s="4"/>
      <c r="Q196" s="4"/>
      <c r="R196" s="4"/>
      <c r="S196" s="4"/>
      <c r="T196" s="4"/>
      <c r="U196" s="4"/>
      <c r="V196" s="4"/>
      <c r="W196" s="4"/>
      <c r="X196" s="4"/>
    </row>
    <row r="197" spans="1:24" ht="15.6" x14ac:dyDescent="0.3">
      <c r="A197" s="6"/>
      <c r="B197" s="7"/>
      <c r="C197" s="136"/>
      <c r="D197" s="8"/>
      <c r="E197" s="8"/>
      <c r="F197" s="9"/>
      <c r="G197" s="10"/>
      <c r="H197" s="9"/>
      <c r="I197" s="4"/>
      <c r="J197" s="4"/>
      <c r="K197" s="11"/>
      <c r="L197" s="4"/>
      <c r="M197" s="4"/>
      <c r="N197" s="4"/>
      <c r="O197" s="4"/>
      <c r="P197" s="4"/>
      <c r="Q197" s="4"/>
      <c r="R197" s="4"/>
      <c r="S197" s="4"/>
      <c r="T197" s="4"/>
      <c r="U197" s="4"/>
      <c r="V197" s="4"/>
      <c r="W197" s="4"/>
      <c r="X197" s="4"/>
    </row>
    <row r="198" spans="1:24" ht="15.6" x14ac:dyDescent="0.3">
      <c r="A198" s="6"/>
      <c r="B198" s="7"/>
      <c r="C198" s="136"/>
      <c r="D198" s="8"/>
      <c r="E198" s="8"/>
      <c r="F198" s="9"/>
      <c r="G198" s="10"/>
      <c r="H198" s="9"/>
      <c r="I198" s="4"/>
      <c r="J198" s="4"/>
      <c r="K198" s="11"/>
      <c r="L198" s="4"/>
      <c r="M198" s="4"/>
      <c r="N198" s="4"/>
      <c r="O198" s="4"/>
      <c r="P198" s="4"/>
      <c r="Q198" s="4"/>
      <c r="R198" s="4"/>
      <c r="S198" s="4"/>
      <c r="T198" s="4"/>
      <c r="U198" s="4"/>
      <c r="V198" s="4"/>
      <c r="W198" s="4"/>
      <c r="X198" s="4"/>
    </row>
    <row r="199" spans="1:24" ht="15.6" x14ac:dyDescent="0.3">
      <c r="A199" s="6"/>
      <c r="B199" s="7"/>
      <c r="C199" s="136"/>
      <c r="D199" s="8"/>
      <c r="E199" s="8"/>
      <c r="F199" s="9"/>
      <c r="G199" s="10"/>
      <c r="H199" s="9"/>
      <c r="I199" s="4"/>
      <c r="J199" s="4"/>
      <c r="K199" s="11"/>
      <c r="L199" s="4"/>
      <c r="M199" s="4"/>
      <c r="N199" s="4"/>
      <c r="O199" s="4"/>
      <c r="P199" s="4"/>
      <c r="Q199" s="4"/>
      <c r="R199" s="4"/>
      <c r="S199" s="4"/>
      <c r="T199" s="4"/>
      <c r="U199" s="4"/>
      <c r="V199" s="4"/>
      <c r="W199" s="4"/>
      <c r="X199" s="4"/>
    </row>
    <row r="200" spans="1:24" ht="15.6" x14ac:dyDescent="0.3">
      <c r="A200" s="6"/>
      <c r="B200" s="7"/>
      <c r="C200" s="136"/>
      <c r="D200" s="8"/>
      <c r="E200" s="8"/>
      <c r="F200" s="9"/>
      <c r="G200" s="10"/>
      <c r="H200" s="9"/>
      <c r="I200" s="4"/>
      <c r="J200" s="4"/>
      <c r="K200" s="11"/>
      <c r="L200" s="4"/>
      <c r="M200" s="4"/>
      <c r="N200" s="4"/>
      <c r="O200" s="4"/>
      <c r="P200" s="4"/>
      <c r="Q200" s="4"/>
      <c r="R200" s="4"/>
      <c r="S200" s="4"/>
      <c r="T200" s="4"/>
      <c r="U200" s="4"/>
      <c r="V200" s="4"/>
      <c r="W200" s="4"/>
      <c r="X200" s="4"/>
    </row>
    <row r="201" spans="1:24" ht="15.6" x14ac:dyDescent="0.3">
      <c r="A201" s="6"/>
      <c r="B201" s="7"/>
      <c r="C201" s="136"/>
      <c r="D201" s="8"/>
      <c r="E201" s="8"/>
      <c r="F201" s="9"/>
      <c r="G201" s="10"/>
      <c r="H201" s="9"/>
      <c r="I201" s="4"/>
      <c r="J201" s="4"/>
      <c r="K201" s="11"/>
      <c r="L201" s="4"/>
      <c r="M201" s="4"/>
      <c r="N201" s="4"/>
      <c r="O201" s="4"/>
      <c r="P201" s="4"/>
      <c r="Q201" s="4"/>
      <c r="R201" s="4"/>
      <c r="S201" s="4"/>
      <c r="T201" s="4"/>
      <c r="U201" s="4"/>
      <c r="V201" s="4"/>
      <c r="W201" s="4"/>
      <c r="X201" s="4"/>
    </row>
    <row r="202" spans="1:24" ht="15.6" x14ac:dyDescent="0.3">
      <c r="A202" s="6"/>
      <c r="B202" s="7"/>
      <c r="C202" s="136"/>
      <c r="D202" s="8"/>
      <c r="E202" s="8"/>
      <c r="F202" s="9"/>
      <c r="G202" s="10"/>
      <c r="H202" s="9"/>
      <c r="I202" s="4"/>
      <c r="J202" s="4"/>
      <c r="K202" s="11"/>
      <c r="L202" s="4"/>
      <c r="M202" s="4"/>
      <c r="N202" s="4"/>
      <c r="O202" s="4"/>
      <c r="P202" s="4"/>
      <c r="Q202" s="4"/>
      <c r="R202" s="4"/>
      <c r="S202" s="4"/>
      <c r="T202" s="4"/>
      <c r="U202" s="4"/>
      <c r="V202" s="4"/>
      <c r="W202" s="4"/>
      <c r="X202" s="4"/>
    </row>
    <row r="203" spans="1:24" ht="15.6" x14ac:dyDescent="0.3">
      <c r="A203" s="6"/>
      <c r="B203" s="7"/>
      <c r="C203" s="136"/>
      <c r="D203" s="8"/>
      <c r="E203" s="8"/>
      <c r="F203" s="9"/>
      <c r="G203" s="10"/>
      <c r="H203" s="9"/>
      <c r="I203" s="4"/>
      <c r="J203" s="4"/>
      <c r="K203" s="11"/>
      <c r="L203" s="4"/>
      <c r="M203" s="4"/>
      <c r="N203" s="4"/>
      <c r="O203" s="4"/>
      <c r="P203" s="4"/>
      <c r="Q203" s="4"/>
      <c r="R203" s="4"/>
      <c r="S203" s="4"/>
      <c r="T203" s="4"/>
      <c r="U203" s="4"/>
      <c r="V203" s="4"/>
      <c r="W203" s="4"/>
      <c r="X203" s="4"/>
    </row>
    <row r="204" spans="1:24" ht="15.6" x14ac:dyDescent="0.3">
      <c r="A204" s="6"/>
      <c r="B204" s="7"/>
      <c r="C204" s="136"/>
      <c r="D204" s="8"/>
      <c r="E204" s="8"/>
      <c r="F204" s="9"/>
      <c r="G204" s="10"/>
      <c r="H204" s="9"/>
      <c r="I204" s="4"/>
      <c r="J204" s="4"/>
      <c r="K204" s="11"/>
      <c r="L204" s="4"/>
      <c r="M204" s="4"/>
      <c r="N204" s="4"/>
      <c r="O204" s="4"/>
      <c r="P204" s="4"/>
      <c r="Q204" s="4"/>
      <c r="R204" s="4"/>
      <c r="S204" s="4"/>
      <c r="T204" s="4"/>
      <c r="U204" s="4"/>
      <c r="V204" s="4"/>
      <c r="W204" s="4"/>
      <c r="X204" s="4"/>
    </row>
    <row r="205" spans="1:24" ht="15.6" x14ac:dyDescent="0.3">
      <c r="A205" s="6"/>
      <c r="B205" s="7"/>
      <c r="C205" s="136"/>
      <c r="D205" s="8"/>
      <c r="E205" s="8"/>
      <c r="F205" s="9"/>
      <c r="G205" s="10"/>
      <c r="H205" s="9"/>
      <c r="I205" s="4"/>
      <c r="J205" s="4"/>
      <c r="K205" s="11"/>
      <c r="L205" s="4"/>
      <c r="M205" s="4"/>
      <c r="N205" s="4"/>
      <c r="O205" s="4"/>
      <c r="P205" s="4"/>
      <c r="Q205" s="4"/>
      <c r="R205" s="4"/>
      <c r="S205" s="4"/>
      <c r="T205" s="4"/>
      <c r="U205" s="4"/>
      <c r="V205" s="4"/>
      <c r="W205" s="4"/>
      <c r="X205" s="4"/>
    </row>
    <row r="206" spans="1:24" ht="15.6" x14ac:dyDescent="0.3">
      <c r="A206" s="6"/>
      <c r="B206" s="7"/>
      <c r="C206" s="136"/>
      <c r="D206" s="8"/>
      <c r="E206" s="8"/>
      <c r="F206" s="9"/>
      <c r="G206" s="10"/>
      <c r="H206" s="9"/>
      <c r="I206" s="4"/>
      <c r="J206" s="4"/>
      <c r="K206" s="11"/>
      <c r="L206" s="4"/>
      <c r="M206" s="4"/>
      <c r="N206" s="4"/>
      <c r="O206" s="4"/>
      <c r="P206" s="4"/>
      <c r="Q206" s="4"/>
      <c r="R206" s="4"/>
      <c r="S206" s="4"/>
      <c r="T206" s="4"/>
      <c r="U206" s="4"/>
      <c r="V206" s="4"/>
      <c r="W206" s="4"/>
      <c r="X206" s="4"/>
    </row>
    <row r="207" spans="1:24" ht="15.6" x14ac:dyDescent="0.3">
      <c r="A207" s="6"/>
      <c r="B207" s="7"/>
      <c r="C207" s="136"/>
      <c r="D207" s="8"/>
      <c r="E207" s="8"/>
      <c r="F207" s="9"/>
      <c r="G207" s="10"/>
      <c r="H207" s="9"/>
      <c r="I207" s="4"/>
      <c r="J207" s="4"/>
      <c r="K207" s="11"/>
      <c r="L207" s="4"/>
      <c r="M207" s="4"/>
      <c r="N207" s="4"/>
      <c r="O207" s="4"/>
      <c r="P207" s="4"/>
      <c r="Q207" s="4"/>
      <c r="R207" s="4"/>
      <c r="S207" s="4"/>
      <c r="T207" s="4"/>
      <c r="U207" s="4"/>
      <c r="V207" s="4"/>
      <c r="W207" s="4"/>
      <c r="X207" s="4"/>
    </row>
    <row r="208" spans="1:24" ht="15.6" x14ac:dyDescent="0.3">
      <c r="A208" s="6"/>
      <c r="B208" s="7"/>
      <c r="C208" s="136"/>
      <c r="D208" s="8"/>
      <c r="E208" s="8"/>
      <c r="F208" s="9"/>
      <c r="G208" s="10"/>
      <c r="H208" s="9"/>
      <c r="I208" s="4"/>
      <c r="J208" s="4"/>
      <c r="K208" s="11"/>
      <c r="L208" s="4"/>
      <c r="M208" s="4"/>
      <c r="N208" s="4"/>
      <c r="O208" s="4"/>
      <c r="P208" s="4"/>
      <c r="Q208" s="4"/>
      <c r="R208" s="4"/>
      <c r="S208" s="4"/>
      <c r="T208" s="4"/>
      <c r="U208" s="4"/>
      <c r="V208" s="4"/>
      <c r="W208" s="4"/>
      <c r="X208" s="4"/>
    </row>
    <row r="209" spans="1:24" ht="15.6" x14ac:dyDescent="0.3">
      <c r="A209" s="6"/>
      <c r="B209" s="7"/>
      <c r="C209" s="136"/>
      <c r="D209" s="8"/>
      <c r="E209" s="8"/>
      <c r="F209" s="9"/>
      <c r="G209" s="10"/>
      <c r="H209" s="9"/>
      <c r="I209" s="4"/>
      <c r="J209" s="4"/>
      <c r="K209" s="11"/>
      <c r="L209" s="4"/>
      <c r="M209" s="4"/>
      <c r="N209" s="4"/>
      <c r="O209" s="4"/>
      <c r="P209" s="4"/>
      <c r="Q209" s="4"/>
      <c r="R209" s="4"/>
      <c r="S209" s="4"/>
      <c r="T209" s="4"/>
      <c r="U209" s="4"/>
      <c r="V209" s="4"/>
      <c r="W209" s="4"/>
      <c r="X209" s="4"/>
    </row>
    <row r="210" spans="1:24" ht="15.6" x14ac:dyDescent="0.3">
      <c r="A210" s="6"/>
      <c r="B210" s="7"/>
      <c r="C210" s="136"/>
      <c r="D210" s="8"/>
      <c r="E210" s="8"/>
      <c r="F210" s="9"/>
      <c r="G210" s="10"/>
      <c r="H210" s="9"/>
      <c r="I210" s="4"/>
      <c r="J210" s="4"/>
      <c r="K210" s="11"/>
      <c r="L210" s="4"/>
      <c r="M210" s="4"/>
      <c r="N210" s="4"/>
      <c r="O210" s="4"/>
      <c r="P210" s="4"/>
      <c r="Q210" s="4"/>
      <c r="R210" s="4"/>
      <c r="S210" s="4"/>
      <c r="T210" s="4"/>
      <c r="U210" s="4"/>
      <c r="V210" s="4"/>
      <c r="W210" s="4"/>
      <c r="X210" s="4"/>
    </row>
    <row r="211" spans="1:24" ht="15.6" x14ac:dyDescent="0.3">
      <c r="A211" s="6"/>
      <c r="B211" s="7"/>
      <c r="C211" s="136"/>
      <c r="D211" s="8"/>
      <c r="E211" s="8"/>
      <c r="F211" s="9"/>
      <c r="G211" s="10"/>
      <c r="H211" s="9"/>
      <c r="I211" s="4"/>
      <c r="J211" s="4"/>
      <c r="K211" s="11"/>
      <c r="L211" s="4"/>
      <c r="M211" s="4"/>
      <c r="N211" s="4"/>
      <c r="O211" s="4"/>
      <c r="P211" s="4"/>
      <c r="Q211" s="4"/>
      <c r="R211" s="4"/>
      <c r="S211" s="4"/>
      <c r="T211" s="4"/>
      <c r="U211" s="4"/>
      <c r="V211" s="4"/>
      <c r="W211" s="4"/>
      <c r="X211" s="4"/>
    </row>
    <row r="212" spans="1:24" ht="15.6" x14ac:dyDescent="0.3">
      <c r="A212" s="6"/>
      <c r="B212" s="7"/>
      <c r="C212" s="136"/>
      <c r="D212" s="8"/>
      <c r="E212" s="8"/>
      <c r="F212" s="9"/>
      <c r="G212" s="10"/>
      <c r="H212" s="9"/>
      <c r="I212" s="4"/>
      <c r="J212" s="4"/>
      <c r="K212" s="11"/>
      <c r="L212" s="4"/>
      <c r="M212" s="4"/>
      <c r="N212" s="4"/>
      <c r="O212" s="4"/>
      <c r="P212" s="4"/>
      <c r="Q212" s="4"/>
      <c r="R212" s="4"/>
      <c r="S212" s="4"/>
      <c r="T212" s="4"/>
      <c r="U212" s="4"/>
      <c r="V212" s="4"/>
      <c r="W212" s="4"/>
      <c r="X212" s="4"/>
    </row>
    <row r="213" spans="1:24" ht="15.6" x14ac:dyDescent="0.3">
      <c r="A213" s="6"/>
      <c r="B213" s="7"/>
      <c r="C213" s="136"/>
      <c r="D213" s="8"/>
      <c r="E213" s="8"/>
      <c r="F213" s="9"/>
      <c r="G213" s="10"/>
      <c r="H213" s="9"/>
      <c r="I213" s="4"/>
      <c r="J213" s="4"/>
      <c r="K213" s="11"/>
      <c r="L213" s="4"/>
      <c r="M213" s="4"/>
      <c r="N213" s="4"/>
      <c r="O213" s="4"/>
      <c r="P213" s="4"/>
      <c r="Q213" s="4"/>
      <c r="R213" s="4"/>
      <c r="S213" s="4"/>
      <c r="T213" s="4"/>
      <c r="U213" s="4"/>
      <c r="V213" s="4"/>
      <c r="W213" s="4"/>
      <c r="X213" s="4"/>
    </row>
    <row r="214" spans="1:24" ht="15.6" x14ac:dyDescent="0.3">
      <c r="A214" s="6"/>
      <c r="B214" s="7"/>
      <c r="C214" s="136"/>
      <c r="D214" s="8"/>
      <c r="E214" s="8"/>
      <c r="F214" s="9"/>
      <c r="G214" s="10"/>
      <c r="H214" s="9"/>
      <c r="I214" s="4"/>
      <c r="J214" s="4"/>
      <c r="K214" s="11"/>
      <c r="L214" s="4"/>
      <c r="M214" s="4"/>
      <c r="N214" s="4"/>
      <c r="O214" s="4"/>
      <c r="P214" s="4"/>
      <c r="Q214" s="4"/>
      <c r="R214" s="4"/>
      <c r="S214" s="4"/>
      <c r="T214" s="4"/>
      <c r="U214" s="4"/>
      <c r="V214" s="4"/>
      <c r="W214" s="4"/>
      <c r="X214" s="4"/>
    </row>
    <row r="215" spans="1:24" ht="15.6" x14ac:dyDescent="0.3">
      <c r="A215" s="6"/>
      <c r="B215" s="7"/>
      <c r="C215" s="136"/>
      <c r="D215" s="8"/>
      <c r="E215" s="8"/>
      <c r="F215" s="9"/>
      <c r="G215" s="10"/>
      <c r="H215" s="9"/>
      <c r="I215" s="4"/>
      <c r="J215" s="4"/>
      <c r="K215" s="11"/>
      <c r="L215" s="4"/>
      <c r="M215" s="4"/>
      <c r="N215" s="4"/>
      <c r="O215" s="4"/>
      <c r="P215" s="4"/>
      <c r="Q215" s="4"/>
      <c r="R215" s="4"/>
      <c r="S215" s="4"/>
      <c r="T215" s="4"/>
      <c r="U215" s="4"/>
      <c r="V215" s="4"/>
      <c r="W215" s="4"/>
      <c r="X215" s="4"/>
    </row>
    <row r="216" spans="1:24" ht="15.6" x14ac:dyDescent="0.3">
      <c r="A216" s="6"/>
      <c r="B216" s="7"/>
      <c r="C216" s="136"/>
      <c r="D216" s="8"/>
      <c r="E216" s="8"/>
      <c r="F216" s="9"/>
      <c r="G216" s="10"/>
      <c r="H216" s="9"/>
      <c r="I216" s="4"/>
      <c r="J216" s="4"/>
      <c r="K216" s="11"/>
      <c r="L216" s="4"/>
      <c r="M216" s="4"/>
      <c r="N216" s="4"/>
      <c r="O216" s="4"/>
      <c r="P216" s="4"/>
      <c r="Q216" s="4"/>
      <c r="R216" s="4"/>
      <c r="S216" s="4"/>
      <c r="T216" s="4"/>
      <c r="U216" s="4"/>
      <c r="V216" s="4"/>
      <c r="W216" s="4"/>
      <c r="X216" s="4"/>
    </row>
    <row r="217" spans="1:24" ht="15.6" x14ac:dyDescent="0.3">
      <c r="A217" s="6"/>
      <c r="B217" s="7"/>
      <c r="C217" s="136"/>
      <c r="D217" s="8"/>
      <c r="E217" s="8"/>
      <c r="F217" s="9"/>
      <c r="G217" s="10"/>
      <c r="H217" s="9"/>
      <c r="I217" s="4"/>
      <c r="J217" s="4"/>
      <c r="K217" s="11"/>
      <c r="L217" s="4"/>
      <c r="M217" s="4"/>
      <c r="N217" s="4"/>
      <c r="O217" s="4"/>
      <c r="P217" s="4"/>
      <c r="Q217" s="4"/>
      <c r="R217" s="4"/>
      <c r="S217" s="4"/>
      <c r="T217" s="4"/>
      <c r="U217" s="4"/>
      <c r="V217" s="4"/>
      <c r="W217" s="4"/>
      <c r="X217" s="4"/>
    </row>
    <row r="218" spans="1:24" ht="15.6" x14ac:dyDescent="0.3">
      <c r="A218" s="6"/>
      <c r="B218" s="7"/>
      <c r="C218" s="136"/>
      <c r="D218" s="8"/>
      <c r="E218" s="8"/>
      <c r="F218" s="9"/>
      <c r="G218" s="10"/>
      <c r="H218" s="9"/>
      <c r="I218" s="4"/>
      <c r="J218" s="4"/>
      <c r="K218" s="11"/>
      <c r="L218" s="4"/>
      <c r="M218" s="4"/>
      <c r="N218" s="4"/>
      <c r="O218" s="4"/>
      <c r="P218" s="4"/>
      <c r="Q218" s="4"/>
      <c r="R218" s="4"/>
      <c r="S218" s="4"/>
      <c r="T218" s="4"/>
      <c r="U218" s="4"/>
      <c r="V218" s="4"/>
      <c r="W218" s="4"/>
      <c r="X218" s="4"/>
    </row>
    <row r="219" spans="1:24" ht="15.6" x14ac:dyDescent="0.3">
      <c r="A219" s="6"/>
      <c r="B219" s="7"/>
      <c r="C219" s="136"/>
      <c r="D219" s="8"/>
      <c r="E219" s="8"/>
      <c r="F219" s="9"/>
      <c r="G219" s="10"/>
      <c r="H219" s="9"/>
      <c r="I219" s="4"/>
      <c r="J219" s="4"/>
      <c r="K219" s="11"/>
      <c r="L219" s="4"/>
      <c r="M219" s="4"/>
      <c r="N219" s="4"/>
      <c r="O219" s="4"/>
      <c r="P219" s="4"/>
      <c r="Q219" s="4"/>
      <c r="R219" s="4"/>
      <c r="S219" s="4"/>
      <c r="T219" s="4"/>
      <c r="U219" s="4"/>
      <c r="V219" s="4"/>
      <c r="W219" s="4"/>
      <c r="X219" s="4"/>
    </row>
    <row r="220" spans="1:24" ht="15.6" x14ac:dyDescent="0.3">
      <c r="A220" s="6"/>
      <c r="B220" s="7"/>
      <c r="C220" s="136"/>
      <c r="D220" s="8"/>
      <c r="E220" s="8"/>
      <c r="F220" s="9"/>
      <c r="G220" s="10"/>
      <c r="H220" s="9"/>
      <c r="I220" s="4"/>
      <c r="J220" s="4"/>
      <c r="K220" s="11"/>
      <c r="L220" s="4"/>
      <c r="M220" s="4"/>
      <c r="N220" s="4"/>
      <c r="O220" s="4"/>
      <c r="P220" s="4"/>
      <c r="Q220" s="4"/>
      <c r="R220" s="4"/>
      <c r="S220" s="4"/>
      <c r="T220" s="4"/>
      <c r="U220" s="4"/>
      <c r="V220" s="4"/>
      <c r="W220" s="4"/>
      <c r="X220" s="4"/>
    </row>
    <row r="221" spans="1:24" ht="15.6" x14ac:dyDescent="0.3">
      <c r="A221" s="6"/>
      <c r="B221" s="7"/>
      <c r="C221" s="136"/>
      <c r="D221" s="8"/>
      <c r="E221" s="8"/>
      <c r="F221" s="9"/>
      <c r="G221" s="10"/>
      <c r="H221" s="9"/>
      <c r="I221" s="4"/>
      <c r="J221" s="4"/>
      <c r="K221" s="11"/>
      <c r="L221" s="4"/>
      <c r="M221" s="4"/>
      <c r="N221" s="4"/>
      <c r="O221" s="4"/>
      <c r="P221" s="4"/>
      <c r="Q221" s="4"/>
      <c r="R221" s="4"/>
      <c r="S221" s="4"/>
      <c r="T221" s="4"/>
      <c r="U221" s="4"/>
      <c r="V221" s="4"/>
      <c r="W221" s="4"/>
      <c r="X221" s="4"/>
    </row>
    <row r="222" spans="1:24" ht="15.6" x14ac:dyDescent="0.3">
      <c r="A222" s="6"/>
      <c r="B222" s="7"/>
      <c r="C222" s="136"/>
      <c r="D222" s="8"/>
      <c r="E222" s="8"/>
      <c r="F222" s="9"/>
      <c r="G222" s="10"/>
      <c r="H222" s="9"/>
      <c r="I222" s="4"/>
      <c r="J222" s="4"/>
      <c r="K222" s="11"/>
      <c r="L222" s="4"/>
      <c r="M222" s="4"/>
      <c r="N222" s="4"/>
      <c r="O222" s="4"/>
      <c r="P222" s="4"/>
      <c r="Q222" s="4"/>
      <c r="R222" s="4"/>
      <c r="S222" s="4"/>
      <c r="T222" s="4"/>
      <c r="U222" s="4"/>
      <c r="V222" s="4"/>
      <c r="W222" s="4"/>
      <c r="X222" s="4"/>
    </row>
    <row r="223" spans="1:24" ht="15.6" x14ac:dyDescent="0.3">
      <c r="A223" s="6"/>
      <c r="B223" s="7"/>
      <c r="C223" s="136"/>
      <c r="D223" s="8"/>
      <c r="E223" s="8"/>
      <c r="F223" s="9"/>
      <c r="G223" s="10"/>
      <c r="H223" s="9"/>
      <c r="I223" s="4"/>
      <c r="J223" s="4"/>
      <c r="K223" s="11"/>
      <c r="L223" s="4"/>
      <c r="M223" s="4"/>
      <c r="N223" s="4"/>
      <c r="O223" s="4"/>
      <c r="P223" s="4"/>
      <c r="Q223" s="4"/>
      <c r="R223" s="4"/>
      <c r="S223" s="4"/>
      <c r="T223" s="4"/>
      <c r="U223" s="4"/>
      <c r="V223" s="4"/>
      <c r="W223" s="4"/>
      <c r="X223" s="4"/>
    </row>
    <row r="224" spans="1:24" ht="15.6" x14ac:dyDescent="0.3">
      <c r="A224" s="6"/>
      <c r="B224" s="7"/>
      <c r="C224" s="136"/>
      <c r="D224" s="8"/>
      <c r="E224" s="8"/>
      <c r="F224" s="9"/>
      <c r="G224" s="10"/>
      <c r="H224" s="9"/>
      <c r="I224" s="4"/>
      <c r="J224" s="4"/>
      <c r="K224" s="11"/>
      <c r="L224" s="4"/>
      <c r="M224" s="4"/>
      <c r="N224" s="4"/>
      <c r="O224" s="4"/>
      <c r="P224" s="4"/>
      <c r="Q224" s="4"/>
      <c r="R224" s="4"/>
      <c r="S224" s="4"/>
      <c r="T224" s="4"/>
      <c r="U224" s="4"/>
      <c r="V224" s="4"/>
      <c r="W224" s="4"/>
      <c r="X224" s="4"/>
    </row>
    <row r="225" spans="1:24" ht="15.6" x14ac:dyDescent="0.3">
      <c r="A225" s="6"/>
      <c r="B225" s="7"/>
      <c r="C225" s="136"/>
      <c r="D225" s="8"/>
      <c r="E225" s="8"/>
      <c r="F225" s="9"/>
      <c r="G225" s="10"/>
      <c r="H225" s="9"/>
      <c r="I225" s="4"/>
      <c r="J225" s="4"/>
      <c r="K225" s="11"/>
      <c r="L225" s="4"/>
      <c r="M225" s="4"/>
      <c r="N225" s="4"/>
      <c r="O225" s="4"/>
      <c r="P225" s="4"/>
      <c r="Q225" s="4"/>
      <c r="R225" s="4"/>
      <c r="S225" s="4"/>
      <c r="T225" s="4"/>
      <c r="U225" s="4"/>
      <c r="V225" s="4"/>
      <c r="W225" s="4"/>
      <c r="X225" s="4"/>
    </row>
    <row r="226" spans="1:24" ht="15.6" x14ac:dyDescent="0.3">
      <c r="A226" s="6"/>
      <c r="B226" s="7"/>
      <c r="C226" s="136"/>
      <c r="D226" s="8"/>
      <c r="E226" s="8"/>
      <c r="F226" s="9"/>
      <c r="G226" s="10"/>
      <c r="H226" s="9"/>
      <c r="I226" s="4"/>
      <c r="J226" s="4"/>
      <c r="K226" s="11"/>
      <c r="L226" s="4"/>
      <c r="M226" s="4"/>
      <c r="N226" s="4"/>
      <c r="O226" s="4"/>
      <c r="P226" s="4"/>
      <c r="Q226" s="4"/>
      <c r="R226" s="4"/>
      <c r="S226" s="4"/>
      <c r="T226" s="4"/>
      <c r="U226" s="4"/>
      <c r="V226" s="4"/>
      <c r="W226" s="4"/>
      <c r="X226" s="4"/>
    </row>
    <row r="227" spans="1:24" ht="15.6" x14ac:dyDescent="0.3">
      <c r="A227" s="6"/>
      <c r="B227" s="7"/>
      <c r="C227" s="136"/>
      <c r="D227" s="8"/>
      <c r="E227" s="8"/>
      <c r="F227" s="9"/>
      <c r="G227" s="10"/>
      <c r="H227" s="9"/>
      <c r="I227" s="4"/>
      <c r="J227" s="4"/>
      <c r="K227" s="11"/>
      <c r="L227" s="4"/>
      <c r="M227" s="4"/>
      <c r="N227" s="4"/>
      <c r="O227" s="4"/>
      <c r="P227" s="4"/>
      <c r="Q227" s="4"/>
      <c r="R227" s="4"/>
      <c r="S227" s="4"/>
      <c r="T227" s="4"/>
      <c r="U227" s="4"/>
      <c r="V227" s="4"/>
      <c r="W227" s="4"/>
      <c r="X227" s="4"/>
    </row>
    <row r="228" spans="1:24" ht="15.6" x14ac:dyDescent="0.3">
      <c r="A228" s="6"/>
      <c r="B228" s="7"/>
      <c r="C228" s="136"/>
      <c r="D228" s="8"/>
      <c r="E228" s="8"/>
      <c r="F228" s="9"/>
      <c r="G228" s="10"/>
      <c r="H228" s="9"/>
      <c r="I228" s="4"/>
      <c r="J228" s="4"/>
      <c r="K228" s="11"/>
      <c r="L228" s="4"/>
      <c r="M228" s="4"/>
      <c r="N228" s="4"/>
      <c r="O228" s="4"/>
      <c r="P228" s="4"/>
      <c r="Q228" s="4"/>
      <c r="R228" s="4"/>
      <c r="S228" s="4"/>
      <c r="T228" s="4"/>
      <c r="U228" s="4"/>
      <c r="V228" s="4"/>
      <c r="W228" s="4"/>
      <c r="X228" s="4"/>
    </row>
    <row r="229" spans="1:24" ht="15.6" x14ac:dyDescent="0.3">
      <c r="A229" s="6"/>
      <c r="B229" s="7"/>
      <c r="C229" s="136"/>
      <c r="D229" s="8"/>
      <c r="E229" s="8"/>
      <c r="F229" s="9"/>
      <c r="G229" s="10"/>
      <c r="H229" s="9"/>
      <c r="I229" s="4"/>
      <c r="J229" s="4"/>
      <c r="K229" s="11"/>
      <c r="L229" s="4"/>
      <c r="M229" s="4"/>
      <c r="N229" s="4"/>
      <c r="O229" s="4"/>
      <c r="P229" s="4"/>
      <c r="Q229" s="4"/>
      <c r="R229" s="4"/>
      <c r="S229" s="4"/>
      <c r="T229" s="4"/>
      <c r="U229" s="4"/>
      <c r="V229" s="4"/>
      <c r="W229" s="4"/>
      <c r="X229" s="4"/>
    </row>
    <row r="230" spans="1:24" ht="15.6" x14ac:dyDescent="0.3">
      <c r="A230" s="6"/>
      <c r="B230" s="7"/>
      <c r="C230" s="136"/>
      <c r="D230" s="8"/>
      <c r="E230" s="8"/>
      <c r="F230" s="9"/>
      <c r="G230" s="10"/>
      <c r="H230" s="9"/>
      <c r="I230" s="4"/>
      <c r="J230" s="4"/>
      <c r="K230" s="11"/>
      <c r="L230" s="4"/>
      <c r="M230" s="4"/>
      <c r="N230" s="4"/>
      <c r="O230" s="4"/>
      <c r="P230" s="4"/>
      <c r="Q230" s="4"/>
      <c r="R230" s="4"/>
      <c r="S230" s="4"/>
      <c r="T230" s="4"/>
      <c r="U230" s="4"/>
      <c r="V230" s="4"/>
      <c r="W230" s="4"/>
      <c r="X230" s="4"/>
    </row>
    <row r="231" spans="1:24" ht="15.6" x14ac:dyDescent="0.3">
      <c r="A231" s="6"/>
      <c r="B231" s="7"/>
      <c r="C231" s="136"/>
      <c r="D231" s="8"/>
      <c r="E231" s="8"/>
      <c r="F231" s="9"/>
      <c r="G231" s="10"/>
      <c r="H231" s="9"/>
      <c r="I231" s="4"/>
      <c r="J231" s="4"/>
      <c r="K231" s="11"/>
      <c r="L231" s="4"/>
      <c r="M231" s="4"/>
      <c r="N231" s="4"/>
      <c r="O231" s="4"/>
      <c r="P231" s="4"/>
      <c r="Q231" s="4"/>
      <c r="R231" s="4"/>
      <c r="S231" s="4"/>
      <c r="T231" s="4"/>
      <c r="U231" s="4"/>
      <c r="V231" s="4"/>
      <c r="W231" s="4"/>
      <c r="X231" s="4"/>
    </row>
    <row r="232" spans="1:24" ht="15.6" x14ac:dyDescent="0.3">
      <c r="A232" s="6"/>
      <c r="B232" s="7"/>
      <c r="C232" s="136"/>
      <c r="D232" s="8"/>
      <c r="E232" s="8"/>
      <c r="F232" s="9"/>
      <c r="G232" s="10"/>
      <c r="H232" s="9"/>
      <c r="I232" s="4"/>
      <c r="J232" s="4"/>
      <c r="K232" s="11"/>
      <c r="L232" s="4"/>
      <c r="M232" s="4"/>
      <c r="N232" s="4"/>
      <c r="O232" s="4"/>
      <c r="P232" s="4"/>
      <c r="Q232" s="4"/>
      <c r="R232" s="4"/>
      <c r="S232" s="4"/>
      <c r="T232" s="4"/>
      <c r="U232" s="4"/>
      <c r="V232" s="4"/>
      <c r="W232" s="4"/>
      <c r="X232" s="4"/>
    </row>
    <row r="233" spans="1:24" ht="15.6" x14ac:dyDescent="0.3">
      <c r="A233" s="6"/>
      <c r="B233" s="7"/>
      <c r="C233" s="136"/>
      <c r="D233" s="8"/>
      <c r="E233" s="8"/>
      <c r="F233" s="9"/>
      <c r="G233" s="10"/>
      <c r="H233" s="9"/>
      <c r="I233" s="4"/>
      <c r="J233" s="4"/>
      <c r="K233" s="11"/>
      <c r="L233" s="4"/>
      <c r="M233" s="4"/>
      <c r="N233" s="4"/>
      <c r="O233" s="4"/>
      <c r="P233" s="4"/>
      <c r="Q233" s="4"/>
      <c r="R233" s="4"/>
      <c r="S233" s="4"/>
      <c r="T233" s="4"/>
      <c r="U233" s="4"/>
      <c r="V233" s="4"/>
      <c r="W233" s="4"/>
      <c r="X233" s="4"/>
    </row>
    <row r="234" spans="1:24" ht="15.6" x14ac:dyDescent="0.3">
      <c r="A234" s="6"/>
      <c r="B234" s="7"/>
      <c r="C234" s="136"/>
      <c r="D234" s="8"/>
      <c r="E234" s="8"/>
      <c r="F234" s="9"/>
      <c r="G234" s="10"/>
      <c r="H234" s="9"/>
      <c r="I234" s="4"/>
      <c r="J234" s="4"/>
      <c r="K234" s="11"/>
      <c r="L234" s="4"/>
      <c r="M234" s="4"/>
      <c r="N234" s="4"/>
      <c r="O234" s="4"/>
      <c r="P234" s="4"/>
      <c r="Q234" s="4"/>
      <c r="R234" s="4"/>
      <c r="S234" s="4"/>
      <c r="T234" s="4"/>
      <c r="U234" s="4"/>
      <c r="V234" s="4"/>
      <c r="W234" s="4"/>
      <c r="X234" s="4"/>
    </row>
    <row r="235" spans="1:24" ht="15.6" x14ac:dyDescent="0.3">
      <c r="A235" s="6"/>
      <c r="B235" s="7"/>
      <c r="C235" s="136"/>
      <c r="D235" s="8"/>
      <c r="E235" s="8"/>
      <c r="F235" s="9"/>
      <c r="G235" s="10"/>
      <c r="H235" s="9"/>
      <c r="I235" s="4"/>
      <c r="J235" s="4"/>
      <c r="K235" s="11"/>
      <c r="L235" s="4"/>
      <c r="M235" s="4"/>
      <c r="N235" s="4"/>
      <c r="O235" s="4"/>
      <c r="P235" s="4"/>
      <c r="Q235" s="4"/>
      <c r="R235" s="4"/>
      <c r="S235" s="4"/>
      <c r="T235" s="4"/>
      <c r="U235" s="4"/>
      <c r="V235" s="4"/>
      <c r="W235" s="4"/>
      <c r="X235" s="4"/>
    </row>
    <row r="236" spans="1:24" ht="15.6" x14ac:dyDescent="0.3">
      <c r="A236" s="6"/>
      <c r="B236" s="7"/>
      <c r="C236" s="136"/>
      <c r="D236" s="8"/>
      <c r="E236" s="8"/>
      <c r="F236" s="9"/>
      <c r="G236" s="10"/>
      <c r="H236" s="9"/>
      <c r="I236" s="4"/>
      <c r="J236" s="4"/>
      <c r="K236" s="11"/>
      <c r="L236" s="4"/>
      <c r="M236" s="4"/>
      <c r="N236" s="4"/>
      <c r="O236" s="4"/>
      <c r="P236" s="4"/>
      <c r="Q236" s="4"/>
      <c r="R236" s="4"/>
      <c r="S236" s="4"/>
      <c r="T236" s="4"/>
      <c r="U236" s="4"/>
      <c r="V236" s="4"/>
      <c r="W236" s="4"/>
      <c r="X236" s="4"/>
    </row>
    <row r="237" spans="1:24" ht="15.6" x14ac:dyDescent="0.3">
      <c r="A237" s="6"/>
      <c r="B237" s="7"/>
      <c r="C237" s="136"/>
      <c r="D237" s="8"/>
      <c r="E237" s="8"/>
      <c r="F237" s="9"/>
      <c r="G237" s="10"/>
      <c r="H237" s="9"/>
      <c r="I237" s="4"/>
      <c r="J237" s="4"/>
      <c r="K237" s="11"/>
      <c r="L237" s="4"/>
      <c r="M237" s="4"/>
      <c r="N237" s="4"/>
      <c r="O237" s="4"/>
      <c r="P237" s="4"/>
      <c r="Q237" s="4"/>
      <c r="R237" s="4"/>
      <c r="S237" s="4"/>
      <c r="T237" s="4"/>
      <c r="U237" s="4"/>
      <c r="V237" s="4"/>
      <c r="W237" s="4"/>
      <c r="X237" s="4"/>
    </row>
    <row r="238" spans="1:24" ht="15.6" x14ac:dyDescent="0.3">
      <c r="A238" s="6"/>
      <c r="B238" s="7"/>
      <c r="C238" s="136"/>
      <c r="D238" s="8"/>
      <c r="E238" s="8"/>
      <c r="F238" s="9"/>
      <c r="G238" s="10"/>
      <c r="H238" s="9"/>
      <c r="I238" s="4"/>
      <c r="J238" s="4"/>
      <c r="K238" s="11"/>
      <c r="L238" s="4"/>
      <c r="M238" s="4"/>
      <c r="N238" s="4"/>
      <c r="O238" s="4"/>
      <c r="P238" s="4"/>
      <c r="Q238" s="4"/>
      <c r="R238" s="4"/>
      <c r="S238" s="4"/>
      <c r="T238" s="4"/>
      <c r="U238" s="4"/>
      <c r="V238" s="4"/>
      <c r="W238" s="4"/>
      <c r="X238" s="4"/>
    </row>
    <row r="239" spans="1:24" ht="15.6" x14ac:dyDescent="0.3">
      <c r="A239" s="6"/>
      <c r="B239" s="7"/>
      <c r="C239" s="136"/>
      <c r="D239" s="8"/>
      <c r="E239" s="8"/>
      <c r="F239" s="9"/>
      <c r="G239" s="10"/>
      <c r="H239" s="9"/>
      <c r="I239" s="4"/>
      <c r="J239" s="4"/>
      <c r="K239" s="11"/>
      <c r="L239" s="4"/>
      <c r="M239" s="4"/>
      <c r="N239" s="4"/>
      <c r="O239" s="4"/>
      <c r="P239" s="4"/>
      <c r="Q239" s="4"/>
      <c r="R239" s="4"/>
      <c r="S239" s="4"/>
      <c r="T239" s="4"/>
      <c r="U239" s="4"/>
      <c r="V239" s="4"/>
      <c r="W239" s="4"/>
      <c r="X239" s="4"/>
    </row>
    <row r="240" spans="1:24" ht="15.6" x14ac:dyDescent="0.3">
      <c r="A240" s="6"/>
      <c r="B240" s="7"/>
      <c r="C240" s="136"/>
      <c r="D240" s="8"/>
      <c r="E240" s="8"/>
      <c r="F240" s="9"/>
      <c r="G240" s="10"/>
      <c r="H240" s="9"/>
      <c r="I240" s="4"/>
      <c r="J240" s="4"/>
      <c r="K240" s="11"/>
      <c r="L240" s="4"/>
      <c r="M240" s="4"/>
      <c r="N240" s="4"/>
      <c r="O240" s="4"/>
      <c r="P240" s="4"/>
      <c r="Q240" s="4"/>
      <c r="R240" s="4"/>
      <c r="S240" s="4"/>
      <c r="T240" s="4"/>
      <c r="U240" s="4"/>
      <c r="V240" s="4"/>
      <c r="W240" s="4"/>
      <c r="X240" s="4"/>
    </row>
    <row r="241" spans="1:24" ht="15.6" x14ac:dyDescent="0.3">
      <c r="A241" s="6"/>
      <c r="B241" s="7"/>
      <c r="C241" s="136"/>
      <c r="D241" s="8"/>
      <c r="E241" s="8"/>
      <c r="F241" s="9"/>
      <c r="G241" s="10"/>
      <c r="H241" s="9"/>
      <c r="I241" s="4"/>
      <c r="J241" s="4"/>
      <c r="K241" s="11"/>
      <c r="L241" s="4"/>
      <c r="M241" s="4"/>
      <c r="N241" s="4"/>
      <c r="O241" s="4"/>
      <c r="P241" s="4"/>
      <c r="Q241" s="4"/>
      <c r="R241" s="4"/>
      <c r="S241" s="4"/>
      <c r="T241" s="4"/>
      <c r="U241" s="4"/>
      <c r="V241" s="4"/>
      <c r="W241" s="4"/>
      <c r="X241" s="4"/>
    </row>
    <row r="242" spans="1:24" ht="15.6" x14ac:dyDescent="0.3">
      <c r="A242" s="6"/>
      <c r="B242" s="7"/>
      <c r="C242" s="136"/>
      <c r="D242" s="8"/>
      <c r="E242" s="8"/>
      <c r="F242" s="9"/>
      <c r="G242" s="10"/>
      <c r="H242" s="9"/>
      <c r="I242" s="4"/>
      <c r="J242" s="4"/>
      <c r="K242" s="11"/>
      <c r="L242" s="4"/>
      <c r="M242" s="4"/>
      <c r="N242" s="4"/>
      <c r="O242" s="4"/>
      <c r="P242" s="4"/>
      <c r="Q242" s="4"/>
      <c r="R242" s="4"/>
      <c r="S242" s="4"/>
      <c r="T242" s="4"/>
      <c r="U242" s="4"/>
      <c r="V242" s="4"/>
      <c r="W242" s="4"/>
      <c r="X242" s="4"/>
    </row>
    <row r="243" spans="1:24" ht="15.6" x14ac:dyDescent="0.3">
      <c r="A243" s="6"/>
      <c r="B243" s="7"/>
      <c r="C243" s="136"/>
      <c r="D243" s="8"/>
      <c r="E243" s="8"/>
      <c r="F243" s="9"/>
      <c r="G243" s="10"/>
      <c r="H243" s="9"/>
      <c r="I243" s="4"/>
      <c r="J243" s="4"/>
      <c r="K243" s="11"/>
      <c r="L243" s="4"/>
      <c r="M243" s="4"/>
      <c r="N243" s="4"/>
      <c r="O243" s="4"/>
      <c r="P243" s="4"/>
      <c r="Q243" s="4"/>
      <c r="R243" s="4"/>
      <c r="S243" s="4"/>
      <c r="T243" s="4"/>
      <c r="U243" s="4"/>
      <c r="V243" s="4"/>
      <c r="W243" s="4"/>
      <c r="X243" s="4"/>
    </row>
    <row r="244" spans="1:24" ht="15.6" x14ac:dyDescent="0.3">
      <c r="A244" s="6"/>
      <c r="B244" s="7"/>
      <c r="C244" s="136"/>
      <c r="D244" s="8"/>
      <c r="E244" s="8"/>
      <c r="F244" s="9"/>
      <c r="G244" s="10"/>
      <c r="H244" s="9"/>
      <c r="I244" s="4"/>
      <c r="J244" s="4"/>
      <c r="K244" s="11"/>
      <c r="L244" s="4"/>
      <c r="M244" s="4"/>
      <c r="N244" s="4"/>
      <c r="O244" s="4"/>
      <c r="P244" s="4"/>
      <c r="Q244" s="4"/>
      <c r="R244" s="4"/>
      <c r="S244" s="4"/>
      <c r="T244" s="4"/>
      <c r="U244" s="4"/>
      <c r="V244" s="4"/>
      <c r="W244" s="4"/>
      <c r="X244" s="4"/>
    </row>
    <row r="245" spans="1:24" ht="15.6" x14ac:dyDescent="0.3">
      <c r="A245" s="6"/>
      <c r="B245" s="7"/>
      <c r="C245" s="136"/>
      <c r="D245" s="8"/>
      <c r="E245" s="8"/>
      <c r="F245" s="9"/>
      <c r="G245" s="10"/>
      <c r="H245" s="9"/>
      <c r="I245" s="4"/>
      <c r="J245" s="4"/>
      <c r="K245" s="11"/>
      <c r="L245" s="4"/>
      <c r="M245" s="4"/>
      <c r="N245" s="4"/>
      <c r="O245" s="4"/>
      <c r="P245" s="4"/>
      <c r="Q245" s="4"/>
      <c r="R245" s="4"/>
      <c r="S245" s="4"/>
      <c r="T245" s="4"/>
      <c r="U245" s="4"/>
      <c r="V245" s="4"/>
      <c r="W245" s="4"/>
      <c r="X245" s="4"/>
    </row>
    <row r="246" spans="1:24" ht="15.6" x14ac:dyDescent="0.3">
      <c r="A246" s="6"/>
      <c r="B246" s="7"/>
      <c r="C246" s="136"/>
      <c r="D246" s="8"/>
      <c r="E246" s="8"/>
      <c r="F246" s="9"/>
      <c r="G246" s="10"/>
      <c r="H246" s="9"/>
      <c r="I246" s="4"/>
      <c r="J246" s="4"/>
      <c r="K246" s="11"/>
      <c r="L246" s="4"/>
      <c r="M246" s="4"/>
      <c r="N246" s="4"/>
      <c r="O246" s="4"/>
      <c r="P246" s="4"/>
      <c r="Q246" s="4"/>
      <c r="R246" s="4"/>
      <c r="S246" s="4"/>
      <c r="T246" s="4"/>
      <c r="U246" s="4"/>
      <c r="V246" s="4"/>
      <c r="W246" s="4"/>
      <c r="X246" s="4"/>
    </row>
    <row r="247" spans="1:24" ht="15.6" x14ac:dyDescent="0.3">
      <c r="A247" s="6"/>
      <c r="B247" s="7"/>
      <c r="C247" s="136"/>
      <c r="D247" s="8"/>
      <c r="E247" s="8"/>
      <c r="F247" s="9"/>
      <c r="G247" s="10"/>
      <c r="H247" s="9"/>
      <c r="I247" s="4"/>
      <c r="J247" s="4"/>
      <c r="K247" s="11"/>
      <c r="L247" s="4"/>
      <c r="M247" s="4"/>
      <c r="N247" s="4"/>
      <c r="O247" s="4"/>
      <c r="P247" s="4"/>
      <c r="Q247" s="4"/>
      <c r="R247" s="4"/>
      <c r="S247" s="4"/>
      <c r="T247" s="4"/>
      <c r="U247" s="4"/>
      <c r="V247" s="4"/>
      <c r="W247" s="4"/>
      <c r="X247" s="4"/>
    </row>
    <row r="248" spans="1:24" ht="15.6" x14ac:dyDescent="0.3">
      <c r="A248" s="6"/>
      <c r="B248" s="7"/>
      <c r="C248" s="136"/>
      <c r="D248" s="8"/>
      <c r="E248" s="8"/>
      <c r="F248" s="9"/>
      <c r="G248" s="10"/>
      <c r="H248" s="9"/>
      <c r="I248" s="4"/>
      <c r="J248" s="4"/>
      <c r="K248" s="11"/>
      <c r="L248" s="4"/>
      <c r="M248" s="4"/>
      <c r="N248" s="4"/>
      <c r="O248" s="4"/>
      <c r="P248" s="4"/>
      <c r="Q248" s="4"/>
      <c r="R248" s="4"/>
      <c r="S248" s="4"/>
      <c r="T248" s="4"/>
      <c r="U248" s="4"/>
      <c r="V248" s="4"/>
      <c r="W248" s="4"/>
      <c r="X248" s="4"/>
    </row>
    <row r="249" spans="1:24" ht="15.6" x14ac:dyDescent="0.3">
      <c r="A249" s="6"/>
      <c r="B249" s="7"/>
      <c r="C249" s="136"/>
      <c r="D249" s="8"/>
      <c r="E249" s="8"/>
      <c r="F249" s="9"/>
      <c r="G249" s="10"/>
      <c r="H249" s="9"/>
      <c r="I249" s="4"/>
      <c r="J249" s="4"/>
      <c r="K249" s="11"/>
      <c r="L249" s="4"/>
      <c r="M249" s="4"/>
      <c r="N249" s="4"/>
      <c r="O249" s="4"/>
      <c r="P249" s="4"/>
      <c r="Q249" s="4"/>
      <c r="R249" s="4"/>
      <c r="S249" s="4"/>
      <c r="T249" s="4"/>
      <c r="U249" s="4"/>
      <c r="V249" s="4"/>
      <c r="W249" s="4"/>
      <c r="X249" s="4"/>
    </row>
    <row r="250" spans="1:24" ht="15.6" x14ac:dyDescent="0.3">
      <c r="A250" s="6"/>
      <c r="B250" s="7"/>
      <c r="C250" s="136"/>
      <c r="D250" s="8"/>
      <c r="E250" s="8"/>
      <c r="F250" s="9"/>
      <c r="G250" s="10"/>
      <c r="H250" s="9"/>
      <c r="I250" s="4"/>
      <c r="J250" s="4"/>
      <c r="K250" s="11"/>
      <c r="L250" s="4"/>
      <c r="M250" s="4"/>
      <c r="N250" s="4"/>
      <c r="O250" s="4"/>
      <c r="P250" s="4"/>
      <c r="Q250" s="4"/>
      <c r="R250" s="4"/>
      <c r="S250" s="4"/>
      <c r="T250" s="4"/>
      <c r="U250" s="4"/>
      <c r="V250" s="4"/>
      <c r="W250" s="4"/>
      <c r="X250" s="4"/>
    </row>
    <row r="251" spans="1:24" ht="15.6" x14ac:dyDescent="0.3">
      <c r="A251" s="6"/>
      <c r="B251" s="7"/>
      <c r="C251" s="136"/>
      <c r="D251" s="8"/>
      <c r="E251" s="8"/>
      <c r="F251" s="9"/>
      <c r="G251" s="10"/>
      <c r="H251" s="9"/>
      <c r="I251" s="4"/>
      <c r="J251" s="4"/>
      <c r="K251" s="11"/>
      <c r="L251" s="4"/>
      <c r="M251" s="4"/>
      <c r="N251" s="4"/>
      <c r="O251" s="4"/>
      <c r="P251" s="4"/>
      <c r="Q251" s="4"/>
      <c r="R251" s="4"/>
      <c r="S251" s="4"/>
      <c r="T251" s="4"/>
      <c r="U251" s="4"/>
      <c r="V251" s="4"/>
      <c r="W251" s="4"/>
      <c r="X251" s="4"/>
    </row>
    <row r="252" spans="1:24" ht="15.6" x14ac:dyDescent="0.3">
      <c r="A252" s="6"/>
      <c r="B252" s="7"/>
      <c r="C252" s="136"/>
      <c r="D252" s="8"/>
      <c r="E252" s="8"/>
      <c r="F252" s="9"/>
      <c r="G252" s="10"/>
      <c r="H252" s="9"/>
      <c r="I252" s="4"/>
      <c r="J252" s="4"/>
      <c r="K252" s="11"/>
      <c r="L252" s="4"/>
      <c r="M252" s="4"/>
      <c r="N252" s="4"/>
      <c r="O252" s="4"/>
      <c r="P252" s="4"/>
      <c r="Q252" s="4"/>
      <c r="R252" s="4"/>
      <c r="S252" s="4"/>
      <c r="T252" s="4"/>
      <c r="U252" s="4"/>
      <c r="V252" s="4"/>
      <c r="W252" s="4"/>
      <c r="X252" s="4"/>
    </row>
    <row r="253" spans="1:24" ht="15.6" x14ac:dyDescent="0.3">
      <c r="A253" s="6"/>
      <c r="B253" s="7"/>
      <c r="C253" s="136"/>
      <c r="D253" s="8"/>
      <c r="E253" s="8"/>
      <c r="F253" s="9"/>
      <c r="G253" s="10"/>
      <c r="H253" s="9"/>
      <c r="I253" s="4"/>
      <c r="J253" s="4"/>
      <c r="K253" s="11"/>
      <c r="L253" s="4"/>
      <c r="M253" s="4"/>
      <c r="N253" s="4"/>
      <c r="O253" s="4"/>
      <c r="P253" s="4"/>
      <c r="Q253" s="4"/>
      <c r="R253" s="4"/>
      <c r="S253" s="4"/>
      <c r="T253" s="4"/>
      <c r="U253" s="4"/>
      <c r="V253" s="4"/>
      <c r="W253" s="4"/>
      <c r="X253" s="4"/>
    </row>
    <row r="254" spans="1:24" ht="15.6" x14ac:dyDescent="0.3">
      <c r="A254" s="6"/>
      <c r="B254" s="7"/>
      <c r="C254" s="136"/>
      <c r="D254" s="8"/>
      <c r="E254" s="8"/>
      <c r="F254" s="9"/>
      <c r="G254" s="10"/>
      <c r="H254" s="9"/>
      <c r="I254" s="4"/>
      <c r="J254" s="4"/>
      <c r="K254" s="11"/>
      <c r="L254" s="4"/>
      <c r="M254" s="4"/>
      <c r="N254" s="4"/>
      <c r="O254" s="4"/>
      <c r="P254" s="4"/>
      <c r="Q254" s="4"/>
      <c r="R254" s="4"/>
      <c r="S254" s="4"/>
      <c r="T254" s="4"/>
      <c r="U254" s="4"/>
      <c r="V254" s="4"/>
      <c r="W254" s="4"/>
      <c r="X254" s="4"/>
    </row>
    <row r="255" spans="1:24" ht="15.6" x14ac:dyDescent="0.3">
      <c r="A255" s="6"/>
      <c r="B255" s="7"/>
      <c r="C255" s="136"/>
      <c r="D255" s="8"/>
      <c r="E255" s="8"/>
      <c r="F255" s="9"/>
      <c r="G255" s="10"/>
      <c r="H255" s="9"/>
      <c r="I255" s="4"/>
      <c r="J255" s="4"/>
      <c r="K255" s="11"/>
      <c r="L255" s="4"/>
      <c r="M255" s="4"/>
      <c r="N255" s="4"/>
      <c r="O255" s="4"/>
      <c r="P255" s="4"/>
      <c r="Q255" s="4"/>
      <c r="R255" s="4"/>
      <c r="S255" s="4"/>
      <c r="T255" s="4"/>
      <c r="U255" s="4"/>
      <c r="V255" s="4"/>
      <c r="W255" s="4"/>
      <c r="X255" s="4"/>
    </row>
    <row r="256" spans="1:24" ht="15.6" x14ac:dyDescent="0.3">
      <c r="A256" s="6"/>
      <c r="B256" s="7"/>
      <c r="C256" s="136"/>
      <c r="D256" s="8"/>
      <c r="E256" s="8"/>
      <c r="F256" s="9"/>
      <c r="G256" s="10"/>
      <c r="H256" s="9"/>
      <c r="I256" s="4"/>
      <c r="J256" s="4"/>
      <c r="K256" s="11"/>
      <c r="L256" s="4"/>
      <c r="M256" s="4"/>
      <c r="N256" s="4"/>
      <c r="O256" s="4"/>
      <c r="P256" s="4"/>
      <c r="Q256" s="4"/>
      <c r="R256" s="4"/>
      <c r="S256" s="4"/>
      <c r="T256" s="4"/>
      <c r="U256" s="4"/>
      <c r="V256" s="4"/>
      <c r="W256" s="4"/>
      <c r="X256" s="4"/>
    </row>
    <row r="257" spans="1:24" ht="15.6" x14ac:dyDescent="0.3">
      <c r="A257" s="6"/>
      <c r="B257" s="7"/>
      <c r="C257" s="136"/>
      <c r="D257" s="8"/>
      <c r="E257" s="8"/>
      <c r="F257" s="9"/>
      <c r="G257" s="10"/>
      <c r="H257" s="9"/>
      <c r="I257" s="4"/>
      <c r="J257" s="4"/>
      <c r="K257" s="11"/>
      <c r="L257" s="4"/>
      <c r="M257" s="4"/>
      <c r="N257" s="4"/>
      <c r="O257" s="4"/>
      <c r="P257" s="4"/>
      <c r="Q257" s="4"/>
      <c r="R257" s="4"/>
      <c r="S257" s="4"/>
      <c r="T257" s="4"/>
      <c r="U257" s="4"/>
      <c r="V257" s="4"/>
      <c r="W257" s="4"/>
      <c r="X257" s="4"/>
    </row>
    <row r="258" spans="1:24" ht="15.6" x14ac:dyDescent="0.3">
      <c r="A258" s="6"/>
      <c r="B258" s="7"/>
      <c r="C258" s="136"/>
      <c r="D258" s="8"/>
      <c r="E258" s="8"/>
      <c r="F258" s="9"/>
      <c r="G258" s="10"/>
      <c r="H258" s="9"/>
      <c r="I258" s="4"/>
      <c r="J258" s="4"/>
      <c r="K258" s="11"/>
      <c r="L258" s="4"/>
      <c r="M258" s="4"/>
      <c r="N258" s="4"/>
      <c r="O258" s="4"/>
      <c r="P258" s="4"/>
      <c r="Q258" s="4"/>
      <c r="R258" s="4"/>
      <c r="S258" s="4"/>
      <c r="T258" s="4"/>
      <c r="U258" s="4"/>
      <c r="V258" s="4"/>
      <c r="W258" s="4"/>
      <c r="X258" s="4"/>
    </row>
    <row r="259" spans="1:24" ht="15.6" x14ac:dyDescent="0.3">
      <c r="A259" s="6"/>
      <c r="B259" s="7"/>
      <c r="C259" s="136"/>
      <c r="D259" s="8"/>
      <c r="E259" s="8"/>
      <c r="F259" s="9"/>
      <c r="G259" s="10"/>
      <c r="H259" s="9"/>
      <c r="I259" s="4"/>
      <c r="J259" s="4"/>
      <c r="K259" s="11"/>
      <c r="L259" s="4"/>
      <c r="M259" s="4"/>
      <c r="N259" s="4"/>
      <c r="O259" s="4"/>
      <c r="P259" s="4"/>
      <c r="Q259" s="4"/>
      <c r="R259" s="4"/>
      <c r="S259" s="4"/>
      <c r="T259" s="4"/>
      <c r="U259" s="4"/>
      <c r="V259" s="4"/>
      <c r="W259" s="4"/>
      <c r="X259" s="4"/>
    </row>
    <row r="260" spans="1:24" ht="15.6" x14ac:dyDescent="0.3">
      <c r="A260" s="6"/>
      <c r="B260" s="7"/>
      <c r="C260" s="136"/>
      <c r="D260" s="8"/>
      <c r="E260" s="8"/>
      <c r="F260" s="9"/>
      <c r="G260" s="10"/>
      <c r="H260" s="9"/>
      <c r="I260" s="4"/>
      <c r="J260" s="4"/>
      <c r="K260" s="11"/>
      <c r="L260" s="4"/>
      <c r="M260" s="4"/>
      <c r="N260" s="4"/>
      <c r="O260" s="4"/>
      <c r="P260" s="4"/>
      <c r="Q260" s="4"/>
      <c r="R260" s="4"/>
      <c r="S260" s="4"/>
      <c r="T260" s="4"/>
      <c r="U260" s="4"/>
      <c r="V260" s="4"/>
      <c r="W260" s="4"/>
      <c r="X260" s="4"/>
    </row>
    <row r="261" spans="1:24" ht="15.6" x14ac:dyDescent="0.3">
      <c r="A261" s="6"/>
      <c r="B261" s="7"/>
      <c r="C261" s="136"/>
      <c r="D261" s="8"/>
      <c r="E261" s="8"/>
      <c r="F261" s="9"/>
      <c r="G261" s="10"/>
      <c r="H261" s="9"/>
      <c r="I261" s="4"/>
      <c r="J261" s="4"/>
      <c r="K261" s="11"/>
      <c r="L261" s="4"/>
      <c r="M261" s="4"/>
      <c r="N261" s="4"/>
      <c r="O261" s="4"/>
      <c r="P261" s="4"/>
      <c r="Q261" s="4"/>
      <c r="R261" s="4"/>
      <c r="S261" s="4"/>
      <c r="T261" s="4"/>
      <c r="U261" s="4"/>
      <c r="V261" s="4"/>
      <c r="W261" s="4"/>
      <c r="X261" s="4"/>
    </row>
    <row r="262" spans="1:24" ht="15.6" x14ac:dyDescent="0.3">
      <c r="A262" s="6"/>
      <c r="B262" s="7"/>
      <c r="C262" s="136"/>
      <c r="D262" s="8"/>
      <c r="E262" s="8"/>
      <c r="F262" s="9"/>
      <c r="G262" s="10"/>
      <c r="H262" s="9"/>
      <c r="I262" s="4"/>
      <c r="J262" s="4"/>
      <c r="K262" s="11"/>
      <c r="L262" s="4"/>
      <c r="M262" s="4"/>
      <c r="N262" s="4"/>
      <c r="O262" s="4"/>
      <c r="P262" s="4"/>
      <c r="Q262" s="4"/>
      <c r="R262" s="4"/>
      <c r="S262" s="4"/>
      <c r="T262" s="4"/>
      <c r="U262" s="4"/>
      <c r="V262" s="4"/>
      <c r="W262" s="4"/>
      <c r="X262" s="4"/>
    </row>
    <row r="263" spans="1:24" ht="15.6" x14ac:dyDescent="0.3">
      <c r="A263" s="6"/>
      <c r="B263" s="7"/>
      <c r="C263" s="136"/>
      <c r="D263" s="8"/>
      <c r="E263" s="8"/>
      <c r="F263" s="9"/>
      <c r="G263" s="10"/>
      <c r="H263" s="9"/>
      <c r="I263" s="4"/>
      <c r="J263" s="4"/>
      <c r="K263" s="11"/>
      <c r="L263" s="4"/>
      <c r="M263" s="4"/>
      <c r="N263" s="4"/>
      <c r="O263" s="4"/>
      <c r="P263" s="4"/>
      <c r="Q263" s="4"/>
      <c r="R263" s="4"/>
      <c r="S263" s="4"/>
      <c r="T263" s="4"/>
      <c r="U263" s="4"/>
      <c r="V263" s="4"/>
      <c r="W263" s="4"/>
      <c r="X263" s="4"/>
    </row>
    <row r="264" spans="1:24" ht="15.6" x14ac:dyDescent="0.3">
      <c r="A264" s="6"/>
      <c r="B264" s="7"/>
      <c r="C264" s="136"/>
      <c r="D264" s="8"/>
      <c r="E264" s="8"/>
      <c r="F264" s="9"/>
      <c r="G264" s="10"/>
      <c r="H264" s="9"/>
      <c r="I264" s="4"/>
      <c r="J264" s="4"/>
      <c r="K264" s="11"/>
      <c r="L264" s="4"/>
      <c r="M264" s="4"/>
      <c r="N264" s="4"/>
      <c r="O264" s="4"/>
      <c r="P264" s="4"/>
      <c r="Q264" s="4"/>
      <c r="R264" s="4"/>
      <c r="S264" s="4"/>
      <c r="T264" s="4"/>
      <c r="U264" s="4"/>
      <c r="V264" s="4"/>
      <c r="W264" s="4"/>
      <c r="X264" s="4"/>
    </row>
    <row r="265" spans="1:24" ht="15.6" x14ac:dyDescent="0.3">
      <c r="A265" s="6"/>
      <c r="B265" s="7"/>
      <c r="C265" s="136"/>
      <c r="D265" s="8"/>
      <c r="E265" s="8"/>
      <c r="F265" s="9"/>
      <c r="G265" s="10"/>
      <c r="H265" s="9"/>
      <c r="I265" s="4"/>
      <c r="J265" s="4"/>
      <c r="K265" s="11"/>
      <c r="L265" s="4"/>
      <c r="M265" s="4"/>
      <c r="N265" s="4"/>
      <c r="O265" s="4"/>
      <c r="P265" s="4"/>
      <c r="Q265" s="4"/>
      <c r="R265" s="4"/>
      <c r="S265" s="4"/>
      <c r="T265" s="4"/>
      <c r="U265" s="4"/>
      <c r="V265" s="4"/>
      <c r="W265" s="4"/>
      <c r="X265" s="4"/>
    </row>
    <row r="266" spans="1:24" ht="15.6" x14ac:dyDescent="0.3">
      <c r="A266" s="6"/>
      <c r="B266" s="7"/>
      <c r="C266" s="136"/>
      <c r="D266" s="8"/>
      <c r="E266" s="8"/>
      <c r="F266" s="9"/>
      <c r="G266" s="10"/>
      <c r="H266" s="9"/>
      <c r="I266" s="4"/>
      <c r="J266" s="4"/>
      <c r="K266" s="11"/>
      <c r="L266" s="4"/>
      <c r="M266" s="4"/>
      <c r="N266" s="4"/>
      <c r="O266" s="4"/>
      <c r="P266" s="4"/>
      <c r="Q266" s="4"/>
      <c r="R266" s="4"/>
      <c r="S266" s="4"/>
      <c r="T266" s="4"/>
      <c r="U266" s="4"/>
      <c r="V266" s="4"/>
      <c r="W266" s="4"/>
      <c r="X266" s="4"/>
    </row>
    <row r="267" spans="1:24" ht="15.6" x14ac:dyDescent="0.3">
      <c r="A267" s="6"/>
      <c r="B267" s="7"/>
      <c r="C267" s="136"/>
      <c r="D267" s="8"/>
      <c r="E267" s="8"/>
      <c r="F267" s="9"/>
      <c r="G267" s="10"/>
      <c r="H267" s="9"/>
      <c r="I267" s="4"/>
      <c r="J267" s="4"/>
      <c r="K267" s="11"/>
      <c r="L267" s="4"/>
      <c r="M267" s="4"/>
      <c r="N267" s="4"/>
      <c r="O267" s="4"/>
      <c r="P267" s="4"/>
      <c r="Q267" s="4"/>
      <c r="R267" s="4"/>
      <c r="S267" s="4"/>
      <c r="T267" s="4"/>
      <c r="U267" s="4"/>
      <c r="V267" s="4"/>
      <c r="W267" s="4"/>
      <c r="X267" s="4"/>
    </row>
    <row r="268" spans="1:24" ht="15.6" x14ac:dyDescent="0.3">
      <c r="A268" s="6"/>
      <c r="B268" s="7"/>
      <c r="C268" s="136"/>
      <c r="D268" s="8"/>
      <c r="E268" s="8"/>
      <c r="F268" s="9"/>
      <c r="G268" s="10"/>
      <c r="H268" s="9"/>
      <c r="I268" s="4"/>
      <c r="J268" s="4"/>
      <c r="K268" s="11"/>
      <c r="L268" s="4"/>
      <c r="M268" s="4"/>
      <c r="N268" s="4"/>
      <c r="O268" s="4"/>
      <c r="P268" s="4"/>
      <c r="Q268" s="4"/>
      <c r="R268" s="4"/>
      <c r="S268" s="4"/>
      <c r="T268" s="4"/>
      <c r="U268" s="4"/>
      <c r="V268" s="4"/>
      <c r="W268" s="4"/>
      <c r="X268" s="4"/>
    </row>
    <row r="269" spans="1:24" ht="15.6" x14ac:dyDescent="0.3">
      <c r="A269" s="6"/>
      <c r="B269" s="7"/>
      <c r="C269" s="136"/>
      <c r="D269" s="8"/>
      <c r="E269" s="8"/>
      <c r="F269" s="9"/>
      <c r="G269" s="10"/>
      <c r="H269" s="9"/>
      <c r="I269" s="4"/>
      <c r="J269" s="4"/>
      <c r="K269" s="11"/>
      <c r="L269" s="4"/>
      <c r="M269" s="4"/>
      <c r="N269" s="4"/>
      <c r="O269" s="4"/>
      <c r="P269" s="4"/>
      <c r="Q269" s="4"/>
      <c r="R269" s="4"/>
      <c r="S269" s="4"/>
      <c r="T269" s="4"/>
      <c r="U269" s="4"/>
      <c r="V269" s="4"/>
      <c r="W269" s="4"/>
      <c r="X269" s="4"/>
    </row>
    <row r="270" spans="1:24" ht="15.6" x14ac:dyDescent="0.3">
      <c r="A270" s="6"/>
      <c r="B270" s="7"/>
      <c r="C270" s="136"/>
      <c r="D270" s="8"/>
      <c r="E270" s="8"/>
      <c r="F270" s="9"/>
      <c r="G270" s="10"/>
      <c r="H270" s="9"/>
      <c r="I270" s="4"/>
      <c r="J270" s="4"/>
      <c r="K270" s="11"/>
      <c r="L270" s="4"/>
      <c r="M270" s="4"/>
      <c r="N270" s="4"/>
      <c r="O270" s="4"/>
      <c r="P270" s="4"/>
      <c r="Q270" s="4"/>
      <c r="R270" s="4"/>
      <c r="S270" s="4"/>
      <c r="T270" s="4"/>
      <c r="U270" s="4"/>
      <c r="V270" s="4"/>
      <c r="W270" s="4"/>
      <c r="X270" s="4"/>
    </row>
    <row r="271" spans="1:24" ht="15.6" x14ac:dyDescent="0.3">
      <c r="A271" s="6"/>
      <c r="B271" s="7"/>
      <c r="C271" s="136"/>
      <c r="D271" s="8"/>
      <c r="E271" s="8"/>
      <c r="F271" s="9"/>
      <c r="G271" s="10"/>
      <c r="H271" s="9"/>
      <c r="I271" s="4"/>
      <c r="J271" s="4"/>
      <c r="K271" s="11"/>
      <c r="L271" s="4"/>
      <c r="M271" s="4"/>
      <c r="N271" s="4"/>
      <c r="O271" s="4"/>
      <c r="P271" s="4"/>
      <c r="Q271" s="4"/>
      <c r="R271" s="4"/>
      <c r="S271" s="4"/>
      <c r="T271" s="4"/>
      <c r="U271" s="4"/>
      <c r="V271" s="4"/>
      <c r="W271" s="4"/>
      <c r="X271" s="4"/>
    </row>
    <row r="272" spans="1:24" ht="15.6" x14ac:dyDescent="0.3">
      <c r="A272" s="6"/>
      <c r="B272" s="7"/>
      <c r="C272" s="136"/>
      <c r="D272" s="8"/>
      <c r="E272" s="8"/>
      <c r="F272" s="9"/>
      <c r="G272" s="10"/>
      <c r="H272" s="9"/>
      <c r="I272" s="4"/>
      <c r="J272" s="4"/>
      <c r="K272" s="11"/>
      <c r="L272" s="4"/>
      <c r="M272" s="4"/>
      <c r="N272" s="4"/>
      <c r="O272" s="4"/>
      <c r="P272" s="4"/>
      <c r="Q272" s="4"/>
      <c r="R272" s="4"/>
      <c r="S272" s="4"/>
      <c r="T272" s="4"/>
      <c r="U272" s="4"/>
      <c r="V272" s="4"/>
      <c r="W272" s="4"/>
      <c r="X272" s="4"/>
    </row>
    <row r="273" spans="1:24" ht="15.6" x14ac:dyDescent="0.3">
      <c r="A273" s="6"/>
      <c r="B273" s="7"/>
      <c r="C273" s="136"/>
      <c r="D273" s="8"/>
      <c r="E273" s="8"/>
      <c r="F273" s="9"/>
      <c r="G273" s="10"/>
      <c r="H273" s="9"/>
      <c r="I273" s="4"/>
      <c r="J273" s="4"/>
      <c r="K273" s="11"/>
      <c r="L273" s="4"/>
      <c r="M273" s="4"/>
      <c r="N273" s="4"/>
      <c r="O273" s="4"/>
      <c r="P273" s="4"/>
      <c r="Q273" s="4"/>
      <c r="R273" s="4"/>
      <c r="S273" s="4"/>
      <c r="T273" s="4"/>
      <c r="U273" s="4"/>
      <c r="V273" s="4"/>
      <c r="W273" s="4"/>
      <c r="X273" s="4"/>
    </row>
    <row r="274" spans="1:24" ht="15.6" x14ac:dyDescent="0.3">
      <c r="A274" s="6"/>
      <c r="B274" s="7"/>
      <c r="C274" s="136"/>
      <c r="D274" s="8"/>
      <c r="E274" s="8"/>
      <c r="F274" s="9"/>
      <c r="G274" s="10"/>
      <c r="H274" s="9"/>
      <c r="I274" s="4"/>
      <c r="J274" s="4"/>
      <c r="K274" s="11"/>
      <c r="L274" s="4"/>
      <c r="M274" s="4"/>
      <c r="N274" s="4"/>
      <c r="O274" s="4"/>
      <c r="P274" s="4"/>
      <c r="Q274" s="4"/>
      <c r="R274" s="4"/>
      <c r="S274" s="4"/>
      <c r="T274" s="4"/>
      <c r="U274" s="4"/>
      <c r="V274" s="4"/>
      <c r="W274" s="4"/>
      <c r="X274" s="4"/>
    </row>
    <row r="275" spans="1:24" ht="15.6" x14ac:dyDescent="0.3">
      <c r="A275" s="6"/>
      <c r="B275" s="7"/>
      <c r="C275" s="136"/>
      <c r="D275" s="8"/>
      <c r="E275" s="8"/>
      <c r="F275" s="9"/>
      <c r="G275" s="10"/>
      <c r="H275" s="9"/>
      <c r="I275" s="4"/>
      <c r="J275" s="4"/>
      <c r="K275" s="11"/>
      <c r="L275" s="4"/>
      <c r="M275" s="4"/>
      <c r="N275" s="4"/>
      <c r="O275" s="4"/>
      <c r="P275" s="4"/>
      <c r="Q275" s="4"/>
      <c r="R275" s="4"/>
      <c r="S275" s="4"/>
      <c r="T275" s="4"/>
      <c r="U275" s="4"/>
      <c r="V275" s="4"/>
      <c r="W275" s="4"/>
      <c r="X275" s="4"/>
    </row>
    <row r="276" spans="1:24" ht="15.6" x14ac:dyDescent="0.3">
      <c r="A276" s="6"/>
      <c r="B276" s="7"/>
      <c r="C276" s="136"/>
      <c r="D276" s="8"/>
      <c r="E276" s="8"/>
      <c r="F276" s="9"/>
      <c r="G276" s="10"/>
      <c r="H276" s="9"/>
      <c r="I276" s="4"/>
      <c r="J276" s="4"/>
      <c r="K276" s="11"/>
      <c r="L276" s="4"/>
      <c r="M276" s="4"/>
      <c r="N276" s="4"/>
      <c r="O276" s="4"/>
      <c r="P276" s="4"/>
      <c r="Q276" s="4"/>
      <c r="R276" s="4"/>
      <c r="S276" s="4"/>
      <c r="T276" s="4"/>
      <c r="U276" s="4"/>
      <c r="V276" s="4"/>
      <c r="W276" s="4"/>
      <c r="X276" s="4"/>
    </row>
    <row r="277" spans="1:24" ht="15.6" x14ac:dyDescent="0.3">
      <c r="A277" s="6"/>
      <c r="B277" s="7"/>
      <c r="C277" s="136"/>
      <c r="D277" s="8"/>
      <c r="E277" s="8"/>
      <c r="F277" s="9"/>
      <c r="G277" s="10"/>
      <c r="H277" s="9"/>
      <c r="I277" s="4"/>
      <c r="J277" s="4"/>
      <c r="K277" s="11"/>
      <c r="L277" s="4"/>
      <c r="M277" s="4"/>
      <c r="N277" s="4"/>
      <c r="O277" s="4"/>
      <c r="P277" s="4"/>
      <c r="Q277" s="4"/>
      <c r="R277" s="4"/>
      <c r="S277" s="4"/>
      <c r="T277" s="4"/>
      <c r="U277" s="4"/>
      <c r="V277" s="4"/>
      <c r="W277" s="4"/>
      <c r="X277" s="4"/>
    </row>
    <row r="278" spans="1:24" ht="15.6" x14ac:dyDescent="0.3">
      <c r="A278" s="6"/>
      <c r="B278" s="7"/>
      <c r="C278" s="136"/>
      <c r="D278" s="8"/>
      <c r="E278" s="8"/>
      <c r="F278" s="9"/>
      <c r="G278" s="10"/>
      <c r="H278" s="9"/>
      <c r="I278" s="4"/>
      <c r="J278" s="4"/>
      <c r="K278" s="11"/>
      <c r="L278" s="4"/>
      <c r="M278" s="4"/>
      <c r="N278" s="4"/>
      <c r="O278" s="4"/>
      <c r="P278" s="4"/>
      <c r="Q278" s="4"/>
      <c r="R278" s="4"/>
      <c r="S278" s="4"/>
      <c r="T278" s="4"/>
      <c r="U278" s="4"/>
      <c r="V278" s="4"/>
      <c r="W278" s="4"/>
      <c r="X278" s="4"/>
    </row>
    <row r="279" spans="1:24" ht="15.6" x14ac:dyDescent="0.3">
      <c r="A279" s="6"/>
      <c r="B279" s="7"/>
      <c r="C279" s="136"/>
      <c r="D279" s="8"/>
      <c r="E279" s="8"/>
      <c r="F279" s="9"/>
      <c r="G279" s="10"/>
      <c r="H279" s="9"/>
      <c r="I279" s="4"/>
      <c r="J279" s="4"/>
      <c r="K279" s="11"/>
      <c r="L279" s="4"/>
      <c r="M279" s="4"/>
      <c r="N279" s="4"/>
      <c r="O279" s="4"/>
      <c r="P279" s="4"/>
      <c r="Q279" s="4"/>
      <c r="R279" s="4"/>
      <c r="S279" s="4"/>
      <c r="T279" s="4"/>
      <c r="U279" s="4"/>
      <c r="V279" s="4"/>
      <c r="W279" s="4"/>
      <c r="X279" s="4"/>
    </row>
    <row r="280" spans="1:24" ht="15.6" x14ac:dyDescent="0.3">
      <c r="A280" s="6"/>
      <c r="B280" s="7"/>
      <c r="C280" s="136"/>
      <c r="D280" s="8"/>
      <c r="E280" s="8"/>
      <c r="F280" s="9"/>
      <c r="G280" s="10"/>
      <c r="H280" s="9"/>
      <c r="I280" s="4"/>
      <c r="J280" s="4"/>
      <c r="K280" s="11"/>
      <c r="L280" s="4"/>
      <c r="M280" s="4"/>
      <c r="N280" s="4"/>
      <c r="O280" s="4"/>
      <c r="P280" s="4"/>
      <c r="Q280" s="4"/>
      <c r="R280" s="4"/>
      <c r="S280" s="4"/>
      <c r="T280" s="4"/>
      <c r="U280" s="4"/>
      <c r="V280" s="4"/>
      <c r="W280" s="4"/>
      <c r="X280" s="4"/>
    </row>
    <row r="281" spans="1:24" ht="15.6" x14ac:dyDescent="0.3">
      <c r="A281" s="6"/>
      <c r="B281" s="7"/>
      <c r="C281" s="136"/>
      <c r="D281" s="8"/>
      <c r="E281" s="8"/>
      <c r="F281" s="9"/>
      <c r="G281" s="10"/>
      <c r="H281" s="9"/>
      <c r="I281" s="4"/>
      <c r="J281" s="4"/>
      <c r="K281" s="11"/>
      <c r="L281" s="4"/>
      <c r="M281" s="4"/>
      <c r="N281" s="4"/>
      <c r="O281" s="4"/>
      <c r="P281" s="4"/>
      <c r="Q281" s="4"/>
      <c r="R281" s="4"/>
      <c r="S281" s="4"/>
      <c r="T281" s="4"/>
      <c r="U281" s="4"/>
      <c r="V281" s="4"/>
      <c r="W281" s="4"/>
      <c r="X281" s="4"/>
    </row>
    <row r="282" spans="1:24" ht="15.6" x14ac:dyDescent="0.3">
      <c r="A282" s="6"/>
      <c r="B282" s="7"/>
      <c r="C282" s="136"/>
      <c r="D282" s="8"/>
      <c r="E282" s="8"/>
      <c r="F282" s="9"/>
      <c r="G282" s="10"/>
      <c r="H282" s="9"/>
      <c r="I282" s="4"/>
      <c r="J282" s="4"/>
      <c r="K282" s="11"/>
      <c r="L282" s="4"/>
      <c r="M282" s="4"/>
      <c r="N282" s="4"/>
      <c r="O282" s="4"/>
      <c r="P282" s="4"/>
      <c r="Q282" s="4"/>
      <c r="R282" s="4"/>
      <c r="S282" s="4"/>
      <c r="T282" s="4"/>
      <c r="U282" s="4"/>
      <c r="V282" s="4"/>
      <c r="W282" s="4"/>
      <c r="X282" s="4"/>
    </row>
    <row r="283" spans="1:24" ht="15.6" x14ac:dyDescent="0.3">
      <c r="A283" s="6"/>
      <c r="B283" s="7"/>
      <c r="C283" s="136"/>
      <c r="D283" s="8"/>
      <c r="E283" s="8"/>
      <c r="F283" s="9"/>
      <c r="G283" s="10"/>
      <c r="H283" s="9"/>
      <c r="I283" s="4"/>
      <c r="J283" s="4"/>
      <c r="K283" s="11"/>
      <c r="L283" s="4"/>
      <c r="M283" s="4"/>
      <c r="N283" s="4"/>
      <c r="O283" s="4"/>
      <c r="P283" s="4"/>
      <c r="Q283" s="4"/>
      <c r="R283" s="4"/>
      <c r="S283" s="4"/>
      <c r="T283" s="4"/>
      <c r="U283" s="4"/>
      <c r="V283" s="4"/>
      <c r="W283" s="4"/>
      <c r="X283" s="4"/>
    </row>
    <row r="284" spans="1:24" ht="15.6" x14ac:dyDescent="0.3">
      <c r="A284" s="6"/>
      <c r="B284" s="7"/>
      <c r="C284" s="136"/>
      <c r="D284" s="8"/>
      <c r="E284" s="8"/>
      <c r="F284" s="9"/>
      <c r="G284" s="10"/>
      <c r="H284" s="9"/>
      <c r="I284" s="4"/>
      <c r="J284" s="4"/>
      <c r="K284" s="11"/>
      <c r="L284" s="4"/>
      <c r="M284" s="4"/>
      <c r="N284" s="4"/>
      <c r="O284" s="4"/>
      <c r="P284" s="4"/>
      <c r="Q284" s="4"/>
      <c r="R284" s="4"/>
      <c r="S284" s="4"/>
      <c r="T284" s="4"/>
      <c r="U284" s="4"/>
      <c r="V284" s="4"/>
      <c r="W284" s="4"/>
      <c r="X284" s="4"/>
    </row>
    <row r="285" spans="1:24" ht="15.6" x14ac:dyDescent="0.3">
      <c r="A285" s="6"/>
      <c r="B285" s="7"/>
      <c r="C285" s="136"/>
      <c r="D285" s="8"/>
      <c r="E285" s="8"/>
      <c r="F285" s="9"/>
      <c r="G285" s="10"/>
      <c r="H285" s="9"/>
      <c r="I285" s="4"/>
      <c r="J285" s="4"/>
      <c r="K285" s="11"/>
      <c r="L285" s="4"/>
      <c r="M285" s="4"/>
      <c r="N285" s="4"/>
      <c r="O285" s="4"/>
      <c r="P285" s="4"/>
      <c r="Q285" s="4"/>
      <c r="R285" s="4"/>
      <c r="S285" s="4"/>
      <c r="T285" s="4"/>
      <c r="U285" s="4"/>
      <c r="V285" s="4"/>
      <c r="W285" s="4"/>
      <c r="X285" s="4"/>
    </row>
    <row r="286" spans="1:24" ht="15.6" x14ac:dyDescent="0.3">
      <c r="A286" s="6"/>
      <c r="B286" s="7"/>
      <c r="C286" s="136"/>
      <c r="D286" s="8"/>
      <c r="E286" s="8"/>
      <c r="F286" s="9"/>
      <c r="G286" s="10"/>
      <c r="H286" s="9"/>
      <c r="I286" s="4"/>
      <c r="J286" s="4"/>
      <c r="K286" s="11"/>
      <c r="L286" s="4"/>
      <c r="M286" s="4"/>
      <c r="N286" s="4"/>
      <c r="O286" s="4"/>
      <c r="P286" s="4"/>
      <c r="Q286" s="4"/>
      <c r="R286" s="4"/>
      <c r="S286" s="4"/>
      <c r="T286" s="4"/>
      <c r="U286" s="4"/>
      <c r="V286" s="4"/>
      <c r="W286" s="4"/>
      <c r="X286" s="4"/>
    </row>
    <row r="287" spans="1:24" ht="15.6" x14ac:dyDescent="0.3">
      <c r="A287" s="6"/>
      <c r="B287" s="7"/>
      <c r="C287" s="136"/>
      <c r="D287" s="8"/>
      <c r="E287" s="8"/>
      <c r="F287" s="9"/>
      <c r="G287" s="10"/>
      <c r="H287" s="9"/>
      <c r="I287" s="4"/>
      <c r="J287" s="4"/>
      <c r="K287" s="11"/>
      <c r="L287" s="4"/>
      <c r="M287" s="4"/>
      <c r="N287" s="4"/>
      <c r="O287" s="4"/>
      <c r="P287" s="4"/>
      <c r="Q287" s="4"/>
      <c r="R287" s="4"/>
      <c r="S287" s="4"/>
      <c r="T287" s="4"/>
      <c r="U287" s="4"/>
      <c r="V287" s="4"/>
      <c r="W287" s="4"/>
      <c r="X287" s="4"/>
    </row>
    <row r="288" spans="1:24" ht="15.6" x14ac:dyDescent="0.3">
      <c r="A288" s="6"/>
      <c r="B288" s="7"/>
      <c r="C288" s="136"/>
      <c r="D288" s="8"/>
      <c r="E288" s="8"/>
      <c r="F288" s="9"/>
      <c r="G288" s="10"/>
      <c r="H288" s="9"/>
      <c r="I288" s="4"/>
      <c r="J288" s="4"/>
      <c r="K288" s="11"/>
      <c r="L288" s="4"/>
      <c r="M288" s="4"/>
      <c r="N288" s="4"/>
      <c r="O288" s="4"/>
      <c r="P288" s="4"/>
      <c r="Q288" s="4"/>
      <c r="R288" s="4"/>
      <c r="S288" s="4"/>
      <c r="T288" s="4"/>
      <c r="U288" s="4"/>
      <c r="V288" s="4"/>
      <c r="W288" s="4"/>
      <c r="X288" s="4"/>
    </row>
    <row r="289" spans="1:24" ht="15.6" x14ac:dyDescent="0.3">
      <c r="A289" s="6"/>
      <c r="B289" s="7"/>
      <c r="C289" s="136"/>
      <c r="D289" s="8"/>
      <c r="E289" s="8"/>
      <c r="F289" s="9"/>
      <c r="G289" s="10"/>
      <c r="H289" s="9"/>
      <c r="I289" s="4"/>
      <c r="J289" s="4"/>
      <c r="K289" s="11"/>
      <c r="L289" s="4"/>
      <c r="M289" s="4"/>
      <c r="N289" s="4"/>
      <c r="O289" s="4"/>
      <c r="P289" s="4"/>
      <c r="Q289" s="4"/>
      <c r="R289" s="4"/>
      <c r="S289" s="4"/>
      <c r="T289" s="4"/>
      <c r="U289" s="4"/>
      <c r="V289" s="4"/>
      <c r="W289" s="4"/>
      <c r="X289" s="4"/>
    </row>
    <row r="290" spans="1:24" ht="15.6" x14ac:dyDescent="0.3">
      <c r="A290" s="6"/>
      <c r="B290" s="7"/>
      <c r="C290" s="136"/>
      <c r="D290" s="8"/>
      <c r="E290" s="8"/>
      <c r="F290" s="9"/>
      <c r="G290" s="10"/>
      <c r="H290" s="9"/>
      <c r="I290" s="4"/>
      <c r="J290" s="4"/>
      <c r="K290" s="11"/>
      <c r="L290" s="4"/>
      <c r="M290" s="4"/>
      <c r="N290" s="4"/>
      <c r="O290" s="4"/>
      <c r="P290" s="4"/>
      <c r="Q290" s="4"/>
      <c r="R290" s="4"/>
      <c r="S290" s="4"/>
      <c r="T290" s="4"/>
      <c r="U290" s="4"/>
      <c r="V290" s="4"/>
      <c r="W290" s="4"/>
      <c r="X290" s="4"/>
    </row>
    <row r="291" spans="1:24" ht="15.6" x14ac:dyDescent="0.3">
      <c r="A291" s="6"/>
      <c r="B291" s="7"/>
      <c r="C291" s="136"/>
      <c r="D291" s="8"/>
      <c r="E291" s="8"/>
      <c r="F291" s="9"/>
      <c r="G291" s="10"/>
      <c r="H291" s="9"/>
      <c r="I291" s="4"/>
      <c r="J291" s="4"/>
      <c r="K291" s="11"/>
      <c r="L291" s="4"/>
      <c r="M291" s="4"/>
      <c r="N291" s="4"/>
      <c r="O291" s="4"/>
      <c r="P291" s="4"/>
      <c r="Q291" s="4"/>
      <c r="R291" s="4"/>
      <c r="S291" s="4"/>
      <c r="T291" s="4"/>
      <c r="U291" s="4"/>
      <c r="V291" s="4"/>
      <c r="W291" s="4"/>
      <c r="X291" s="4"/>
    </row>
    <row r="292" spans="1:24" ht="15.6" x14ac:dyDescent="0.3">
      <c r="A292" s="6"/>
      <c r="B292" s="7"/>
      <c r="C292" s="136"/>
      <c r="D292" s="8"/>
      <c r="E292" s="8"/>
      <c r="F292" s="9"/>
      <c r="G292" s="10"/>
      <c r="H292" s="9"/>
      <c r="I292" s="4"/>
      <c r="J292" s="4"/>
      <c r="K292" s="11"/>
      <c r="L292" s="4"/>
      <c r="M292" s="4"/>
      <c r="N292" s="4"/>
      <c r="O292" s="4"/>
      <c r="P292" s="4"/>
      <c r="Q292" s="4"/>
      <c r="R292" s="4"/>
      <c r="S292" s="4"/>
      <c r="T292" s="4"/>
      <c r="U292" s="4"/>
      <c r="V292" s="4"/>
      <c r="W292" s="4"/>
      <c r="X292" s="4"/>
    </row>
    <row r="293" spans="1:24" ht="15.6" x14ac:dyDescent="0.3">
      <c r="A293" s="6"/>
      <c r="B293" s="7"/>
      <c r="C293" s="136"/>
      <c r="D293" s="8"/>
      <c r="E293" s="8"/>
      <c r="F293" s="9"/>
      <c r="G293" s="10"/>
      <c r="H293" s="9"/>
      <c r="I293" s="4"/>
      <c r="J293" s="4"/>
      <c r="K293" s="11"/>
      <c r="L293" s="4"/>
      <c r="M293" s="4"/>
      <c r="N293" s="4"/>
      <c r="O293" s="4"/>
      <c r="P293" s="4"/>
      <c r="Q293" s="4"/>
      <c r="R293" s="4"/>
      <c r="S293" s="4"/>
      <c r="T293" s="4"/>
      <c r="U293" s="4"/>
      <c r="V293" s="4"/>
      <c r="W293" s="4"/>
      <c r="X293" s="4"/>
    </row>
    <row r="294" spans="1:24" ht="15.6" x14ac:dyDescent="0.3">
      <c r="A294" s="6"/>
      <c r="B294" s="7"/>
      <c r="C294" s="136"/>
      <c r="D294" s="8"/>
      <c r="E294" s="8"/>
      <c r="F294" s="9"/>
      <c r="G294" s="10"/>
      <c r="H294" s="9"/>
      <c r="I294" s="4"/>
      <c r="J294" s="4"/>
      <c r="K294" s="11"/>
      <c r="L294" s="4"/>
      <c r="M294" s="4"/>
      <c r="N294" s="4"/>
      <c r="O294" s="4"/>
      <c r="P294" s="4"/>
      <c r="Q294" s="4"/>
      <c r="R294" s="4"/>
      <c r="S294" s="4"/>
      <c r="T294" s="4"/>
      <c r="U294" s="4"/>
      <c r="V294" s="4"/>
      <c r="W294" s="4"/>
      <c r="X294" s="4"/>
    </row>
    <row r="295" spans="1:24" ht="15.6" x14ac:dyDescent="0.3">
      <c r="A295" s="6"/>
      <c r="B295" s="7"/>
      <c r="C295" s="136"/>
      <c r="D295" s="8"/>
      <c r="E295" s="8"/>
      <c r="F295" s="9"/>
      <c r="G295" s="10"/>
      <c r="H295" s="9"/>
      <c r="I295" s="4"/>
      <c r="J295" s="4"/>
      <c r="K295" s="11"/>
      <c r="L295" s="4"/>
      <c r="M295" s="4"/>
      <c r="N295" s="4"/>
      <c r="O295" s="4"/>
      <c r="P295" s="4"/>
      <c r="Q295" s="4"/>
      <c r="R295" s="4"/>
      <c r="S295" s="4"/>
      <c r="T295" s="4"/>
      <c r="U295" s="4"/>
      <c r="V295" s="4"/>
      <c r="W295" s="4"/>
      <c r="X295" s="4"/>
    </row>
    <row r="296" spans="1:24" ht="15.6" x14ac:dyDescent="0.3">
      <c r="A296" s="6"/>
      <c r="B296" s="7"/>
      <c r="C296" s="136"/>
      <c r="D296" s="8"/>
      <c r="E296" s="8"/>
      <c r="F296" s="9"/>
      <c r="G296" s="10"/>
      <c r="H296" s="9"/>
      <c r="I296" s="4"/>
      <c r="J296" s="4"/>
      <c r="K296" s="11"/>
      <c r="L296" s="4"/>
      <c r="M296" s="4"/>
      <c r="N296" s="4"/>
      <c r="O296" s="4"/>
      <c r="P296" s="4"/>
      <c r="Q296" s="4"/>
      <c r="R296" s="4"/>
      <c r="S296" s="4"/>
      <c r="T296" s="4"/>
      <c r="U296" s="4"/>
      <c r="V296" s="4"/>
      <c r="W296" s="4"/>
      <c r="X296" s="4"/>
    </row>
    <row r="297" spans="1:24" ht="15.6" x14ac:dyDescent="0.3">
      <c r="A297" s="6"/>
      <c r="B297" s="7"/>
      <c r="C297" s="136"/>
      <c r="D297" s="8"/>
      <c r="E297" s="8"/>
      <c r="F297" s="9"/>
      <c r="G297" s="10"/>
      <c r="H297" s="9"/>
      <c r="I297" s="4"/>
      <c r="J297" s="4"/>
      <c r="K297" s="11"/>
      <c r="L297" s="4"/>
      <c r="M297" s="4"/>
      <c r="N297" s="4"/>
      <c r="O297" s="4"/>
      <c r="P297" s="4"/>
      <c r="Q297" s="4"/>
      <c r="R297" s="4"/>
      <c r="S297" s="4"/>
      <c r="T297" s="4"/>
      <c r="U297" s="4"/>
      <c r="V297" s="4"/>
      <c r="W297" s="4"/>
      <c r="X297" s="4"/>
    </row>
    <row r="298" spans="1:24" ht="15.6" x14ac:dyDescent="0.3">
      <c r="A298" s="6"/>
      <c r="B298" s="7"/>
      <c r="C298" s="136"/>
      <c r="D298" s="8"/>
      <c r="E298" s="8"/>
      <c r="F298" s="9"/>
      <c r="G298" s="10"/>
      <c r="H298" s="9"/>
      <c r="I298" s="4"/>
      <c r="J298" s="4"/>
      <c r="K298" s="11"/>
      <c r="L298" s="4"/>
      <c r="M298" s="4"/>
      <c r="N298" s="4"/>
      <c r="O298" s="4"/>
      <c r="P298" s="4"/>
      <c r="Q298" s="4"/>
      <c r="R298" s="4"/>
      <c r="S298" s="4"/>
      <c r="T298" s="4"/>
      <c r="U298" s="4"/>
      <c r="V298" s="4"/>
      <c r="W298" s="4"/>
      <c r="X298" s="4"/>
    </row>
    <row r="299" spans="1:24" ht="15.6" x14ac:dyDescent="0.3">
      <c r="A299" s="6"/>
      <c r="B299" s="7"/>
      <c r="C299" s="136"/>
      <c r="D299" s="8"/>
      <c r="E299" s="8"/>
      <c r="F299" s="9"/>
      <c r="G299" s="10"/>
      <c r="H299" s="9"/>
      <c r="I299" s="4"/>
      <c r="J299" s="4"/>
      <c r="K299" s="11"/>
      <c r="L299" s="4"/>
      <c r="M299" s="4"/>
      <c r="N299" s="4"/>
      <c r="O299" s="4"/>
      <c r="P299" s="4"/>
      <c r="Q299" s="4"/>
      <c r="R299" s="4"/>
      <c r="S299" s="4"/>
      <c r="T299" s="4"/>
      <c r="U299" s="4"/>
      <c r="V299" s="4"/>
      <c r="W299" s="4"/>
      <c r="X299" s="4"/>
    </row>
    <row r="300" spans="1:24" ht="15.6" x14ac:dyDescent="0.3">
      <c r="A300" s="6"/>
      <c r="B300" s="7"/>
      <c r="C300" s="136"/>
      <c r="D300" s="8"/>
      <c r="E300" s="8"/>
      <c r="F300" s="9"/>
      <c r="G300" s="10"/>
      <c r="H300" s="9"/>
      <c r="I300" s="4"/>
      <c r="J300" s="4"/>
      <c r="K300" s="11"/>
      <c r="L300" s="4"/>
      <c r="M300" s="4"/>
      <c r="N300" s="4"/>
      <c r="O300" s="4"/>
      <c r="P300" s="4"/>
      <c r="Q300" s="4"/>
      <c r="R300" s="4"/>
      <c r="S300" s="4"/>
      <c r="T300" s="4"/>
      <c r="U300" s="4"/>
      <c r="V300" s="4"/>
      <c r="W300" s="4"/>
      <c r="X300" s="4"/>
    </row>
    <row r="301" spans="1:24" ht="15.6" x14ac:dyDescent="0.3">
      <c r="A301" s="6"/>
      <c r="B301" s="7"/>
      <c r="C301" s="136"/>
      <c r="D301" s="8"/>
      <c r="E301" s="8"/>
      <c r="F301" s="9"/>
      <c r="G301" s="10"/>
      <c r="H301" s="9"/>
      <c r="I301" s="4"/>
      <c r="J301" s="4"/>
      <c r="K301" s="11"/>
      <c r="L301" s="4"/>
      <c r="M301" s="4"/>
      <c r="N301" s="4"/>
      <c r="O301" s="4"/>
      <c r="P301" s="4"/>
      <c r="Q301" s="4"/>
      <c r="R301" s="4"/>
      <c r="S301" s="4"/>
      <c r="T301" s="4"/>
      <c r="U301" s="4"/>
      <c r="V301" s="4"/>
      <c r="W301" s="4"/>
      <c r="X301" s="4"/>
    </row>
    <row r="302" spans="1:24" ht="15.6" x14ac:dyDescent="0.3">
      <c r="A302" s="6"/>
      <c r="B302" s="7"/>
      <c r="C302" s="136"/>
      <c r="D302" s="8"/>
      <c r="E302" s="8"/>
      <c r="F302" s="9"/>
      <c r="G302" s="10"/>
      <c r="H302" s="9"/>
      <c r="I302" s="4"/>
      <c r="J302" s="4"/>
      <c r="K302" s="11"/>
      <c r="L302" s="4"/>
      <c r="M302" s="4"/>
      <c r="N302" s="4"/>
      <c r="O302" s="4"/>
      <c r="P302" s="4"/>
      <c r="Q302" s="4"/>
      <c r="R302" s="4"/>
      <c r="S302" s="4"/>
      <c r="T302" s="4"/>
      <c r="U302" s="4"/>
      <c r="V302" s="4"/>
      <c r="W302" s="4"/>
      <c r="X302" s="4"/>
    </row>
    <row r="303" spans="1:24" ht="15.6" x14ac:dyDescent="0.3">
      <c r="A303" s="6"/>
      <c r="B303" s="7"/>
      <c r="C303" s="136"/>
      <c r="D303" s="8"/>
      <c r="E303" s="8"/>
      <c r="F303" s="9"/>
      <c r="G303" s="10"/>
      <c r="H303" s="9"/>
      <c r="I303" s="4"/>
      <c r="J303" s="4"/>
      <c r="K303" s="11"/>
      <c r="L303" s="4"/>
      <c r="M303" s="4"/>
      <c r="N303" s="4"/>
      <c r="O303" s="4"/>
      <c r="P303" s="4"/>
      <c r="Q303" s="4"/>
      <c r="R303" s="4"/>
      <c r="S303" s="4"/>
      <c r="T303" s="4"/>
      <c r="U303" s="4"/>
      <c r="V303" s="4"/>
      <c r="W303" s="4"/>
      <c r="X303" s="4"/>
    </row>
    <row r="304" spans="1:24" ht="15.6" x14ac:dyDescent="0.3">
      <c r="A304" s="6"/>
      <c r="B304" s="7"/>
      <c r="C304" s="136"/>
      <c r="D304" s="8"/>
      <c r="E304" s="8"/>
      <c r="F304" s="9"/>
      <c r="G304" s="10"/>
      <c r="H304" s="9"/>
      <c r="I304" s="4"/>
      <c r="J304" s="4"/>
      <c r="K304" s="11"/>
      <c r="L304" s="4"/>
      <c r="M304" s="4"/>
      <c r="N304" s="4"/>
      <c r="O304" s="4"/>
      <c r="P304" s="4"/>
      <c r="Q304" s="4"/>
      <c r="R304" s="4"/>
      <c r="S304" s="4"/>
      <c r="T304" s="4"/>
      <c r="U304" s="4"/>
      <c r="V304" s="4"/>
      <c r="W304" s="4"/>
      <c r="X304" s="4"/>
    </row>
    <row r="305" spans="1:24" ht="15.6" x14ac:dyDescent="0.3">
      <c r="A305" s="6"/>
      <c r="B305" s="7"/>
      <c r="C305" s="136"/>
      <c r="D305" s="8"/>
      <c r="E305" s="8"/>
      <c r="F305" s="9"/>
      <c r="G305" s="10"/>
      <c r="H305" s="9"/>
      <c r="I305" s="4"/>
      <c r="J305" s="4"/>
      <c r="K305" s="11"/>
      <c r="L305" s="4"/>
      <c r="M305" s="4"/>
      <c r="N305" s="4"/>
      <c r="O305" s="4"/>
      <c r="P305" s="4"/>
      <c r="Q305" s="4"/>
      <c r="R305" s="4"/>
      <c r="S305" s="4"/>
      <c r="T305" s="4"/>
      <c r="U305" s="4"/>
      <c r="V305" s="4"/>
      <c r="W305" s="4"/>
      <c r="X305" s="4"/>
    </row>
    <row r="306" spans="1:24" ht="15.6" x14ac:dyDescent="0.3">
      <c r="A306" s="6"/>
      <c r="B306" s="7"/>
      <c r="C306" s="136"/>
      <c r="D306" s="8"/>
      <c r="E306" s="8"/>
      <c r="F306" s="9"/>
      <c r="G306" s="10"/>
      <c r="H306" s="9"/>
      <c r="I306" s="4"/>
      <c r="J306" s="4"/>
      <c r="K306" s="11"/>
      <c r="L306" s="4"/>
      <c r="M306" s="4"/>
      <c r="N306" s="4"/>
      <c r="O306" s="4"/>
      <c r="P306" s="4"/>
      <c r="Q306" s="4"/>
      <c r="R306" s="4"/>
      <c r="S306" s="4"/>
      <c r="T306" s="4"/>
      <c r="U306" s="4"/>
      <c r="V306" s="4"/>
      <c r="W306" s="4"/>
      <c r="X306" s="4"/>
    </row>
    <row r="307" spans="1:24" ht="15.6" x14ac:dyDescent="0.3">
      <c r="A307" s="6"/>
      <c r="B307" s="7"/>
      <c r="C307" s="136"/>
      <c r="D307" s="8"/>
      <c r="E307" s="8"/>
      <c r="F307" s="9"/>
      <c r="G307" s="10"/>
      <c r="H307" s="9"/>
      <c r="I307" s="4"/>
      <c r="J307" s="4"/>
      <c r="K307" s="11"/>
      <c r="L307" s="4"/>
      <c r="M307" s="4"/>
      <c r="N307" s="4"/>
      <c r="O307" s="4"/>
      <c r="P307" s="4"/>
      <c r="Q307" s="4"/>
      <c r="R307" s="4"/>
      <c r="S307" s="4"/>
      <c r="T307" s="4"/>
      <c r="U307" s="4"/>
      <c r="V307" s="4"/>
      <c r="W307" s="4"/>
      <c r="X307" s="4"/>
    </row>
    <row r="308" spans="1:24" ht="15.6" x14ac:dyDescent="0.3">
      <c r="A308" s="6"/>
      <c r="B308" s="7"/>
      <c r="C308" s="136"/>
      <c r="D308" s="8"/>
      <c r="E308" s="8"/>
      <c r="F308" s="9"/>
      <c r="G308" s="10"/>
      <c r="H308" s="9"/>
      <c r="I308" s="4"/>
      <c r="J308" s="4"/>
      <c r="K308" s="11"/>
      <c r="L308" s="4"/>
      <c r="M308" s="4"/>
      <c r="N308" s="4"/>
      <c r="O308" s="4"/>
      <c r="P308" s="4"/>
      <c r="Q308" s="4"/>
      <c r="R308" s="4"/>
      <c r="S308" s="4"/>
      <c r="T308" s="4"/>
      <c r="U308" s="4"/>
      <c r="V308" s="4"/>
      <c r="W308" s="4"/>
      <c r="X308" s="4"/>
    </row>
    <row r="309" spans="1:24" ht="15.6" x14ac:dyDescent="0.3">
      <c r="A309" s="6"/>
      <c r="B309" s="7"/>
      <c r="C309" s="136"/>
      <c r="D309" s="8"/>
      <c r="E309" s="8"/>
      <c r="F309" s="9"/>
      <c r="G309" s="10"/>
      <c r="H309" s="9"/>
      <c r="I309" s="4"/>
      <c r="J309" s="4"/>
      <c r="K309" s="11"/>
      <c r="L309" s="4"/>
      <c r="M309" s="4"/>
      <c r="N309" s="4"/>
      <c r="O309" s="4"/>
      <c r="P309" s="4"/>
      <c r="Q309" s="4"/>
      <c r="R309" s="4"/>
      <c r="S309" s="4"/>
      <c r="T309" s="4"/>
      <c r="U309" s="4"/>
      <c r="V309" s="4"/>
      <c r="W309" s="4"/>
      <c r="X309" s="4"/>
    </row>
    <row r="310" spans="1:24" ht="15.6" x14ac:dyDescent="0.3">
      <c r="A310" s="6"/>
      <c r="B310" s="7"/>
      <c r="C310" s="136"/>
      <c r="D310" s="8"/>
      <c r="E310" s="8"/>
      <c r="F310" s="9"/>
      <c r="G310" s="10"/>
      <c r="H310" s="9"/>
      <c r="I310" s="4"/>
      <c r="J310" s="4"/>
      <c r="K310" s="11"/>
      <c r="L310" s="4"/>
      <c r="M310" s="4"/>
      <c r="N310" s="4"/>
      <c r="O310" s="4"/>
      <c r="P310" s="4"/>
      <c r="Q310" s="4"/>
      <c r="R310" s="4"/>
      <c r="S310" s="4"/>
      <c r="T310" s="4"/>
      <c r="U310" s="4"/>
      <c r="V310" s="4"/>
      <c r="W310" s="4"/>
      <c r="X310" s="4"/>
    </row>
    <row r="311" spans="1:24" ht="15.6" x14ac:dyDescent="0.3">
      <c r="A311" s="6"/>
      <c r="B311" s="7"/>
      <c r="C311" s="136"/>
      <c r="D311" s="8"/>
      <c r="E311" s="8"/>
      <c r="F311" s="9"/>
      <c r="G311" s="10"/>
      <c r="H311" s="9"/>
      <c r="I311" s="4"/>
      <c r="J311" s="4"/>
      <c r="K311" s="11"/>
      <c r="L311" s="4"/>
      <c r="M311" s="4"/>
      <c r="N311" s="4"/>
      <c r="O311" s="4"/>
      <c r="P311" s="4"/>
      <c r="Q311" s="4"/>
      <c r="R311" s="4"/>
      <c r="S311" s="4"/>
      <c r="T311" s="4"/>
      <c r="U311" s="4"/>
      <c r="V311" s="4"/>
      <c r="W311" s="4"/>
      <c r="X311" s="4"/>
    </row>
    <row r="312" spans="1:24" ht="15.6" x14ac:dyDescent="0.3">
      <c r="A312" s="6"/>
      <c r="B312" s="7"/>
      <c r="C312" s="136"/>
      <c r="D312" s="8"/>
      <c r="E312" s="8"/>
      <c r="F312" s="9"/>
      <c r="G312" s="10"/>
      <c r="H312" s="9"/>
      <c r="I312" s="4"/>
      <c r="J312" s="4"/>
      <c r="K312" s="11"/>
      <c r="L312" s="4"/>
      <c r="M312" s="4"/>
      <c r="N312" s="4"/>
      <c r="O312" s="4"/>
      <c r="P312" s="4"/>
      <c r="Q312" s="4"/>
      <c r="R312" s="4"/>
      <c r="S312" s="4"/>
      <c r="T312" s="4"/>
      <c r="U312" s="4"/>
      <c r="V312" s="4"/>
      <c r="W312" s="4"/>
      <c r="X312" s="4"/>
    </row>
    <row r="313" spans="1:24" ht="15.6" x14ac:dyDescent="0.3">
      <c r="A313" s="6"/>
      <c r="B313" s="7"/>
      <c r="C313" s="136"/>
      <c r="D313" s="8"/>
      <c r="E313" s="8"/>
      <c r="F313" s="9"/>
      <c r="G313" s="10"/>
      <c r="H313" s="9"/>
      <c r="I313" s="4"/>
      <c r="J313" s="4"/>
      <c r="K313" s="11"/>
      <c r="L313" s="4"/>
      <c r="M313" s="4"/>
      <c r="N313" s="4"/>
      <c r="O313" s="4"/>
      <c r="P313" s="4"/>
      <c r="Q313" s="4"/>
      <c r="R313" s="4"/>
      <c r="S313" s="4"/>
      <c r="T313" s="4"/>
      <c r="U313" s="4"/>
      <c r="V313" s="4"/>
      <c r="W313" s="4"/>
      <c r="X313" s="4"/>
    </row>
    <row r="314" spans="1:24" ht="15.6" x14ac:dyDescent="0.3">
      <c r="A314" s="6"/>
      <c r="B314" s="7"/>
      <c r="C314" s="136"/>
      <c r="D314" s="8"/>
      <c r="E314" s="8"/>
      <c r="F314" s="9"/>
      <c r="G314" s="10"/>
      <c r="H314" s="9"/>
      <c r="I314" s="4"/>
      <c r="J314" s="4"/>
      <c r="K314" s="11"/>
      <c r="L314" s="4"/>
      <c r="M314" s="4"/>
      <c r="N314" s="4"/>
      <c r="O314" s="4"/>
      <c r="P314" s="4"/>
      <c r="Q314" s="4"/>
      <c r="R314" s="4"/>
      <c r="S314" s="4"/>
      <c r="T314" s="4"/>
      <c r="U314" s="4"/>
      <c r="V314" s="4"/>
      <c r="W314" s="4"/>
      <c r="X314" s="4"/>
    </row>
    <row r="315" spans="1:24" ht="15.6" x14ac:dyDescent="0.3">
      <c r="A315" s="6"/>
      <c r="B315" s="7"/>
      <c r="C315" s="136"/>
      <c r="D315" s="8"/>
      <c r="E315" s="8"/>
      <c r="F315" s="9"/>
      <c r="G315" s="10"/>
      <c r="H315" s="9"/>
      <c r="I315" s="4"/>
      <c r="J315" s="4"/>
      <c r="K315" s="11"/>
      <c r="L315" s="4"/>
      <c r="M315" s="4"/>
      <c r="N315" s="4"/>
      <c r="O315" s="4"/>
      <c r="P315" s="4"/>
      <c r="Q315" s="4"/>
      <c r="R315" s="4"/>
      <c r="S315" s="4"/>
      <c r="T315" s="4"/>
      <c r="U315" s="4"/>
      <c r="V315" s="4"/>
      <c r="W315" s="4"/>
      <c r="X315" s="4"/>
    </row>
    <row r="316" spans="1:24" ht="15.6" x14ac:dyDescent="0.3">
      <c r="A316" s="6"/>
      <c r="B316" s="7"/>
      <c r="C316" s="136"/>
      <c r="D316" s="8"/>
      <c r="E316" s="8"/>
      <c r="F316" s="9"/>
      <c r="G316" s="10"/>
      <c r="H316" s="9"/>
      <c r="I316" s="4"/>
      <c r="J316" s="4"/>
      <c r="K316" s="11"/>
      <c r="L316" s="4"/>
      <c r="M316" s="4"/>
      <c r="N316" s="4"/>
      <c r="O316" s="4"/>
      <c r="P316" s="4"/>
      <c r="Q316" s="4"/>
      <c r="R316" s="4"/>
      <c r="S316" s="4"/>
      <c r="T316" s="4"/>
      <c r="U316" s="4"/>
      <c r="V316" s="4"/>
      <c r="W316" s="4"/>
      <c r="X316" s="4"/>
    </row>
    <row r="317" spans="1:24" ht="15.6" x14ac:dyDescent="0.3">
      <c r="A317" s="6"/>
      <c r="B317" s="7"/>
      <c r="C317" s="136"/>
      <c r="D317" s="8"/>
      <c r="E317" s="8"/>
      <c r="F317" s="9"/>
      <c r="G317" s="10"/>
      <c r="H317" s="9"/>
      <c r="I317" s="4"/>
      <c r="J317" s="4"/>
      <c r="K317" s="11"/>
      <c r="L317" s="4"/>
      <c r="M317" s="4"/>
      <c r="N317" s="4"/>
      <c r="O317" s="4"/>
      <c r="P317" s="4"/>
      <c r="Q317" s="4"/>
      <c r="R317" s="4"/>
      <c r="S317" s="4"/>
      <c r="T317" s="4"/>
      <c r="U317" s="4"/>
      <c r="V317" s="4"/>
      <c r="W317" s="4"/>
      <c r="X317" s="4"/>
    </row>
    <row r="318" spans="1:24" ht="15.6" x14ac:dyDescent="0.3">
      <c r="A318" s="6"/>
      <c r="B318" s="7"/>
      <c r="C318" s="136"/>
      <c r="D318" s="8"/>
      <c r="E318" s="8"/>
      <c r="F318" s="9"/>
      <c r="G318" s="10"/>
      <c r="H318" s="9"/>
      <c r="I318" s="4"/>
      <c r="J318" s="4"/>
      <c r="K318" s="11"/>
      <c r="L318" s="4"/>
      <c r="M318" s="4"/>
      <c r="N318" s="4"/>
      <c r="O318" s="4"/>
      <c r="P318" s="4"/>
      <c r="Q318" s="4"/>
      <c r="R318" s="4"/>
      <c r="S318" s="4"/>
      <c r="T318" s="4"/>
      <c r="U318" s="4"/>
      <c r="V318" s="4"/>
      <c r="W318" s="4"/>
      <c r="X318" s="4"/>
    </row>
    <row r="319" spans="1:24" ht="15.6" x14ac:dyDescent="0.3">
      <c r="A319" s="6"/>
      <c r="B319" s="7"/>
      <c r="C319" s="136"/>
      <c r="D319" s="8"/>
      <c r="E319" s="8"/>
      <c r="F319" s="9"/>
      <c r="G319" s="10"/>
      <c r="H319" s="9"/>
      <c r="I319" s="4"/>
      <c r="J319" s="4"/>
      <c r="K319" s="11"/>
      <c r="L319" s="4"/>
      <c r="M319" s="4"/>
      <c r="N319" s="4"/>
      <c r="O319" s="4"/>
      <c r="P319" s="4"/>
      <c r="Q319" s="4"/>
      <c r="R319" s="4"/>
      <c r="S319" s="4"/>
      <c r="T319" s="4"/>
      <c r="U319" s="4"/>
      <c r="V319" s="4"/>
      <c r="W319" s="4"/>
      <c r="X319" s="4"/>
    </row>
    <row r="320" spans="1:24" ht="15.6" x14ac:dyDescent="0.3">
      <c r="A320" s="6"/>
      <c r="B320" s="7"/>
      <c r="C320" s="136"/>
      <c r="D320" s="8"/>
      <c r="E320" s="8"/>
      <c r="F320" s="9"/>
      <c r="G320" s="10"/>
      <c r="H320" s="9"/>
      <c r="I320" s="4"/>
      <c r="J320" s="4"/>
      <c r="K320" s="11"/>
      <c r="L320" s="4"/>
      <c r="M320" s="4"/>
      <c r="N320" s="4"/>
      <c r="O320" s="4"/>
      <c r="P320" s="4"/>
      <c r="Q320" s="4"/>
      <c r="R320" s="4"/>
      <c r="S320" s="4"/>
      <c r="T320" s="4"/>
      <c r="U320" s="4"/>
      <c r="V320" s="4"/>
      <c r="W320" s="4"/>
      <c r="X320" s="4"/>
    </row>
    <row r="321" spans="1:24" ht="15.6" x14ac:dyDescent="0.3">
      <c r="A321" s="6"/>
      <c r="B321" s="7"/>
      <c r="C321" s="136"/>
      <c r="D321" s="8"/>
      <c r="E321" s="8"/>
      <c r="F321" s="9"/>
      <c r="G321" s="10"/>
      <c r="H321" s="9"/>
      <c r="I321" s="4"/>
      <c r="J321" s="4"/>
      <c r="K321" s="11"/>
      <c r="L321" s="4"/>
      <c r="M321" s="4"/>
      <c r="N321" s="4"/>
      <c r="O321" s="4"/>
      <c r="P321" s="4"/>
      <c r="Q321" s="4"/>
      <c r="R321" s="4"/>
      <c r="S321" s="4"/>
      <c r="T321" s="4"/>
      <c r="U321" s="4"/>
      <c r="V321" s="4"/>
      <c r="W321" s="4"/>
      <c r="X321" s="4"/>
    </row>
    <row r="322" spans="1:24" ht="15.6" x14ac:dyDescent="0.3">
      <c r="A322" s="6"/>
      <c r="B322" s="7"/>
      <c r="C322" s="136"/>
      <c r="D322" s="8"/>
      <c r="E322" s="8"/>
      <c r="F322" s="9"/>
      <c r="G322" s="10"/>
      <c r="H322" s="9"/>
      <c r="I322" s="4"/>
      <c r="J322" s="4"/>
      <c r="K322" s="11"/>
      <c r="L322" s="4"/>
      <c r="M322" s="4"/>
      <c r="N322" s="4"/>
      <c r="O322" s="4"/>
      <c r="P322" s="4"/>
      <c r="Q322" s="4"/>
      <c r="R322" s="4"/>
      <c r="S322" s="4"/>
      <c r="T322" s="4"/>
      <c r="U322" s="4"/>
      <c r="V322" s="4"/>
      <c r="W322" s="4"/>
      <c r="X322" s="4"/>
    </row>
    <row r="323" spans="1:24" ht="15.6" x14ac:dyDescent="0.3">
      <c r="A323" s="6"/>
      <c r="B323" s="7"/>
      <c r="C323" s="136"/>
      <c r="D323" s="8"/>
      <c r="E323" s="8"/>
      <c r="F323" s="9"/>
      <c r="G323" s="10"/>
      <c r="H323" s="9"/>
      <c r="I323" s="4"/>
      <c r="J323" s="4"/>
      <c r="K323" s="11"/>
      <c r="L323" s="4"/>
      <c r="M323" s="4"/>
      <c r="N323" s="4"/>
      <c r="O323" s="4"/>
      <c r="P323" s="4"/>
      <c r="Q323" s="4"/>
      <c r="R323" s="4"/>
      <c r="S323" s="4"/>
      <c r="T323" s="4"/>
      <c r="U323" s="4"/>
      <c r="V323" s="4"/>
      <c r="W323" s="4"/>
      <c r="X323" s="4"/>
    </row>
    <row r="324" spans="1:24" ht="15.6" x14ac:dyDescent="0.3">
      <c r="A324" s="6"/>
      <c r="B324" s="7"/>
      <c r="C324" s="136"/>
      <c r="D324" s="8"/>
      <c r="E324" s="8"/>
      <c r="F324" s="9"/>
      <c r="G324" s="10"/>
      <c r="H324" s="9"/>
      <c r="I324" s="4"/>
      <c r="J324" s="4"/>
      <c r="K324" s="11"/>
      <c r="L324" s="4"/>
      <c r="M324" s="4"/>
      <c r="N324" s="4"/>
      <c r="O324" s="4"/>
      <c r="P324" s="4"/>
      <c r="Q324" s="4"/>
      <c r="R324" s="4"/>
      <c r="S324" s="4"/>
      <c r="T324" s="4"/>
      <c r="U324" s="4"/>
      <c r="V324" s="4"/>
      <c r="W324" s="4"/>
      <c r="X324" s="4"/>
    </row>
    <row r="325" spans="1:24" ht="15.6" x14ac:dyDescent="0.3">
      <c r="A325" s="6"/>
      <c r="B325" s="7"/>
      <c r="C325" s="136"/>
      <c r="D325" s="8"/>
      <c r="E325" s="8"/>
      <c r="F325" s="9"/>
      <c r="G325" s="10"/>
      <c r="H325" s="9"/>
      <c r="I325" s="4"/>
      <c r="J325" s="4"/>
      <c r="K325" s="11"/>
      <c r="L325" s="4"/>
      <c r="M325" s="4"/>
      <c r="N325" s="4"/>
      <c r="O325" s="4"/>
      <c r="P325" s="4"/>
      <c r="Q325" s="4"/>
      <c r="R325" s="4"/>
      <c r="S325" s="4"/>
      <c r="T325" s="4"/>
      <c r="U325" s="4"/>
      <c r="V325" s="4"/>
      <c r="W325" s="4"/>
      <c r="X325" s="4"/>
    </row>
    <row r="326" spans="1:24" ht="15.6" x14ac:dyDescent="0.3">
      <c r="A326" s="6"/>
      <c r="B326" s="7"/>
      <c r="C326" s="136"/>
      <c r="D326" s="8"/>
      <c r="E326" s="8"/>
      <c r="F326" s="9"/>
      <c r="G326" s="10"/>
      <c r="H326" s="9"/>
      <c r="I326" s="4"/>
      <c r="J326" s="4"/>
      <c r="K326" s="11"/>
      <c r="L326" s="4"/>
      <c r="M326" s="4"/>
      <c r="N326" s="4"/>
      <c r="O326" s="4"/>
      <c r="P326" s="4"/>
      <c r="Q326" s="4"/>
      <c r="R326" s="4"/>
      <c r="S326" s="4"/>
      <c r="T326" s="4"/>
      <c r="U326" s="4"/>
      <c r="V326" s="4"/>
      <c r="W326" s="4"/>
      <c r="X326" s="4"/>
    </row>
    <row r="327" spans="1:24" ht="15.6" x14ac:dyDescent="0.3">
      <c r="A327" s="6"/>
      <c r="B327" s="7"/>
      <c r="C327" s="136"/>
      <c r="D327" s="8"/>
      <c r="E327" s="8"/>
      <c r="F327" s="9"/>
      <c r="G327" s="10"/>
      <c r="H327" s="9"/>
      <c r="I327" s="4"/>
      <c r="J327" s="4"/>
      <c r="K327" s="11"/>
      <c r="L327" s="4"/>
      <c r="M327" s="4"/>
      <c r="N327" s="4"/>
      <c r="O327" s="4"/>
      <c r="P327" s="4"/>
      <c r="Q327" s="4"/>
      <c r="R327" s="4"/>
      <c r="S327" s="4"/>
      <c r="T327" s="4"/>
      <c r="U327" s="4"/>
      <c r="V327" s="4"/>
      <c r="W327" s="4"/>
      <c r="X327" s="4"/>
    </row>
    <row r="328" spans="1:24" ht="15.6" x14ac:dyDescent="0.3">
      <c r="A328" s="6"/>
      <c r="B328" s="7"/>
      <c r="C328" s="136"/>
      <c r="D328" s="8"/>
      <c r="E328" s="8"/>
      <c r="F328" s="9"/>
      <c r="G328" s="10"/>
      <c r="H328" s="9"/>
      <c r="I328" s="4"/>
      <c r="J328" s="4"/>
      <c r="K328" s="11"/>
      <c r="L328" s="4"/>
      <c r="M328" s="4"/>
      <c r="N328" s="4"/>
      <c r="O328" s="4"/>
      <c r="P328" s="4"/>
      <c r="Q328" s="4"/>
      <c r="R328" s="4"/>
      <c r="S328" s="4"/>
      <c r="T328" s="4"/>
      <c r="U328" s="4"/>
      <c r="V328" s="4"/>
      <c r="W328" s="4"/>
      <c r="X328" s="4"/>
    </row>
    <row r="329" spans="1:24" ht="15.6" x14ac:dyDescent="0.3">
      <c r="A329" s="6"/>
      <c r="B329" s="7"/>
      <c r="C329" s="136"/>
      <c r="D329" s="8"/>
      <c r="E329" s="8"/>
      <c r="F329" s="9"/>
      <c r="G329" s="10"/>
      <c r="H329" s="9"/>
      <c r="I329" s="4"/>
      <c r="J329" s="4"/>
      <c r="K329" s="11"/>
      <c r="L329" s="4"/>
      <c r="M329" s="4"/>
      <c r="N329" s="4"/>
      <c r="O329" s="4"/>
      <c r="P329" s="4"/>
      <c r="Q329" s="4"/>
      <c r="R329" s="4"/>
      <c r="S329" s="4"/>
      <c r="T329" s="4"/>
      <c r="U329" s="4"/>
      <c r="V329" s="4"/>
      <c r="W329" s="4"/>
      <c r="X329" s="4"/>
    </row>
    <row r="330" spans="1:24" ht="15.6" x14ac:dyDescent="0.3">
      <c r="A330" s="6"/>
      <c r="B330" s="7"/>
      <c r="C330" s="136"/>
      <c r="D330" s="8"/>
      <c r="E330" s="8"/>
      <c r="F330" s="9"/>
      <c r="G330" s="10"/>
      <c r="H330" s="9"/>
      <c r="I330" s="4"/>
      <c r="J330" s="4"/>
      <c r="K330" s="11"/>
      <c r="L330" s="4"/>
      <c r="M330" s="4"/>
      <c r="N330" s="4"/>
      <c r="O330" s="4"/>
      <c r="P330" s="4"/>
      <c r="Q330" s="4"/>
      <c r="R330" s="4"/>
      <c r="S330" s="4"/>
      <c r="T330" s="4"/>
      <c r="U330" s="4"/>
      <c r="V330" s="4"/>
      <c r="W330" s="4"/>
      <c r="X330" s="4"/>
    </row>
    <row r="331" spans="1:24" ht="15.6" x14ac:dyDescent="0.3">
      <c r="A331" s="6"/>
      <c r="B331" s="7"/>
      <c r="C331" s="136"/>
      <c r="D331" s="8"/>
      <c r="E331" s="8"/>
      <c r="F331" s="9"/>
      <c r="G331" s="10"/>
      <c r="H331" s="9"/>
      <c r="I331" s="4"/>
      <c r="J331" s="4"/>
      <c r="K331" s="11"/>
      <c r="L331" s="4"/>
      <c r="M331" s="4"/>
      <c r="N331" s="4"/>
      <c r="O331" s="4"/>
      <c r="P331" s="4"/>
      <c r="Q331" s="4"/>
      <c r="R331" s="4"/>
      <c r="S331" s="4"/>
      <c r="T331" s="4"/>
      <c r="U331" s="4"/>
      <c r="V331" s="4"/>
      <c r="W331" s="4"/>
      <c r="X331" s="4"/>
    </row>
    <row r="332" spans="1:24" ht="15.6" x14ac:dyDescent="0.3">
      <c r="A332" s="6"/>
      <c r="B332" s="7"/>
      <c r="C332" s="136"/>
      <c r="D332" s="8"/>
      <c r="E332" s="8"/>
      <c r="F332" s="9"/>
      <c r="G332" s="10"/>
      <c r="H332" s="9"/>
      <c r="I332" s="4"/>
      <c r="J332" s="4"/>
      <c r="K332" s="11"/>
      <c r="L332" s="4"/>
      <c r="M332" s="4"/>
      <c r="N332" s="4"/>
      <c r="O332" s="4"/>
      <c r="P332" s="4"/>
      <c r="Q332" s="4"/>
      <c r="R332" s="4"/>
      <c r="S332" s="4"/>
      <c r="T332" s="4"/>
      <c r="U332" s="4"/>
      <c r="V332" s="4"/>
      <c r="W332" s="4"/>
      <c r="X332" s="4"/>
    </row>
    <row r="333" spans="1:24" ht="15.6" x14ac:dyDescent="0.3">
      <c r="A333" s="6"/>
      <c r="B333" s="7"/>
      <c r="C333" s="136"/>
      <c r="D333" s="8"/>
      <c r="E333" s="8"/>
      <c r="F333" s="9"/>
      <c r="G333" s="10"/>
      <c r="H333" s="9"/>
      <c r="I333" s="4"/>
      <c r="J333" s="4"/>
      <c r="K333" s="11"/>
      <c r="L333" s="4"/>
      <c r="M333" s="4"/>
      <c r="N333" s="4"/>
      <c r="O333" s="4"/>
      <c r="P333" s="4"/>
      <c r="Q333" s="4"/>
      <c r="R333" s="4"/>
      <c r="S333" s="4"/>
      <c r="T333" s="4"/>
      <c r="U333" s="4"/>
      <c r="V333" s="4"/>
      <c r="W333" s="4"/>
      <c r="X333" s="4"/>
    </row>
    <row r="334" spans="1:24" ht="15.6" x14ac:dyDescent="0.3">
      <c r="A334" s="6"/>
      <c r="B334" s="7"/>
      <c r="C334" s="136"/>
      <c r="D334" s="8"/>
      <c r="E334" s="8"/>
      <c r="F334" s="9"/>
      <c r="G334" s="10"/>
      <c r="H334" s="9"/>
      <c r="I334" s="4"/>
      <c r="J334" s="4"/>
      <c r="K334" s="11"/>
      <c r="L334" s="4"/>
      <c r="M334" s="4"/>
      <c r="N334" s="4"/>
      <c r="O334" s="4"/>
      <c r="P334" s="4"/>
      <c r="Q334" s="4"/>
      <c r="R334" s="4"/>
      <c r="S334" s="4"/>
      <c r="T334" s="4"/>
      <c r="U334" s="4"/>
      <c r="V334" s="4"/>
      <c r="W334" s="4"/>
      <c r="X334" s="4"/>
    </row>
    <row r="335" spans="1:24" ht="15.6" x14ac:dyDescent="0.3">
      <c r="A335" s="6"/>
      <c r="B335" s="7"/>
      <c r="C335" s="136"/>
      <c r="D335" s="8"/>
      <c r="E335" s="8"/>
      <c r="F335" s="9"/>
      <c r="G335" s="10"/>
      <c r="H335" s="9"/>
      <c r="I335" s="4"/>
      <c r="J335" s="4"/>
      <c r="K335" s="11"/>
      <c r="L335" s="4"/>
      <c r="M335" s="4"/>
      <c r="N335" s="4"/>
      <c r="O335" s="4"/>
      <c r="P335" s="4"/>
      <c r="Q335" s="4"/>
      <c r="R335" s="4"/>
      <c r="S335" s="4"/>
      <c r="T335" s="4"/>
      <c r="U335" s="4"/>
      <c r="V335" s="4"/>
      <c r="W335" s="4"/>
      <c r="X335" s="4"/>
    </row>
    <row r="336" spans="1:24" ht="15.6" x14ac:dyDescent="0.3">
      <c r="A336" s="6"/>
      <c r="B336" s="7"/>
      <c r="C336" s="136"/>
      <c r="D336" s="8"/>
      <c r="E336" s="8"/>
      <c r="F336" s="9"/>
      <c r="G336" s="10"/>
      <c r="H336" s="9"/>
      <c r="I336" s="4"/>
      <c r="J336" s="4"/>
      <c r="K336" s="11"/>
      <c r="L336" s="4"/>
      <c r="M336" s="4"/>
      <c r="N336" s="4"/>
      <c r="O336" s="4"/>
      <c r="P336" s="4"/>
      <c r="Q336" s="4"/>
      <c r="R336" s="4"/>
      <c r="S336" s="4"/>
      <c r="T336" s="4"/>
      <c r="U336" s="4"/>
      <c r="V336" s="4"/>
      <c r="W336" s="4"/>
      <c r="X336" s="4"/>
    </row>
    <row r="337" spans="1:24" ht="15.6" x14ac:dyDescent="0.3">
      <c r="A337" s="6"/>
      <c r="B337" s="7"/>
      <c r="C337" s="136"/>
      <c r="D337" s="8"/>
      <c r="E337" s="8"/>
      <c r="F337" s="9"/>
      <c r="G337" s="10"/>
      <c r="H337" s="9"/>
      <c r="I337" s="4"/>
      <c r="J337" s="4"/>
      <c r="K337" s="11"/>
      <c r="L337" s="4"/>
      <c r="M337" s="4"/>
      <c r="N337" s="4"/>
      <c r="O337" s="4"/>
      <c r="P337" s="4"/>
      <c r="Q337" s="4"/>
      <c r="R337" s="4"/>
      <c r="S337" s="4"/>
      <c r="T337" s="4"/>
      <c r="U337" s="4"/>
      <c r="V337" s="4"/>
      <c r="W337" s="4"/>
      <c r="X337" s="4"/>
    </row>
    <row r="338" spans="1:24" ht="15.6" x14ac:dyDescent="0.3">
      <c r="A338" s="6"/>
      <c r="B338" s="7"/>
      <c r="C338" s="136"/>
      <c r="D338" s="8"/>
      <c r="E338" s="8"/>
      <c r="F338" s="9"/>
      <c r="G338" s="10"/>
      <c r="H338" s="9"/>
      <c r="I338" s="4"/>
      <c r="J338" s="4"/>
      <c r="K338" s="11"/>
      <c r="L338" s="4"/>
      <c r="M338" s="4"/>
      <c r="N338" s="4"/>
      <c r="O338" s="4"/>
      <c r="P338" s="4"/>
      <c r="Q338" s="4"/>
      <c r="R338" s="4"/>
      <c r="S338" s="4"/>
      <c r="T338" s="4"/>
      <c r="U338" s="4"/>
      <c r="V338" s="4"/>
      <c r="W338" s="4"/>
      <c r="X338" s="4"/>
    </row>
    <row r="339" spans="1:24" ht="15.6" x14ac:dyDescent="0.3">
      <c r="A339" s="6"/>
      <c r="B339" s="7"/>
      <c r="C339" s="136"/>
      <c r="D339" s="8"/>
      <c r="E339" s="8"/>
      <c r="F339" s="9"/>
      <c r="G339" s="10"/>
      <c r="H339" s="9"/>
      <c r="I339" s="4"/>
      <c r="J339" s="4"/>
      <c r="K339" s="11"/>
      <c r="L339" s="4"/>
      <c r="M339" s="4"/>
      <c r="N339" s="4"/>
      <c r="O339" s="4"/>
      <c r="P339" s="4"/>
      <c r="Q339" s="4"/>
      <c r="R339" s="4"/>
      <c r="S339" s="4"/>
      <c r="T339" s="4"/>
      <c r="U339" s="4"/>
      <c r="V339" s="4"/>
      <c r="W339" s="4"/>
      <c r="X339" s="4"/>
    </row>
    <row r="340" spans="1:24" ht="15.6" x14ac:dyDescent="0.3">
      <c r="A340" s="6"/>
      <c r="B340" s="7"/>
      <c r="C340" s="136"/>
      <c r="D340" s="8"/>
      <c r="E340" s="8"/>
      <c r="F340" s="9"/>
      <c r="G340" s="10"/>
      <c r="H340" s="9"/>
      <c r="I340" s="4"/>
      <c r="J340" s="4"/>
      <c r="K340" s="11"/>
      <c r="L340" s="4"/>
      <c r="M340" s="4"/>
      <c r="N340" s="4"/>
      <c r="O340" s="4"/>
      <c r="P340" s="4"/>
      <c r="Q340" s="4"/>
      <c r="R340" s="4"/>
      <c r="S340" s="4"/>
      <c r="T340" s="4"/>
      <c r="U340" s="4"/>
      <c r="V340" s="4"/>
      <c r="W340" s="4"/>
      <c r="X340" s="4"/>
    </row>
    <row r="341" spans="1:24" ht="15.6" x14ac:dyDescent="0.3">
      <c r="A341" s="6"/>
      <c r="B341" s="7"/>
      <c r="C341" s="136"/>
      <c r="D341" s="8"/>
      <c r="E341" s="8"/>
      <c r="F341" s="9"/>
      <c r="G341" s="10"/>
      <c r="H341" s="9"/>
      <c r="I341" s="4"/>
      <c r="J341" s="4"/>
      <c r="K341" s="11"/>
      <c r="L341" s="4"/>
      <c r="M341" s="4"/>
      <c r="N341" s="4"/>
      <c r="O341" s="4"/>
      <c r="P341" s="4"/>
      <c r="Q341" s="4"/>
      <c r="R341" s="4"/>
      <c r="S341" s="4"/>
      <c r="T341" s="4"/>
      <c r="U341" s="4"/>
      <c r="V341" s="4"/>
      <c r="W341" s="4"/>
      <c r="X341" s="4"/>
    </row>
    <row r="342" spans="1:24" ht="15.6" x14ac:dyDescent="0.3">
      <c r="A342" s="6"/>
      <c r="B342" s="7"/>
      <c r="C342" s="136"/>
      <c r="D342" s="8"/>
      <c r="E342" s="8"/>
      <c r="F342" s="9"/>
      <c r="G342" s="10"/>
      <c r="H342" s="9"/>
      <c r="I342" s="4"/>
      <c r="J342" s="4"/>
      <c r="K342" s="11"/>
      <c r="L342" s="4"/>
      <c r="M342" s="4"/>
      <c r="N342" s="4"/>
      <c r="O342" s="4"/>
      <c r="P342" s="4"/>
      <c r="Q342" s="4"/>
      <c r="R342" s="4"/>
      <c r="S342" s="4"/>
      <c r="T342" s="4"/>
      <c r="U342" s="4"/>
      <c r="V342" s="4"/>
      <c r="W342" s="4"/>
      <c r="X342" s="4"/>
    </row>
    <row r="343" spans="1:24" ht="15.6" x14ac:dyDescent="0.3">
      <c r="A343" s="6"/>
      <c r="B343" s="7"/>
      <c r="C343" s="136"/>
      <c r="D343" s="8"/>
      <c r="E343" s="8"/>
      <c r="F343" s="9"/>
      <c r="G343" s="10"/>
      <c r="H343" s="9"/>
      <c r="I343" s="4"/>
      <c r="J343" s="4"/>
      <c r="K343" s="11"/>
      <c r="L343" s="4"/>
      <c r="M343" s="4"/>
      <c r="N343" s="4"/>
      <c r="O343" s="4"/>
      <c r="P343" s="4"/>
      <c r="Q343" s="4"/>
      <c r="R343" s="4"/>
      <c r="S343" s="4"/>
      <c r="T343" s="4"/>
      <c r="U343" s="4"/>
      <c r="V343" s="4"/>
      <c r="W343" s="4"/>
      <c r="X343" s="4"/>
    </row>
    <row r="344" spans="1:24" ht="15.6" x14ac:dyDescent="0.3">
      <c r="A344" s="6"/>
      <c r="B344" s="7"/>
      <c r="C344" s="136"/>
      <c r="D344" s="8"/>
      <c r="E344" s="8"/>
      <c r="F344" s="9"/>
      <c r="G344" s="10"/>
      <c r="H344" s="9"/>
      <c r="I344" s="4"/>
      <c r="J344" s="4"/>
      <c r="K344" s="11"/>
      <c r="L344" s="4"/>
      <c r="M344" s="4"/>
      <c r="N344" s="4"/>
      <c r="O344" s="4"/>
      <c r="P344" s="4"/>
      <c r="Q344" s="4"/>
      <c r="R344" s="4"/>
      <c r="S344" s="4"/>
      <c r="T344" s="4"/>
      <c r="U344" s="4"/>
      <c r="V344" s="4"/>
      <c r="W344" s="4"/>
      <c r="X344" s="4"/>
    </row>
    <row r="345" spans="1:24" ht="15.6" x14ac:dyDescent="0.3">
      <c r="A345" s="6"/>
      <c r="B345" s="7"/>
      <c r="C345" s="136"/>
      <c r="D345" s="8"/>
      <c r="E345" s="8"/>
      <c r="F345" s="9"/>
      <c r="G345" s="10"/>
      <c r="H345" s="9"/>
      <c r="I345" s="4"/>
      <c r="J345" s="4"/>
      <c r="K345" s="11"/>
      <c r="L345" s="4"/>
      <c r="M345" s="4"/>
      <c r="N345" s="4"/>
      <c r="O345" s="4"/>
      <c r="P345" s="4"/>
      <c r="Q345" s="4"/>
      <c r="R345" s="4"/>
      <c r="S345" s="4"/>
      <c r="T345" s="4"/>
      <c r="U345" s="4"/>
      <c r="V345" s="4"/>
      <c r="W345" s="4"/>
      <c r="X345" s="4"/>
    </row>
    <row r="346" spans="1:24" ht="15.6" x14ac:dyDescent="0.3">
      <c r="A346" s="6"/>
      <c r="B346" s="7"/>
      <c r="C346" s="136"/>
      <c r="D346" s="8"/>
      <c r="E346" s="8"/>
      <c r="F346" s="9"/>
      <c r="G346" s="10"/>
      <c r="H346" s="9"/>
      <c r="I346" s="4"/>
      <c r="J346" s="4"/>
      <c r="K346" s="11"/>
      <c r="L346" s="4"/>
      <c r="M346" s="4"/>
      <c r="N346" s="4"/>
      <c r="O346" s="4"/>
      <c r="P346" s="4"/>
      <c r="Q346" s="4"/>
      <c r="R346" s="4"/>
      <c r="S346" s="4"/>
      <c r="T346" s="4"/>
      <c r="U346" s="4"/>
      <c r="V346" s="4"/>
      <c r="W346" s="4"/>
      <c r="X346" s="4"/>
    </row>
    <row r="347" spans="1:24" ht="15.6" x14ac:dyDescent="0.3">
      <c r="A347" s="6"/>
      <c r="B347" s="7"/>
      <c r="C347" s="136"/>
      <c r="D347" s="8"/>
      <c r="E347" s="8"/>
      <c r="F347" s="9"/>
      <c r="G347" s="10"/>
      <c r="H347" s="9"/>
      <c r="I347" s="4"/>
      <c r="J347" s="4"/>
      <c r="K347" s="11"/>
      <c r="L347" s="4"/>
      <c r="M347" s="4"/>
      <c r="N347" s="4"/>
      <c r="O347" s="4"/>
      <c r="P347" s="4"/>
      <c r="Q347" s="4"/>
      <c r="R347" s="4"/>
      <c r="S347" s="4"/>
      <c r="T347" s="4"/>
      <c r="U347" s="4"/>
      <c r="V347" s="4"/>
      <c r="W347" s="4"/>
      <c r="X347" s="4"/>
    </row>
    <row r="348" spans="1:24" ht="15.6" x14ac:dyDescent="0.3">
      <c r="A348" s="6"/>
      <c r="B348" s="7"/>
      <c r="C348" s="136"/>
      <c r="D348" s="8"/>
      <c r="E348" s="8"/>
      <c r="F348" s="9"/>
      <c r="G348" s="10"/>
      <c r="H348" s="9"/>
      <c r="I348" s="4"/>
      <c r="J348" s="4"/>
      <c r="K348" s="11"/>
      <c r="L348" s="4"/>
      <c r="M348" s="4"/>
      <c r="N348" s="4"/>
      <c r="O348" s="4"/>
      <c r="P348" s="4"/>
      <c r="Q348" s="4"/>
      <c r="R348" s="4"/>
      <c r="S348" s="4"/>
      <c r="T348" s="4"/>
      <c r="U348" s="4"/>
      <c r="V348" s="4"/>
      <c r="W348" s="4"/>
      <c r="X348" s="4"/>
    </row>
    <row r="349" spans="1:24" ht="15.6" x14ac:dyDescent="0.3">
      <c r="A349" s="6"/>
      <c r="B349" s="7"/>
      <c r="C349" s="136"/>
      <c r="D349" s="8"/>
      <c r="E349" s="8"/>
      <c r="F349" s="9"/>
      <c r="G349" s="10"/>
      <c r="H349" s="9"/>
      <c r="I349" s="4"/>
      <c r="J349" s="4"/>
      <c r="K349" s="11"/>
      <c r="L349" s="4"/>
      <c r="M349" s="4"/>
      <c r="N349" s="4"/>
      <c r="O349" s="4"/>
      <c r="P349" s="4"/>
      <c r="Q349" s="4"/>
      <c r="R349" s="4"/>
      <c r="S349" s="4"/>
      <c r="T349" s="4"/>
      <c r="U349" s="4"/>
      <c r="V349" s="4"/>
      <c r="W349" s="4"/>
      <c r="X349" s="4"/>
    </row>
    <row r="350" spans="1:24" ht="15.6" x14ac:dyDescent="0.3">
      <c r="A350" s="6"/>
      <c r="B350" s="7"/>
      <c r="C350" s="136"/>
      <c r="D350" s="8"/>
      <c r="E350" s="8"/>
      <c r="F350" s="9"/>
      <c r="G350" s="10"/>
      <c r="H350" s="9"/>
      <c r="I350" s="4"/>
      <c r="J350" s="4"/>
      <c r="K350" s="11"/>
      <c r="L350" s="4"/>
      <c r="M350" s="4"/>
      <c r="N350" s="4"/>
      <c r="O350" s="4"/>
      <c r="P350" s="4"/>
      <c r="Q350" s="4"/>
      <c r="R350" s="4"/>
      <c r="S350" s="4"/>
      <c r="T350" s="4"/>
      <c r="U350" s="4"/>
      <c r="V350" s="4"/>
      <c r="W350" s="4"/>
      <c r="X350" s="4"/>
    </row>
    <row r="351" spans="1:24" ht="15.6" x14ac:dyDescent="0.3">
      <c r="A351" s="6"/>
      <c r="B351" s="7"/>
      <c r="C351" s="136"/>
      <c r="D351" s="8"/>
      <c r="E351" s="8"/>
      <c r="F351" s="9"/>
      <c r="G351" s="10"/>
      <c r="H351" s="9"/>
      <c r="I351" s="4"/>
      <c r="J351" s="4"/>
      <c r="K351" s="11"/>
      <c r="L351" s="4"/>
      <c r="M351" s="4"/>
      <c r="N351" s="4"/>
      <c r="O351" s="4"/>
      <c r="P351" s="4"/>
      <c r="Q351" s="4"/>
      <c r="R351" s="4"/>
      <c r="S351" s="4"/>
      <c r="T351" s="4"/>
      <c r="U351" s="4"/>
      <c r="V351" s="4"/>
      <c r="W351" s="4"/>
      <c r="X351" s="4"/>
    </row>
    <row r="352" spans="1:24" ht="15.6" x14ac:dyDescent="0.3">
      <c r="A352" s="6"/>
      <c r="B352" s="7"/>
      <c r="C352" s="136"/>
      <c r="D352" s="8"/>
      <c r="E352" s="8"/>
      <c r="F352" s="9"/>
      <c r="G352" s="10"/>
      <c r="H352" s="9"/>
      <c r="I352" s="4"/>
      <c r="J352" s="4"/>
      <c r="K352" s="11"/>
      <c r="L352" s="4"/>
      <c r="M352" s="4"/>
      <c r="N352" s="4"/>
      <c r="O352" s="4"/>
      <c r="P352" s="4"/>
      <c r="Q352" s="4"/>
      <c r="R352" s="4"/>
      <c r="S352" s="4"/>
      <c r="T352" s="4"/>
      <c r="U352" s="4"/>
      <c r="V352" s="4"/>
      <c r="W352" s="4"/>
      <c r="X352" s="4"/>
    </row>
    <row r="353" spans="1:24" ht="15.6" x14ac:dyDescent="0.3">
      <c r="A353" s="6"/>
      <c r="B353" s="7"/>
      <c r="C353" s="136"/>
      <c r="D353" s="8"/>
      <c r="E353" s="8"/>
      <c r="F353" s="9"/>
      <c r="G353" s="10"/>
      <c r="H353" s="9"/>
      <c r="I353" s="4"/>
      <c r="J353" s="4"/>
      <c r="K353" s="11"/>
      <c r="L353" s="4"/>
      <c r="M353" s="4"/>
      <c r="N353" s="4"/>
      <c r="O353" s="4"/>
      <c r="P353" s="4"/>
      <c r="Q353" s="4"/>
      <c r="R353" s="4"/>
      <c r="S353" s="4"/>
      <c r="T353" s="4"/>
      <c r="U353" s="4"/>
      <c r="V353" s="4"/>
      <c r="W353" s="4"/>
      <c r="X353" s="4"/>
    </row>
    <row r="354" spans="1:24" ht="15.6" x14ac:dyDescent="0.3">
      <c r="A354" s="6"/>
      <c r="B354" s="7"/>
      <c r="C354" s="136"/>
      <c r="D354" s="8"/>
      <c r="E354" s="8"/>
      <c r="F354" s="9"/>
      <c r="G354" s="10"/>
      <c r="H354" s="9"/>
      <c r="I354" s="4"/>
      <c r="J354" s="4"/>
      <c r="K354" s="11"/>
      <c r="L354" s="4"/>
      <c r="M354" s="4"/>
      <c r="N354" s="4"/>
      <c r="O354" s="4"/>
      <c r="P354" s="4"/>
      <c r="Q354" s="4"/>
      <c r="R354" s="4"/>
      <c r="S354" s="4"/>
      <c r="T354" s="4"/>
      <c r="U354" s="4"/>
      <c r="V354" s="4"/>
      <c r="W354" s="4"/>
      <c r="X354" s="4"/>
    </row>
    <row r="355" spans="1:24" ht="15.6" x14ac:dyDescent="0.3">
      <c r="A355" s="6"/>
      <c r="B355" s="7"/>
      <c r="C355" s="136"/>
      <c r="D355" s="8"/>
      <c r="E355" s="8"/>
      <c r="F355" s="9"/>
      <c r="G355" s="10"/>
      <c r="H355" s="9"/>
      <c r="I355" s="4"/>
      <c r="J355" s="4"/>
      <c r="K355" s="11"/>
      <c r="L355" s="4"/>
      <c r="M355" s="4"/>
      <c r="N355" s="4"/>
      <c r="O355" s="4"/>
      <c r="P355" s="4"/>
      <c r="Q355" s="4"/>
      <c r="R355" s="4"/>
      <c r="S355" s="4"/>
      <c r="T355" s="4"/>
      <c r="U355" s="4"/>
      <c r="V355" s="4"/>
      <c r="W355" s="4"/>
      <c r="X355" s="4"/>
    </row>
    <row r="356" spans="1:24" ht="15.6" x14ac:dyDescent="0.3">
      <c r="A356" s="6"/>
      <c r="B356" s="7"/>
      <c r="C356" s="136"/>
      <c r="D356" s="8"/>
      <c r="E356" s="8"/>
      <c r="F356" s="9"/>
      <c r="G356" s="10"/>
      <c r="H356" s="9"/>
      <c r="I356" s="4"/>
      <c r="J356" s="4"/>
      <c r="K356" s="11"/>
      <c r="L356" s="4"/>
      <c r="M356" s="4"/>
      <c r="N356" s="4"/>
      <c r="O356" s="4"/>
      <c r="P356" s="4"/>
      <c r="Q356" s="4"/>
      <c r="R356" s="4"/>
      <c r="S356" s="4"/>
      <c r="T356" s="4"/>
      <c r="U356" s="4"/>
      <c r="V356" s="4"/>
      <c r="W356" s="4"/>
      <c r="X356" s="4"/>
    </row>
    <row r="357" spans="1:24" ht="15.6" x14ac:dyDescent="0.3">
      <c r="A357" s="6"/>
      <c r="B357" s="7"/>
      <c r="C357" s="136"/>
      <c r="D357" s="8"/>
      <c r="E357" s="8"/>
      <c r="F357" s="9"/>
      <c r="G357" s="10"/>
      <c r="H357" s="9"/>
      <c r="I357" s="4"/>
      <c r="J357" s="4"/>
      <c r="K357" s="11"/>
      <c r="L357" s="4"/>
      <c r="M357" s="4"/>
      <c r="N357" s="4"/>
      <c r="O357" s="4"/>
      <c r="P357" s="4"/>
      <c r="Q357" s="4"/>
      <c r="R357" s="4"/>
      <c r="S357" s="4"/>
      <c r="T357" s="4"/>
      <c r="U357" s="4"/>
      <c r="V357" s="4"/>
      <c r="W357" s="4"/>
      <c r="X357" s="4"/>
    </row>
    <row r="358" spans="1:24" ht="15.6" x14ac:dyDescent="0.3">
      <c r="A358" s="6"/>
      <c r="B358" s="7"/>
      <c r="C358" s="136"/>
      <c r="D358" s="8"/>
      <c r="E358" s="8"/>
      <c r="F358" s="9"/>
      <c r="G358" s="10"/>
      <c r="H358" s="9"/>
      <c r="I358" s="4"/>
      <c r="J358" s="4"/>
      <c r="K358" s="11"/>
      <c r="L358" s="4"/>
      <c r="M358" s="4"/>
      <c r="N358" s="4"/>
      <c r="O358" s="4"/>
      <c r="P358" s="4"/>
      <c r="Q358" s="4"/>
      <c r="R358" s="4"/>
      <c r="S358" s="4"/>
      <c r="T358" s="4"/>
      <c r="U358" s="4"/>
      <c r="V358" s="4"/>
      <c r="W358" s="4"/>
      <c r="X358" s="4"/>
    </row>
    <row r="359" spans="1:24" ht="15.6" x14ac:dyDescent="0.3">
      <c r="A359" s="6"/>
      <c r="B359" s="7"/>
      <c r="C359" s="136"/>
      <c r="D359" s="8"/>
      <c r="E359" s="8"/>
      <c r="F359" s="9"/>
      <c r="G359" s="10"/>
      <c r="H359" s="9"/>
      <c r="I359" s="4"/>
      <c r="J359" s="4"/>
      <c r="K359" s="11"/>
      <c r="L359" s="4"/>
      <c r="M359" s="4"/>
      <c r="N359" s="4"/>
      <c r="O359" s="4"/>
      <c r="P359" s="4"/>
      <c r="Q359" s="4"/>
      <c r="R359" s="4"/>
      <c r="S359" s="4"/>
      <c r="T359" s="4"/>
      <c r="U359" s="4"/>
      <c r="V359" s="4"/>
      <c r="W359" s="4"/>
      <c r="X359" s="4"/>
    </row>
    <row r="360" spans="1:24" ht="15.6" x14ac:dyDescent="0.3">
      <c r="A360" s="6"/>
      <c r="B360" s="7"/>
      <c r="C360" s="136"/>
      <c r="D360" s="8"/>
      <c r="E360" s="8"/>
      <c r="F360" s="9"/>
      <c r="G360" s="10"/>
      <c r="H360" s="9"/>
      <c r="I360" s="4"/>
      <c r="J360" s="4"/>
      <c r="K360" s="11"/>
      <c r="L360" s="4"/>
      <c r="M360" s="4"/>
      <c r="N360" s="4"/>
      <c r="O360" s="4"/>
      <c r="P360" s="4"/>
      <c r="Q360" s="4"/>
      <c r="R360" s="4"/>
      <c r="S360" s="4"/>
      <c r="T360" s="4"/>
      <c r="U360" s="4"/>
      <c r="V360" s="4"/>
      <c r="W360" s="4"/>
      <c r="X360" s="4"/>
    </row>
    <row r="361" spans="1:24" ht="15.6" x14ac:dyDescent="0.3">
      <c r="A361" s="6"/>
      <c r="B361" s="7"/>
      <c r="C361" s="136"/>
      <c r="D361" s="8"/>
      <c r="E361" s="8"/>
      <c r="F361" s="9"/>
      <c r="G361" s="10"/>
      <c r="H361" s="9"/>
      <c r="I361" s="4"/>
      <c r="J361" s="4"/>
      <c r="K361" s="11"/>
      <c r="L361" s="4"/>
      <c r="M361" s="4"/>
      <c r="N361" s="4"/>
      <c r="O361" s="4"/>
      <c r="P361" s="4"/>
      <c r="Q361" s="4"/>
      <c r="R361" s="4"/>
      <c r="S361" s="4"/>
      <c r="T361" s="4"/>
      <c r="U361" s="4"/>
      <c r="V361" s="4"/>
      <c r="W361" s="4"/>
      <c r="X361" s="4"/>
    </row>
    <row r="362" spans="1:24" ht="15.6" x14ac:dyDescent="0.3">
      <c r="A362" s="6"/>
      <c r="B362" s="7"/>
      <c r="C362" s="136"/>
      <c r="D362" s="8"/>
      <c r="E362" s="8"/>
      <c r="F362" s="9"/>
      <c r="G362" s="10"/>
      <c r="H362" s="9"/>
      <c r="I362" s="4"/>
      <c r="J362" s="4"/>
      <c r="K362" s="11"/>
      <c r="L362" s="4"/>
      <c r="M362" s="4"/>
      <c r="N362" s="4"/>
      <c r="O362" s="4"/>
      <c r="P362" s="4"/>
      <c r="Q362" s="4"/>
      <c r="R362" s="4"/>
      <c r="S362" s="4"/>
      <c r="T362" s="4"/>
      <c r="U362" s="4"/>
      <c r="V362" s="4"/>
      <c r="W362" s="4"/>
      <c r="X362" s="4"/>
    </row>
    <row r="363" spans="1:24" ht="15.6" x14ac:dyDescent="0.3">
      <c r="A363" s="6"/>
      <c r="B363" s="7"/>
      <c r="C363" s="136"/>
      <c r="D363" s="8"/>
      <c r="E363" s="8"/>
      <c r="F363" s="9"/>
      <c r="G363" s="10"/>
      <c r="H363" s="9"/>
      <c r="I363" s="4"/>
      <c r="J363" s="4"/>
      <c r="K363" s="11"/>
      <c r="L363" s="4"/>
      <c r="M363" s="4"/>
      <c r="N363" s="4"/>
      <c r="O363" s="4"/>
      <c r="P363" s="4"/>
      <c r="Q363" s="4"/>
      <c r="R363" s="4"/>
      <c r="S363" s="4"/>
      <c r="T363" s="4"/>
      <c r="U363" s="4"/>
      <c r="V363" s="4"/>
      <c r="W363" s="4"/>
      <c r="X363" s="4"/>
    </row>
    <row r="364" spans="1:24" ht="15.6" x14ac:dyDescent="0.3">
      <c r="A364" s="6"/>
      <c r="B364" s="7"/>
      <c r="C364" s="136"/>
      <c r="D364" s="8"/>
      <c r="E364" s="8"/>
      <c r="F364" s="9"/>
      <c r="G364" s="10"/>
      <c r="H364" s="9"/>
      <c r="I364" s="4"/>
      <c r="J364" s="4"/>
      <c r="K364" s="11"/>
      <c r="L364" s="4"/>
      <c r="M364" s="4"/>
      <c r="N364" s="4"/>
      <c r="O364" s="4"/>
      <c r="P364" s="4"/>
      <c r="Q364" s="4"/>
      <c r="R364" s="4"/>
      <c r="S364" s="4"/>
      <c r="T364" s="4"/>
      <c r="U364" s="4"/>
      <c r="V364" s="4"/>
      <c r="W364" s="4"/>
      <c r="X364" s="4"/>
    </row>
    <row r="365" spans="1:24" ht="15.6" x14ac:dyDescent="0.3">
      <c r="A365" s="6"/>
      <c r="B365" s="7"/>
      <c r="C365" s="136"/>
      <c r="D365" s="8"/>
      <c r="E365" s="8"/>
      <c r="F365" s="9"/>
      <c r="G365" s="10"/>
      <c r="H365" s="9"/>
      <c r="I365" s="4"/>
      <c r="J365" s="4"/>
      <c r="K365" s="11"/>
      <c r="L365" s="4"/>
      <c r="M365" s="4"/>
      <c r="N365" s="4"/>
      <c r="O365" s="4"/>
      <c r="P365" s="4"/>
      <c r="Q365" s="4"/>
      <c r="R365" s="4"/>
      <c r="S365" s="4"/>
      <c r="T365" s="4"/>
      <c r="U365" s="4"/>
      <c r="V365" s="4"/>
      <c r="W365" s="4"/>
      <c r="X365" s="4"/>
    </row>
    <row r="366" spans="1:24" ht="15.6" x14ac:dyDescent="0.3">
      <c r="A366" s="6"/>
      <c r="B366" s="7"/>
      <c r="C366" s="136"/>
      <c r="D366" s="8"/>
      <c r="E366" s="8"/>
      <c r="F366" s="9"/>
      <c r="G366" s="10"/>
      <c r="H366" s="9"/>
      <c r="I366" s="4"/>
      <c r="J366" s="4"/>
      <c r="K366" s="11"/>
      <c r="L366" s="4"/>
      <c r="M366" s="4"/>
      <c r="N366" s="4"/>
      <c r="O366" s="4"/>
      <c r="P366" s="4"/>
      <c r="Q366" s="4"/>
      <c r="R366" s="4"/>
      <c r="S366" s="4"/>
      <c r="T366" s="4"/>
      <c r="U366" s="4"/>
      <c r="V366" s="4"/>
      <c r="W366" s="4"/>
      <c r="X366" s="4"/>
    </row>
    <row r="367" spans="1:24" ht="15.6" x14ac:dyDescent="0.3">
      <c r="A367" s="6"/>
      <c r="B367" s="7"/>
      <c r="C367" s="136"/>
      <c r="D367" s="8"/>
      <c r="E367" s="8"/>
      <c r="F367" s="9"/>
      <c r="G367" s="10"/>
      <c r="H367" s="9"/>
      <c r="I367" s="4"/>
      <c r="J367" s="4"/>
      <c r="K367" s="11"/>
      <c r="L367" s="4"/>
      <c r="M367" s="4"/>
      <c r="N367" s="4"/>
      <c r="O367" s="4"/>
      <c r="P367" s="4"/>
      <c r="Q367" s="4"/>
      <c r="R367" s="4"/>
      <c r="S367" s="4"/>
      <c r="T367" s="4"/>
      <c r="U367" s="4"/>
      <c r="V367" s="4"/>
      <c r="W367" s="4"/>
      <c r="X367" s="4"/>
    </row>
    <row r="368" spans="1:24" ht="15.6" x14ac:dyDescent="0.3">
      <c r="A368" s="6"/>
      <c r="B368" s="7"/>
      <c r="C368" s="136"/>
      <c r="D368" s="8"/>
      <c r="E368" s="8"/>
      <c r="F368" s="9"/>
      <c r="G368" s="10"/>
      <c r="H368" s="9"/>
      <c r="I368" s="4"/>
      <c r="J368" s="4"/>
      <c r="K368" s="11"/>
      <c r="L368" s="4"/>
      <c r="M368" s="4"/>
      <c r="N368" s="4"/>
      <c r="O368" s="4"/>
      <c r="P368" s="4"/>
      <c r="Q368" s="4"/>
      <c r="R368" s="4"/>
      <c r="S368" s="4"/>
      <c r="T368" s="4"/>
      <c r="U368" s="4"/>
      <c r="V368" s="4"/>
      <c r="W368" s="4"/>
      <c r="X368" s="4"/>
    </row>
    <row r="369" spans="1:24" ht="15.6" x14ac:dyDescent="0.3">
      <c r="A369" s="6"/>
      <c r="B369" s="7"/>
      <c r="C369" s="136"/>
      <c r="D369" s="8"/>
      <c r="E369" s="8"/>
      <c r="F369" s="9"/>
      <c r="G369" s="10"/>
      <c r="H369" s="9"/>
      <c r="I369" s="4"/>
      <c r="J369" s="4"/>
      <c r="K369" s="11"/>
      <c r="L369" s="4"/>
      <c r="M369" s="4"/>
      <c r="N369" s="4"/>
      <c r="O369" s="4"/>
      <c r="P369" s="4"/>
      <c r="Q369" s="4"/>
      <c r="R369" s="4"/>
      <c r="S369" s="4"/>
      <c r="T369" s="4"/>
      <c r="U369" s="4"/>
      <c r="V369" s="4"/>
      <c r="W369" s="4"/>
      <c r="X369" s="4"/>
    </row>
    <row r="370" spans="1:24" ht="15.6" x14ac:dyDescent="0.3">
      <c r="A370" s="6"/>
      <c r="B370" s="7"/>
      <c r="C370" s="136"/>
      <c r="D370" s="8"/>
      <c r="E370" s="8"/>
      <c r="F370" s="9"/>
      <c r="G370" s="10"/>
      <c r="H370" s="9"/>
      <c r="I370" s="4"/>
      <c r="J370" s="4"/>
      <c r="K370" s="11"/>
      <c r="L370" s="4"/>
      <c r="M370" s="4"/>
      <c r="N370" s="4"/>
      <c r="O370" s="4"/>
      <c r="P370" s="4"/>
      <c r="Q370" s="4"/>
      <c r="R370" s="4"/>
      <c r="S370" s="4"/>
      <c r="T370" s="4"/>
      <c r="U370" s="4"/>
      <c r="V370" s="4"/>
      <c r="W370" s="4"/>
      <c r="X370" s="4"/>
    </row>
    <row r="371" spans="1:24" ht="15.6" x14ac:dyDescent="0.3">
      <c r="A371" s="6"/>
      <c r="B371" s="7"/>
      <c r="C371" s="136"/>
      <c r="D371" s="8"/>
      <c r="E371" s="8"/>
      <c r="F371" s="9"/>
      <c r="G371" s="10"/>
      <c r="H371" s="9"/>
      <c r="I371" s="4"/>
      <c r="J371" s="4"/>
      <c r="K371" s="11"/>
      <c r="L371" s="4"/>
      <c r="M371" s="4"/>
      <c r="N371" s="4"/>
      <c r="O371" s="4"/>
      <c r="P371" s="4"/>
      <c r="Q371" s="4"/>
      <c r="R371" s="4"/>
      <c r="S371" s="4"/>
      <c r="T371" s="4"/>
      <c r="U371" s="4"/>
      <c r="V371" s="4"/>
      <c r="W371" s="4"/>
      <c r="X371" s="4"/>
    </row>
    <row r="372" spans="1:24" ht="15.6" x14ac:dyDescent="0.3">
      <c r="A372" s="6"/>
      <c r="B372" s="7"/>
      <c r="C372" s="136"/>
      <c r="D372" s="8"/>
      <c r="E372" s="8"/>
      <c r="F372" s="9"/>
      <c r="G372" s="10"/>
      <c r="H372" s="9"/>
      <c r="I372" s="4"/>
      <c r="J372" s="4"/>
      <c r="K372" s="11"/>
      <c r="L372" s="4"/>
      <c r="M372" s="4"/>
      <c r="N372" s="4"/>
      <c r="O372" s="4"/>
      <c r="P372" s="4"/>
      <c r="Q372" s="4"/>
      <c r="R372" s="4"/>
      <c r="S372" s="4"/>
      <c r="T372" s="4"/>
      <c r="U372" s="4"/>
      <c r="V372" s="4"/>
      <c r="W372" s="4"/>
      <c r="X372" s="4"/>
    </row>
    <row r="373" spans="1:24" ht="15.6" x14ac:dyDescent="0.3">
      <c r="A373" s="6"/>
      <c r="B373" s="7"/>
      <c r="C373" s="136"/>
      <c r="D373" s="8"/>
      <c r="E373" s="8"/>
      <c r="F373" s="9"/>
      <c r="G373" s="10"/>
      <c r="H373" s="9"/>
      <c r="I373" s="4"/>
      <c r="J373" s="4"/>
      <c r="K373" s="11"/>
      <c r="L373" s="4"/>
      <c r="M373" s="4"/>
      <c r="N373" s="4"/>
      <c r="O373" s="4"/>
      <c r="P373" s="4"/>
      <c r="Q373" s="4"/>
      <c r="R373" s="4"/>
      <c r="S373" s="4"/>
      <c r="T373" s="4"/>
      <c r="U373" s="4"/>
      <c r="V373" s="4"/>
      <c r="W373" s="4"/>
      <c r="X373" s="4"/>
    </row>
    <row r="374" spans="1:24" ht="15.6" x14ac:dyDescent="0.3">
      <c r="A374" s="6"/>
      <c r="B374" s="7"/>
      <c r="C374" s="136"/>
      <c r="D374" s="8"/>
      <c r="E374" s="8"/>
      <c r="F374" s="9"/>
      <c r="G374" s="10"/>
      <c r="H374" s="9"/>
      <c r="I374" s="4"/>
      <c r="J374" s="4"/>
      <c r="K374" s="11"/>
      <c r="L374" s="4"/>
      <c r="M374" s="4"/>
      <c r="N374" s="4"/>
      <c r="O374" s="4"/>
      <c r="P374" s="4"/>
      <c r="Q374" s="4"/>
      <c r="R374" s="4"/>
      <c r="S374" s="4"/>
      <c r="T374" s="4"/>
      <c r="U374" s="4"/>
      <c r="V374" s="4"/>
      <c r="W374" s="4"/>
      <c r="X374" s="4"/>
    </row>
    <row r="375" spans="1:24" ht="15.6" x14ac:dyDescent="0.3">
      <c r="A375" s="6"/>
      <c r="B375" s="7"/>
      <c r="C375" s="136"/>
      <c r="D375" s="8"/>
      <c r="E375" s="8"/>
      <c r="F375" s="9"/>
      <c r="G375" s="10"/>
      <c r="H375" s="9"/>
      <c r="I375" s="4"/>
      <c r="J375" s="4"/>
      <c r="K375" s="11"/>
      <c r="L375" s="4"/>
      <c r="M375" s="4"/>
      <c r="N375" s="4"/>
      <c r="O375" s="4"/>
      <c r="P375" s="4"/>
      <c r="Q375" s="4"/>
      <c r="R375" s="4"/>
      <c r="S375" s="4"/>
      <c r="T375" s="4"/>
      <c r="U375" s="4"/>
      <c r="V375" s="4"/>
      <c r="W375" s="4"/>
      <c r="X375" s="4"/>
    </row>
    <row r="376" spans="1:24" ht="15.6" x14ac:dyDescent="0.3">
      <c r="A376" s="6"/>
      <c r="B376" s="7"/>
      <c r="C376" s="136"/>
      <c r="D376" s="8"/>
      <c r="E376" s="8"/>
      <c r="F376" s="9"/>
      <c r="G376" s="10"/>
      <c r="H376" s="9"/>
      <c r="I376" s="4"/>
      <c r="J376" s="4"/>
      <c r="K376" s="11"/>
      <c r="L376" s="4"/>
      <c r="M376" s="4"/>
      <c r="N376" s="4"/>
      <c r="O376" s="4"/>
      <c r="P376" s="4"/>
      <c r="Q376" s="4"/>
      <c r="R376" s="4"/>
      <c r="S376" s="4"/>
      <c r="T376" s="4"/>
      <c r="U376" s="4"/>
      <c r="V376" s="4"/>
      <c r="W376" s="4"/>
      <c r="X376" s="4"/>
    </row>
    <row r="377" spans="1:24" ht="15.6" x14ac:dyDescent="0.3">
      <c r="A377" s="6"/>
      <c r="B377" s="7"/>
      <c r="C377" s="136"/>
      <c r="D377" s="8"/>
      <c r="E377" s="8"/>
      <c r="F377" s="9"/>
      <c r="G377" s="10"/>
      <c r="H377" s="9"/>
      <c r="I377" s="4"/>
      <c r="J377" s="4"/>
      <c r="K377" s="11"/>
      <c r="L377" s="4"/>
      <c r="M377" s="4"/>
      <c r="N377" s="4"/>
      <c r="O377" s="4"/>
      <c r="P377" s="4"/>
      <c r="Q377" s="4"/>
      <c r="R377" s="4"/>
      <c r="S377" s="4"/>
      <c r="T377" s="4"/>
      <c r="U377" s="4"/>
      <c r="V377" s="4"/>
      <c r="W377" s="4"/>
      <c r="X377" s="4"/>
    </row>
    <row r="378" spans="1:24" ht="15.6" x14ac:dyDescent="0.3">
      <c r="A378" s="6"/>
      <c r="B378" s="7"/>
      <c r="C378" s="136"/>
      <c r="D378" s="8"/>
      <c r="E378" s="8"/>
      <c r="F378" s="9"/>
      <c r="G378" s="10"/>
      <c r="H378" s="9"/>
      <c r="I378" s="4"/>
      <c r="J378" s="4"/>
      <c r="K378" s="11"/>
      <c r="L378" s="4"/>
      <c r="M378" s="4"/>
      <c r="N378" s="4"/>
      <c r="O378" s="4"/>
      <c r="P378" s="4"/>
      <c r="Q378" s="4"/>
      <c r="R378" s="4"/>
      <c r="S378" s="4"/>
      <c r="T378" s="4"/>
      <c r="U378" s="4"/>
      <c r="V378" s="4"/>
      <c r="W378" s="4"/>
      <c r="X378" s="4"/>
    </row>
    <row r="379" spans="1:24" ht="15.6" x14ac:dyDescent="0.3">
      <c r="A379" s="6"/>
      <c r="B379" s="7"/>
      <c r="C379" s="136"/>
      <c r="D379" s="8"/>
      <c r="E379" s="8"/>
      <c r="F379" s="9"/>
      <c r="G379" s="10"/>
      <c r="H379" s="9"/>
      <c r="I379" s="4"/>
      <c r="J379" s="4"/>
      <c r="K379" s="11"/>
      <c r="L379" s="4"/>
      <c r="M379" s="4"/>
      <c r="N379" s="4"/>
      <c r="O379" s="4"/>
      <c r="P379" s="4"/>
      <c r="Q379" s="4"/>
      <c r="R379" s="4"/>
      <c r="S379" s="4"/>
      <c r="T379" s="4"/>
      <c r="U379" s="4"/>
      <c r="V379" s="4"/>
      <c r="W379" s="4"/>
      <c r="X379" s="4"/>
    </row>
    <row r="380" spans="1:24" ht="15.6" x14ac:dyDescent="0.3">
      <c r="A380" s="6"/>
      <c r="B380" s="7"/>
      <c r="C380" s="136"/>
      <c r="D380" s="8"/>
      <c r="E380" s="8"/>
      <c r="F380" s="9"/>
      <c r="G380" s="10"/>
      <c r="H380" s="9"/>
      <c r="I380" s="4"/>
      <c r="J380" s="4"/>
      <c r="K380" s="11"/>
      <c r="L380" s="4"/>
      <c r="M380" s="4"/>
      <c r="N380" s="4"/>
      <c r="O380" s="4"/>
      <c r="P380" s="4"/>
      <c r="Q380" s="4"/>
      <c r="R380" s="4"/>
      <c r="S380" s="4"/>
      <c r="T380" s="4"/>
      <c r="U380" s="4"/>
      <c r="V380" s="4"/>
      <c r="W380" s="4"/>
      <c r="X380" s="4"/>
    </row>
    <row r="381" spans="1:24" ht="15.6" x14ac:dyDescent="0.3">
      <c r="A381" s="6"/>
      <c r="B381" s="7"/>
      <c r="C381" s="136"/>
      <c r="D381" s="8"/>
      <c r="E381" s="8"/>
      <c r="F381" s="9"/>
      <c r="G381" s="10"/>
      <c r="H381" s="9"/>
      <c r="I381" s="4"/>
      <c r="J381" s="4"/>
      <c r="K381" s="11"/>
      <c r="L381" s="4"/>
      <c r="M381" s="4"/>
      <c r="N381" s="4"/>
      <c r="O381" s="4"/>
      <c r="P381" s="4"/>
      <c r="Q381" s="4"/>
      <c r="R381" s="4"/>
      <c r="S381" s="4"/>
      <c r="T381" s="4"/>
      <c r="U381" s="4"/>
      <c r="V381" s="4"/>
      <c r="W381" s="4"/>
      <c r="X381" s="4"/>
    </row>
    <row r="382" spans="1:24" ht="15.6" x14ac:dyDescent="0.3">
      <c r="A382" s="6"/>
      <c r="B382" s="7"/>
      <c r="C382" s="136"/>
      <c r="D382" s="8"/>
      <c r="E382" s="8"/>
      <c r="F382" s="9"/>
      <c r="G382" s="10"/>
      <c r="H382" s="9"/>
      <c r="I382" s="4"/>
      <c r="J382" s="4"/>
      <c r="K382" s="11"/>
      <c r="L382" s="4"/>
      <c r="M382" s="4"/>
      <c r="N382" s="4"/>
      <c r="O382" s="4"/>
      <c r="P382" s="4"/>
      <c r="Q382" s="4"/>
      <c r="R382" s="4"/>
      <c r="S382" s="4"/>
      <c r="T382" s="4"/>
      <c r="U382" s="4"/>
      <c r="V382" s="4"/>
      <c r="W382" s="4"/>
      <c r="X382" s="4"/>
    </row>
    <row r="383" spans="1:24" ht="15.6" x14ac:dyDescent="0.3">
      <c r="A383" s="6"/>
      <c r="B383" s="7"/>
      <c r="C383" s="136"/>
      <c r="D383" s="8"/>
      <c r="E383" s="8"/>
      <c r="F383" s="9"/>
      <c r="G383" s="10"/>
      <c r="H383" s="9"/>
      <c r="I383" s="4"/>
      <c r="J383" s="4"/>
      <c r="K383" s="11"/>
      <c r="L383" s="4"/>
      <c r="M383" s="4"/>
      <c r="N383" s="4"/>
      <c r="O383" s="4"/>
      <c r="P383" s="4"/>
      <c r="Q383" s="4"/>
      <c r="R383" s="4"/>
      <c r="S383" s="4"/>
      <c r="T383" s="4"/>
      <c r="U383" s="4"/>
      <c r="V383" s="4"/>
      <c r="W383" s="4"/>
      <c r="X383" s="4"/>
    </row>
    <row r="384" spans="1:24" ht="15.6" x14ac:dyDescent="0.3">
      <c r="A384" s="6"/>
      <c r="B384" s="7"/>
      <c r="C384" s="136"/>
      <c r="D384" s="8"/>
      <c r="E384" s="8"/>
      <c r="F384" s="9"/>
      <c r="G384" s="10"/>
      <c r="H384" s="9"/>
      <c r="I384" s="4"/>
      <c r="J384" s="4"/>
      <c r="K384" s="11"/>
      <c r="L384" s="4"/>
      <c r="M384" s="4"/>
      <c r="N384" s="4"/>
      <c r="O384" s="4"/>
      <c r="P384" s="4"/>
      <c r="Q384" s="4"/>
      <c r="R384" s="4"/>
      <c r="S384" s="4"/>
      <c r="T384" s="4"/>
      <c r="U384" s="4"/>
      <c r="V384" s="4"/>
      <c r="W384" s="4"/>
      <c r="X384" s="4"/>
    </row>
    <row r="385" spans="1:24" ht="15.6" x14ac:dyDescent="0.3">
      <c r="A385" s="6"/>
      <c r="B385" s="7"/>
      <c r="C385" s="136"/>
      <c r="D385" s="8"/>
      <c r="E385" s="8"/>
      <c r="F385" s="9"/>
      <c r="G385" s="10"/>
      <c r="H385" s="9"/>
      <c r="I385" s="4"/>
      <c r="J385" s="4"/>
      <c r="K385" s="11"/>
      <c r="L385" s="4"/>
      <c r="M385" s="4"/>
      <c r="N385" s="4"/>
      <c r="O385" s="4"/>
      <c r="P385" s="4"/>
      <c r="Q385" s="4"/>
      <c r="R385" s="4"/>
      <c r="S385" s="4"/>
      <c r="T385" s="4"/>
      <c r="U385" s="4"/>
      <c r="V385" s="4"/>
      <c r="W385" s="4"/>
      <c r="X385" s="4"/>
    </row>
    <row r="386" spans="1:24" ht="15.6" x14ac:dyDescent="0.3">
      <c r="A386" s="6"/>
      <c r="B386" s="7"/>
      <c r="C386" s="136"/>
      <c r="D386" s="8"/>
      <c r="E386" s="8"/>
      <c r="F386" s="9"/>
      <c r="G386" s="10"/>
      <c r="H386" s="9"/>
      <c r="I386" s="4"/>
      <c r="J386" s="4"/>
      <c r="K386" s="11"/>
      <c r="L386" s="4"/>
      <c r="M386" s="4"/>
      <c r="N386" s="4"/>
      <c r="O386" s="4"/>
      <c r="P386" s="4"/>
      <c r="Q386" s="4"/>
      <c r="R386" s="4"/>
      <c r="S386" s="4"/>
      <c r="T386" s="4"/>
      <c r="U386" s="4"/>
      <c r="V386" s="4"/>
      <c r="W386" s="4"/>
      <c r="X386" s="4"/>
    </row>
    <row r="387" spans="1:24" ht="15.6" x14ac:dyDescent="0.3">
      <c r="A387" s="6"/>
      <c r="B387" s="7"/>
      <c r="C387" s="136"/>
      <c r="D387" s="8"/>
      <c r="E387" s="8"/>
      <c r="F387" s="9"/>
      <c r="G387" s="10"/>
      <c r="H387" s="9"/>
      <c r="I387" s="4"/>
      <c r="J387" s="4"/>
      <c r="K387" s="11"/>
      <c r="L387" s="4"/>
      <c r="M387" s="4"/>
      <c r="N387" s="4"/>
      <c r="O387" s="4"/>
      <c r="P387" s="4"/>
      <c r="Q387" s="4"/>
      <c r="R387" s="4"/>
      <c r="S387" s="4"/>
      <c r="T387" s="4"/>
      <c r="U387" s="4"/>
      <c r="V387" s="4"/>
      <c r="W387" s="4"/>
      <c r="X387" s="4"/>
    </row>
    <row r="388" spans="1:24" ht="15.6" x14ac:dyDescent="0.3">
      <c r="A388" s="6"/>
      <c r="B388" s="7"/>
      <c r="C388" s="136"/>
      <c r="D388" s="8"/>
      <c r="E388" s="8"/>
      <c r="F388" s="9"/>
      <c r="G388" s="10"/>
      <c r="H388" s="9"/>
      <c r="I388" s="4"/>
      <c r="J388" s="4"/>
      <c r="K388" s="11"/>
      <c r="L388" s="4"/>
      <c r="M388" s="4"/>
      <c r="N388" s="4"/>
      <c r="O388" s="4"/>
      <c r="P388" s="4"/>
      <c r="Q388" s="4"/>
      <c r="R388" s="4"/>
      <c r="S388" s="4"/>
      <c r="T388" s="4"/>
      <c r="U388" s="4"/>
      <c r="V388" s="4"/>
      <c r="W388" s="4"/>
      <c r="X388" s="4"/>
    </row>
    <row r="389" spans="1:24" ht="15.6" x14ac:dyDescent="0.3">
      <c r="A389" s="6"/>
      <c r="B389" s="7"/>
      <c r="C389" s="136"/>
      <c r="D389" s="8"/>
      <c r="E389" s="8"/>
      <c r="F389" s="9"/>
      <c r="G389" s="10"/>
      <c r="H389" s="9"/>
      <c r="I389" s="4"/>
      <c r="J389" s="4"/>
      <c r="K389" s="11"/>
      <c r="L389" s="4"/>
      <c r="M389" s="4"/>
      <c r="N389" s="4"/>
      <c r="O389" s="4"/>
      <c r="P389" s="4"/>
      <c r="Q389" s="4"/>
      <c r="R389" s="4"/>
      <c r="S389" s="4"/>
      <c r="T389" s="4"/>
      <c r="U389" s="4"/>
      <c r="V389" s="4"/>
      <c r="W389" s="4"/>
      <c r="X389" s="4"/>
    </row>
    <row r="390" spans="1:24" ht="15.6" x14ac:dyDescent="0.3">
      <c r="A390" s="6"/>
      <c r="B390" s="7"/>
      <c r="C390" s="136"/>
      <c r="D390" s="8"/>
      <c r="E390" s="8"/>
      <c r="F390" s="9"/>
      <c r="G390" s="10"/>
      <c r="H390" s="9"/>
      <c r="I390" s="4"/>
      <c r="J390" s="4"/>
      <c r="K390" s="11"/>
      <c r="L390" s="4"/>
      <c r="M390" s="4"/>
      <c r="N390" s="4"/>
      <c r="O390" s="4"/>
      <c r="P390" s="4"/>
      <c r="Q390" s="4"/>
      <c r="R390" s="4"/>
      <c r="S390" s="4"/>
      <c r="T390" s="4"/>
      <c r="U390" s="4"/>
      <c r="V390" s="4"/>
      <c r="W390" s="4"/>
      <c r="X390" s="4"/>
    </row>
    <row r="391" spans="1:24" ht="15.6" x14ac:dyDescent="0.3">
      <c r="A391" s="6"/>
      <c r="B391" s="7"/>
      <c r="C391" s="136"/>
      <c r="D391" s="8"/>
      <c r="E391" s="8"/>
      <c r="F391" s="9"/>
      <c r="G391" s="10"/>
      <c r="H391" s="9"/>
      <c r="I391" s="4"/>
      <c r="J391" s="4"/>
      <c r="K391" s="11"/>
      <c r="L391" s="4"/>
      <c r="M391" s="4"/>
      <c r="N391" s="4"/>
      <c r="O391" s="4"/>
      <c r="P391" s="4"/>
      <c r="Q391" s="4"/>
      <c r="R391" s="4"/>
      <c r="S391" s="4"/>
      <c r="T391" s="4"/>
      <c r="U391" s="4"/>
      <c r="V391" s="4"/>
      <c r="W391" s="4"/>
      <c r="X391" s="4"/>
    </row>
    <row r="392" spans="1:24" ht="15.6" x14ac:dyDescent="0.3">
      <c r="A392" s="6"/>
      <c r="B392" s="7"/>
      <c r="C392" s="136"/>
      <c r="D392" s="8"/>
      <c r="E392" s="8"/>
      <c r="F392" s="9"/>
      <c r="G392" s="10"/>
      <c r="H392" s="9"/>
      <c r="I392" s="4"/>
      <c r="J392" s="4"/>
      <c r="K392" s="11"/>
      <c r="L392" s="4"/>
      <c r="M392" s="4"/>
      <c r="N392" s="4"/>
      <c r="O392" s="4"/>
      <c r="P392" s="4"/>
      <c r="Q392" s="4"/>
      <c r="R392" s="4"/>
      <c r="S392" s="4"/>
      <c r="T392" s="4"/>
      <c r="U392" s="4"/>
      <c r="V392" s="4"/>
      <c r="W392" s="4"/>
      <c r="X392" s="4"/>
    </row>
    <row r="393" spans="1:24" ht="15.6" x14ac:dyDescent="0.3">
      <c r="A393" s="6"/>
      <c r="B393" s="7"/>
      <c r="C393" s="136"/>
      <c r="D393" s="8"/>
      <c r="E393" s="8"/>
      <c r="F393" s="9"/>
      <c r="G393" s="10"/>
      <c r="H393" s="9"/>
      <c r="I393" s="4"/>
      <c r="J393" s="4"/>
      <c r="K393" s="11"/>
      <c r="L393" s="4"/>
      <c r="M393" s="4"/>
      <c r="N393" s="4"/>
      <c r="O393" s="4"/>
      <c r="P393" s="4"/>
      <c r="Q393" s="4"/>
      <c r="R393" s="4"/>
      <c r="S393" s="4"/>
      <c r="T393" s="4"/>
      <c r="U393" s="4"/>
      <c r="V393" s="4"/>
      <c r="W393" s="4"/>
      <c r="X393" s="4"/>
    </row>
    <row r="394" spans="1:24" ht="15.6" x14ac:dyDescent="0.3">
      <c r="A394" s="6"/>
      <c r="B394" s="7"/>
      <c r="C394" s="136"/>
      <c r="D394" s="8"/>
      <c r="E394" s="8"/>
      <c r="F394" s="9"/>
      <c r="G394" s="10"/>
      <c r="H394" s="9"/>
      <c r="I394" s="4"/>
      <c r="J394" s="4"/>
      <c r="K394" s="11"/>
      <c r="L394" s="4"/>
      <c r="M394" s="4"/>
      <c r="N394" s="4"/>
      <c r="O394" s="4"/>
      <c r="P394" s="4"/>
      <c r="Q394" s="4"/>
      <c r="R394" s="4"/>
      <c r="S394" s="4"/>
      <c r="T394" s="4"/>
      <c r="U394" s="4"/>
      <c r="V394" s="4"/>
      <c r="W394" s="4"/>
      <c r="X394" s="4"/>
    </row>
    <row r="395" spans="1:24" ht="15.6" x14ac:dyDescent="0.3">
      <c r="A395" s="6"/>
      <c r="B395" s="7"/>
      <c r="C395" s="136"/>
      <c r="D395" s="8"/>
      <c r="E395" s="8"/>
      <c r="F395" s="9"/>
      <c r="G395" s="10"/>
      <c r="H395" s="9"/>
      <c r="I395" s="4"/>
      <c r="J395" s="4"/>
      <c r="K395" s="11"/>
      <c r="L395" s="4"/>
      <c r="M395" s="4"/>
      <c r="N395" s="4"/>
      <c r="O395" s="4"/>
      <c r="P395" s="4"/>
      <c r="Q395" s="4"/>
      <c r="R395" s="4"/>
      <c r="S395" s="4"/>
      <c r="T395" s="4"/>
      <c r="U395" s="4"/>
      <c r="V395" s="4"/>
      <c r="W395" s="4"/>
      <c r="X395" s="4"/>
    </row>
    <row r="396" spans="1:24" ht="15.6" x14ac:dyDescent="0.3">
      <c r="A396" s="6"/>
      <c r="B396" s="7"/>
      <c r="C396" s="136"/>
      <c r="D396" s="8"/>
      <c r="E396" s="8"/>
      <c r="F396" s="9"/>
      <c r="G396" s="10"/>
      <c r="H396" s="9"/>
      <c r="I396" s="4"/>
      <c r="J396" s="4"/>
      <c r="K396" s="11"/>
      <c r="L396" s="4"/>
      <c r="M396" s="4"/>
      <c r="N396" s="4"/>
      <c r="O396" s="4"/>
      <c r="P396" s="4"/>
      <c r="Q396" s="4"/>
      <c r="R396" s="4"/>
      <c r="S396" s="4"/>
      <c r="T396" s="4"/>
      <c r="U396" s="4"/>
      <c r="V396" s="4"/>
      <c r="W396" s="4"/>
      <c r="X396" s="4"/>
    </row>
    <row r="397" spans="1:24" ht="15.6" x14ac:dyDescent="0.3">
      <c r="A397" s="6"/>
      <c r="B397" s="7"/>
      <c r="C397" s="136"/>
      <c r="D397" s="8"/>
      <c r="E397" s="8"/>
      <c r="F397" s="9"/>
      <c r="G397" s="10"/>
      <c r="H397" s="9"/>
      <c r="I397" s="4"/>
      <c r="J397" s="4"/>
      <c r="K397" s="11"/>
      <c r="L397" s="4"/>
      <c r="M397" s="4"/>
      <c r="N397" s="4"/>
      <c r="O397" s="4"/>
      <c r="P397" s="4"/>
      <c r="Q397" s="4"/>
      <c r="R397" s="4"/>
      <c r="S397" s="4"/>
      <c r="T397" s="4"/>
      <c r="U397" s="4"/>
      <c r="V397" s="4"/>
      <c r="W397" s="4"/>
      <c r="X397" s="4"/>
    </row>
    <row r="398" spans="1:24" ht="15.6" x14ac:dyDescent="0.3">
      <c r="A398" s="6"/>
      <c r="B398" s="7"/>
      <c r="C398" s="136"/>
      <c r="D398" s="8"/>
      <c r="E398" s="8"/>
      <c r="F398" s="9"/>
      <c r="G398" s="10"/>
      <c r="H398" s="9"/>
      <c r="I398" s="4"/>
      <c r="J398" s="4"/>
      <c r="K398" s="11"/>
      <c r="L398" s="4"/>
      <c r="M398" s="4"/>
      <c r="N398" s="4"/>
      <c r="O398" s="4"/>
      <c r="P398" s="4"/>
      <c r="Q398" s="4"/>
      <c r="R398" s="4"/>
      <c r="S398" s="4"/>
      <c r="T398" s="4"/>
      <c r="U398" s="4"/>
      <c r="V398" s="4"/>
      <c r="W398" s="4"/>
      <c r="X398" s="4"/>
    </row>
    <row r="399" spans="1:24" ht="15.6" x14ac:dyDescent="0.3">
      <c r="A399" s="6"/>
      <c r="B399" s="7"/>
      <c r="C399" s="136"/>
      <c r="D399" s="8"/>
      <c r="E399" s="8"/>
      <c r="F399" s="9"/>
      <c r="G399" s="10"/>
      <c r="H399" s="9"/>
      <c r="I399" s="4"/>
      <c r="J399" s="4"/>
      <c r="K399" s="11"/>
      <c r="L399" s="4"/>
      <c r="M399" s="4"/>
      <c r="N399" s="4"/>
      <c r="O399" s="4"/>
      <c r="P399" s="4"/>
      <c r="Q399" s="4"/>
      <c r="R399" s="4"/>
      <c r="S399" s="4"/>
      <c r="T399" s="4"/>
      <c r="U399" s="4"/>
      <c r="V399" s="4"/>
      <c r="W399" s="4"/>
      <c r="X399" s="4"/>
    </row>
    <row r="400" spans="1:24" ht="15.6" x14ac:dyDescent="0.3">
      <c r="A400" s="6"/>
      <c r="B400" s="7"/>
      <c r="C400" s="136"/>
      <c r="D400" s="8"/>
      <c r="E400" s="8"/>
      <c r="F400" s="9"/>
      <c r="G400" s="10"/>
      <c r="H400" s="9"/>
      <c r="I400" s="4"/>
      <c r="J400" s="4"/>
      <c r="K400" s="11"/>
      <c r="L400" s="4"/>
      <c r="M400" s="4"/>
      <c r="N400" s="4"/>
      <c r="O400" s="4"/>
      <c r="P400" s="4"/>
      <c r="Q400" s="4"/>
      <c r="R400" s="4"/>
      <c r="S400" s="4"/>
      <c r="T400" s="4"/>
      <c r="U400" s="4"/>
      <c r="V400" s="4"/>
      <c r="W400" s="4"/>
      <c r="X400" s="4"/>
    </row>
    <row r="401" spans="1:24" ht="15.6" x14ac:dyDescent="0.3">
      <c r="A401" s="6"/>
      <c r="B401" s="7"/>
      <c r="C401" s="136"/>
      <c r="D401" s="8"/>
      <c r="E401" s="8"/>
      <c r="F401" s="9"/>
      <c r="G401" s="10"/>
      <c r="H401" s="9"/>
      <c r="I401" s="4"/>
      <c r="J401" s="4"/>
      <c r="K401" s="11"/>
      <c r="L401" s="4"/>
      <c r="M401" s="4"/>
      <c r="N401" s="4"/>
      <c r="O401" s="4"/>
      <c r="P401" s="4"/>
      <c r="Q401" s="4"/>
      <c r="R401" s="4"/>
      <c r="S401" s="4"/>
      <c r="T401" s="4"/>
      <c r="U401" s="4"/>
      <c r="V401" s="4"/>
      <c r="W401" s="4"/>
      <c r="X401" s="4"/>
    </row>
    <row r="402" spans="1:24" ht="15.6" x14ac:dyDescent="0.3">
      <c r="A402" s="6"/>
      <c r="B402" s="7"/>
      <c r="C402" s="136"/>
      <c r="D402" s="8"/>
      <c r="E402" s="8"/>
      <c r="F402" s="9"/>
      <c r="G402" s="10"/>
      <c r="H402" s="9"/>
      <c r="I402" s="4"/>
      <c r="J402" s="4"/>
      <c r="K402" s="11"/>
      <c r="L402" s="4"/>
      <c r="M402" s="4"/>
      <c r="N402" s="4"/>
      <c r="O402" s="4"/>
      <c r="P402" s="4"/>
      <c r="Q402" s="4"/>
      <c r="R402" s="4"/>
      <c r="S402" s="4"/>
      <c r="T402" s="4"/>
      <c r="U402" s="4"/>
      <c r="V402" s="4"/>
      <c r="W402" s="4"/>
      <c r="X402" s="4"/>
    </row>
    <row r="403" spans="1:24" ht="15.6" x14ac:dyDescent="0.3">
      <c r="A403" s="6"/>
      <c r="B403" s="7"/>
      <c r="C403" s="136"/>
      <c r="D403" s="8"/>
      <c r="E403" s="8"/>
      <c r="F403" s="9"/>
      <c r="G403" s="10"/>
      <c r="H403" s="9"/>
      <c r="I403" s="4"/>
      <c r="J403" s="4"/>
      <c r="K403" s="11"/>
      <c r="L403" s="4"/>
      <c r="M403" s="4"/>
      <c r="N403" s="4"/>
      <c r="O403" s="4"/>
      <c r="P403" s="4"/>
      <c r="Q403" s="4"/>
      <c r="R403" s="4"/>
      <c r="S403" s="4"/>
      <c r="T403" s="4"/>
      <c r="U403" s="4"/>
      <c r="V403" s="4"/>
      <c r="W403" s="4"/>
      <c r="X403" s="4"/>
    </row>
    <row r="404" spans="1:24" ht="15.6" x14ac:dyDescent="0.3">
      <c r="A404" s="6"/>
      <c r="B404" s="7"/>
      <c r="C404" s="136"/>
      <c r="D404" s="8"/>
      <c r="E404" s="8"/>
      <c r="F404" s="9"/>
      <c r="G404" s="10"/>
      <c r="H404" s="9"/>
      <c r="I404" s="4"/>
      <c r="J404" s="4"/>
      <c r="K404" s="11"/>
      <c r="L404" s="4"/>
      <c r="M404" s="4"/>
      <c r="N404" s="4"/>
      <c r="O404" s="4"/>
      <c r="P404" s="4"/>
      <c r="Q404" s="4"/>
      <c r="R404" s="4"/>
      <c r="S404" s="4"/>
      <c r="T404" s="4"/>
      <c r="U404" s="4"/>
      <c r="V404" s="4"/>
      <c r="W404" s="4"/>
      <c r="X404" s="4"/>
    </row>
    <row r="405" spans="1:24" ht="15.6" x14ac:dyDescent="0.3">
      <c r="A405" s="6"/>
      <c r="B405" s="7"/>
      <c r="C405" s="136"/>
      <c r="D405" s="8"/>
      <c r="E405" s="8"/>
      <c r="F405" s="9"/>
      <c r="G405" s="10"/>
      <c r="H405" s="9"/>
      <c r="I405" s="4"/>
      <c r="J405" s="4"/>
      <c r="K405" s="11"/>
      <c r="L405" s="4"/>
      <c r="M405" s="4"/>
      <c r="N405" s="4"/>
      <c r="O405" s="4"/>
      <c r="P405" s="4"/>
      <c r="Q405" s="4"/>
      <c r="R405" s="4"/>
      <c r="S405" s="4"/>
      <c r="T405" s="4"/>
      <c r="U405" s="4"/>
      <c r="V405" s="4"/>
      <c r="W405" s="4"/>
      <c r="X405" s="4"/>
    </row>
    <row r="406" spans="1:24" ht="15.6" x14ac:dyDescent="0.3">
      <c r="A406" s="6"/>
      <c r="B406" s="7"/>
      <c r="C406" s="136"/>
      <c r="D406" s="8"/>
      <c r="E406" s="8"/>
      <c r="F406" s="9"/>
      <c r="G406" s="10"/>
      <c r="H406" s="9"/>
      <c r="I406" s="4"/>
      <c r="J406" s="4"/>
      <c r="K406" s="11"/>
      <c r="L406" s="4"/>
      <c r="M406" s="4"/>
      <c r="N406" s="4"/>
      <c r="O406" s="4"/>
      <c r="P406" s="4"/>
      <c r="Q406" s="4"/>
      <c r="R406" s="4"/>
      <c r="S406" s="4"/>
      <c r="T406" s="4"/>
      <c r="U406" s="4"/>
      <c r="V406" s="4"/>
      <c r="W406" s="4"/>
      <c r="X406" s="4"/>
    </row>
    <row r="407" spans="1:24" ht="15.6" x14ac:dyDescent="0.3">
      <c r="A407" s="6"/>
      <c r="B407" s="7"/>
      <c r="C407" s="136"/>
      <c r="D407" s="8"/>
      <c r="E407" s="8"/>
      <c r="F407" s="9"/>
      <c r="G407" s="10"/>
      <c r="H407" s="9"/>
      <c r="I407" s="4"/>
      <c r="J407" s="4"/>
      <c r="K407" s="11"/>
      <c r="L407" s="4"/>
      <c r="M407" s="4"/>
      <c r="N407" s="4"/>
      <c r="O407" s="4"/>
      <c r="P407" s="4"/>
      <c r="Q407" s="4"/>
      <c r="R407" s="4"/>
      <c r="S407" s="4"/>
      <c r="T407" s="4"/>
      <c r="U407" s="4"/>
      <c r="V407" s="4"/>
      <c r="W407" s="4"/>
      <c r="X407" s="4"/>
    </row>
    <row r="408" spans="1:24" ht="15.6" x14ac:dyDescent="0.3">
      <c r="A408" s="6"/>
      <c r="B408" s="7"/>
      <c r="C408" s="136"/>
      <c r="D408" s="8"/>
      <c r="E408" s="8"/>
      <c r="F408" s="9"/>
      <c r="G408" s="10"/>
      <c r="H408" s="9"/>
      <c r="I408" s="4"/>
      <c r="J408" s="4"/>
      <c r="K408" s="11"/>
      <c r="L408" s="4"/>
      <c r="M408" s="4"/>
      <c r="N408" s="4"/>
      <c r="O408" s="4"/>
      <c r="P408" s="4"/>
      <c r="Q408" s="4"/>
      <c r="R408" s="4"/>
      <c r="S408" s="4"/>
      <c r="T408" s="4"/>
      <c r="U408" s="4"/>
      <c r="V408" s="4"/>
      <c r="W408" s="4"/>
      <c r="X408" s="4"/>
    </row>
    <row r="409" spans="1:24" ht="15.6" x14ac:dyDescent="0.3">
      <c r="A409" s="6"/>
      <c r="B409" s="7"/>
      <c r="C409" s="136"/>
      <c r="D409" s="8"/>
      <c r="E409" s="8"/>
      <c r="F409" s="9"/>
      <c r="G409" s="10"/>
      <c r="H409" s="9"/>
      <c r="I409" s="4"/>
      <c r="J409" s="4"/>
      <c r="K409" s="11"/>
      <c r="L409" s="4"/>
      <c r="M409" s="4"/>
      <c r="N409" s="4"/>
      <c r="O409" s="4"/>
      <c r="P409" s="4"/>
      <c r="Q409" s="4"/>
      <c r="R409" s="4"/>
      <c r="S409" s="4"/>
      <c r="T409" s="4"/>
      <c r="U409" s="4"/>
      <c r="V409" s="4"/>
      <c r="W409" s="4"/>
      <c r="X409" s="4"/>
    </row>
    <row r="410" spans="1:24" ht="15.6" x14ac:dyDescent="0.3">
      <c r="A410" s="6"/>
      <c r="B410" s="7"/>
      <c r="C410" s="136"/>
      <c r="D410" s="8"/>
      <c r="E410" s="8"/>
      <c r="F410" s="9"/>
      <c r="G410" s="10"/>
      <c r="H410" s="9"/>
      <c r="I410" s="4"/>
      <c r="J410" s="4"/>
      <c r="K410" s="11"/>
      <c r="L410" s="4"/>
      <c r="M410" s="4"/>
      <c r="N410" s="4"/>
      <c r="O410" s="4"/>
      <c r="P410" s="4"/>
      <c r="Q410" s="4"/>
      <c r="R410" s="4"/>
      <c r="S410" s="4"/>
      <c r="T410" s="4"/>
      <c r="U410" s="4"/>
      <c r="V410" s="4"/>
      <c r="W410" s="4"/>
      <c r="X410" s="4"/>
    </row>
    <row r="411" spans="1:24" ht="15.6" x14ac:dyDescent="0.3">
      <c r="A411" s="6"/>
      <c r="B411" s="7"/>
      <c r="C411" s="136"/>
      <c r="D411" s="8"/>
      <c r="E411" s="8"/>
      <c r="F411" s="9"/>
      <c r="G411" s="10"/>
      <c r="H411" s="9"/>
      <c r="I411" s="4"/>
      <c r="J411" s="4"/>
      <c r="K411" s="11"/>
      <c r="L411" s="4"/>
      <c r="M411" s="4"/>
      <c r="N411" s="4"/>
      <c r="O411" s="4"/>
      <c r="P411" s="4"/>
      <c r="Q411" s="4"/>
      <c r="R411" s="4"/>
      <c r="S411" s="4"/>
      <c r="T411" s="4"/>
      <c r="U411" s="4"/>
      <c r="V411" s="4"/>
      <c r="W411" s="4"/>
      <c r="X411" s="4"/>
    </row>
    <row r="412" spans="1:24" ht="15.6" x14ac:dyDescent="0.3">
      <c r="A412" s="6"/>
      <c r="B412" s="7"/>
      <c r="C412" s="136"/>
      <c r="D412" s="8"/>
      <c r="E412" s="8"/>
      <c r="F412" s="9"/>
      <c r="G412" s="10"/>
      <c r="H412" s="9"/>
      <c r="I412" s="4"/>
      <c r="J412" s="4"/>
      <c r="K412" s="11"/>
      <c r="L412" s="4"/>
      <c r="M412" s="4"/>
      <c r="N412" s="4"/>
      <c r="O412" s="4"/>
      <c r="P412" s="4"/>
      <c r="Q412" s="4"/>
      <c r="R412" s="4"/>
      <c r="S412" s="4"/>
      <c r="T412" s="4"/>
      <c r="U412" s="4"/>
      <c r="V412" s="4"/>
      <c r="W412" s="4"/>
      <c r="X412" s="4"/>
    </row>
    <row r="413" spans="1:24" ht="15.6" x14ac:dyDescent="0.3">
      <c r="A413" s="6"/>
      <c r="B413" s="7"/>
      <c r="C413" s="136"/>
      <c r="D413" s="8"/>
      <c r="E413" s="8"/>
      <c r="F413" s="9"/>
      <c r="G413" s="10"/>
      <c r="H413" s="9"/>
      <c r="I413" s="4"/>
      <c r="J413" s="4"/>
      <c r="K413" s="11"/>
      <c r="L413" s="4"/>
      <c r="M413" s="4"/>
      <c r="N413" s="4"/>
      <c r="O413" s="4"/>
      <c r="P413" s="4"/>
      <c r="Q413" s="4"/>
      <c r="R413" s="4"/>
      <c r="S413" s="4"/>
      <c r="T413" s="4"/>
      <c r="U413" s="4"/>
      <c r="V413" s="4"/>
      <c r="W413" s="4"/>
      <c r="X413" s="4"/>
    </row>
    <row r="414" spans="1:24" ht="15.6" x14ac:dyDescent="0.3">
      <c r="A414" s="6"/>
      <c r="B414" s="7"/>
      <c r="C414" s="136"/>
      <c r="D414" s="8"/>
      <c r="E414" s="8"/>
      <c r="F414" s="9"/>
      <c r="G414" s="10"/>
      <c r="H414" s="9"/>
      <c r="I414" s="4"/>
      <c r="J414" s="4"/>
      <c r="K414" s="11"/>
      <c r="L414" s="4"/>
      <c r="M414" s="4"/>
      <c r="N414" s="4"/>
      <c r="O414" s="4"/>
      <c r="P414" s="4"/>
      <c r="Q414" s="4"/>
      <c r="R414" s="4"/>
      <c r="S414" s="4"/>
      <c r="T414" s="4"/>
      <c r="U414" s="4"/>
      <c r="V414" s="4"/>
      <c r="W414" s="4"/>
      <c r="X414" s="4"/>
    </row>
    <row r="415" spans="1:24" ht="15.6" x14ac:dyDescent="0.3">
      <c r="A415" s="6"/>
      <c r="B415" s="7"/>
      <c r="C415" s="136"/>
      <c r="D415" s="8"/>
      <c r="E415" s="8"/>
      <c r="F415" s="9"/>
      <c r="G415" s="10"/>
      <c r="H415" s="9"/>
      <c r="I415" s="4"/>
      <c r="J415" s="4"/>
      <c r="K415" s="11"/>
      <c r="L415" s="4"/>
      <c r="M415" s="4"/>
      <c r="N415" s="4"/>
      <c r="O415" s="4"/>
      <c r="P415" s="4"/>
      <c r="Q415" s="4"/>
      <c r="R415" s="4"/>
      <c r="S415" s="4"/>
      <c r="T415" s="4"/>
      <c r="U415" s="4"/>
      <c r="V415" s="4"/>
      <c r="W415" s="4"/>
      <c r="X415" s="4"/>
    </row>
    <row r="416" spans="1:24" ht="15.6" x14ac:dyDescent="0.3">
      <c r="A416" s="6"/>
      <c r="B416" s="7"/>
      <c r="C416" s="136"/>
      <c r="D416" s="8"/>
      <c r="E416" s="8"/>
      <c r="F416" s="9"/>
      <c r="G416" s="10"/>
      <c r="H416" s="9"/>
      <c r="I416" s="4"/>
      <c r="J416" s="4"/>
      <c r="K416" s="11"/>
      <c r="L416" s="4"/>
      <c r="M416" s="4"/>
      <c r="N416" s="4"/>
      <c r="O416" s="4"/>
      <c r="P416" s="4"/>
      <c r="Q416" s="4"/>
      <c r="R416" s="4"/>
      <c r="S416" s="4"/>
      <c r="T416" s="4"/>
      <c r="U416" s="4"/>
      <c r="V416" s="4"/>
      <c r="W416" s="4"/>
      <c r="X416" s="4"/>
    </row>
    <row r="417" spans="1:24" ht="15.6" x14ac:dyDescent="0.3">
      <c r="A417" s="6"/>
      <c r="B417" s="7"/>
      <c r="C417" s="136"/>
      <c r="D417" s="8"/>
      <c r="E417" s="8"/>
      <c r="F417" s="9"/>
      <c r="G417" s="10"/>
      <c r="H417" s="9"/>
      <c r="I417" s="4"/>
      <c r="J417" s="4"/>
      <c r="K417" s="11"/>
      <c r="L417" s="4"/>
      <c r="M417" s="4"/>
      <c r="N417" s="4"/>
      <c r="O417" s="4"/>
      <c r="P417" s="4"/>
      <c r="Q417" s="4"/>
      <c r="R417" s="4"/>
      <c r="S417" s="4"/>
      <c r="T417" s="4"/>
      <c r="U417" s="4"/>
      <c r="V417" s="4"/>
      <c r="W417" s="4"/>
      <c r="X417" s="4"/>
    </row>
    <row r="418" spans="1:24" ht="15.6" x14ac:dyDescent="0.3">
      <c r="A418" s="6"/>
      <c r="B418" s="7"/>
      <c r="C418" s="136"/>
      <c r="D418" s="8"/>
      <c r="E418" s="8"/>
      <c r="F418" s="9"/>
      <c r="G418" s="10"/>
      <c r="H418" s="9"/>
      <c r="I418" s="4"/>
      <c r="J418" s="4"/>
      <c r="K418" s="11"/>
      <c r="L418" s="4"/>
      <c r="M418" s="4"/>
      <c r="N418" s="4"/>
      <c r="O418" s="4"/>
      <c r="P418" s="4"/>
      <c r="Q418" s="4"/>
      <c r="R418" s="4"/>
      <c r="S418" s="4"/>
      <c r="T418" s="4"/>
      <c r="U418" s="4"/>
      <c r="V418" s="4"/>
      <c r="W418" s="4"/>
      <c r="X418" s="4"/>
    </row>
    <row r="419" spans="1:24" ht="15.6" x14ac:dyDescent="0.3">
      <c r="A419" s="6"/>
      <c r="B419" s="7"/>
      <c r="C419" s="136"/>
      <c r="D419" s="8"/>
      <c r="E419" s="8"/>
      <c r="F419" s="9"/>
      <c r="G419" s="10"/>
      <c r="H419" s="9"/>
      <c r="I419" s="4"/>
      <c r="J419" s="4"/>
      <c r="K419" s="11"/>
      <c r="L419" s="4"/>
      <c r="M419" s="4"/>
      <c r="N419" s="4"/>
      <c r="O419" s="4"/>
      <c r="P419" s="4"/>
      <c r="Q419" s="4"/>
      <c r="R419" s="4"/>
      <c r="S419" s="4"/>
      <c r="T419" s="4"/>
      <c r="U419" s="4"/>
      <c r="V419" s="4"/>
      <c r="W419" s="4"/>
      <c r="X419" s="4"/>
    </row>
    <row r="420" spans="1:24" ht="15.6" x14ac:dyDescent="0.3">
      <c r="A420" s="6"/>
      <c r="B420" s="7"/>
      <c r="C420" s="136"/>
      <c r="D420" s="8"/>
      <c r="E420" s="8"/>
      <c r="F420" s="9"/>
      <c r="G420" s="10"/>
      <c r="H420" s="9"/>
      <c r="I420" s="4"/>
      <c r="J420" s="4"/>
      <c r="K420" s="11"/>
      <c r="L420" s="4"/>
      <c r="M420" s="4"/>
      <c r="N420" s="4"/>
      <c r="O420" s="4"/>
      <c r="P420" s="4"/>
      <c r="Q420" s="4"/>
      <c r="R420" s="4"/>
      <c r="S420" s="4"/>
      <c r="T420" s="4"/>
      <c r="U420" s="4"/>
      <c r="V420" s="4"/>
      <c r="W420" s="4"/>
      <c r="X420" s="4"/>
    </row>
    <row r="421" spans="1:24" ht="15.6" x14ac:dyDescent="0.3">
      <c r="A421" s="6"/>
      <c r="B421" s="7"/>
      <c r="C421" s="136"/>
      <c r="D421" s="8"/>
      <c r="E421" s="8"/>
      <c r="F421" s="9"/>
      <c r="G421" s="10"/>
      <c r="H421" s="9"/>
      <c r="I421" s="4"/>
      <c r="J421" s="4"/>
      <c r="K421" s="11"/>
      <c r="L421" s="4"/>
      <c r="M421" s="4"/>
      <c r="N421" s="4"/>
      <c r="O421" s="4"/>
      <c r="P421" s="4"/>
      <c r="Q421" s="4"/>
      <c r="R421" s="4"/>
      <c r="S421" s="4"/>
      <c r="T421" s="4"/>
      <c r="U421" s="4"/>
      <c r="V421" s="4"/>
      <c r="W421" s="4"/>
      <c r="X421" s="4"/>
    </row>
    <row r="422" spans="1:24" ht="15.6" x14ac:dyDescent="0.3">
      <c r="A422" s="6"/>
      <c r="B422" s="7"/>
      <c r="C422" s="136"/>
      <c r="D422" s="8"/>
      <c r="E422" s="8"/>
      <c r="F422" s="9"/>
      <c r="G422" s="10"/>
      <c r="H422" s="9"/>
      <c r="I422" s="4"/>
      <c r="J422" s="4"/>
      <c r="K422" s="11"/>
      <c r="L422" s="4"/>
      <c r="M422" s="4"/>
      <c r="N422" s="4"/>
      <c r="O422" s="4"/>
      <c r="P422" s="4"/>
      <c r="Q422" s="4"/>
      <c r="R422" s="4"/>
      <c r="S422" s="4"/>
      <c r="T422" s="4"/>
      <c r="U422" s="4"/>
      <c r="V422" s="4"/>
      <c r="W422" s="4"/>
      <c r="X422" s="4"/>
    </row>
    <row r="423" spans="1:24" ht="15.6" x14ac:dyDescent="0.3">
      <c r="A423" s="6"/>
      <c r="B423" s="7"/>
      <c r="C423" s="136"/>
      <c r="D423" s="8"/>
      <c r="E423" s="8"/>
      <c r="F423" s="9"/>
      <c r="G423" s="10"/>
      <c r="H423" s="9"/>
      <c r="I423" s="4"/>
      <c r="J423" s="4"/>
      <c r="K423" s="11"/>
      <c r="L423" s="4"/>
      <c r="M423" s="4"/>
      <c r="N423" s="4"/>
      <c r="O423" s="4"/>
      <c r="P423" s="4"/>
      <c r="Q423" s="4"/>
      <c r="R423" s="4"/>
      <c r="S423" s="4"/>
      <c r="T423" s="4"/>
      <c r="U423" s="4"/>
      <c r="V423" s="4"/>
      <c r="W423" s="4"/>
      <c r="X423" s="4"/>
    </row>
    <row r="424" spans="1:24" ht="15.6" x14ac:dyDescent="0.3">
      <c r="A424" s="6"/>
      <c r="B424" s="7"/>
      <c r="C424" s="136"/>
      <c r="D424" s="8"/>
      <c r="E424" s="8"/>
      <c r="F424" s="9"/>
      <c r="G424" s="10"/>
      <c r="H424" s="9"/>
      <c r="I424" s="4"/>
      <c r="J424" s="4"/>
      <c r="K424" s="11"/>
      <c r="L424" s="4"/>
      <c r="M424" s="4"/>
      <c r="N424" s="4"/>
      <c r="O424" s="4"/>
      <c r="P424" s="4"/>
      <c r="Q424" s="4"/>
      <c r="R424" s="4"/>
      <c r="S424" s="4"/>
      <c r="T424" s="4"/>
      <c r="U424" s="4"/>
      <c r="V424" s="4"/>
      <c r="W424" s="4"/>
      <c r="X424" s="4"/>
    </row>
    <row r="425" spans="1:24" ht="15.6" x14ac:dyDescent="0.3">
      <c r="A425" s="6"/>
      <c r="B425" s="7"/>
      <c r="C425" s="136"/>
      <c r="D425" s="8"/>
      <c r="E425" s="8"/>
      <c r="F425" s="9"/>
      <c r="G425" s="10"/>
      <c r="H425" s="9"/>
      <c r="I425" s="4"/>
      <c r="J425" s="4"/>
      <c r="K425" s="11"/>
      <c r="L425" s="4"/>
      <c r="M425" s="4"/>
      <c r="N425" s="4"/>
      <c r="O425" s="4"/>
      <c r="P425" s="4"/>
      <c r="Q425" s="4"/>
      <c r="R425" s="4"/>
      <c r="S425" s="4"/>
      <c r="T425" s="4"/>
      <c r="U425" s="4"/>
      <c r="V425" s="4"/>
      <c r="W425" s="4"/>
      <c r="X425" s="4"/>
    </row>
    <row r="426" spans="1:24" ht="15.6" x14ac:dyDescent="0.3">
      <c r="A426" s="6"/>
      <c r="B426" s="7"/>
      <c r="C426" s="136"/>
      <c r="D426" s="8"/>
      <c r="E426" s="8"/>
      <c r="F426" s="9"/>
      <c r="G426" s="10"/>
      <c r="H426" s="9"/>
      <c r="I426" s="4"/>
      <c r="J426" s="4"/>
      <c r="K426" s="11"/>
      <c r="L426" s="4"/>
      <c r="M426" s="4"/>
      <c r="N426" s="4"/>
      <c r="O426" s="4"/>
      <c r="P426" s="4"/>
      <c r="Q426" s="4"/>
      <c r="R426" s="4"/>
      <c r="S426" s="4"/>
      <c r="T426" s="4"/>
      <c r="U426" s="4"/>
      <c r="V426" s="4"/>
      <c r="W426" s="4"/>
      <c r="X426" s="4"/>
    </row>
    <row r="427" spans="1:24" ht="15.6" x14ac:dyDescent="0.3">
      <c r="A427" s="6"/>
      <c r="B427" s="7"/>
      <c r="C427" s="136"/>
      <c r="D427" s="8"/>
      <c r="E427" s="8"/>
      <c r="F427" s="9"/>
      <c r="G427" s="10"/>
      <c r="H427" s="9"/>
      <c r="I427" s="4"/>
      <c r="J427" s="4"/>
      <c r="K427" s="11"/>
      <c r="L427" s="4"/>
      <c r="M427" s="4"/>
      <c r="N427" s="4"/>
      <c r="O427" s="4"/>
      <c r="P427" s="4"/>
      <c r="Q427" s="4"/>
      <c r="R427" s="4"/>
      <c r="S427" s="4"/>
      <c r="T427" s="4"/>
      <c r="U427" s="4"/>
      <c r="V427" s="4"/>
      <c r="W427" s="4"/>
      <c r="X427" s="4"/>
    </row>
    <row r="428" spans="1:24" ht="15.6" x14ac:dyDescent="0.3">
      <c r="A428" s="6"/>
      <c r="B428" s="7"/>
      <c r="C428" s="136"/>
      <c r="D428" s="8"/>
      <c r="E428" s="8"/>
      <c r="F428" s="9"/>
      <c r="G428" s="10"/>
      <c r="H428" s="9"/>
      <c r="I428" s="4"/>
      <c r="J428" s="4"/>
      <c r="K428" s="11"/>
      <c r="L428" s="4"/>
      <c r="M428" s="4"/>
      <c r="N428" s="4"/>
      <c r="O428" s="4"/>
      <c r="P428" s="4"/>
      <c r="Q428" s="4"/>
      <c r="R428" s="4"/>
      <c r="S428" s="4"/>
      <c r="T428" s="4"/>
      <c r="U428" s="4"/>
      <c r="V428" s="4"/>
      <c r="W428" s="4"/>
      <c r="X428" s="4"/>
    </row>
    <row r="429" spans="1:24" ht="15.6" x14ac:dyDescent="0.3">
      <c r="A429" s="6"/>
      <c r="B429" s="7"/>
      <c r="C429" s="136"/>
      <c r="D429" s="8"/>
      <c r="E429" s="8"/>
      <c r="F429" s="9"/>
      <c r="G429" s="10"/>
      <c r="H429" s="9"/>
      <c r="I429" s="4"/>
      <c r="J429" s="4"/>
      <c r="K429" s="11"/>
      <c r="L429" s="4"/>
      <c r="M429" s="4"/>
      <c r="N429" s="4"/>
      <c r="O429" s="4"/>
      <c r="P429" s="4"/>
      <c r="Q429" s="4"/>
      <c r="R429" s="4"/>
      <c r="S429" s="4"/>
      <c r="T429" s="4"/>
      <c r="U429" s="4"/>
      <c r="V429" s="4"/>
      <c r="W429" s="4"/>
      <c r="X429" s="4"/>
    </row>
    <row r="430" spans="1:24" ht="15.6" x14ac:dyDescent="0.3">
      <c r="A430" s="6"/>
      <c r="B430" s="7"/>
      <c r="C430" s="136"/>
      <c r="D430" s="8"/>
      <c r="E430" s="8"/>
      <c r="F430" s="9"/>
      <c r="G430" s="10"/>
      <c r="H430" s="9"/>
      <c r="I430" s="4"/>
      <c r="J430" s="4"/>
      <c r="K430" s="11"/>
      <c r="L430" s="4"/>
      <c r="M430" s="4"/>
      <c r="N430" s="4"/>
      <c r="O430" s="4"/>
      <c r="P430" s="4"/>
      <c r="Q430" s="4"/>
      <c r="R430" s="4"/>
      <c r="S430" s="4"/>
      <c r="T430" s="4"/>
      <c r="U430" s="4"/>
      <c r="V430" s="4"/>
      <c r="W430" s="4"/>
      <c r="X430" s="4"/>
    </row>
    <row r="431" spans="1:24" ht="15.6" x14ac:dyDescent="0.3">
      <c r="A431" s="6"/>
      <c r="B431" s="7"/>
      <c r="C431" s="136"/>
      <c r="D431" s="8"/>
      <c r="E431" s="8"/>
      <c r="F431" s="9"/>
      <c r="G431" s="10"/>
      <c r="H431" s="9"/>
      <c r="I431" s="4"/>
      <c r="J431" s="4"/>
      <c r="K431" s="11"/>
      <c r="L431" s="4"/>
      <c r="M431" s="4"/>
      <c r="N431" s="4"/>
      <c r="O431" s="4"/>
      <c r="P431" s="4"/>
      <c r="Q431" s="4"/>
      <c r="R431" s="4"/>
      <c r="S431" s="4"/>
      <c r="T431" s="4"/>
      <c r="U431" s="4"/>
      <c r="V431" s="4"/>
      <c r="W431" s="4"/>
      <c r="X431" s="4"/>
    </row>
    <row r="432" spans="1:24" ht="15.6" x14ac:dyDescent="0.3">
      <c r="A432" s="6"/>
      <c r="B432" s="7"/>
      <c r="C432" s="136"/>
      <c r="D432" s="8"/>
      <c r="E432" s="8"/>
      <c r="F432" s="9"/>
      <c r="G432" s="10"/>
      <c r="H432" s="9"/>
      <c r="I432" s="4"/>
      <c r="J432" s="4"/>
      <c r="K432" s="11"/>
      <c r="L432" s="4"/>
      <c r="M432" s="4"/>
      <c r="N432" s="4"/>
      <c r="O432" s="4"/>
      <c r="P432" s="4"/>
      <c r="Q432" s="4"/>
      <c r="R432" s="4"/>
      <c r="S432" s="4"/>
      <c r="T432" s="4"/>
      <c r="U432" s="4"/>
      <c r="V432" s="4"/>
      <c r="W432" s="4"/>
      <c r="X432" s="4"/>
    </row>
    <row r="433" spans="1:24" ht="15.6" x14ac:dyDescent="0.3">
      <c r="A433" s="6"/>
      <c r="B433" s="7"/>
      <c r="C433" s="136"/>
      <c r="D433" s="8"/>
      <c r="E433" s="8"/>
      <c r="F433" s="9"/>
      <c r="G433" s="10"/>
      <c r="H433" s="9"/>
      <c r="I433" s="4"/>
      <c r="J433" s="4"/>
      <c r="K433" s="11"/>
      <c r="L433" s="4"/>
      <c r="M433" s="4"/>
      <c r="N433" s="4"/>
      <c r="O433" s="4"/>
      <c r="P433" s="4"/>
      <c r="Q433" s="4"/>
      <c r="R433" s="4"/>
      <c r="S433" s="4"/>
      <c r="T433" s="4"/>
      <c r="U433" s="4"/>
      <c r="V433" s="4"/>
      <c r="W433" s="4"/>
      <c r="X433" s="4"/>
    </row>
    <row r="434" spans="1:24" ht="15.6" x14ac:dyDescent="0.3">
      <c r="A434" s="6"/>
      <c r="B434" s="7"/>
      <c r="C434" s="136"/>
      <c r="D434" s="8"/>
      <c r="E434" s="8"/>
      <c r="F434" s="9"/>
      <c r="G434" s="10"/>
      <c r="H434" s="9"/>
      <c r="I434" s="4"/>
      <c r="J434" s="4"/>
      <c r="K434" s="11"/>
      <c r="L434" s="4"/>
      <c r="M434" s="4"/>
      <c r="N434" s="4"/>
      <c r="O434" s="4"/>
      <c r="P434" s="4"/>
      <c r="Q434" s="4"/>
      <c r="R434" s="4"/>
      <c r="S434" s="4"/>
      <c r="T434" s="4"/>
      <c r="U434" s="4"/>
      <c r="V434" s="4"/>
      <c r="W434" s="4"/>
      <c r="X434" s="4"/>
    </row>
    <row r="435" spans="1:24" ht="15.6" x14ac:dyDescent="0.3">
      <c r="A435" s="6"/>
      <c r="B435" s="7"/>
      <c r="C435" s="136"/>
      <c r="D435" s="8"/>
      <c r="E435" s="8"/>
      <c r="F435" s="9"/>
      <c r="G435" s="10"/>
      <c r="H435" s="9"/>
      <c r="I435" s="4"/>
      <c r="J435" s="4"/>
      <c r="K435" s="11"/>
      <c r="L435" s="4"/>
      <c r="M435" s="4"/>
      <c r="N435" s="4"/>
      <c r="O435" s="4"/>
      <c r="P435" s="4"/>
      <c r="Q435" s="4"/>
      <c r="R435" s="4"/>
      <c r="S435" s="4"/>
      <c r="T435" s="4"/>
      <c r="U435" s="4"/>
      <c r="V435" s="4"/>
      <c r="W435" s="4"/>
      <c r="X435" s="4"/>
    </row>
    <row r="436" spans="1:24" ht="15.6" x14ac:dyDescent="0.3">
      <c r="A436" s="6"/>
      <c r="B436" s="7"/>
      <c r="C436" s="136"/>
      <c r="D436" s="8"/>
      <c r="E436" s="8"/>
      <c r="F436" s="9"/>
      <c r="G436" s="10"/>
      <c r="H436" s="9"/>
      <c r="I436" s="4"/>
      <c r="J436" s="4"/>
      <c r="K436" s="11"/>
      <c r="L436" s="4"/>
      <c r="M436" s="4"/>
      <c r="N436" s="4"/>
      <c r="O436" s="4"/>
      <c r="P436" s="4"/>
      <c r="Q436" s="4"/>
      <c r="R436" s="4"/>
      <c r="S436" s="4"/>
      <c r="T436" s="4"/>
      <c r="U436" s="4"/>
      <c r="V436" s="4"/>
      <c r="W436" s="4"/>
      <c r="X436" s="4"/>
    </row>
    <row r="437" spans="1:24" ht="15.6" x14ac:dyDescent="0.3">
      <c r="A437" s="6"/>
      <c r="B437" s="7"/>
      <c r="C437" s="136"/>
      <c r="D437" s="8"/>
      <c r="E437" s="8"/>
      <c r="F437" s="9"/>
      <c r="G437" s="10"/>
      <c r="H437" s="9"/>
      <c r="I437" s="4"/>
      <c r="J437" s="4"/>
      <c r="K437" s="11"/>
      <c r="L437" s="4"/>
      <c r="M437" s="4"/>
      <c r="N437" s="4"/>
      <c r="O437" s="4"/>
      <c r="P437" s="4"/>
      <c r="Q437" s="4"/>
      <c r="R437" s="4"/>
      <c r="S437" s="4"/>
      <c r="T437" s="4"/>
      <c r="U437" s="4"/>
      <c r="V437" s="4"/>
      <c r="W437" s="4"/>
      <c r="X437" s="4"/>
    </row>
    <row r="438" spans="1:24" ht="15.6" x14ac:dyDescent="0.3">
      <c r="A438" s="6"/>
      <c r="B438" s="7"/>
      <c r="C438" s="136"/>
      <c r="D438" s="8"/>
      <c r="E438" s="8"/>
      <c r="F438" s="9"/>
      <c r="G438" s="10"/>
      <c r="H438" s="9"/>
      <c r="I438" s="4"/>
      <c r="J438" s="4"/>
      <c r="K438" s="11"/>
      <c r="L438" s="4"/>
      <c r="M438" s="4"/>
      <c r="N438" s="4"/>
      <c r="O438" s="4"/>
      <c r="P438" s="4"/>
      <c r="Q438" s="4"/>
      <c r="R438" s="4"/>
      <c r="S438" s="4"/>
      <c r="T438" s="4"/>
      <c r="U438" s="4"/>
      <c r="V438" s="4"/>
      <c r="W438" s="4"/>
      <c r="X438" s="4"/>
    </row>
    <row r="439" spans="1:24" ht="15.6" x14ac:dyDescent="0.3">
      <c r="A439" s="6"/>
      <c r="B439" s="7"/>
      <c r="C439" s="136"/>
      <c r="D439" s="8"/>
      <c r="E439" s="8"/>
      <c r="F439" s="9"/>
      <c r="G439" s="10"/>
      <c r="H439" s="9"/>
      <c r="I439" s="4"/>
      <c r="J439" s="4"/>
      <c r="K439" s="11"/>
      <c r="L439" s="4"/>
      <c r="M439" s="4"/>
      <c r="N439" s="4"/>
      <c r="O439" s="4"/>
      <c r="P439" s="4"/>
      <c r="Q439" s="4"/>
      <c r="R439" s="4"/>
      <c r="S439" s="4"/>
      <c r="T439" s="4"/>
      <c r="U439" s="4"/>
      <c r="V439" s="4"/>
      <c r="W439" s="4"/>
      <c r="X439" s="4"/>
    </row>
    <row r="440" spans="1:24" ht="15.6" x14ac:dyDescent="0.3">
      <c r="A440" s="6"/>
      <c r="B440" s="7"/>
      <c r="C440" s="136"/>
      <c r="D440" s="8"/>
      <c r="E440" s="8"/>
      <c r="F440" s="9"/>
      <c r="G440" s="10"/>
      <c r="H440" s="9"/>
      <c r="I440" s="4"/>
      <c r="J440" s="4"/>
      <c r="K440" s="11"/>
      <c r="L440" s="4"/>
      <c r="M440" s="4"/>
      <c r="N440" s="4"/>
      <c r="O440" s="4"/>
      <c r="P440" s="4"/>
      <c r="Q440" s="4"/>
      <c r="R440" s="4"/>
      <c r="S440" s="4"/>
      <c r="T440" s="4"/>
      <c r="U440" s="4"/>
      <c r="V440" s="4"/>
      <c r="W440" s="4"/>
      <c r="X440" s="4"/>
    </row>
    <row r="441" spans="1:24" ht="15.6" x14ac:dyDescent="0.3">
      <c r="A441" s="6"/>
      <c r="B441" s="7"/>
      <c r="C441" s="136"/>
      <c r="D441" s="8"/>
      <c r="E441" s="8"/>
      <c r="F441" s="9"/>
      <c r="G441" s="10"/>
      <c r="H441" s="9"/>
      <c r="I441" s="4"/>
      <c r="J441" s="4"/>
      <c r="K441" s="11"/>
      <c r="L441" s="4"/>
      <c r="M441" s="4"/>
      <c r="N441" s="4"/>
      <c r="O441" s="4"/>
      <c r="P441" s="4"/>
      <c r="Q441" s="4"/>
      <c r="R441" s="4"/>
      <c r="S441" s="4"/>
      <c r="T441" s="4"/>
      <c r="U441" s="4"/>
      <c r="V441" s="4"/>
      <c r="W441" s="4"/>
      <c r="X441" s="4"/>
    </row>
    <row r="442" spans="1:24" ht="15.6" x14ac:dyDescent="0.3">
      <c r="A442" s="6"/>
      <c r="B442" s="7"/>
      <c r="C442" s="136"/>
      <c r="D442" s="8"/>
      <c r="E442" s="8"/>
      <c r="F442" s="9"/>
      <c r="G442" s="10"/>
      <c r="H442" s="9"/>
      <c r="I442" s="4"/>
      <c r="J442" s="4"/>
      <c r="K442" s="11"/>
      <c r="L442" s="4"/>
      <c r="M442" s="4"/>
      <c r="N442" s="4"/>
      <c r="O442" s="4"/>
      <c r="P442" s="4"/>
      <c r="Q442" s="4"/>
      <c r="R442" s="4"/>
      <c r="S442" s="4"/>
      <c r="T442" s="4"/>
      <c r="U442" s="4"/>
      <c r="V442" s="4"/>
      <c r="W442" s="4"/>
      <c r="X442" s="4"/>
    </row>
    <row r="443" spans="1:24" ht="15.6" x14ac:dyDescent="0.3">
      <c r="A443" s="6"/>
      <c r="B443" s="7"/>
      <c r="C443" s="136"/>
      <c r="D443" s="8"/>
      <c r="E443" s="8"/>
      <c r="F443" s="9"/>
      <c r="G443" s="10"/>
      <c r="H443" s="9"/>
      <c r="I443" s="4"/>
      <c r="J443" s="4"/>
      <c r="K443" s="11"/>
      <c r="L443" s="4"/>
      <c r="M443" s="4"/>
      <c r="N443" s="4"/>
      <c r="O443" s="4"/>
      <c r="P443" s="4"/>
      <c r="Q443" s="4"/>
      <c r="R443" s="4"/>
      <c r="S443" s="4"/>
      <c r="T443" s="4"/>
      <c r="U443" s="4"/>
      <c r="V443" s="4"/>
      <c r="W443" s="4"/>
      <c r="X443" s="4"/>
    </row>
    <row r="444" spans="1:24" ht="15.6" x14ac:dyDescent="0.3">
      <c r="A444" s="6"/>
      <c r="B444" s="7"/>
      <c r="C444" s="136"/>
      <c r="D444" s="8"/>
      <c r="E444" s="8"/>
      <c r="F444" s="9"/>
      <c r="G444" s="10"/>
      <c r="H444" s="9"/>
      <c r="I444" s="4"/>
      <c r="J444" s="4"/>
      <c r="K444" s="11"/>
      <c r="L444" s="4"/>
      <c r="M444" s="4"/>
      <c r="N444" s="4"/>
      <c r="O444" s="4"/>
      <c r="P444" s="4"/>
      <c r="Q444" s="4"/>
      <c r="R444" s="4"/>
      <c r="S444" s="4"/>
      <c r="T444" s="4"/>
      <c r="U444" s="4"/>
      <c r="V444" s="4"/>
      <c r="W444" s="4"/>
      <c r="X444" s="4"/>
    </row>
    <row r="445" spans="1:24" ht="15.6" x14ac:dyDescent="0.3">
      <c r="A445" s="6"/>
      <c r="B445" s="7"/>
      <c r="C445" s="136"/>
      <c r="D445" s="8"/>
      <c r="E445" s="8"/>
      <c r="F445" s="9"/>
      <c r="G445" s="10"/>
      <c r="H445" s="9"/>
      <c r="I445" s="4"/>
      <c r="J445" s="4"/>
      <c r="K445" s="11"/>
      <c r="L445" s="4"/>
      <c r="M445" s="4"/>
      <c r="N445" s="4"/>
      <c r="O445" s="4"/>
      <c r="P445" s="4"/>
      <c r="Q445" s="4"/>
      <c r="R445" s="4"/>
      <c r="S445" s="4"/>
      <c r="T445" s="4"/>
      <c r="U445" s="4"/>
      <c r="V445" s="4"/>
      <c r="W445" s="4"/>
      <c r="X445" s="4"/>
    </row>
    <row r="446" spans="1:24" ht="15.6" x14ac:dyDescent="0.3">
      <c r="A446" s="6"/>
      <c r="B446" s="7"/>
      <c r="C446" s="136"/>
      <c r="D446" s="8"/>
      <c r="E446" s="8"/>
      <c r="F446" s="9"/>
      <c r="G446" s="10"/>
      <c r="H446" s="9"/>
      <c r="I446" s="4"/>
      <c r="J446" s="4"/>
      <c r="K446" s="11"/>
      <c r="L446" s="4"/>
      <c r="M446" s="4"/>
      <c r="N446" s="4"/>
      <c r="O446" s="4"/>
      <c r="P446" s="4"/>
      <c r="Q446" s="4"/>
      <c r="R446" s="4"/>
      <c r="S446" s="4"/>
      <c r="T446" s="4"/>
      <c r="U446" s="4"/>
      <c r="V446" s="4"/>
      <c r="W446" s="4"/>
      <c r="X446" s="4"/>
    </row>
    <row r="447" spans="1:24" ht="15.6" x14ac:dyDescent="0.3">
      <c r="A447" s="6"/>
      <c r="B447" s="7"/>
      <c r="C447" s="136"/>
      <c r="D447" s="8"/>
      <c r="E447" s="8"/>
      <c r="F447" s="9"/>
      <c r="G447" s="10"/>
      <c r="H447" s="9"/>
      <c r="I447" s="4"/>
      <c r="J447" s="4"/>
      <c r="K447" s="11"/>
      <c r="L447" s="4"/>
      <c r="M447" s="4"/>
      <c r="N447" s="4"/>
      <c r="O447" s="4"/>
      <c r="P447" s="4"/>
      <c r="Q447" s="4"/>
      <c r="R447" s="4"/>
      <c r="S447" s="4"/>
      <c r="T447" s="4"/>
      <c r="U447" s="4"/>
      <c r="V447" s="4"/>
      <c r="W447" s="4"/>
      <c r="X447" s="4"/>
    </row>
    <row r="448" spans="1:24" ht="15.6" x14ac:dyDescent="0.3">
      <c r="A448" s="6"/>
      <c r="B448" s="7"/>
      <c r="C448" s="136"/>
      <c r="D448" s="8"/>
      <c r="E448" s="8"/>
      <c r="F448" s="9"/>
      <c r="G448" s="10"/>
      <c r="H448" s="9"/>
      <c r="I448" s="4"/>
      <c r="J448" s="4"/>
      <c r="K448" s="11"/>
      <c r="L448" s="4"/>
      <c r="M448" s="4"/>
      <c r="N448" s="4"/>
      <c r="O448" s="4"/>
      <c r="P448" s="4"/>
      <c r="Q448" s="4"/>
      <c r="R448" s="4"/>
      <c r="S448" s="4"/>
      <c r="T448" s="4"/>
      <c r="U448" s="4"/>
      <c r="V448" s="4"/>
      <c r="W448" s="4"/>
      <c r="X448" s="4"/>
    </row>
    <row r="449" spans="1:24" ht="15.6" x14ac:dyDescent="0.3">
      <c r="A449" s="6"/>
      <c r="B449" s="7"/>
      <c r="C449" s="136"/>
      <c r="D449" s="8"/>
      <c r="E449" s="8"/>
      <c r="F449" s="9"/>
      <c r="G449" s="10"/>
      <c r="H449" s="9"/>
      <c r="I449" s="4"/>
      <c r="J449" s="4"/>
      <c r="K449" s="11"/>
      <c r="L449" s="4"/>
      <c r="M449" s="4"/>
      <c r="N449" s="4"/>
      <c r="O449" s="4"/>
      <c r="P449" s="4"/>
      <c r="Q449" s="4"/>
      <c r="R449" s="4"/>
      <c r="S449" s="4"/>
      <c r="T449" s="4"/>
      <c r="U449" s="4"/>
      <c r="V449" s="4"/>
      <c r="W449" s="4"/>
      <c r="X449" s="4"/>
    </row>
    <row r="450" spans="1:24" ht="15.6" x14ac:dyDescent="0.3">
      <c r="A450" s="6"/>
      <c r="B450" s="7"/>
      <c r="C450" s="136"/>
      <c r="D450" s="8"/>
      <c r="E450" s="8"/>
      <c r="F450" s="9"/>
      <c r="G450" s="10"/>
      <c r="H450" s="9"/>
      <c r="I450" s="4"/>
      <c r="J450" s="4"/>
      <c r="K450" s="11"/>
      <c r="L450" s="4"/>
      <c r="M450" s="4"/>
      <c r="N450" s="4"/>
      <c r="O450" s="4"/>
      <c r="P450" s="4"/>
      <c r="Q450" s="4"/>
      <c r="R450" s="4"/>
      <c r="S450" s="4"/>
      <c r="T450" s="4"/>
      <c r="U450" s="4"/>
      <c r="V450" s="4"/>
      <c r="W450" s="4"/>
      <c r="X450" s="4"/>
    </row>
    <row r="451" spans="1:24" ht="15.6" x14ac:dyDescent="0.3">
      <c r="A451" s="6"/>
      <c r="B451" s="7"/>
      <c r="C451" s="136"/>
      <c r="D451" s="8"/>
      <c r="E451" s="8"/>
      <c r="F451" s="9"/>
      <c r="G451" s="10"/>
      <c r="H451" s="9"/>
      <c r="I451" s="4"/>
      <c r="J451" s="4"/>
      <c r="K451" s="11"/>
      <c r="L451" s="4"/>
      <c r="M451" s="4"/>
      <c r="N451" s="4"/>
      <c r="O451" s="4"/>
      <c r="P451" s="4"/>
      <c r="Q451" s="4"/>
      <c r="R451" s="4"/>
      <c r="S451" s="4"/>
      <c r="T451" s="4"/>
      <c r="U451" s="4"/>
      <c r="V451" s="4"/>
      <c r="W451" s="4"/>
      <c r="X451" s="4"/>
    </row>
    <row r="452" spans="1:24" ht="15.6" x14ac:dyDescent="0.3">
      <c r="A452" s="6"/>
      <c r="B452" s="7"/>
      <c r="C452" s="136"/>
      <c r="D452" s="8"/>
      <c r="E452" s="8"/>
      <c r="F452" s="9"/>
      <c r="G452" s="10"/>
      <c r="H452" s="9"/>
      <c r="I452" s="4"/>
      <c r="J452" s="4"/>
      <c r="K452" s="11"/>
      <c r="L452" s="4"/>
      <c r="M452" s="4"/>
      <c r="N452" s="4"/>
      <c r="O452" s="4"/>
      <c r="P452" s="4"/>
      <c r="Q452" s="4"/>
      <c r="R452" s="4"/>
      <c r="S452" s="4"/>
      <c r="T452" s="4"/>
      <c r="U452" s="4"/>
      <c r="V452" s="4"/>
      <c r="W452" s="4"/>
      <c r="X452" s="4"/>
    </row>
    <row r="453" spans="1:24" ht="15.6" x14ac:dyDescent="0.3">
      <c r="A453" s="6"/>
      <c r="B453" s="7"/>
      <c r="C453" s="136"/>
      <c r="D453" s="8"/>
      <c r="E453" s="8"/>
      <c r="F453" s="9"/>
      <c r="G453" s="10"/>
      <c r="H453" s="9"/>
      <c r="I453" s="4"/>
      <c r="J453" s="4"/>
      <c r="K453" s="11"/>
      <c r="L453" s="4"/>
      <c r="M453" s="4"/>
      <c r="N453" s="4"/>
      <c r="O453" s="4"/>
      <c r="P453" s="4"/>
      <c r="Q453" s="4"/>
      <c r="R453" s="4"/>
      <c r="S453" s="4"/>
      <c r="T453" s="4"/>
      <c r="U453" s="4"/>
      <c r="V453" s="4"/>
      <c r="W453" s="4"/>
      <c r="X453" s="4"/>
    </row>
    <row r="454" spans="1:24" ht="15.6" x14ac:dyDescent="0.3">
      <c r="A454" s="6"/>
      <c r="B454" s="7"/>
      <c r="C454" s="136"/>
      <c r="D454" s="8"/>
      <c r="E454" s="8"/>
      <c r="F454" s="9"/>
      <c r="G454" s="10"/>
      <c r="H454" s="9"/>
      <c r="I454" s="4"/>
      <c r="J454" s="4"/>
      <c r="K454" s="11"/>
      <c r="L454" s="4"/>
      <c r="M454" s="4"/>
      <c r="N454" s="4"/>
      <c r="O454" s="4"/>
      <c r="P454" s="4"/>
      <c r="Q454" s="4"/>
      <c r="R454" s="4"/>
      <c r="S454" s="4"/>
      <c r="T454" s="4"/>
      <c r="U454" s="4"/>
      <c r="V454" s="4"/>
      <c r="W454" s="4"/>
      <c r="X454" s="4"/>
    </row>
    <row r="455" spans="1:24" ht="15.6" x14ac:dyDescent="0.3">
      <c r="A455" s="6"/>
      <c r="B455" s="7"/>
      <c r="C455" s="136"/>
      <c r="D455" s="8"/>
      <c r="E455" s="8"/>
      <c r="F455" s="9"/>
      <c r="G455" s="10"/>
      <c r="H455" s="9"/>
      <c r="I455" s="4"/>
      <c r="J455" s="4"/>
      <c r="K455" s="11"/>
      <c r="L455" s="4"/>
      <c r="M455" s="4"/>
      <c r="N455" s="4"/>
      <c r="O455" s="4"/>
      <c r="P455" s="4"/>
      <c r="Q455" s="4"/>
      <c r="R455" s="4"/>
      <c r="S455" s="4"/>
      <c r="T455" s="4"/>
      <c r="U455" s="4"/>
      <c r="V455" s="4"/>
      <c r="W455" s="4"/>
      <c r="X455" s="4"/>
    </row>
    <row r="456" spans="1:24" ht="15.6" x14ac:dyDescent="0.3">
      <c r="A456" s="6"/>
      <c r="B456" s="7"/>
      <c r="C456" s="136"/>
      <c r="D456" s="8"/>
      <c r="E456" s="8"/>
      <c r="F456" s="9"/>
      <c r="G456" s="10"/>
      <c r="H456" s="9"/>
      <c r="I456" s="4"/>
      <c r="J456" s="4"/>
      <c r="K456" s="11"/>
      <c r="L456" s="4"/>
      <c r="M456" s="4"/>
      <c r="N456" s="4"/>
      <c r="O456" s="4"/>
      <c r="P456" s="4"/>
      <c r="Q456" s="4"/>
      <c r="R456" s="4"/>
      <c r="S456" s="4"/>
      <c r="T456" s="4"/>
      <c r="U456" s="4"/>
      <c r="V456" s="4"/>
      <c r="W456" s="4"/>
      <c r="X456" s="4"/>
    </row>
    <row r="457" spans="1:24" ht="15.6" x14ac:dyDescent="0.3">
      <c r="A457" s="6"/>
      <c r="B457" s="7"/>
      <c r="C457" s="136"/>
      <c r="D457" s="8"/>
      <c r="E457" s="8"/>
      <c r="F457" s="9"/>
      <c r="G457" s="10"/>
      <c r="H457" s="9"/>
      <c r="I457" s="4"/>
      <c r="J457" s="4"/>
      <c r="K457" s="11"/>
      <c r="L457" s="4"/>
      <c r="M457" s="4"/>
      <c r="N457" s="4"/>
      <c r="O457" s="4"/>
      <c r="P457" s="4"/>
      <c r="Q457" s="4"/>
      <c r="R457" s="4"/>
      <c r="S457" s="4"/>
      <c r="T457" s="4"/>
      <c r="U457" s="4"/>
      <c r="V457" s="4"/>
      <c r="W457" s="4"/>
      <c r="X457" s="4"/>
    </row>
    <row r="458" spans="1:24" ht="15.6" x14ac:dyDescent="0.3">
      <c r="A458" s="6"/>
      <c r="B458" s="7"/>
      <c r="C458" s="136"/>
      <c r="D458" s="8"/>
      <c r="E458" s="8"/>
      <c r="F458" s="9"/>
      <c r="G458" s="10"/>
      <c r="H458" s="9"/>
      <c r="I458" s="4"/>
      <c r="J458" s="4"/>
      <c r="K458" s="11"/>
      <c r="L458" s="4"/>
      <c r="M458" s="4"/>
      <c r="N458" s="4"/>
      <c r="O458" s="4"/>
      <c r="P458" s="4"/>
      <c r="Q458" s="4"/>
      <c r="R458" s="4"/>
      <c r="S458" s="4"/>
      <c r="T458" s="4"/>
      <c r="U458" s="4"/>
      <c r="V458" s="4"/>
      <c r="W458" s="4"/>
      <c r="X458" s="4"/>
    </row>
    <row r="459" spans="1:24" ht="15.6" x14ac:dyDescent="0.3">
      <c r="A459" s="6"/>
      <c r="B459" s="7"/>
      <c r="C459" s="136"/>
      <c r="D459" s="8"/>
      <c r="E459" s="8"/>
      <c r="F459" s="9"/>
      <c r="G459" s="10"/>
      <c r="H459" s="9"/>
      <c r="I459" s="4"/>
      <c r="J459" s="4"/>
      <c r="K459" s="11"/>
      <c r="L459" s="4"/>
      <c r="M459" s="4"/>
      <c r="N459" s="4"/>
      <c r="O459" s="4"/>
      <c r="P459" s="4"/>
      <c r="Q459" s="4"/>
      <c r="R459" s="4"/>
      <c r="S459" s="4"/>
      <c r="T459" s="4"/>
      <c r="U459" s="4"/>
      <c r="V459" s="4"/>
      <c r="W459" s="4"/>
      <c r="X459" s="4"/>
    </row>
    <row r="460" spans="1:24" ht="15.6" x14ac:dyDescent="0.3">
      <c r="A460" s="6"/>
      <c r="B460" s="7"/>
      <c r="C460" s="136"/>
      <c r="D460" s="8"/>
      <c r="E460" s="8"/>
      <c r="F460" s="9"/>
      <c r="G460" s="10"/>
      <c r="H460" s="9"/>
      <c r="I460" s="4"/>
      <c r="J460" s="4"/>
      <c r="K460" s="11"/>
      <c r="L460" s="4"/>
      <c r="M460" s="4"/>
      <c r="N460" s="4"/>
      <c r="O460" s="4"/>
      <c r="P460" s="4"/>
      <c r="Q460" s="4"/>
      <c r="R460" s="4"/>
      <c r="S460" s="4"/>
      <c r="T460" s="4"/>
      <c r="U460" s="4"/>
      <c r="V460" s="4"/>
      <c r="W460" s="4"/>
      <c r="X460" s="4"/>
    </row>
    <row r="461" spans="1:24" ht="15.6" x14ac:dyDescent="0.3">
      <c r="A461" s="6"/>
      <c r="B461" s="7"/>
      <c r="C461" s="136"/>
      <c r="D461" s="8"/>
      <c r="E461" s="8"/>
      <c r="F461" s="9"/>
      <c r="G461" s="10"/>
      <c r="H461" s="9"/>
      <c r="I461" s="4"/>
      <c r="J461" s="4"/>
      <c r="K461" s="11"/>
      <c r="L461" s="4"/>
      <c r="M461" s="4"/>
      <c r="N461" s="4"/>
      <c r="O461" s="4"/>
      <c r="P461" s="4"/>
      <c r="Q461" s="4"/>
      <c r="R461" s="4"/>
      <c r="S461" s="4"/>
      <c r="T461" s="4"/>
      <c r="U461" s="4"/>
      <c r="V461" s="4"/>
      <c r="W461" s="4"/>
      <c r="X461" s="4"/>
    </row>
    <row r="462" spans="1:24" ht="15.6" x14ac:dyDescent="0.3">
      <c r="A462" s="6"/>
      <c r="B462" s="7"/>
      <c r="C462" s="136"/>
      <c r="D462" s="8"/>
      <c r="E462" s="8"/>
      <c r="F462" s="9"/>
      <c r="G462" s="10"/>
      <c r="H462" s="9"/>
      <c r="I462" s="4"/>
      <c r="J462" s="4"/>
      <c r="K462" s="11"/>
      <c r="L462" s="4"/>
      <c r="M462" s="4"/>
      <c r="N462" s="4"/>
      <c r="O462" s="4"/>
      <c r="P462" s="4"/>
      <c r="Q462" s="4"/>
      <c r="R462" s="4"/>
      <c r="S462" s="4"/>
      <c r="T462" s="4"/>
      <c r="U462" s="4"/>
      <c r="V462" s="4"/>
      <c r="W462" s="4"/>
      <c r="X462" s="4"/>
    </row>
    <row r="463" spans="1:24" ht="15.6" x14ac:dyDescent="0.3">
      <c r="A463" s="6"/>
      <c r="B463" s="7"/>
      <c r="C463" s="136"/>
      <c r="D463" s="8"/>
      <c r="E463" s="8"/>
      <c r="F463" s="9"/>
      <c r="G463" s="10"/>
      <c r="H463" s="9"/>
      <c r="I463" s="4"/>
      <c r="J463" s="4"/>
      <c r="K463" s="11"/>
      <c r="L463" s="4"/>
      <c r="M463" s="4"/>
      <c r="N463" s="4"/>
      <c r="O463" s="4"/>
      <c r="P463" s="4"/>
      <c r="Q463" s="4"/>
      <c r="R463" s="4"/>
      <c r="S463" s="4"/>
      <c r="T463" s="4"/>
      <c r="U463" s="4"/>
      <c r="V463" s="4"/>
      <c r="W463" s="4"/>
      <c r="X463" s="4"/>
    </row>
    <row r="464" spans="1:24" ht="15.6" x14ac:dyDescent="0.3">
      <c r="A464" s="6"/>
      <c r="B464" s="7"/>
      <c r="C464" s="136"/>
      <c r="D464" s="8"/>
      <c r="E464" s="8"/>
      <c r="F464" s="9"/>
      <c r="G464" s="10"/>
      <c r="H464" s="9"/>
      <c r="I464" s="4"/>
      <c r="J464" s="4"/>
      <c r="K464" s="11"/>
      <c r="L464" s="4"/>
      <c r="M464" s="4"/>
      <c r="N464" s="4"/>
      <c r="O464" s="4"/>
      <c r="P464" s="4"/>
      <c r="Q464" s="4"/>
      <c r="R464" s="4"/>
      <c r="S464" s="4"/>
      <c r="T464" s="4"/>
      <c r="U464" s="4"/>
      <c r="V464" s="4"/>
      <c r="W464" s="4"/>
      <c r="X464" s="4"/>
    </row>
    <row r="465" spans="1:24" ht="15.6" x14ac:dyDescent="0.3">
      <c r="A465" s="6"/>
      <c r="B465" s="7"/>
      <c r="C465" s="136"/>
      <c r="D465" s="8"/>
      <c r="E465" s="8"/>
      <c r="F465" s="9"/>
      <c r="G465" s="10"/>
      <c r="H465" s="9"/>
      <c r="I465" s="4"/>
      <c r="J465" s="4"/>
      <c r="K465" s="11"/>
      <c r="L465" s="4"/>
      <c r="M465" s="4"/>
      <c r="N465" s="4"/>
      <c r="O465" s="4"/>
      <c r="P465" s="4"/>
      <c r="Q465" s="4"/>
      <c r="R465" s="4"/>
      <c r="S465" s="4"/>
      <c r="T465" s="4"/>
      <c r="U465" s="4"/>
      <c r="V465" s="4"/>
      <c r="W465" s="4"/>
      <c r="X465" s="4"/>
    </row>
    <row r="466" spans="1:24" ht="15.6" x14ac:dyDescent="0.3">
      <c r="A466" s="6"/>
      <c r="B466" s="7"/>
      <c r="C466" s="136"/>
      <c r="D466" s="8"/>
      <c r="E466" s="8"/>
      <c r="F466" s="9"/>
      <c r="G466" s="10"/>
      <c r="H466" s="9"/>
      <c r="I466" s="4"/>
      <c r="J466" s="4"/>
      <c r="K466" s="11"/>
      <c r="L466" s="4"/>
      <c r="M466" s="4"/>
      <c r="N466" s="4"/>
      <c r="O466" s="4"/>
      <c r="P466" s="4"/>
      <c r="Q466" s="4"/>
      <c r="R466" s="4"/>
      <c r="S466" s="4"/>
      <c r="T466" s="4"/>
      <c r="U466" s="4"/>
      <c r="V466" s="4"/>
      <c r="W466" s="4"/>
      <c r="X466" s="4"/>
    </row>
    <row r="467" spans="1:24" ht="15.6" x14ac:dyDescent="0.3">
      <c r="A467" s="6"/>
      <c r="B467" s="7"/>
      <c r="C467" s="136"/>
      <c r="D467" s="8"/>
      <c r="E467" s="8"/>
      <c r="F467" s="9"/>
      <c r="G467" s="10"/>
      <c r="H467" s="9"/>
      <c r="I467" s="4"/>
      <c r="J467" s="4"/>
      <c r="K467" s="11"/>
      <c r="L467" s="4"/>
      <c r="M467" s="4"/>
      <c r="N467" s="4"/>
      <c r="O467" s="4"/>
      <c r="P467" s="4"/>
      <c r="Q467" s="4"/>
      <c r="R467" s="4"/>
      <c r="S467" s="4"/>
      <c r="T467" s="4"/>
      <c r="U467" s="4"/>
      <c r="V467" s="4"/>
      <c r="W467" s="4"/>
      <c r="X467" s="4"/>
    </row>
    <row r="468" spans="1:24" ht="15.6" x14ac:dyDescent="0.3">
      <c r="A468" s="6"/>
      <c r="B468" s="7"/>
      <c r="C468" s="136"/>
      <c r="D468" s="8"/>
      <c r="E468" s="8"/>
      <c r="F468" s="9"/>
      <c r="G468" s="10"/>
      <c r="H468" s="9"/>
      <c r="I468" s="4"/>
      <c r="J468" s="4"/>
      <c r="K468" s="11"/>
      <c r="L468" s="4"/>
      <c r="M468" s="4"/>
      <c r="N468" s="4"/>
      <c r="O468" s="4"/>
      <c r="P468" s="4"/>
      <c r="Q468" s="4"/>
      <c r="R468" s="4"/>
      <c r="S468" s="4"/>
      <c r="T468" s="4"/>
      <c r="U468" s="4"/>
      <c r="V468" s="4"/>
      <c r="W468" s="4"/>
      <c r="X468" s="4"/>
    </row>
    <row r="469" spans="1:24" ht="15.6" x14ac:dyDescent="0.3">
      <c r="A469" s="6"/>
      <c r="B469" s="7"/>
      <c r="C469" s="136"/>
      <c r="D469" s="8"/>
      <c r="E469" s="8"/>
      <c r="F469" s="9"/>
      <c r="G469" s="10"/>
      <c r="H469" s="9"/>
      <c r="I469" s="4"/>
      <c r="J469" s="4"/>
      <c r="K469" s="11"/>
      <c r="L469" s="4"/>
      <c r="M469" s="4"/>
      <c r="N469" s="4"/>
      <c r="O469" s="4"/>
      <c r="P469" s="4"/>
      <c r="Q469" s="4"/>
      <c r="R469" s="4"/>
      <c r="S469" s="4"/>
      <c r="T469" s="4"/>
      <c r="U469" s="4"/>
      <c r="V469" s="4"/>
      <c r="W469" s="4"/>
      <c r="X469" s="4"/>
    </row>
    <row r="470" spans="1:24" ht="15.6" x14ac:dyDescent="0.3">
      <c r="A470" s="6"/>
      <c r="B470" s="7"/>
      <c r="C470" s="136"/>
      <c r="D470" s="8"/>
      <c r="E470" s="8"/>
      <c r="F470" s="9"/>
      <c r="G470" s="10"/>
      <c r="H470" s="9"/>
      <c r="I470" s="4"/>
      <c r="J470" s="4"/>
      <c r="K470" s="11"/>
      <c r="L470" s="4"/>
      <c r="M470" s="4"/>
      <c r="N470" s="4"/>
      <c r="O470" s="4"/>
      <c r="P470" s="4"/>
      <c r="Q470" s="4"/>
      <c r="R470" s="4"/>
      <c r="S470" s="4"/>
      <c r="T470" s="4"/>
      <c r="U470" s="4"/>
      <c r="V470" s="4"/>
      <c r="W470" s="4"/>
      <c r="X470" s="4"/>
    </row>
    <row r="471" spans="1:24" ht="15.6" x14ac:dyDescent="0.3">
      <c r="A471" s="6"/>
      <c r="B471" s="7"/>
      <c r="C471" s="136"/>
      <c r="D471" s="8"/>
      <c r="E471" s="8"/>
      <c r="F471" s="9"/>
      <c r="G471" s="10"/>
      <c r="H471" s="9"/>
      <c r="I471" s="4"/>
      <c r="J471" s="4"/>
      <c r="K471" s="11"/>
      <c r="L471" s="4"/>
      <c r="M471" s="4"/>
      <c r="N471" s="4"/>
      <c r="O471" s="4"/>
      <c r="P471" s="4"/>
      <c r="Q471" s="4"/>
      <c r="R471" s="4"/>
      <c r="S471" s="4"/>
      <c r="T471" s="4"/>
      <c r="U471" s="4"/>
      <c r="V471" s="4"/>
      <c r="W471" s="4"/>
      <c r="X471" s="4"/>
    </row>
    <row r="472" spans="1:24" ht="15.6" x14ac:dyDescent="0.3">
      <c r="A472" s="6"/>
      <c r="B472" s="7"/>
      <c r="C472" s="136"/>
      <c r="D472" s="8"/>
      <c r="E472" s="8"/>
      <c r="F472" s="9"/>
      <c r="G472" s="10"/>
      <c r="H472" s="9"/>
      <c r="I472" s="4"/>
      <c r="J472" s="4"/>
      <c r="K472" s="11"/>
      <c r="L472" s="4"/>
      <c r="M472" s="4"/>
      <c r="N472" s="4"/>
      <c r="O472" s="4"/>
      <c r="P472" s="4"/>
      <c r="Q472" s="4"/>
      <c r="R472" s="4"/>
      <c r="S472" s="4"/>
      <c r="T472" s="4"/>
      <c r="U472" s="4"/>
      <c r="V472" s="4"/>
      <c r="W472" s="4"/>
      <c r="X472" s="4"/>
    </row>
    <row r="473" spans="1:24" ht="15.6" x14ac:dyDescent="0.3">
      <c r="A473" s="6"/>
      <c r="B473" s="7"/>
      <c r="C473" s="136"/>
      <c r="D473" s="8"/>
      <c r="E473" s="8"/>
      <c r="F473" s="9"/>
      <c r="G473" s="10"/>
      <c r="H473" s="9"/>
      <c r="I473" s="4"/>
      <c r="J473" s="4"/>
      <c r="K473" s="11"/>
      <c r="L473" s="4"/>
      <c r="M473" s="4"/>
      <c r="N473" s="4"/>
      <c r="O473" s="4"/>
      <c r="P473" s="4"/>
      <c r="Q473" s="4"/>
      <c r="R473" s="4"/>
      <c r="S473" s="4"/>
      <c r="T473" s="4"/>
      <c r="U473" s="4"/>
      <c r="V473" s="4"/>
      <c r="W473" s="4"/>
      <c r="X473" s="4"/>
    </row>
    <row r="474" spans="1:24" ht="15.6" x14ac:dyDescent="0.3">
      <c r="A474" s="6"/>
      <c r="B474" s="7"/>
      <c r="C474" s="136"/>
      <c r="D474" s="8"/>
      <c r="E474" s="8"/>
      <c r="F474" s="9"/>
      <c r="G474" s="10"/>
      <c r="H474" s="9"/>
      <c r="I474" s="4"/>
      <c r="J474" s="4"/>
      <c r="K474" s="11"/>
      <c r="L474" s="4"/>
      <c r="M474" s="4"/>
      <c r="N474" s="4"/>
      <c r="O474" s="4"/>
      <c r="P474" s="4"/>
      <c r="Q474" s="4"/>
      <c r="R474" s="4"/>
      <c r="S474" s="4"/>
      <c r="T474" s="4"/>
      <c r="U474" s="4"/>
      <c r="V474" s="4"/>
      <c r="W474" s="4"/>
      <c r="X474" s="4"/>
    </row>
    <row r="475" spans="1:24" ht="15.6" x14ac:dyDescent="0.3">
      <c r="A475" s="6"/>
      <c r="B475" s="7"/>
      <c r="C475" s="136"/>
      <c r="D475" s="8"/>
      <c r="E475" s="8"/>
      <c r="F475" s="9"/>
      <c r="G475" s="10"/>
      <c r="H475" s="9"/>
      <c r="I475" s="4"/>
      <c r="J475" s="4"/>
      <c r="K475" s="11"/>
      <c r="L475" s="4"/>
      <c r="M475" s="4"/>
      <c r="N475" s="4"/>
      <c r="O475" s="4"/>
      <c r="P475" s="4"/>
      <c r="Q475" s="4"/>
      <c r="R475" s="4"/>
      <c r="S475" s="4"/>
      <c r="T475" s="4"/>
      <c r="U475" s="4"/>
      <c r="V475" s="4"/>
      <c r="W475" s="4"/>
      <c r="X475" s="4"/>
    </row>
    <row r="476" spans="1:24" ht="15.6" x14ac:dyDescent="0.3">
      <c r="A476" s="6"/>
      <c r="B476" s="7"/>
      <c r="C476" s="136"/>
      <c r="D476" s="8"/>
      <c r="E476" s="8"/>
      <c r="F476" s="9"/>
      <c r="G476" s="10"/>
      <c r="H476" s="9"/>
      <c r="I476" s="4"/>
      <c r="J476" s="4"/>
      <c r="K476" s="11"/>
      <c r="L476" s="4"/>
      <c r="M476" s="4"/>
      <c r="N476" s="4"/>
      <c r="O476" s="4"/>
      <c r="P476" s="4"/>
      <c r="Q476" s="4"/>
      <c r="R476" s="4"/>
      <c r="S476" s="4"/>
      <c r="T476" s="4"/>
      <c r="U476" s="4"/>
      <c r="V476" s="4"/>
      <c r="W476" s="4"/>
      <c r="X476" s="4"/>
    </row>
    <row r="477" spans="1:24" ht="15.6" x14ac:dyDescent="0.3">
      <c r="A477" s="6"/>
      <c r="B477" s="7"/>
      <c r="C477" s="136"/>
      <c r="D477" s="8"/>
      <c r="E477" s="8"/>
      <c r="F477" s="9"/>
      <c r="G477" s="10"/>
      <c r="H477" s="9"/>
      <c r="I477" s="4"/>
      <c r="J477" s="4"/>
      <c r="K477" s="11"/>
      <c r="L477" s="4"/>
      <c r="M477" s="4"/>
      <c r="N477" s="4"/>
      <c r="O477" s="4"/>
      <c r="P477" s="4"/>
      <c r="Q477" s="4"/>
      <c r="R477" s="4"/>
      <c r="S477" s="4"/>
      <c r="T477" s="4"/>
      <c r="U477" s="4"/>
      <c r="V477" s="4"/>
      <c r="W477" s="4"/>
      <c r="X477" s="4"/>
    </row>
    <row r="478" spans="1:24" ht="15.6" x14ac:dyDescent="0.3">
      <c r="A478" s="6"/>
      <c r="B478" s="7"/>
      <c r="C478" s="136"/>
      <c r="D478" s="8"/>
      <c r="E478" s="8"/>
      <c r="F478" s="9"/>
      <c r="G478" s="10"/>
      <c r="H478" s="9"/>
      <c r="I478" s="4"/>
      <c r="J478" s="4"/>
      <c r="K478" s="11"/>
      <c r="L478" s="4"/>
      <c r="M478" s="4"/>
      <c r="N478" s="4"/>
      <c r="O478" s="4"/>
      <c r="P478" s="4"/>
      <c r="Q478" s="4"/>
      <c r="R478" s="4"/>
      <c r="S478" s="4"/>
      <c r="T478" s="4"/>
      <c r="U478" s="4"/>
      <c r="V478" s="4"/>
      <c r="W478" s="4"/>
      <c r="X478" s="4"/>
    </row>
    <row r="479" spans="1:24" ht="15.6" x14ac:dyDescent="0.3">
      <c r="A479" s="6"/>
      <c r="B479" s="7"/>
      <c r="C479" s="136"/>
      <c r="D479" s="8"/>
      <c r="E479" s="8"/>
      <c r="F479" s="9"/>
      <c r="G479" s="10"/>
      <c r="H479" s="9"/>
      <c r="I479" s="4"/>
      <c r="J479" s="4"/>
      <c r="K479" s="11"/>
      <c r="L479" s="4"/>
      <c r="M479" s="4"/>
      <c r="N479" s="4"/>
      <c r="O479" s="4"/>
      <c r="P479" s="4"/>
      <c r="Q479" s="4"/>
      <c r="R479" s="4"/>
      <c r="S479" s="4"/>
      <c r="T479" s="4"/>
      <c r="U479" s="4"/>
      <c r="V479" s="4"/>
      <c r="W479" s="4"/>
      <c r="X479" s="4"/>
    </row>
    <row r="480" spans="1:24" ht="15.6" x14ac:dyDescent="0.3">
      <c r="A480" s="6"/>
      <c r="B480" s="7"/>
      <c r="C480" s="136"/>
      <c r="D480" s="8"/>
      <c r="E480" s="8"/>
      <c r="F480" s="9"/>
      <c r="G480" s="10"/>
      <c r="H480" s="9"/>
      <c r="I480" s="4"/>
      <c r="J480" s="4"/>
      <c r="K480" s="11"/>
      <c r="L480" s="4"/>
      <c r="M480" s="4"/>
      <c r="N480" s="4"/>
      <c r="O480" s="4"/>
      <c r="P480" s="4"/>
      <c r="Q480" s="4"/>
      <c r="R480" s="4"/>
      <c r="S480" s="4"/>
      <c r="T480" s="4"/>
      <c r="U480" s="4"/>
      <c r="V480" s="4"/>
      <c r="W480" s="4"/>
      <c r="X480" s="4"/>
    </row>
    <row r="481" spans="1:24" ht="15.6" x14ac:dyDescent="0.3">
      <c r="A481" s="6"/>
      <c r="B481" s="7"/>
      <c r="C481" s="136"/>
      <c r="D481" s="8"/>
      <c r="E481" s="8"/>
      <c r="F481" s="9"/>
      <c r="G481" s="10"/>
      <c r="H481" s="9"/>
      <c r="I481" s="4"/>
      <c r="J481" s="4"/>
      <c r="K481" s="11"/>
      <c r="L481" s="4"/>
      <c r="M481" s="4"/>
      <c r="N481" s="4"/>
      <c r="O481" s="4"/>
      <c r="P481" s="4"/>
      <c r="Q481" s="4"/>
      <c r="R481" s="4"/>
      <c r="S481" s="4"/>
      <c r="T481" s="4"/>
      <c r="U481" s="4"/>
      <c r="V481" s="4"/>
      <c r="W481" s="4"/>
      <c r="X481" s="4"/>
    </row>
    <row r="482" spans="1:24" ht="15.6" x14ac:dyDescent="0.3">
      <c r="A482" s="6"/>
      <c r="B482" s="7"/>
      <c r="C482" s="136"/>
      <c r="D482" s="8"/>
      <c r="E482" s="8"/>
      <c r="F482" s="9"/>
      <c r="G482" s="10"/>
      <c r="H482" s="9"/>
      <c r="I482" s="4"/>
      <c r="J482" s="4"/>
      <c r="K482" s="11"/>
      <c r="L482" s="4"/>
      <c r="M482" s="4"/>
      <c r="N482" s="4"/>
      <c r="O482" s="4"/>
      <c r="P482" s="4"/>
      <c r="Q482" s="4"/>
      <c r="R482" s="4"/>
      <c r="S482" s="4"/>
      <c r="T482" s="4"/>
      <c r="U482" s="4"/>
      <c r="V482" s="4"/>
      <c r="W482" s="4"/>
      <c r="X482" s="4"/>
    </row>
    <row r="483" spans="1:24" ht="15.6" x14ac:dyDescent="0.3">
      <c r="A483" s="6"/>
      <c r="B483" s="7"/>
      <c r="C483" s="136"/>
      <c r="D483" s="8"/>
      <c r="E483" s="8"/>
      <c r="F483" s="9"/>
      <c r="G483" s="10"/>
      <c r="H483" s="9"/>
      <c r="I483" s="4"/>
      <c r="J483" s="4"/>
      <c r="K483" s="11"/>
      <c r="L483" s="4"/>
      <c r="M483" s="4"/>
      <c r="N483" s="4"/>
      <c r="O483" s="4"/>
      <c r="P483" s="4"/>
      <c r="Q483" s="4"/>
      <c r="R483" s="4"/>
      <c r="S483" s="4"/>
      <c r="T483" s="4"/>
      <c r="U483" s="4"/>
      <c r="V483" s="4"/>
      <c r="W483" s="4"/>
      <c r="X483" s="4"/>
    </row>
    <row r="484" spans="1:24" ht="15.6" x14ac:dyDescent="0.3">
      <c r="A484" s="6"/>
      <c r="B484" s="7"/>
      <c r="C484" s="136"/>
      <c r="D484" s="8"/>
      <c r="E484" s="8"/>
      <c r="F484" s="9"/>
      <c r="G484" s="10"/>
      <c r="H484" s="9"/>
      <c r="I484" s="4"/>
      <c r="J484" s="4"/>
      <c r="K484" s="11"/>
      <c r="L484" s="4"/>
      <c r="M484" s="4"/>
      <c r="N484" s="4"/>
      <c r="O484" s="4"/>
      <c r="P484" s="4"/>
      <c r="Q484" s="4"/>
      <c r="R484" s="4"/>
      <c r="S484" s="4"/>
      <c r="T484" s="4"/>
      <c r="U484" s="4"/>
      <c r="V484" s="4"/>
      <c r="W484" s="4"/>
      <c r="X484" s="4"/>
    </row>
    <row r="485" spans="1:24" ht="15.6" x14ac:dyDescent="0.3">
      <c r="A485" s="6"/>
      <c r="B485" s="7"/>
      <c r="C485" s="136"/>
      <c r="D485" s="8"/>
      <c r="E485" s="8"/>
      <c r="F485" s="9"/>
      <c r="G485" s="10"/>
      <c r="H485" s="9"/>
      <c r="I485" s="4"/>
      <c r="J485" s="4"/>
      <c r="K485" s="11"/>
      <c r="L485" s="4"/>
      <c r="M485" s="4"/>
      <c r="N485" s="4"/>
      <c r="O485" s="4"/>
      <c r="P485" s="4"/>
      <c r="Q485" s="4"/>
      <c r="R485" s="4"/>
      <c r="S485" s="4"/>
      <c r="T485" s="4"/>
      <c r="U485" s="4"/>
      <c r="V485" s="4"/>
      <c r="W485" s="4"/>
      <c r="X485" s="4"/>
    </row>
    <row r="486" spans="1:24" ht="15.6" x14ac:dyDescent="0.3">
      <c r="A486" s="6"/>
      <c r="B486" s="7"/>
      <c r="C486" s="136"/>
      <c r="D486" s="8"/>
      <c r="E486" s="8"/>
      <c r="F486" s="9"/>
      <c r="G486" s="10"/>
      <c r="H486" s="9"/>
      <c r="I486" s="4"/>
      <c r="J486" s="4"/>
      <c r="K486" s="11"/>
      <c r="L486" s="4"/>
      <c r="M486" s="4"/>
      <c r="N486" s="4"/>
      <c r="O486" s="4"/>
      <c r="P486" s="4"/>
      <c r="Q486" s="4"/>
      <c r="R486" s="4"/>
      <c r="S486" s="4"/>
      <c r="T486" s="4"/>
      <c r="U486" s="4"/>
      <c r="V486" s="4"/>
      <c r="W486" s="4"/>
      <c r="X486" s="4"/>
    </row>
    <row r="487" spans="1:24" ht="15.6" x14ac:dyDescent="0.3">
      <c r="A487" s="6"/>
      <c r="B487" s="7"/>
      <c r="C487" s="136"/>
      <c r="D487" s="8"/>
      <c r="E487" s="8"/>
      <c r="F487" s="9"/>
      <c r="G487" s="10"/>
      <c r="H487" s="9"/>
      <c r="I487" s="4"/>
      <c r="J487" s="4"/>
      <c r="K487" s="11"/>
      <c r="L487" s="4"/>
      <c r="M487" s="4"/>
      <c r="N487" s="4"/>
      <c r="O487" s="4"/>
      <c r="P487" s="4"/>
      <c r="Q487" s="4"/>
      <c r="R487" s="4"/>
      <c r="S487" s="4"/>
      <c r="T487" s="4"/>
      <c r="U487" s="4"/>
      <c r="V487" s="4"/>
      <c r="W487" s="4"/>
      <c r="X487" s="4"/>
    </row>
    <row r="488" spans="1:24" ht="15.6" x14ac:dyDescent="0.3">
      <c r="A488" s="6"/>
      <c r="B488" s="7"/>
      <c r="C488" s="136"/>
      <c r="D488" s="8"/>
      <c r="E488" s="8"/>
      <c r="F488" s="9"/>
      <c r="G488" s="10"/>
      <c r="H488" s="9"/>
      <c r="I488" s="4"/>
      <c r="J488" s="4"/>
      <c r="K488" s="11"/>
      <c r="L488" s="4"/>
      <c r="M488" s="4"/>
      <c r="N488" s="4"/>
      <c r="O488" s="4"/>
      <c r="P488" s="4"/>
      <c r="Q488" s="4"/>
      <c r="R488" s="4"/>
      <c r="S488" s="4"/>
      <c r="T488" s="4"/>
      <c r="U488" s="4"/>
      <c r="V488" s="4"/>
      <c r="W488" s="4"/>
      <c r="X488" s="4"/>
    </row>
    <row r="489" spans="1:24" ht="15.6" x14ac:dyDescent="0.3">
      <c r="A489" s="6"/>
      <c r="B489" s="7"/>
      <c r="C489" s="136"/>
      <c r="D489" s="8"/>
      <c r="E489" s="8"/>
      <c r="F489" s="9"/>
      <c r="G489" s="10"/>
      <c r="H489" s="9"/>
      <c r="I489" s="4"/>
      <c r="J489" s="4"/>
      <c r="K489" s="11"/>
      <c r="L489" s="4"/>
      <c r="M489" s="4"/>
      <c r="N489" s="4"/>
      <c r="O489" s="4"/>
      <c r="P489" s="4"/>
      <c r="Q489" s="4"/>
      <c r="R489" s="4"/>
      <c r="S489" s="4"/>
      <c r="T489" s="4"/>
      <c r="U489" s="4"/>
      <c r="V489" s="4"/>
      <c r="W489" s="4"/>
      <c r="X489" s="4"/>
    </row>
    <row r="490" spans="1:24" ht="15.6" x14ac:dyDescent="0.3">
      <c r="A490" s="6"/>
      <c r="B490" s="7"/>
      <c r="C490" s="136"/>
      <c r="D490" s="8"/>
      <c r="E490" s="8"/>
      <c r="F490" s="9"/>
      <c r="G490" s="10"/>
      <c r="H490" s="9"/>
      <c r="I490" s="4"/>
      <c r="J490" s="4"/>
      <c r="K490" s="11"/>
      <c r="L490" s="4"/>
      <c r="M490" s="4"/>
      <c r="N490" s="4"/>
      <c r="O490" s="4"/>
      <c r="P490" s="4"/>
      <c r="Q490" s="4"/>
      <c r="R490" s="4"/>
      <c r="S490" s="4"/>
      <c r="T490" s="4"/>
      <c r="U490" s="4"/>
      <c r="V490" s="4"/>
      <c r="W490" s="4"/>
      <c r="X490" s="4"/>
    </row>
    <row r="491" spans="1:24" ht="15.6" x14ac:dyDescent="0.3">
      <c r="A491" s="6"/>
      <c r="B491" s="7"/>
      <c r="C491" s="136"/>
      <c r="D491" s="8"/>
      <c r="E491" s="8"/>
      <c r="F491" s="9"/>
      <c r="G491" s="10"/>
      <c r="H491" s="9"/>
      <c r="I491" s="4"/>
      <c r="J491" s="4"/>
      <c r="K491" s="11"/>
      <c r="L491" s="4"/>
      <c r="M491" s="4"/>
      <c r="N491" s="4"/>
      <c r="O491" s="4"/>
      <c r="P491" s="4"/>
      <c r="Q491" s="4"/>
      <c r="R491" s="4"/>
      <c r="S491" s="4"/>
      <c r="T491" s="4"/>
      <c r="U491" s="4"/>
      <c r="V491" s="4"/>
      <c r="W491" s="4"/>
      <c r="X491" s="4"/>
    </row>
    <row r="492" spans="1:24" ht="15.6" x14ac:dyDescent="0.3">
      <c r="A492" s="6"/>
      <c r="B492" s="7"/>
      <c r="C492" s="136"/>
      <c r="D492" s="8"/>
      <c r="E492" s="8"/>
      <c r="F492" s="9"/>
      <c r="G492" s="10"/>
      <c r="H492" s="9"/>
      <c r="I492" s="4"/>
      <c r="J492" s="4"/>
      <c r="K492" s="11"/>
      <c r="L492" s="4"/>
      <c r="M492" s="4"/>
      <c r="N492" s="4"/>
      <c r="O492" s="4"/>
      <c r="P492" s="4"/>
      <c r="Q492" s="4"/>
      <c r="R492" s="4"/>
      <c r="S492" s="4"/>
      <c r="T492" s="4"/>
      <c r="U492" s="4"/>
      <c r="V492" s="4"/>
      <c r="W492" s="4"/>
      <c r="X492" s="4"/>
    </row>
    <row r="493" spans="1:24" ht="15.6" x14ac:dyDescent="0.3">
      <c r="A493" s="6"/>
      <c r="B493" s="7"/>
      <c r="C493" s="136"/>
      <c r="D493" s="8"/>
      <c r="E493" s="8"/>
      <c r="F493" s="9"/>
      <c r="G493" s="10"/>
      <c r="H493" s="9"/>
      <c r="I493" s="4"/>
      <c r="J493" s="4"/>
      <c r="K493" s="11"/>
      <c r="L493" s="4"/>
      <c r="M493" s="4"/>
      <c r="N493" s="4"/>
      <c r="O493" s="4"/>
      <c r="P493" s="4"/>
      <c r="Q493" s="4"/>
      <c r="R493" s="4"/>
      <c r="S493" s="4"/>
      <c r="T493" s="4"/>
      <c r="U493" s="4"/>
      <c r="V493" s="4"/>
      <c r="W493" s="4"/>
      <c r="X493" s="4"/>
    </row>
    <row r="494" spans="1:24" ht="15.6" x14ac:dyDescent="0.3">
      <c r="A494" s="6"/>
      <c r="B494" s="7"/>
      <c r="C494" s="136"/>
      <c r="D494" s="8"/>
      <c r="E494" s="8"/>
      <c r="F494" s="9"/>
      <c r="G494" s="10"/>
      <c r="H494" s="9"/>
      <c r="I494" s="4"/>
      <c r="J494" s="4"/>
      <c r="K494" s="11"/>
      <c r="L494" s="4"/>
      <c r="M494" s="4"/>
      <c r="N494" s="4"/>
      <c r="O494" s="4"/>
      <c r="P494" s="4"/>
      <c r="Q494" s="4"/>
      <c r="R494" s="4"/>
      <c r="S494" s="4"/>
      <c r="T494" s="4"/>
      <c r="U494" s="4"/>
      <c r="V494" s="4"/>
      <c r="W494" s="4"/>
      <c r="X494" s="4"/>
    </row>
    <row r="495" spans="1:24" ht="15.6" x14ac:dyDescent="0.3">
      <c r="A495" s="6"/>
      <c r="B495" s="7"/>
      <c r="C495" s="136"/>
      <c r="D495" s="8"/>
      <c r="E495" s="8"/>
      <c r="F495" s="9"/>
      <c r="G495" s="10"/>
      <c r="H495" s="9"/>
      <c r="I495" s="4"/>
      <c r="J495" s="4"/>
      <c r="K495" s="11"/>
      <c r="L495" s="4"/>
      <c r="M495" s="4"/>
      <c r="N495" s="4"/>
      <c r="O495" s="4"/>
      <c r="P495" s="4"/>
      <c r="Q495" s="4"/>
      <c r="R495" s="4"/>
      <c r="S495" s="4"/>
      <c r="T495" s="4"/>
      <c r="U495" s="4"/>
      <c r="V495" s="4"/>
      <c r="W495" s="4"/>
      <c r="X495" s="4"/>
    </row>
    <row r="496" spans="1:24" ht="15.6" x14ac:dyDescent="0.3">
      <c r="A496" s="6"/>
      <c r="B496" s="7"/>
      <c r="C496" s="136"/>
      <c r="D496" s="8"/>
      <c r="E496" s="8"/>
      <c r="F496" s="9"/>
      <c r="G496" s="10"/>
      <c r="H496" s="9"/>
      <c r="I496" s="4"/>
      <c r="J496" s="4"/>
      <c r="K496" s="11"/>
      <c r="L496" s="4"/>
      <c r="M496" s="4"/>
      <c r="N496" s="4"/>
      <c r="O496" s="4"/>
      <c r="P496" s="4"/>
      <c r="Q496" s="4"/>
      <c r="R496" s="4"/>
      <c r="S496" s="4"/>
      <c r="T496" s="4"/>
      <c r="U496" s="4"/>
      <c r="V496" s="4"/>
      <c r="W496" s="4"/>
      <c r="X496" s="4"/>
    </row>
    <row r="497" spans="1:24" ht="15.6" x14ac:dyDescent="0.3">
      <c r="A497" s="6"/>
      <c r="B497" s="7"/>
      <c r="C497" s="136"/>
      <c r="D497" s="8"/>
      <c r="E497" s="8"/>
      <c r="F497" s="9"/>
      <c r="G497" s="10"/>
      <c r="H497" s="9"/>
      <c r="I497" s="4"/>
      <c r="J497" s="4"/>
      <c r="K497" s="11"/>
      <c r="L497" s="4"/>
      <c r="M497" s="4"/>
      <c r="N497" s="4"/>
      <c r="O497" s="4"/>
      <c r="P497" s="4"/>
      <c r="Q497" s="4"/>
      <c r="R497" s="4"/>
      <c r="S497" s="4"/>
      <c r="T497" s="4"/>
      <c r="U497" s="4"/>
      <c r="V497" s="4"/>
      <c r="W497" s="4"/>
      <c r="X497" s="4"/>
    </row>
    <row r="498" spans="1:24" ht="15.6" x14ac:dyDescent="0.3">
      <c r="A498" s="6"/>
      <c r="B498" s="7"/>
      <c r="C498" s="136"/>
      <c r="D498" s="8"/>
      <c r="E498" s="8"/>
      <c r="F498" s="9"/>
      <c r="G498" s="10"/>
      <c r="H498" s="9"/>
      <c r="I498" s="4"/>
      <c r="J498" s="4"/>
      <c r="K498" s="11"/>
      <c r="L498" s="4"/>
      <c r="M498" s="4"/>
      <c r="N498" s="4"/>
      <c r="O498" s="4"/>
      <c r="P498" s="4"/>
      <c r="Q498" s="4"/>
      <c r="R498" s="4"/>
      <c r="S498" s="4"/>
      <c r="T498" s="4"/>
      <c r="U498" s="4"/>
      <c r="V498" s="4"/>
      <c r="W498" s="4"/>
      <c r="X498" s="4"/>
    </row>
    <row r="499" spans="1:24" ht="15.6" x14ac:dyDescent="0.3">
      <c r="A499" s="6"/>
      <c r="B499" s="7"/>
      <c r="C499" s="136"/>
      <c r="D499" s="8"/>
      <c r="E499" s="8"/>
      <c r="F499" s="9"/>
      <c r="G499" s="10"/>
      <c r="H499" s="9"/>
      <c r="I499" s="4"/>
      <c r="J499" s="4"/>
      <c r="K499" s="11"/>
      <c r="L499" s="4"/>
      <c r="M499" s="4"/>
      <c r="N499" s="4"/>
      <c r="O499" s="4"/>
      <c r="P499" s="4"/>
      <c r="Q499" s="4"/>
      <c r="R499" s="4"/>
      <c r="S499" s="4"/>
      <c r="T499" s="4"/>
      <c r="U499" s="4"/>
      <c r="V499" s="4"/>
      <c r="W499" s="4"/>
      <c r="X499" s="4"/>
    </row>
    <row r="500" spans="1:24" ht="15.6" x14ac:dyDescent="0.3">
      <c r="A500" s="6"/>
      <c r="B500" s="7"/>
      <c r="C500" s="136"/>
      <c r="D500" s="8"/>
      <c r="E500" s="8"/>
      <c r="F500" s="9"/>
      <c r="G500" s="10"/>
      <c r="H500" s="9"/>
      <c r="I500" s="4"/>
      <c r="J500" s="4"/>
      <c r="K500" s="11"/>
      <c r="L500" s="4"/>
      <c r="M500" s="4"/>
      <c r="N500" s="4"/>
      <c r="O500" s="4"/>
      <c r="P500" s="4"/>
      <c r="Q500" s="4"/>
      <c r="R500" s="4"/>
      <c r="S500" s="4"/>
      <c r="T500" s="4"/>
      <c r="U500" s="4"/>
      <c r="V500" s="4"/>
      <c r="W500" s="4"/>
      <c r="X500" s="4"/>
    </row>
    <row r="501" spans="1:24" ht="15.6" x14ac:dyDescent="0.3">
      <c r="A501" s="6"/>
      <c r="B501" s="7"/>
      <c r="C501" s="136"/>
      <c r="D501" s="8"/>
      <c r="E501" s="8"/>
      <c r="F501" s="9"/>
      <c r="G501" s="10"/>
      <c r="H501" s="9"/>
      <c r="I501" s="4"/>
      <c r="J501" s="4"/>
      <c r="K501" s="11"/>
      <c r="L501" s="4"/>
      <c r="M501" s="4"/>
      <c r="N501" s="4"/>
      <c r="O501" s="4"/>
      <c r="P501" s="4"/>
      <c r="Q501" s="4"/>
      <c r="R501" s="4"/>
      <c r="S501" s="4"/>
      <c r="T501" s="4"/>
      <c r="U501" s="4"/>
      <c r="V501" s="4"/>
      <c r="W501" s="4"/>
      <c r="X501" s="4"/>
    </row>
    <row r="502" spans="1:24" ht="15.6" x14ac:dyDescent="0.3">
      <c r="A502" s="6"/>
      <c r="B502" s="7"/>
      <c r="C502" s="136"/>
      <c r="D502" s="8"/>
      <c r="E502" s="8"/>
      <c r="F502" s="9"/>
      <c r="G502" s="10"/>
      <c r="H502" s="9"/>
      <c r="I502" s="4"/>
      <c r="J502" s="4"/>
      <c r="K502" s="11"/>
      <c r="L502" s="4"/>
      <c r="M502" s="4"/>
      <c r="N502" s="4"/>
      <c r="O502" s="4"/>
      <c r="P502" s="4"/>
      <c r="Q502" s="4"/>
      <c r="R502" s="4"/>
      <c r="S502" s="4"/>
      <c r="T502" s="4"/>
      <c r="U502" s="4"/>
      <c r="V502" s="4"/>
      <c r="W502" s="4"/>
      <c r="X502" s="4"/>
    </row>
    <row r="503" spans="1:24" ht="15.6" x14ac:dyDescent="0.3">
      <c r="A503" s="6"/>
      <c r="B503" s="7"/>
      <c r="C503" s="136"/>
      <c r="D503" s="8"/>
      <c r="E503" s="8"/>
      <c r="F503" s="9"/>
      <c r="G503" s="10"/>
      <c r="H503" s="9"/>
      <c r="I503" s="4"/>
      <c r="J503" s="4"/>
      <c r="K503" s="11"/>
      <c r="L503" s="4"/>
      <c r="M503" s="4"/>
      <c r="N503" s="4"/>
      <c r="O503" s="4"/>
      <c r="P503" s="4"/>
      <c r="Q503" s="4"/>
      <c r="R503" s="4"/>
      <c r="S503" s="4"/>
      <c r="T503" s="4"/>
      <c r="U503" s="4"/>
      <c r="V503" s="4"/>
      <c r="W503" s="4"/>
      <c r="X503" s="4"/>
    </row>
    <row r="504" spans="1:24" ht="15.6" x14ac:dyDescent="0.3">
      <c r="A504" s="6"/>
      <c r="B504" s="7"/>
      <c r="C504" s="136"/>
      <c r="D504" s="8"/>
      <c r="E504" s="8"/>
      <c r="F504" s="9"/>
      <c r="G504" s="10"/>
      <c r="H504" s="9"/>
      <c r="I504" s="4"/>
      <c r="J504" s="4"/>
      <c r="K504" s="11"/>
      <c r="L504" s="4"/>
      <c r="M504" s="4"/>
      <c r="N504" s="4"/>
      <c r="O504" s="4"/>
      <c r="P504" s="4"/>
      <c r="Q504" s="4"/>
      <c r="R504" s="4"/>
      <c r="S504" s="4"/>
      <c r="T504" s="4"/>
      <c r="U504" s="4"/>
      <c r="V504" s="4"/>
      <c r="W504" s="4"/>
      <c r="X504" s="4"/>
    </row>
    <row r="505" spans="1:24" ht="15.6" x14ac:dyDescent="0.3">
      <c r="A505" s="6"/>
      <c r="B505" s="7"/>
      <c r="C505" s="136"/>
      <c r="D505" s="8"/>
      <c r="E505" s="8"/>
      <c r="F505" s="9"/>
      <c r="G505" s="10"/>
      <c r="H505" s="9"/>
      <c r="I505" s="4"/>
      <c r="J505" s="4"/>
      <c r="K505" s="11"/>
      <c r="L505" s="4"/>
      <c r="M505" s="4"/>
      <c r="N505" s="4"/>
      <c r="O505" s="4"/>
      <c r="P505" s="4"/>
      <c r="Q505" s="4"/>
      <c r="R505" s="4"/>
      <c r="S505" s="4"/>
      <c r="T505" s="4"/>
      <c r="U505" s="4"/>
      <c r="V505" s="4"/>
      <c r="W505" s="4"/>
      <c r="X505" s="4"/>
    </row>
    <row r="506" spans="1:24" ht="15.6" x14ac:dyDescent="0.3">
      <c r="A506" s="6"/>
      <c r="B506" s="7"/>
      <c r="C506" s="136"/>
      <c r="D506" s="8"/>
      <c r="E506" s="8"/>
      <c r="F506" s="9"/>
      <c r="G506" s="10"/>
      <c r="H506" s="9"/>
      <c r="I506" s="4"/>
      <c r="J506" s="4"/>
      <c r="K506" s="11"/>
      <c r="L506" s="4"/>
      <c r="M506" s="4"/>
      <c r="N506" s="4"/>
      <c r="O506" s="4"/>
      <c r="P506" s="4"/>
      <c r="Q506" s="4"/>
      <c r="R506" s="4"/>
      <c r="S506" s="4"/>
      <c r="T506" s="4"/>
      <c r="U506" s="4"/>
      <c r="V506" s="4"/>
      <c r="W506" s="4"/>
      <c r="X506" s="4"/>
    </row>
    <row r="507" spans="1:24" ht="15.6" x14ac:dyDescent="0.3">
      <c r="A507" s="6"/>
      <c r="B507" s="7"/>
      <c r="C507" s="136"/>
      <c r="D507" s="8"/>
      <c r="E507" s="8"/>
      <c r="F507" s="9"/>
      <c r="G507" s="10"/>
      <c r="H507" s="9"/>
      <c r="I507" s="4"/>
      <c r="J507" s="4"/>
      <c r="K507" s="11"/>
      <c r="L507" s="4"/>
      <c r="M507" s="4"/>
      <c r="N507" s="4"/>
      <c r="O507" s="4"/>
      <c r="P507" s="4"/>
      <c r="Q507" s="4"/>
      <c r="R507" s="4"/>
      <c r="S507" s="4"/>
      <c r="T507" s="4"/>
      <c r="U507" s="4"/>
      <c r="V507" s="4"/>
      <c r="W507" s="4"/>
      <c r="X507" s="4"/>
    </row>
    <row r="508" spans="1:24" ht="15.6" x14ac:dyDescent="0.3">
      <c r="A508" s="6"/>
      <c r="B508" s="7"/>
      <c r="C508" s="136"/>
      <c r="D508" s="8"/>
      <c r="E508" s="8"/>
      <c r="F508" s="9"/>
      <c r="G508" s="10"/>
      <c r="H508" s="9"/>
      <c r="I508" s="4"/>
      <c r="J508" s="4"/>
      <c r="K508" s="11"/>
      <c r="L508" s="4"/>
      <c r="M508" s="4"/>
      <c r="N508" s="4"/>
      <c r="O508" s="4"/>
      <c r="P508" s="4"/>
      <c r="Q508" s="4"/>
      <c r="R508" s="4"/>
      <c r="S508" s="4"/>
      <c r="T508" s="4"/>
      <c r="U508" s="4"/>
      <c r="V508" s="4"/>
      <c r="W508" s="4"/>
      <c r="X508" s="4"/>
    </row>
    <row r="509" spans="1:24" ht="15.6" x14ac:dyDescent="0.3">
      <c r="A509" s="6"/>
      <c r="B509" s="7"/>
      <c r="C509" s="136"/>
      <c r="D509" s="8"/>
      <c r="E509" s="8"/>
      <c r="F509" s="9"/>
      <c r="G509" s="10"/>
      <c r="H509" s="9"/>
      <c r="I509" s="4"/>
      <c r="J509" s="4"/>
      <c r="K509" s="11"/>
      <c r="L509" s="4"/>
      <c r="M509" s="4"/>
      <c r="N509" s="4"/>
      <c r="O509" s="4"/>
      <c r="P509" s="4"/>
      <c r="Q509" s="4"/>
      <c r="R509" s="4"/>
      <c r="S509" s="4"/>
      <c r="T509" s="4"/>
      <c r="U509" s="4"/>
      <c r="V509" s="4"/>
      <c r="W509" s="4"/>
      <c r="X509" s="4"/>
    </row>
    <row r="510" spans="1:24" ht="15.6" x14ac:dyDescent="0.3">
      <c r="A510" s="6"/>
      <c r="B510" s="7"/>
      <c r="C510" s="136"/>
      <c r="D510" s="8"/>
      <c r="E510" s="8"/>
      <c r="F510" s="9"/>
      <c r="G510" s="10"/>
      <c r="H510" s="9"/>
      <c r="I510" s="4"/>
      <c r="J510" s="4"/>
      <c r="K510" s="11"/>
      <c r="L510" s="4"/>
      <c r="M510" s="4"/>
      <c r="N510" s="4"/>
      <c r="O510" s="4"/>
      <c r="P510" s="4"/>
      <c r="Q510" s="4"/>
      <c r="R510" s="4"/>
      <c r="S510" s="4"/>
      <c r="T510" s="4"/>
      <c r="U510" s="4"/>
      <c r="V510" s="4"/>
      <c r="W510" s="4"/>
      <c r="X510" s="4"/>
    </row>
    <row r="511" spans="1:24" ht="15.6" x14ac:dyDescent="0.3">
      <c r="A511" s="6"/>
      <c r="B511" s="7"/>
      <c r="C511" s="136"/>
      <c r="D511" s="8"/>
      <c r="E511" s="8"/>
      <c r="F511" s="9"/>
      <c r="G511" s="10"/>
      <c r="H511" s="9"/>
      <c r="I511" s="4"/>
      <c r="J511" s="4"/>
      <c r="K511" s="11"/>
      <c r="L511" s="4"/>
      <c r="M511" s="4"/>
      <c r="N511" s="4"/>
      <c r="O511" s="4"/>
      <c r="P511" s="4"/>
      <c r="Q511" s="4"/>
      <c r="R511" s="4"/>
      <c r="S511" s="4"/>
      <c r="T511" s="4"/>
      <c r="U511" s="4"/>
      <c r="V511" s="4"/>
      <c r="W511" s="4"/>
      <c r="X511" s="4"/>
    </row>
    <row r="512" spans="1:24" ht="15.6" x14ac:dyDescent="0.3">
      <c r="A512" s="6"/>
      <c r="B512" s="7"/>
      <c r="C512" s="136"/>
      <c r="D512" s="8"/>
      <c r="E512" s="8"/>
      <c r="F512" s="9"/>
      <c r="G512" s="10"/>
      <c r="H512" s="9"/>
      <c r="I512" s="4"/>
      <c r="J512" s="4"/>
      <c r="K512" s="11"/>
      <c r="L512" s="4"/>
      <c r="M512" s="4"/>
      <c r="N512" s="4"/>
      <c r="O512" s="4"/>
      <c r="P512" s="4"/>
      <c r="Q512" s="4"/>
      <c r="R512" s="4"/>
      <c r="S512" s="4"/>
      <c r="T512" s="4"/>
      <c r="U512" s="4"/>
      <c r="V512" s="4"/>
      <c r="W512" s="4"/>
      <c r="X512" s="4"/>
    </row>
    <row r="513" spans="1:24" ht="15.6" x14ac:dyDescent="0.3">
      <c r="A513" s="6"/>
      <c r="B513" s="7"/>
      <c r="C513" s="136"/>
      <c r="D513" s="8"/>
      <c r="E513" s="8"/>
      <c r="F513" s="9"/>
      <c r="G513" s="10"/>
      <c r="H513" s="9"/>
      <c r="I513" s="4"/>
      <c r="J513" s="4"/>
      <c r="K513" s="11"/>
      <c r="L513" s="4"/>
      <c r="M513" s="4"/>
      <c r="N513" s="4"/>
      <c r="O513" s="4"/>
      <c r="P513" s="4"/>
      <c r="Q513" s="4"/>
      <c r="R513" s="4"/>
      <c r="S513" s="4"/>
      <c r="T513" s="4"/>
      <c r="U513" s="4"/>
      <c r="V513" s="4"/>
      <c r="W513" s="4"/>
      <c r="X513" s="4"/>
    </row>
    <row r="514" spans="1:24" ht="15.6" x14ac:dyDescent="0.3">
      <c r="A514" s="6"/>
      <c r="B514" s="7"/>
      <c r="C514" s="136"/>
      <c r="D514" s="8"/>
      <c r="E514" s="8"/>
      <c r="F514" s="9"/>
      <c r="G514" s="10"/>
      <c r="H514" s="9"/>
      <c r="I514" s="4"/>
      <c r="J514" s="4"/>
      <c r="K514" s="11"/>
      <c r="L514" s="4"/>
      <c r="M514" s="4"/>
      <c r="N514" s="4"/>
      <c r="O514" s="4"/>
      <c r="P514" s="4"/>
      <c r="Q514" s="4"/>
      <c r="R514" s="4"/>
      <c r="S514" s="4"/>
      <c r="T514" s="4"/>
      <c r="U514" s="4"/>
      <c r="V514" s="4"/>
      <c r="W514" s="4"/>
      <c r="X514" s="4"/>
    </row>
    <row r="515" spans="1:24" ht="15.6" x14ac:dyDescent="0.3">
      <c r="A515" s="6"/>
      <c r="B515" s="7"/>
      <c r="C515" s="136"/>
      <c r="D515" s="8"/>
      <c r="E515" s="8"/>
      <c r="F515" s="9"/>
      <c r="G515" s="10"/>
      <c r="H515" s="9"/>
      <c r="I515" s="4"/>
      <c r="J515" s="4"/>
      <c r="K515" s="11"/>
      <c r="L515" s="4"/>
      <c r="M515" s="4"/>
      <c r="N515" s="4"/>
      <c r="O515" s="4"/>
      <c r="P515" s="4"/>
      <c r="Q515" s="4"/>
      <c r="R515" s="4"/>
      <c r="S515" s="4"/>
      <c r="T515" s="4"/>
      <c r="U515" s="4"/>
      <c r="V515" s="4"/>
      <c r="W515" s="4"/>
      <c r="X515" s="4"/>
    </row>
    <row r="516" spans="1:24" ht="15.6" x14ac:dyDescent="0.3">
      <c r="A516" s="6"/>
      <c r="B516" s="7"/>
      <c r="C516" s="136"/>
      <c r="D516" s="8"/>
      <c r="E516" s="8"/>
      <c r="F516" s="9"/>
      <c r="G516" s="10"/>
      <c r="H516" s="9"/>
      <c r="I516" s="4"/>
      <c r="J516" s="4"/>
      <c r="K516" s="11"/>
      <c r="L516" s="4"/>
      <c r="M516" s="4"/>
      <c r="N516" s="4"/>
      <c r="O516" s="4"/>
      <c r="P516" s="4"/>
      <c r="Q516" s="4"/>
      <c r="R516" s="4"/>
      <c r="S516" s="4"/>
      <c r="T516" s="4"/>
      <c r="U516" s="4"/>
      <c r="V516" s="4"/>
      <c r="W516" s="4"/>
      <c r="X516" s="4"/>
    </row>
    <row r="517" spans="1:24" ht="15.6" x14ac:dyDescent="0.3">
      <c r="A517" s="6"/>
      <c r="B517" s="7"/>
      <c r="C517" s="136"/>
      <c r="D517" s="8"/>
      <c r="E517" s="8"/>
      <c r="F517" s="9"/>
      <c r="G517" s="10"/>
      <c r="H517" s="9"/>
      <c r="I517" s="4"/>
      <c r="J517" s="4"/>
      <c r="K517" s="11"/>
      <c r="L517" s="4"/>
      <c r="M517" s="4"/>
      <c r="N517" s="4"/>
      <c r="O517" s="4"/>
      <c r="P517" s="4"/>
      <c r="Q517" s="4"/>
      <c r="R517" s="4"/>
      <c r="S517" s="4"/>
      <c r="T517" s="4"/>
      <c r="U517" s="4"/>
      <c r="V517" s="4"/>
      <c r="W517" s="4"/>
      <c r="X517" s="4"/>
    </row>
    <row r="518" spans="1:24" ht="15.6" x14ac:dyDescent="0.3">
      <c r="A518" s="6"/>
      <c r="B518" s="7"/>
      <c r="C518" s="136"/>
      <c r="D518" s="8"/>
      <c r="E518" s="8"/>
      <c r="F518" s="9"/>
      <c r="G518" s="10"/>
      <c r="H518" s="9"/>
      <c r="I518" s="4"/>
      <c r="J518" s="4"/>
      <c r="K518" s="11"/>
      <c r="L518" s="4"/>
      <c r="M518" s="4"/>
      <c r="N518" s="4"/>
      <c r="O518" s="4"/>
      <c r="P518" s="4"/>
      <c r="Q518" s="4"/>
      <c r="R518" s="4"/>
      <c r="S518" s="4"/>
      <c r="T518" s="4"/>
      <c r="U518" s="4"/>
      <c r="V518" s="4"/>
      <c r="W518" s="4"/>
      <c r="X518" s="4"/>
    </row>
    <row r="519" spans="1:24" ht="15.6" x14ac:dyDescent="0.3">
      <c r="A519" s="6"/>
      <c r="B519" s="7"/>
      <c r="C519" s="136"/>
      <c r="D519" s="8"/>
      <c r="E519" s="8"/>
      <c r="F519" s="9"/>
      <c r="G519" s="10"/>
      <c r="H519" s="9"/>
      <c r="I519" s="4"/>
      <c r="J519" s="4"/>
      <c r="K519" s="11"/>
      <c r="L519" s="4"/>
      <c r="M519" s="4"/>
      <c r="N519" s="4"/>
      <c r="O519" s="4"/>
      <c r="P519" s="4"/>
      <c r="Q519" s="4"/>
      <c r="R519" s="4"/>
      <c r="S519" s="4"/>
      <c r="T519" s="4"/>
      <c r="U519" s="4"/>
      <c r="V519" s="4"/>
      <c r="W519" s="4"/>
      <c r="X519" s="4"/>
    </row>
    <row r="520" spans="1:24" ht="15.6" x14ac:dyDescent="0.3">
      <c r="A520" s="6"/>
      <c r="B520" s="7"/>
      <c r="C520" s="136"/>
      <c r="D520" s="8"/>
      <c r="E520" s="8"/>
      <c r="F520" s="9"/>
      <c r="G520" s="10"/>
      <c r="H520" s="9"/>
      <c r="I520" s="4"/>
      <c r="J520" s="4"/>
      <c r="K520" s="11"/>
      <c r="L520" s="4"/>
      <c r="M520" s="4"/>
      <c r="N520" s="4"/>
      <c r="O520" s="4"/>
      <c r="P520" s="4"/>
      <c r="Q520" s="4"/>
      <c r="R520" s="4"/>
      <c r="S520" s="4"/>
      <c r="T520" s="4"/>
      <c r="U520" s="4"/>
      <c r="V520" s="4"/>
      <c r="W520" s="4"/>
      <c r="X520" s="4"/>
    </row>
    <row r="521" spans="1:24" ht="15.6" x14ac:dyDescent="0.3">
      <c r="A521" s="6"/>
      <c r="B521" s="7"/>
      <c r="C521" s="136"/>
      <c r="D521" s="8"/>
      <c r="E521" s="8"/>
      <c r="F521" s="9"/>
      <c r="G521" s="10"/>
      <c r="H521" s="9"/>
      <c r="I521" s="4"/>
      <c r="J521" s="4"/>
      <c r="K521" s="11"/>
      <c r="L521" s="4"/>
      <c r="M521" s="4"/>
      <c r="N521" s="4"/>
      <c r="O521" s="4"/>
      <c r="P521" s="4"/>
      <c r="Q521" s="4"/>
      <c r="R521" s="4"/>
      <c r="S521" s="4"/>
      <c r="T521" s="4"/>
      <c r="U521" s="4"/>
      <c r="V521" s="4"/>
      <c r="W521" s="4"/>
      <c r="X521" s="4"/>
    </row>
    <row r="522" spans="1:24" ht="15.6" x14ac:dyDescent="0.3">
      <c r="A522" s="6"/>
      <c r="B522" s="7"/>
      <c r="C522" s="136"/>
      <c r="D522" s="8"/>
      <c r="E522" s="8"/>
      <c r="F522" s="9"/>
      <c r="G522" s="10"/>
      <c r="H522" s="9"/>
      <c r="I522" s="4"/>
      <c r="J522" s="4"/>
      <c r="K522" s="11"/>
      <c r="L522" s="4"/>
      <c r="M522" s="4"/>
      <c r="N522" s="4"/>
      <c r="O522" s="4"/>
      <c r="P522" s="4"/>
      <c r="Q522" s="4"/>
      <c r="R522" s="4"/>
      <c r="S522" s="4"/>
      <c r="T522" s="4"/>
      <c r="U522" s="4"/>
      <c r="V522" s="4"/>
      <c r="W522" s="4"/>
      <c r="X522" s="4"/>
    </row>
    <row r="523" spans="1:24" ht="15.6" x14ac:dyDescent="0.3">
      <c r="A523" s="6"/>
      <c r="B523" s="7"/>
      <c r="C523" s="136"/>
      <c r="D523" s="8"/>
      <c r="E523" s="8"/>
      <c r="F523" s="9"/>
      <c r="G523" s="10"/>
      <c r="H523" s="9"/>
      <c r="I523" s="4"/>
      <c r="J523" s="4"/>
      <c r="K523" s="11"/>
      <c r="L523" s="4"/>
      <c r="M523" s="4"/>
      <c r="N523" s="4"/>
      <c r="O523" s="4"/>
      <c r="P523" s="4"/>
      <c r="Q523" s="4"/>
      <c r="R523" s="4"/>
      <c r="S523" s="4"/>
      <c r="T523" s="4"/>
      <c r="U523" s="4"/>
      <c r="V523" s="4"/>
      <c r="W523" s="4"/>
      <c r="X523" s="4"/>
    </row>
    <row r="524" spans="1:24" ht="15.6" x14ac:dyDescent="0.3">
      <c r="A524" s="6"/>
      <c r="B524" s="7"/>
      <c r="C524" s="136"/>
      <c r="D524" s="8"/>
      <c r="E524" s="8"/>
      <c r="F524" s="9"/>
      <c r="G524" s="10"/>
      <c r="H524" s="9"/>
      <c r="I524" s="4"/>
      <c r="J524" s="4"/>
      <c r="K524" s="11"/>
      <c r="L524" s="4"/>
      <c r="M524" s="4"/>
      <c r="N524" s="4"/>
      <c r="O524" s="4"/>
      <c r="P524" s="4"/>
      <c r="Q524" s="4"/>
      <c r="R524" s="4"/>
      <c r="S524" s="4"/>
      <c r="T524" s="4"/>
      <c r="U524" s="4"/>
      <c r="V524" s="4"/>
      <c r="W524" s="4"/>
      <c r="X524" s="4"/>
    </row>
    <row r="525" spans="1:24" ht="15.6" x14ac:dyDescent="0.3">
      <c r="A525" s="6"/>
      <c r="B525" s="7"/>
      <c r="C525" s="136"/>
      <c r="D525" s="8"/>
      <c r="E525" s="8"/>
      <c r="F525" s="9"/>
      <c r="G525" s="10"/>
      <c r="H525" s="9"/>
      <c r="I525" s="4"/>
      <c r="J525" s="4"/>
      <c r="K525" s="11"/>
      <c r="L525" s="4"/>
      <c r="M525" s="4"/>
      <c r="N525" s="4"/>
      <c r="O525" s="4"/>
      <c r="P525" s="4"/>
      <c r="Q525" s="4"/>
      <c r="R525" s="4"/>
      <c r="S525" s="4"/>
      <c r="T525" s="4"/>
      <c r="U525" s="4"/>
      <c r="V525" s="4"/>
      <c r="W525" s="4"/>
      <c r="X525" s="4"/>
    </row>
    <row r="526" spans="1:24" ht="15.6" x14ac:dyDescent="0.3">
      <c r="A526" s="6"/>
      <c r="B526" s="7"/>
      <c r="C526" s="136"/>
      <c r="D526" s="8"/>
      <c r="E526" s="8"/>
      <c r="F526" s="9"/>
      <c r="G526" s="10"/>
      <c r="H526" s="9"/>
      <c r="I526" s="4"/>
      <c r="J526" s="4"/>
      <c r="K526" s="11"/>
      <c r="L526" s="4"/>
      <c r="M526" s="4"/>
      <c r="N526" s="4"/>
      <c r="O526" s="4"/>
      <c r="P526" s="4"/>
      <c r="Q526" s="4"/>
      <c r="R526" s="4"/>
      <c r="S526" s="4"/>
      <c r="T526" s="4"/>
      <c r="U526" s="4"/>
      <c r="V526" s="4"/>
      <c r="W526" s="4"/>
      <c r="X526" s="4"/>
    </row>
    <row r="527" spans="1:24" ht="15.6" x14ac:dyDescent="0.3">
      <c r="A527" s="6"/>
      <c r="B527" s="7"/>
      <c r="C527" s="136"/>
      <c r="D527" s="8"/>
      <c r="E527" s="8"/>
      <c r="F527" s="9"/>
      <c r="G527" s="10"/>
      <c r="H527" s="9"/>
      <c r="I527" s="4"/>
      <c r="J527" s="4"/>
      <c r="K527" s="11"/>
      <c r="L527" s="4"/>
      <c r="M527" s="4"/>
      <c r="N527" s="4"/>
      <c r="O527" s="4"/>
      <c r="P527" s="4"/>
      <c r="Q527" s="4"/>
      <c r="R527" s="4"/>
      <c r="S527" s="4"/>
      <c r="T527" s="4"/>
      <c r="U527" s="4"/>
      <c r="V527" s="4"/>
      <c r="W527" s="4"/>
      <c r="X527" s="4"/>
    </row>
    <row r="528" spans="1:24" ht="15.6" x14ac:dyDescent="0.3">
      <c r="A528" s="6"/>
      <c r="B528" s="7"/>
      <c r="C528" s="136"/>
      <c r="D528" s="8"/>
      <c r="E528" s="8"/>
      <c r="F528" s="9"/>
      <c r="G528" s="10"/>
      <c r="H528" s="9"/>
      <c r="I528" s="4"/>
      <c r="J528" s="4"/>
      <c r="K528" s="11"/>
      <c r="L528" s="4"/>
      <c r="M528" s="4"/>
      <c r="N528" s="4"/>
      <c r="O528" s="4"/>
      <c r="P528" s="4"/>
      <c r="Q528" s="4"/>
      <c r="R528" s="4"/>
      <c r="S528" s="4"/>
      <c r="T528" s="4"/>
      <c r="U528" s="4"/>
      <c r="V528" s="4"/>
      <c r="W528" s="4"/>
      <c r="X528" s="4"/>
    </row>
    <row r="529" spans="1:24" ht="15.6" x14ac:dyDescent="0.3">
      <c r="A529" s="6"/>
      <c r="B529" s="7"/>
      <c r="C529" s="136"/>
      <c r="D529" s="8"/>
      <c r="E529" s="8"/>
      <c r="F529" s="9"/>
      <c r="G529" s="10"/>
      <c r="H529" s="9"/>
      <c r="I529" s="4"/>
      <c r="J529" s="4"/>
      <c r="K529" s="11"/>
      <c r="L529" s="4"/>
      <c r="M529" s="4"/>
      <c r="N529" s="4"/>
      <c r="O529" s="4"/>
      <c r="P529" s="4"/>
      <c r="Q529" s="4"/>
      <c r="R529" s="4"/>
      <c r="S529" s="4"/>
      <c r="T529" s="4"/>
      <c r="U529" s="4"/>
      <c r="V529" s="4"/>
      <c r="W529" s="4"/>
      <c r="X529" s="4"/>
    </row>
    <row r="530" spans="1:24" ht="15.6" x14ac:dyDescent="0.3">
      <c r="A530" s="6"/>
      <c r="B530" s="7"/>
      <c r="C530" s="136"/>
      <c r="D530" s="8"/>
      <c r="E530" s="8"/>
      <c r="F530" s="9"/>
      <c r="G530" s="10"/>
      <c r="H530" s="9"/>
      <c r="I530" s="4"/>
      <c r="J530" s="4"/>
      <c r="K530" s="11"/>
      <c r="L530" s="4"/>
      <c r="M530" s="4"/>
      <c r="N530" s="4"/>
      <c r="O530" s="4"/>
      <c r="P530" s="4"/>
      <c r="Q530" s="4"/>
      <c r="R530" s="4"/>
      <c r="S530" s="4"/>
      <c r="T530" s="4"/>
      <c r="U530" s="4"/>
      <c r="V530" s="4"/>
      <c r="W530" s="4"/>
      <c r="X530" s="4"/>
    </row>
    <row r="531" spans="1:24" ht="15.6" x14ac:dyDescent="0.3">
      <c r="A531" s="6"/>
      <c r="B531" s="7"/>
      <c r="C531" s="136"/>
      <c r="D531" s="8"/>
      <c r="E531" s="8"/>
      <c r="F531" s="9"/>
      <c r="G531" s="10"/>
      <c r="H531" s="9"/>
      <c r="I531" s="4"/>
      <c r="J531" s="4"/>
      <c r="K531" s="11"/>
      <c r="L531" s="4"/>
      <c r="M531" s="4"/>
      <c r="N531" s="4"/>
      <c r="O531" s="4"/>
      <c r="P531" s="4"/>
      <c r="Q531" s="4"/>
      <c r="R531" s="4"/>
      <c r="S531" s="4"/>
      <c r="T531" s="4"/>
      <c r="U531" s="4"/>
      <c r="V531" s="4"/>
      <c r="W531" s="4"/>
      <c r="X531" s="4"/>
    </row>
    <row r="532" spans="1:24" ht="15.6" x14ac:dyDescent="0.3">
      <c r="A532" s="6"/>
      <c r="B532" s="7"/>
      <c r="C532" s="136"/>
      <c r="D532" s="8"/>
      <c r="E532" s="8"/>
      <c r="F532" s="9"/>
      <c r="G532" s="10"/>
      <c r="H532" s="9"/>
      <c r="I532" s="4"/>
      <c r="J532" s="4"/>
      <c r="K532" s="11"/>
      <c r="L532" s="4"/>
      <c r="M532" s="4"/>
      <c r="N532" s="4"/>
      <c r="O532" s="4"/>
      <c r="P532" s="4"/>
      <c r="Q532" s="4"/>
      <c r="R532" s="4"/>
      <c r="S532" s="4"/>
      <c r="T532" s="4"/>
      <c r="U532" s="4"/>
      <c r="V532" s="4"/>
      <c r="W532" s="4"/>
      <c r="X532" s="4"/>
    </row>
    <row r="533" spans="1:24" ht="15.6" x14ac:dyDescent="0.3">
      <c r="A533" s="6"/>
      <c r="B533" s="7"/>
      <c r="C533" s="136"/>
      <c r="D533" s="8"/>
      <c r="E533" s="8"/>
      <c r="F533" s="9"/>
      <c r="G533" s="10"/>
      <c r="H533" s="9"/>
      <c r="I533" s="4"/>
      <c r="J533" s="4"/>
      <c r="K533" s="11"/>
      <c r="L533" s="4"/>
      <c r="M533" s="4"/>
      <c r="N533" s="4"/>
      <c r="O533" s="4"/>
      <c r="P533" s="4"/>
      <c r="Q533" s="4"/>
      <c r="R533" s="4"/>
      <c r="S533" s="4"/>
      <c r="T533" s="4"/>
      <c r="U533" s="4"/>
      <c r="V533" s="4"/>
      <c r="W533" s="4"/>
      <c r="X533" s="4"/>
    </row>
    <row r="534" spans="1:24" ht="15.6" x14ac:dyDescent="0.3">
      <c r="A534" s="6"/>
      <c r="B534" s="7"/>
      <c r="C534" s="136"/>
      <c r="D534" s="8"/>
      <c r="E534" s="8"/>
      <c r="F534" s="9"/>
      <c r="G534" s="10"/>
      <c r="H534" s="9"/>
      <c r="I534" s="4"/>
      <c r="J534" s="4"/>
      <c r="K534" s="11"/>
      <c r="L534" s="4"/>
      <c r="M534" s="4"/>
      <c r="N534" s="4"/>
      <c r="O534" s="4"/>
      <c r="P534" s="4"/>
      <c r="Q534" s="4"/>
      <c r="R534" s="4"/>
      <c r="S534" s="4"/>
      <c r="T534" s="4"/>
      <c r="U534" s="4"/>
      <c r="V534" s="4"/>
      <c r="W534" s="4"/>
      <c r="X534" s="4"/>
    </row>
    <row r="535" spans="1:24" ht="15.6" x14ac:dyDescent="0.3">
      <c r="A535" s="6"/>
      <c r="B535" s="7"/>
      <c r="C535" s="136"/>
      <c r="D535" s="8"/>
      <c r="E535" s="8"/>
      <c r="F535" s="9"/>
      <c r="G535" s="10"/>
      <c r="H535" s="9"/>
      <c r="I535" s="4"/>
      <c r="J535" s="4"/>
      <c r="K535" s="11"/>
      <c r="L535" s="4"/>
      <c r="M535" s="4"/>
      <c r="N535" s="4"/>
      <c r="O535" s="4"/>
      <c r="P535" s="4"/>
      <c r="Q535" s="4"/>
      <c r="R535" s="4"/>
      <c r="S535" s="4"/>
      <c r="T535" s="4"/>
      <c r="U535" s="4"/>
      <c r="V535" s="4"/>
      <c r="W535" s="4"/>
      <c r="X535" s="4"/>
    </row>
    <row r="536" spans="1:24" ht="15.6" x14ac:dyDescent="0.3">
      <c r="A536" s="6"/>
      <c r="B536" s="7"/>
      <c r="C536" s="136"/>
      <c r="D536" s="8"/>
      <c r="E536" s="8"/>
      <c r="F536" s="9"/>
      <c r="G536" s="10"/>
      <c r="H536" s="9"/>
      <c r="I536" s="4"/>
      <c r="J536" s="4"/>
      <c r="K536" s="11"/>
      <c r="L536" s="4"/>
      <c r="M536" s="4"/>
      <c r="N536" s="4"/>
      <c r="O536" s="4"/>
      <c r="P536" s="4"/>
      <c r="Q536" s="4"/>
      <c r="R536" s="4"/>
      <c r="S536" s="4"/>
      <c r="T536" s="4"/>
      <c r="U536" s="4"/>
      <c r="V536" s="4"/>
      <c r="W536" s="4"/>
      <c r="X536" s="4"/>
    </row>
    <row r="537" spans="1:24" ht="15.6" x14ac:dyDescent="0.3">
      <c r="A537" s="6"/>
      <c r="B537" s="7"/>
      <c r="C537" s="136"/>
      <c r="D537" s="8"/>
      <c r="E537" s="8"/>
      <c r="F537" s="9"/>
      <c r="G537" s="10"/>
      <c r="H537" s="9"/>
      <c r="I537" s="4"/>
      <c r="J537" s="4"/>
      <c r="K537" s="11"/>
      <c r="L537" s="4"/>
      <c r="M537" s="4"/>
      <c r="N537" s="4"/>
      <c r="O537" s="4"/>
      <c r="P537" s="4"/>
      <c r="Q537" s="4"/>
      <c r="R537" s="4"/>
      <c r="S537" s="4"/>
      <c r="T537" s="4"/>
      <c r="U537" s="4"/>
      <c r="V537" s="4"/>
      <c r="W537" s="4"/>
      <c r="X537" s="4"/>
    </row>
    <row r="538" spans="1:24" ht="15.6" x14ac:dyDescent="0.3">
      <c r="A538" s="6"/>
      <c r="B538" s="7"/>
      <c r="C538" s="136"/>
      <c r="D538" s="8"/>
      <c r="E538" s="8"/>
      <c r="F538" s="9"/>
      <c r="G538" s="10"/>
      <c r="H538" s="9"/>
      <c r="I538" s="4"/>
      <c r="J538" s="4"/>
      <c r="K538" s="11"/>
      <c r="L538" s="4"/>
      <c r="M538" s="4"/>
      <c r="N538" s="4"/>
      <c r="O538" s="4"/>
      <c r="P538" s="4"/>
      <c r="Q538" s="4"/>
      <c r="R538" s="4"/>
      <c r="S538" s="4"/>
      <c r="T538" s="4"/>
      <c r="U538" s="4"/>
      <c r="V538" s="4"/>
      <c r="W538" s="4"/>
      <c r="X538" s="4"/>
    </row>
    <row r="539" spans="1:24" ht="15.6" x14ac:dyDescent="0.3">
      <c r="A539" s="6"/>
      <c r="B539" s="7"/>
      <c r="C539" s="136"/>
      <c r="D539" s="8"/>
      <c r="E539" s="8"/>
      <c r="F539" s="9"/>
      <c r="G539" s="10"/>
      <c r="H539" s="9"/>
      <c r="I539" s="4"/>
      <c r="J539" s="4"/>
      <c r="K539" s="11"/>
      <c r="L539" s="4"/>
      <c r="M539" s="4"/>
      <c r="N539" s="4"/>
      <c r="O539" s="4"/>
      <c r="P539" s="4"/>
      <c r="Q539" s="4"/>
      <c r="R539" s="4"/>
      <c r="S539" s="4"/>
      <c r="T539" s="4"/>
      <c r="U539" s="4"/>
      <c r="V539" s="4"/>
      <c r="W539" s="4"/>
      <c r="X539" s="4"/>
    </row>
    <row r="540" spans="1:24" ht="15.6" x14ac:dyDescent="0.3">
      <c r="A540" s="6"/>
      <c r="B540" s="7"/>
      <c r="C540" s="136"/>
      <c r="D540" s="8"/>
      <c r="E540" s="8"/>
      <c r="F540" s="9"/>
      <c r="G540" s="10"/>
      <c r="H540" s="9"/>
      <c r="I540" s="4"/>
      <c r="J540" s="4"/>
      <c r="K540" s="11"/>
      <c r="L540" s="4"/>
      <c r="M540" s="4"/>
      <c r="N540" s="4"/>
      <c r="O540" s="4"/>
      <c r="P540" s="4"/>
      <c r="Q540" s="4"/>
      <c r="R540" s="4"/>
      <c r="S540" s="4"/>
      <c r="T540" s="4"/>
      <c r="U540" s="4"/>
      <c r="V540" s="4"/>
      <c r="W540" s="4"/>
      <c r="X540" s="4"/>
    </row>
    <row r="541" spans="1:24" ht="15.6" x14ac:dyDescent="0.3">
      <c r="A541" s="6"/>
      <c r="B541" s="7"/>
      <c r="C541" s="136"/>
      <c r="D541" s="8"/>
      <c r="E541" s="8"/>
      <c r="F541" s="9"/>
      <c r="G541" s="10"/>
      <c r="H541" s="9"/>
      <c r="I541" s="4"/>
      <c r="J541" s="4"/>
      <c r="K541" s="11"/>
      <c r="L541" s="4"/>
      <c r="M541" s="4"/>
      <c r="N541" s="4"/>
      <c r="O541" s="4"/>
      <c r="P541" s="4"/>
      <c r="Q541" s="4"/>
      <c r="R541" s="4"/>
      <c r="S541" s="4"/>
      <c r="T541" s="4"/>
      <c r="U541" s="4"/>
      <c r="V541" s="4"/>
      <c r="W541" s="4"/>
      <c r="X541" s="4"/>
    </row>
    <row r="542" spans="1:24" ht="15.6" x14ac:dyDescent="0.3">
      <c r="A542" s="6"/>
      <c r="B542" s="7"/>
      <c r="C542" s="136"/>
      <c r="D542" s="8"/>
      <c r="E542" s="8"/>
      <c r="F542" s="9"/>
      <c r="G542" s="10"/>
      <c r="H542" s="9"/>
      <c r="I542" s="4"/>
      <c r="J542" s="4"/>
      <c r="K542" s="11"/>
      <c r="L542" s="4"/>
      <c r="M542" s="4"/>
      <c r="N542" s="4"/>
      <c r="O542" s="4"/>
      <c r="P542" s="4"/>
      <c r="Q542" s="4"/>
      <c r="R542" s="4"/>
      <c r="S542" s="4"/>
      <c r="T542" s="4"/>
      <c r="U542" s="4"/>
      <c r="V542" s="4"/>
      <c r="W542" s="4"/>
      <c r="X542" s="4"/>
    </row>
    <row r="543" spans="1:24" ht="15.6" x14ac:dyDescent="0.3">
      <c r="A543" s="6"/>
      <c r="B543" s="7"/>
      <c r="C543" s="136"/>
      <c r="D543" s="8"/>
      <c r="E543" s="8"/>
      <c r="F543" s="9"/>
      <c r="G543" s="10"/>
      <c r="H543" s="9"/>
      <c r="I543" s="4"/>
      <c r="J543" s="4"/>
      <c r="K543" s="11"/>
      <c r="L543" s="4"/>
      <c r="M543" s="4"/>
      <c r="N543" s="4"/>
      <c r="O543" s="4"/>
      <c r="P543" s="4"/>
      <c r="Q543" s="4"/>
      <c r="R543" s="4"/>
      <c r="S543" s="4"/>
      <c r="T543" s="4"/>
      <c r="U543" s="4"/>
      <c r="V543" s="4"/>
      <c r="W543" s="4"/>
      <c r="X543" s="4"/>
    </row>
    <row r="544" spans="1:24" ht="15.6" x14ac:dyDescent="0.3">
      <c r="A544" s="6"/>
      <c r="B544" s="7"/>
      <c r="C544" s="136"/>
      <c r="D544" s="8"/>
      <c r="E544" s="8"/>
      <c r="F544" s="9"/>
      <c r="G544" s="10"/>
      <c r="H544" s="9"/>
      <c r="I544" s="4"/>
      <c r="J544" s="4"/>
      <c r="K544" s="11"/>
      <c r="L544" s="4"/>
      <c r="M544" s="4"/>
      <c r="N544" s="4"/>
      <c r="O544" s="4"/>
      <c r="P544" s="4"/>
      <c r="Q544" s="4"/>
      <c r="R544" s="4"/>
      <c r="S544" s="4"/>
      <c r="T544" s="4"/>
      <c r="U544" s="4"/>
      <c r="V544" s="4"/>
      <c r="W544" s="4"/>
      <c r="X544" s="4"/>
    </row>
    <row r="545" spans="1:24" ht="15.6" x14ac:dyDescent="0.3">
      <c r="A545" s="6"/>
      <c r="B545" s="7"/>
      <c r="C545" s="136"/>
      <c r="D545" s="8"/>
      <c r="E545" s="8"/>
      <c r="F545" s="9"/>
      <c r="G545" s="10"/>
      <c r="H545" s="9"/>
      <c r="I545" s="4"/>
      <c r="J545" s="4"/>
      <c r="K545" s="11"/>
      <c r="L545" s="4"/>
      <c r="M545" s="4"/>
      <c r="N545" s="4"/>
      <c r="O545" s="4"/>
      <c r="P545" s="4"/>
      <c r="Q545" s="4"/>
      <c r="R545" s="4"/>
      <c r="S545" s="4"/>
      <c r="T545" s="4"/>
      <c r="U545" s="4"/>
      <c r="V545" s="4"/>
      <c r="W545" s="4"/>
      <c r="X545" s="4"/>
    </row>
    <row r="546" spans="1:24" ht="15.6" x14ac:dyDescent="0.3">
      <c r="A546" s="6"/>
      <c r="B546" s="7"/>
      <c r="C546" s="136"/>
      <c r="D546" s="8"/>
      <c r="E546" s="8"/>
      <c r="F546" s="9"/>
      <c r="G546" s="10"/>
      <c r="H546" s="9"/>
      <c r="I546" s="4"/>
      <c r="J546" s="4"/>
      <c r="K546" s="11"/>
      <c r="L546" s="4"/>
      <c r="M546" s="4"/>
      <c r="N546" s="4"/>
      <c r="O546" s="4"/>
      <c r="P546" s="4"/>
      <c r="Q546" s="4"/>
      <c r="R546" s="4"/>
      <c r="S546" s="4"/>
      <c r="T546" s="4"/>
      <c r="U546" s="4"/>
      <c r="V546" s="4"/>
      <c r="W546" s="4"/>
      <c r="X546" s="4"/>
    </row>
    <row r="547" spans="1:24" ht="15.6" x14ac:dyDescent="0.3">
      <c r="A547" s="6"/>
      <c r="B547" s="7"/>
      <c r="C547" s="136"/>
      <c r="D547" s="8"/>
      <c r="E547" s="8"/>
      <c r="F547" s="9"/>
      <c r="G547" s="10"/>
      <c r="H547" s="9"/>
      <c r="I547" s="4"/>
      <c r="J547" s="4"/>
      <c r="K547" s="11"/>
      <c r="L547" s="4"/>
      <c r="M547" s="4"/>
      <c r="N547" s="4"/>
      <c r="O547" s="4"/>
      <c r="P547" s="4"/>
      <c r="Q547" s="4"/>
      <c r="R547" s="4"/>
      <c r="S547" s="4"/>
      <c r="T547" s="4"/>
      <c r="U547" s="4"/>
      <c r="V547" s="4"/>
      <c r="W547" s="4"/>
      <c r="X547" s="4"/>
    </row>
    <row r="548" spans="1:24" ht="15.6" x14ac:dyDescent="0.3">
      <c r="A548" s="6"/>
      <c r="B548" s="7"/>
      <c r="C548" s="136"/>
      <c r="D548" s="8"/>
      <c r="E548" s="8"/>
      <c r="F548" s="9"/>
      <c r="G548" s="10"/>
      <c r="H548" s="9"/>
      <c r="I548" s="4"/>
      <c r="J548" s="4"/>
      <c r="K548" s="11"/>
      <c r="L548" s="4"/>
      <c r="M548" s="4"/>
      <c r="N548" s="4"/>
      <c r="O548" s="4"/>
      <c r="P548" s="4"/>
      <c r="Q548" s="4"/>
      <c r="R548" s="4"/>
      <c r="S548" s="4"/>
      <c r="T548" s="4"/>
      <c r="U548" s="4"/>
      <c r="V548" s="4"/>
      <c r="W548" s="4"/>
      <c r="X548" s="4"/>
    </row>
    <row r="549" spans="1:24" ht="15.6" x14ac:dyDescent="0.3">
      <c r="A549" s="6"/>
      <c r="B549" s="7"/>
      <c r="C549" s="136"/>
      <c r="D549" s="8"/>
      <c r="E549" s="8"/>
      <c r="F549" s="9"/>
      <c r="G549" s="10"/>
      <c r="H549" s="9"/>
      <c r="I549" s="4"/>
      <c r="J549" s="4"/>
      <c r="K549" s="11"/>
      <c r="L549" s="4"/>
      <c r="M549" s="4"/>
      <c r="N549" s="4"/>
      <c r="O549" s="4"/>
      <c r="P549" s="4"/>
      <c r="Q549" s="4"/>
      <c r="R549" s="4"/>
      <c r="S549" s="4"/>
      <c r="T549" s="4"/>
      <c r="U549" s="4"/>
      <c r="V549" s="4"/>
      <c r="W549" s="4"/>
      <c r="X549" s="4"/>
    </row>
    <row r="550" spans="1:24" ht="15.6" x14ac:dyDescent="0.3">
      <c r="A550" s="6"/>
      <c r="B550" s="7"/>
      <c r="C550" s="136"/>
      <c r="D550" s="8"/>
      <c r="E550" s="8"/>
      <c r="F550" s="9"/>
      <c r="G550" s="10"/>
      <c r="H550" s="9"/>
      <c r="I550" s="4"/>
      <c r="J550" s="4"/>
      <c r="K550" s="11"/>
      <c r="L550" s="4"/>
      <c r="M550" s="4"/>
      <c r="N550" s="4"/>
      <c r="O550" s="4"/>
      <c r="P550" s="4"/>
      <c r="Q550" s="4"/>
      <c r="R550" s="4"/>
      <c r="S550" s="4"/>
      <c r="T550" s="4"/>
      <c r="U550" s="4"/>
      <c r="V550" s="4"/>
      <c r="W550" s="4"/>
      <c r="X550" s="4"/>
    </row>
    <row r="551" spans="1:24" ht="15.6" x14ac:dyDescent="0.3">
      <c r="A551" s="6"/>
      <c r="B551" s="7"/>
      <c r="C551" s="136"/>
      <c r="D551" s="8"/>
      <c r="E551" s="8"/>
      <c r="F551" s="9"/>
      <c r="G551" s="10"/>
      <c r="H551" s="9"/>
      <c r="I551" s="4"/>
      <c r="J551" s="4"/>
      <c r="K551" s="11"/>
      <c r="L551" s="4"/>
      <c r="M551" s="4"/>
      <c r="N551" s="4"/>
      <c r="O551" s="4"/>
      <c r="P551" s="4"/>
      <c r="Q551" s="4"/>
      <c r="R551" s="4"/>
      <c r="S551" s="4"/>
      <c r="T551" s="4"/>
      <c r="U551" s="4"/>
      <c r="V551" s="4"/>
      <c r="W551" s="4"/>
      <c r="X551" s="4"/>
    </row>
    <row r="552" spans="1:24" ht="15.6" x14ac:dyDescent="0.3">
      <c r="A552" s="6"/>
      <c r="B552" s="7"/>
      <c r="C552" s="136"/>
      <c r="D552" s="8"/>
      <c r="E552" s="8"/>
      <c r="F552" s="9"/>
      <c r="G552" s="10"/>
      <c r="H552" s="9"/>
      <c r="I552" s="4"/>
      <c r="J552" s="4"/>
      <c r="K552" s="11"/>
      <c r="L552" s="4"/>
      <c r="M552" s="4"/>
      <c r="N552" s="4"/>
      <c r="O552" s="4"/>
      <c r="P552" s="4"/>
      <c r="Q552" s="4"/>
      <c r="R552" s="4"/>
      <c r="S552" s="4"/>
      <c r="T552" s="4"/>
      <c r="U552" s="4"/>
      <c r="V552" s="4"/>
      <c r="W552" s="4"/>
      <c r="X552" s="4"/>
    </row>
    <row r="553" spans="1:24" ht="15.6" x14ac:dyDescent="0.3">
      <c r="A553" s="6"/>
      <c r="B553" s="7"/>
      <c r="C553" s="136"/>
      <c r="D553" s="8"/>
      <c r="E553" s="8"/>
      <c r="F553" s="9"/>
      <c r="G553" s="10"/>
      <c r="H553" s="9"/>
      <c r="I553" s="4"/>
      <c r="J553" s="4"/>
      <c r="K553" s="11"/>
      <c r="L553" s="4"/>
      <c r="M553" s="4"/>
      <c r="N553" s="4"/>
      <c r="O553" s="4"/>
      <c r="P553" s="4"/>
      <c r="Q553" s="4"/>
      <c r="R553" s="4"/>
      <c r="S553" s="4"/>
      <c r="T553" s="4"/>
      <c r="U553" s="4"/>
      <c r="V553" s="4"/>
      <c r="W553" s="4"/>
      <c r="X553" s="4"/>
    </row>
    <row r="554" spans="1:24" ht="15.6" x14ac:dyDescent="0.3">
      <c r="A554" s="6"/>
      <c r="B554" s="7"/>
      <c r="C554" s="136"/>
      <c r="D554" s="8"/>
      <c r="E554" s="8"/>
      <c r="F554" s="9"/>
      <c r="G554" s="10"/>
      <c r="H554" s="9"/>
      <c r="I554" s="4"/>
      <c r="J554" s="4"/>
      <c r="K554" s="11"/>
      <c r="L554" s="4"/>
      <c r="M554" s="4"/>
      <c r="N554" s="4"/>
      <c r="O554" s="4"/>
      <c r="P554" s="4"/>
      <c r="Q554" s="4"/>
      <c r="R554" s="4"/>
      <c r="S554" s="4"/>
      <c r="T554" s="4"/>
      <c r="U554" s="4"/>
      <c r="V554" s="4"/>
      <c r="W554" s="4"/>
      <c r="X554" s="4"/>
    </row>
    <row r="555" spans="1:24" ht="15.6" x14ac:dyDescent="0.3">
      <c r="A555" s="6"/>
      <c r="B555" s="7"/>
      <c r="C555" s="136"/>
      <c r="D555" s="8"/>
      <c r="E555" s="8"/>
      <c r="F555" s="9"/>
      <c r="G555" s="10"/>
      <c r="H555" s="9"/>
      <c r="I555" s="4"/>
      <c r="J555" s="4"/>
      <c r="K555" s="11"/>
      <c r="L555" s="4"/>
      <c r="M555" s="4"/>
      <c r="N555" s="4"/>
      <c r="O555" s="4"/>
      <c r="P555" s="4"/>
      <c r="Q555" s="4"/>
      <c r="R555" s="4"/>
      <c r="S555" s="4"/>
      <c r="T555" s="4"/>
      <c r="U555" s="4"/>
      <c r="V555" s="4"/>
      <c r="W555" s="4"/>
      <c r="X555" s="4"/>
    </row>
    <row r="556" spans="1:24" ht="15.6" x14ac:dyDescent="0.3">
      <c r="A556" s="6"/>
      <c r="B556" s="7"/>
      <c r="C556" s="136"/>
      <c r="D556" s="8"/>
      <c r="E556" s="8"/>
      <c r="F556" s="9"/>
      <c r="G556" s="10"/>
      <c r="H556" s="9"/>
      <c r="I556" s="4"/>
      <c r="J556" s="4"/>
      <c r="K556" s="11"/>
      <c r="L556" s="4"/>
      <c r="M556" s="4"/>
      <c r="N556" s="4"/>
      <c r="O556" s="4"/>
      <c r="P556" s="4"/>
      <c r="Q556" s="4"/>
      <c r="R556" s="4"/>
      <c r="S556" s="4"/>
      <c r="T556" s="4"/>
      <c r="U556" s="4"/>
      <c r="V556" s="4"/>
      <c r="W556" s="4"/>
      <c r="X556" s="4"/>
    </row>
    <row r="557" spans="1:24" ht="15.6" x14ac:dyDescent="0.3">
      <c r="A557" s="6"/>
      <c r="B557" s="7"/>
      <c r="C557" s="136"/>
      <c r="D557" s="8"/>
      <c r="E557" s="8"/>
      <c r="F557" s="9"/>
      <c r="G557" s="10"/>
      <c r="H557" s="9"/>
      <c r="I557" s="4"/>
      <c r="J557" s="4"/>
      <c r="K557" s="11"/>
      <c r="L557" s="4"/>
      <c r="M557" s="4"/>
      <c r="N557" s="4"/>
      <c r="O557" s="4"/>
      <c r="P557" s="4"/>
      <c r="Q557" s="4"/>
      <c r="R557" s="4"/>
      <c r="S557" s="4"/>
      <c r="T557" s="4"/>
      <c r="U557" s="4"/>
      <c r="V557" s="4"/>
      <c r="W557" s="4"/>
      <c r="X557" s="4"/>
    </row>
    <row r="558" spans="1:24" ht="15.6" x14ac:dyDescent="0.3">
      <c r="A558" s="6"/>
      <c r="B558" s="7"/>
      <c r="C558" s="136"/>
      <c r="D558" s="8"/>
      <c r="E558" s="8"/>
      <c r="F558" s="9"/>
      <c r="G558" s="10"/>
      <c r="H558" s="9"/>
      <c r="I558" s="4"/>
      <c r="J558" s="4"/>
      <c r="K558" s="11"/>
      <c r="L558" s="4"/>
      <c r="M558" s="4"/>
      <c r="N558" s="4"/>
      <c r="O558" s="4"/>
      <c r="P558" s="4"/>
      <c r="Q558" s="4"/>
      <c r="R558" s="4"/>
      <c r="S558" s="4"/>
      <c r="T558" s="4"/>
      <c r="U558" s="4"/>
      <c r="V558" s="4"/>
      <c r="W558" s="4"/>
      <c r="X558" s="4"/>
    </row>
    <row r="559" spans="1:24" ht="15.6" x14ac:dyDescent="0.3">
      <c r="A559" s="6"/>
      <c r="B559" s="7"/>
      <c r="C559" s="136"/>
      <c r="D559" s="8"/>
      <c r="E559" s="8"/>
      <c r="F559" s="9"/>
      <c r="G559" s="10"/>
      <c r="H559" s="9"/>
      <c r="I559" s="4"/>
      <c r="J559" s="4"/>
      <c r="K559" s="11"/>
      <c r="L559" s="4"/>
      <c r="M559" s="4"/>
      <c r="N559" s="4"/>
      <c r="O559" s="4"/>
      <c r="P559" s="4"/>
      <c r="Q559" s="4"/>
      <c r="R559" s="4"/>
      <c r="S559" s="4"/>
      <c r="T559" s="4"/>
      <c r="U559" s="4"/>
      <c r="V559" s="4"/>
      <c r="W559" s="4"/>
      <c r="X559" s="4"/>
    </row>
    <row r="560" spans="1:24" ht="15.6" x14ac:dyDescent="0.3">
      <c r="A560" s="6"/>
      <c r="B560" s="7"/>
      <c r="C560" s="136"/>
      <c r="D560" s="8"/>
      <c r="E560" s="8"/>
      <c r="F560" s="9"/>
      <c r="G560" s="10"/>
      <c r="H560" s="9"/>
      <c r="I560" s="4"/>
      <c r="J560" s="4"/>
      <c r="K560" s="11"/>
      <c r="L560" s="4"/>
      <c r="M560" s="4"/>
      <c r="N560" s="4"/>
      <c r="O560" s="4"/>
      <c r="P560" s="4"/>
      <c r="Q560" s="4"/>
      <c r="R560" s="4"/>
      <c r="S560" s="4"/>
      <c r="T560" s="4"/>
      <c r="U560" s="4"/>
      <c r="V560" s="4"/>
      <c r="W560" s="4"/>
      <c r="X560" s="4"/>
    </row>
    <row r="561" spans="1:24" ht="15.6" x14ac:dyDescent="0.3">
      <c r="A561" s="6"/>
      <c r="B561" s="7"/>
      <c r="C561" s="136"/>
      <c r="D561" s="8"/>
      <c r="E561" s="8"/>
      <c r="F561" s="9"/>
      <c r="G561" s="10"/>
      <c r="H561" s="9"/>
      <c r="I561" s="4"/>
      <c r="J561" s="4"/>
      <c r="K561" s="11"/>
      <c r="L561" s="4"/>
      <c r="M561" s="4"/>
      <c r="N561" s="4"/>
      <c r="O561" s="4"/>
      <c r="P561" s="4"/>
      <c r="Q561" s="4"/>
      <c r="R561" s="4"/>
      <c r="S561" s="4"/>
      <c r="T561" s="4"/>
      <c r="U561" s="4"/>
      <c r="V561" s="4"/>
      <c r="W561" s="4"/>
      <c r="X561" s="4"/>
    </row>
    <row r="562" spans="1:24" ht="15.6" x14ac:dyDescent="0.3">
      <c r="A562" s="6"/>
      <c r="B562" s="7"/>
      <c r="C562" s="136"/>
      <c r="D562" s="8"/>
      <c r="E562" s="8"/>
      <c r="F562" s="9"/>
      <c r="G562" s="10"/>
      <c r="H562" s="9"/>
      <c r="I562" s="4"/>
      <c r="J562" s="4"/>
      <c r="K562" s="11"/>
      <c r="L562" s="4"/>
      <c r="M562" s="4"/>
      <c r="N562" s="4"/>
      <c r="O562" s="4"/>
      <c r="P562" s="4"/>
      <c r="Q562" s="4"/>
      <c r="R562" s="4"/>
      <c r="S562" s="4"/>
      <c r="T562" s="4"/>
      <c r="U562" s="4"/>
      <c r="V562" s="4"/>
      <c r="W562" s="4"/>
      <c r="X562" s="4"/>
    </row>
    <row r="563" spans="1:24" ht="15.6" x14ac:dyDescent="0.3">
      <c r="A563" s="6"/>
      <c r="B563" s="7"/>
      <c r="C563" s="136"/>
      <c r="D563" s="8"/>
      <c r="E563" s="8"/>
      <c r="F563" s="9"/>
      <c r="G563" s="10"/>
      <c r="H563" s="9"/>
      <c r="I563" s="4"/>
      <c r="J563" s="4"/>
      <c r="K563" s="11"/>
      <c r="L563" s="4"/>
      <c r="M563" s="4"/>
      <c r="N563" s="4"/>
      <c r="O563" s="4"/>
      <c r="P563" s="4"/>
      <c r="Q563" s="4"/>
      <c r="R563" s="4"/>
      <c r="S563" s="4"/>
      <c r="T563" s="4"/>
      <c r="U563" s="4"/>
      <c r="V563" s="4"/>
      <c r="W563" s="4"/>
      <c r="X563" s="4"/>
    </row>
    <row r="564" spans="1:24" ht="15.6" x14ac:dyDescent="0.3">
      <c r="A564" s="6"/>
      <c r="B564" s="7"/>
      <c r="C564" s="136"/>
      <c r="D564" s="8"/>
      <c r="E564" s="8"/>
      <c r="F564" s="9"/>
      <c r="G564" s="10"/>
      <c r="H564" s="9"/>
      <c r="I564" s="4"/>
      <c r="J564" s="4"/>
      <c r="K564" s="11"/>
      <c r="L564" s="4"/>
      <c r="M564" s="4"/>
      <c r="N564" s="4"/>
      <c r="O564" s="4"/>
      <c r="P564" s="4"/>
      <c r="Q564" s="4"/>
      <c r="R564" s="4"/>
      <c r="S564" s="4"/>
      <c r="T564" s="4"/>
      <c r="U564" s="4"/>
      <c r="V564" s="4"/>
      <c r="W564" s="4"/>
      <c r="X564" s="4"/>
    </row>
    <row r="565" spans="1:24" ht="15.6" x14ac:dyDescent="0.3">
      <c r="A565" s="6"/>
      <c r="B565" s="7"/>
      <c r="C565" s="136"/>
      <c r="D565" s="8"/>
      <c r="E565" s="8"/>
      <c r="F565" s="9"/>
      <c r="G565" s="10"/>
      <c r="H565" s="9"/>
      <c r="I565" s="4"/>
      <c r="J565" s="4"/>
      <c r="K565" s="11"/>
      <c r="L565" s="4"/>
      <c r="M565" s="4"/>
      <c r="N565" s="4"/>
      <c r="O565" s="4"/>
      <c r="P565" s="4"/>
      <c r="Q565" s="4"/>
      <c r="R565" s="4"/>
      <c r="S565" s="4"/>
      <c r="T565" s="4"/>
      <c r="U565" s="4"/>
      <c r="V565" s="4"/>
      <c r="W565" s="4"/>
      <c r="X565" s="4"/>
    </row>
    <row r="566" spans="1:24" ht="15.6" x14ac:dyDescent="0.3">
      <c r="A566" s="6"/>
      <c r="B566" s="7"/>
      <c r="C566" s="136"/>
      <c r="D566" s="8"/>
      <c r="E566" s="8"/>
      <c r="F566" s="9"/>
      <c r="G566" s="10"/>
      <c r="H566" s="9"/>
      <c r="I566" s="4"/>
      <c r="J566" s="4"/>
      <c r="K566" s="11"/>
      <c r="L566" s="4"/>
      <c r="M566" s="4"/>
      <c r="N566" s="4"/>
      <c r="O566" s="4"/>
      <c r="P566" s="4"/>
      <c r="Q566" s="4"/>
      <c r="R566" s="4"/>
      <c r="S566" s="4"/>
      <c r="T566" s="4"/>
      <c r="U566" s="4"/>
      <c r="V566" s="4"/>
      <c r="W566" s="4"/>
      <c r="X566" s="4"/>
    </row>
    <row r="567" spans="1:24" ht="15.6" x14ac:dyDescent="0.3">
      <c r="A567" s="6"/>
      <c r="B567" s="7"/>
      <c r="C567" s="136"/>
      <c r="D567" s="8"/>
      <c r="E567" s="8"/>
      <c r="F567" s="9"/>
      <c r="G567" s="10"/>
      <c r="H567" s="9"/>
      <c r="I567" s="4"/>
      <c r="J567" s="4"/>
      <c r="K567" s="11"/>
      <c r="L567" s="4"/>
      <c r="M567" s="4"/>
      <c r="N567" s="4"/>
      <c r="O567" s="4"/>
      <c r="P567" s="4"/>
      <c r="Q567" s="4"/>
      <c r="R567" s="4"/>
      <c r="S567" s="4"/>
      <c r="T567" s="4"/>
      <c r="U567" s="4"/>
      <c r="V567" s="4"/>
      <c r="W567" s="4"/>
      <c r="X567" s="4"/>
    </row>
    <row r="568" spans="1:24" ht="15.6" x14ac:dyDescent="0.3">
      <c r="A568" s="6"/>
      <c r="B568" s="7"/>
      <c r="C568" s="136"/>
      <c r="D568" s="8"/>
      <c r="E568" s="8"/>
      <c r="F568" s="9"/>
      <c r="G568" s="10"/>
      <c r="H568" s="9"/>
      <c r="I568" s="4"/>
      <c r="J568" s="4"/>
      <c r="K568" s="11"/>
      <c r="L568" s="4"/>
      <c r="M568" s="4"/>
      <c r="N568" s="4"/>
      <c r="O568" s="4"/>
      <c r="P568" s="4"/>
      <c r="Q568" s="4"/>
      <c r="R568" s="4"/>
      <c r="S568" s="4"/>
      <c r="T568" s="4"/>
      <c r="U568" s="4"/>
      <c r="V568" s="4"/>
      <c r="W568" s="4"/>
      <c r="X568" s="4"/>
    </row>
    <row r="569" spans="1:24" ht="15.6" x14ac:dyDescent="0.3">
      <c r="A569" s="6"/>
      <c r="B569" s="7"/>
      <c r="C569" s="136"/>
      <c r="D569" s="8"/>
      <c r="E569" s="8"/>
      <c r="F569" s="9"/>
      <c r="G569" s="10"/>
      <c r="H569" s="9"/>
      <c r="I569" s="4"/>
      <c r="J569" s="4"/>
      <c r="K569" s="11"/>
      <c r="L569" s="4"/>
      <c r="M569" s="4"/>
      <c r="N569" s="4"/>
      <c r="O569" s="4"/>
      <c r="P569" s="4"/>
      <c r="Q569" s="4"/>
      <c r="R569" s="4"/>
      <c r="S569" s="4"/>
      <c r="T569" s="4"/>
      <c r="U569" s="4"/>
      <c r="V569" s="4"/>
      <c r="W569" s="4"/>
      <c r="X569" s="4"/>
    </row>
    <row r="570" spans="1:24" ht="15.6" x14ac:dyDescent="0.3">
      <c r="A570" s="6"/>
      <c r="B570" s="7"/>
      <c r="C570" s="136"/>
      <c r="D570" s="8"/>
      <c r="E570" s="8"/>
      <c r="F570" s="9"/>
      <c r="G570" s="10"/>
      <c r="H570" s="9"/>
      <c r="I570" s="4"/>
      <c r="J570" s="4"/>
      <c r="K570" s="11"/>
      <c r="L570" s="4"/>
      <c r="M570" s="4"/>
      <c r="N570" s="4"/>
      <c r="O570" s="4"/>
      <c r="P570" s="4"/>
      <c r="Q570" s="4"/>
      <c r="R570" s="4"/>
      <c r="S570" s="4"/>
      <c r="T570" s="4"/>
      <c r="U570" s="4"/>
      <c r="V570" s="4"/>
      <c r="W570" s="4"/>
      <c r="X570" s="4"/>
    </row>
    <row r="571" spans="1:24" ht="15.6" x14ac:dyDescent="0.3">
      <c r="A571" s="6"/>
      <c r="B571" s="7"/>
      <c r="C571" s="136"/>
      <c r="D571" s="8"/>
      <c r="E571" s="8"/>
      <c r="F571" s="9"/>
      <c r="G571" s="10"/>
      <c r="H571" s="9"/>
      <c r="I571" s="4"/>
      <c r="J571" s="4"/>
      <c r="K571" s="11"/>
      <c r="L571" s="4"/>
      <c r="M571" s="4"/>
      <c r="N571" s="4"/>
      <c r="O571" s="4"/>
      <c r="P571" s="4"/>
      <c r="Q571" s="4"/>
      <c r="R571" s="4"/>
      <c r="S571" s="4"/>
      <c r="T571" s="4"/>
      <c r="U571" s="4"/>
      <c r="V571" s="4"/>
      <c r="W571" s="4"/>
      <c r="X571" s="4"/>
    </row>
    <row r="572" spans="1:24" ht="15.6" x14ac:dyDescent="0.3">
      <c r="A572" s="6"/>
      <c r="B572" s="7"/>
      <c r="C572" s="136"/>
      <c r="D572" s="8"/>
      <c r="E572" s="8"/>
      <c r="F572" s="9"/>
      <c r="G572" s="10"/>
      <c r="H572" s="9"/>
      <c r="I572" s="4"/>
      <c r="J572" s="4"/>
      <c r="K572" s="11"/>
      <c r="L572" s="4"/>
      <c r="M572" s="4"/>
      <c r="N572" s="4"/>
      <c r="O572" s="4"/>
      <c r="P572" s="4"/>
      <c r="Q572" s="4"/>
      <c r="R572" s="4"/>
      <c r="S572" s="4"/>
      <c r="T572" s="4"/>
      <c r="U572" s="4"/>
      <c r="V572" s="4"/>
      <c r="W572" s="4"/>
      <c r="X572" s="4"/>
    </row>
    <row r="573" spans="1:24" ht="15.6" x14ac:dyDescent="0.3">
      <c r="A573" s="6"/>
      <c r="B573" s="7"/>
      <c r="C573" s="136"/>
      <c r="D573" s="8"/>
      <c r="E573" s="8"/>
      <c r="F573" s="9"/>
      <c r="G573" s="10"/>
      <c r="H573" s="9"/>
      <c r="I573" s="4"/>
      <c r="J573" s="4"/>
      <c r="K573" s="11"/>
      <c r="L573" s="4"/>
      <c r="M573" s="4"/>
      <c r="N573" s="4"/>
      <c r="O573" s="4"/>
      <c r="P573" s="4"/>
      <c r="Q573" s="4"/>
      <c r="R573" s="4"/>
      <c r="S573" s="4"/>
      <c r="T573" s="4"/>
      <c r="U573" s="4"/>
      <c r="V573" s="4"/>
      <c r="W573" s="4"/>
      <c r="X573" s="4"/>
    </row>
    <row r="574" spans="1:24" ht="15.6" x14ac:dyDescent="0.3">
      <c r="A574" s="6"/>
      <c r="B574" s="7"/>
      <c r="C574" s="136"/>
      <c r="D574" s="8"/>
      <c r="E574" s="8"/>
      <c r="F574" s="9"/>
      <c r="G574" s="10"/>
      <c r="H574" s="9"/>
      <c r="I574" s="4"/>
      <c r="J574" s="4"/>
      <c r="K574" s="11"/>
      <c r="L574" s="4"/>
      <c r="M574" s="4"/>
      <c r="N574" s="4"/>
      <c r="O574" s="4"/>
      <c r="P574" s="4"/>
      <c r="Q574" s="4"/>
      <c r="R574" s="4"/>
      <c r="S574" s="4"/>
      <c r="T574" s="4"/>
      <c r="U574" s="4"/>
      <c r="V574" s="4"/>
      <c r="W574" s="4"/>
      <c r="X574" s="4"/>
    </row>
    <row r="575" spans="1:24" ht="15.6" x14ac:dyDescent="0.3">
      <c r="A575" s="6"/>
      <c r="B575" s="7"/>
      <c r="C575" s="136"/>
      <c r="D575" s="8"/>
      <c r="E575" s="8"/>
      <c r="F575" s="9"/>
      <c r="G575" s="10"/>
      <c r="H575" s="9"/>
      <c r="I575" s="4"/>
      <c r="J575" s="4"/>
      <c r="K575" s="11"/>
      <c r="L575" s="4"/>
      <c r="M575" s="4"/>
      <c r="N575" s="4"/>
      <c r="O575" s="4"/>
      <c r="P575" s="4"/>
      <c r="Q575" s="4"/>
      <c r="R575" s="4"/>
      <c r="S575" s="4"/>
      <c r="T575" s="4"/>
      <c r="U575" s="4"/>
      <c r="V575" s="4"/>
      <c r="W575" s="4"/>
      <c r="X575" s="4"/>
    </row>
    <row r="576" spans="1:24" ht="15.6" x14ac:dyDescent="0.3">
      <c r="A576" s="6"/>
      <c r="B576" s="7"/>
      <c r="C576" s="136"/>
      <c r="D576" s="8"/>
      <c r="E576" s="8"/>
      <c r="F576" s="9"/>
      <c r="G576" s="10"/>
      <c r="H576" s="9"/>
      <c r="I576" s="4"/>
      <c r="J576" s="4"/>
      <c r="K576" s="11"/>
      <c r="L576" s="4"/>
      <c r="M576" s="4"/>
      <c r="N576" s="4"/>
      <c r="O576" s="4"/>
      <c r="P576" s="4"/>
      <c r="Q576" s="4"/>
      <c r="R576" s="4"/>
      <c r="S576" s="4"/>
      <c r="T576" s="4"/>
      <c r="U576" s="4"/>
      <c r="V576" s="4"/>
      <c r="W576" s="4"/>
      <c r="X576" s="4"/>
    </row>
    <row r="577" spans="1:24" ht="15.6" x14ac:dyDescent="0.3">
      <c r="A577" s="6"/>
      <c r="B577" s="7"/>
      <c r="C577" s="136"/>
      <c r="D577" s="8"/>
      <c r="E577" s="8"/>
      <c r="F577" s="9"/>
      <c r="G577" s="10"/>
      <c r="H577" s="9"/>
      <c r="I577" s="4"/>
      <c r="J577" s="4"/>
      <c r="K577" s="11"/>
      <c r="L577" s="4"/>
      <c r="M577" s="4"/>
      <c r="N577" s="4"/>
      <c r="O577" s="4"/>
      <c r="P577" s="4"/>
      <c r="Q577" s="4"/>
      <c r="R577" s="4"/>
      <c r="S577" s="4"/>
      <c r="T577" s="4"/>
      <c r="U577" s="4"/>
      <c r="V577" s="4"/>
      <c r="W577" s="4"/>
      <c r="X577" s="4"/>
    </row>
    <row r="578" spans="1:24" ht="15.6" x14ac:dyDescent="0.3">
      <c r="A578" s="6"/>
      <c r="B578" s="7"/>
      <c r="C578" s="136"/>
      <c r="D578" s="8"/>
      <c r="E578" s="8"/>
      <c r="F578" s="9"/>
      <c r="G578" s="10"/>
      <c r="H578" s="9"/>
      <c r="I578" s="4"/>
      <c r="J578" s="4"/>
      <c r="K578" s="11"/>
      <c r="L578" s="4"/>
      <c r="M578" s="4"/>
      <c r="N578" s="4"/>
      <c r="O578" s="4"/>
      <c r="P578" s="4"/>
      <c r="Q578" s="4"/>
      <c r="R578" s="4"/>
      <c r="S578" s="4"/>
      <c r="T578" s="4"/>
      <c r="U578" s="4"/>
      <c r="V578" s="4"/>
      <c r="W578" s="4"/>
      <c r="X578" s="4"/>
    </row>
    <row r="579" spans="1:24" ht="15.6" x14ac:dyDescent="0.3">
      <c r="A579" s="6"/>
      <c r="B579" s="7"/>
      <c r="C579" s="136"/>
      <c r="D579" s="8"/>
      <c r="E579" s="8"/>
      <c r="F579" s="9"/>
      <c r="G579" s="10"/>
      <c r="H579" s="9"/>
      <c r="I579" s="4"/>
      <c r="J579" s="4"/>
      <c r="K579" s="11"/>
      <c r="L579" s="4"/>
      <c r="M579" s="4"/>
      <c r="N579" s="4"/>
      <c r="O579" s="4"/>
      <c r="P579" s="4"/>
      <c r="Q579" s="4"/>
      <c r="R579" s="4"/>
      <c r="S579" s="4"/>
      <c r="T579" s="4"/>
      <c r="U579" s="4"/>
      <c r="V579" s="4"/>
      <c r="W579" s="4"/>
      <c r="X579" s="4"/>
    </row>
    <row r="580" spans="1:24" ht="15.6" x14ac:dyDescent="0.3">
      <c r="A580" s="6"/>
      <c r="B580" s="7"/>
      <c r="C580" s="136"/>
      <c r="D580" s="8"/>
      <c r="E580" s="8"/>
      <c r="F580" s="9"/>
      <c r="G580" s="10"/>
      <c r="H580" s="9"/>
      <c r="I580" s="4"/>
      <c r="J580" s="4"/>
      <c r="K580" s="11"/>
      <c r="L580" s="4"/>
      <c r="M580" s="4"/>
      <c r="N580" s="4"/>
      <c r="O580" s="4"/>
      <c r="P580" s="4"/>
      <c r="Q580" s="4"/>
      <c r="R580" s="4"/>
      <c r="S580" s="4"/>
      <c r="T580" s="4"/>
      <c r="U580" s="4"/>
      <c r="V580" s="4"/>
      <c r="W580" s="4"/>
      <c r="X580" s="4"/>
    </row>
    <row r="581" spans="1:24" ht="15.6" x14ac:dyDescent="0.3">
      <c r="A581" s="6"/>
      <c r="B581" s="7"/>
      <c r="C581" s="136"/>
      <c r="D581" s="8"/>
      <c r="E581" s="8"/>
      <c r="F581" s="9"/>
      <c r="G581" s="10"/>
      <c r="H581" s="9"/>
      <c r="I581" s="4"/>
      <c r="J581" s="4"/>
      <c r="K581" s="11"/>
      <c r="L581" s="4"/>
      <c r="M581" s="4"/>
      <c r="N581" s="4"/>
      <c r="O581" s="4"/>
      <c r="P581" s="4"/>
      <c r="Q581" s="4"/>
      <c r="R581" s="4"/>
      <c r="S581" s="4"/>
      <c r="T581" s="4"/>
      <c r="U581" s="4"/>
      <c r="V581" s="4"/>
      <c r="W581" s="4"/>
      <c r="X581" s="4"/>
    </row>
    <row r="582" spans="1:24" ht="15.6" x14ac:dyDescent="0.3">
      <c r="A582" s="6"/>
      <c r="B582" s="7"/>
      <c r="C582" s="136"/>
      <c r="D582" s="8"/>
      <c r="E582" s="8"/>
      <c r="F582" s="9"/>
      <c r="G582" s="10"/>
      <c r="H582" s="9"/>
      <c r="I582" s="4"/>
      <c r="J582" s="4"/>
      <c r="K582" s="11"/>
      <c r="L582" s="4"/>
      <c r="M582" s="4"/>
      <c r="N582" s="4"/>
      <c r="O582" s="4"/>
      <c r="P582" s="4"/>
      <c r="Q582" s="4"/>
      <c r="R582" s="4"/>
      <c r="S582" s="4"/>
      <c r="T582" s="4"/>
      <c r="U582" s="4"/>
      <c r="V582" s="4"/>
      <c r="W582" s="4"/>
      <c r="X582" s="4"/>
    </row>
    <row r="583" spans="1:24" ht="15.6" x14ac:dyDescent="0.3">
      <c r="A583" s="6"/>
      <c r="B583" s="7"/>
      <c r="C583" s="136"/>
      <c r="D583" s="8"/>
      <c r="E583" s="8"/>
      <c r="F583" s="9"/>
      <c r="G583" s="10"/>
      <c r="H583" s="9"/>
      <c r="I583" s="4"/>
      <c r="J583" s="4"/>
      <c r="K583" s="11"/>
      <c r="L583" s="4"/>
      <c r="M583" s="4"/>
      <c r="N583" s="4"/>
      <c r="O583" s="4"/>
      <c r="P583" s="4"/>
      <c r="Q583" s="4"/>
      <c r="R583" s="4"/>
      <c r="S583" s="4"/>
      <c r="T583" s="4"/>
      <c r="U583" s="4"/>
      <c r="V583" s="4"/>
      <c r="W583" s="4"/>
      <c r="X583" s="4"/>
    </row>
    <row r="584" spans="1:24" ht="15.6" x14ac:dyDescent="0.3">
      <c r="A584" s="6"/>
      <c r="B584" s="7"/>
      <c r="C584" s="136"/>
      <c r="D584" s="8"/>
      <c r="E584" s="8"/>
      <c r="F584" s="9"/>
      <c r="G584" s="10"/>
      <c r="H584" s="9"/>
      <c r="I584" s="4"/>
      <c r="J584" s="4"/>
      <c r="K584" s="11"/>
      <c r="L584" s="4"/>
      <c r="M584" s="4"/>
      <c r="N584" s="4"/>
      <c r="O584" s="4"/>
      <c r="P584" s="4"/>
      <c r="Q584" s="4"/>
      <c r="R584" s="4"/>
      <c r="S584" s="4"/>
      <c r="T584" s="4"/>
      <c r="U584" s="4"/>
      <c r="V584" s="4"/>
      <c r="W584" s="4"/>
      <c r="X584" s="4"/>
    </row>
    <row r="585" spans="1:24" ht="15.6" x14ac:dyDescent="0.3">
      <c r="A585" s="6"/>
      <c r="B585" s="7"/>
      <c r="C585" s="136"/>
      <c r="D585" s="8"/>
      <c r="E585" s="8"/>
      <c r="F585" s="9"/>
      <c r="G585" s="10"/>
      <c r="H585" s="9"/>
      <c r="I585" s="4"/>
      <c r="J585" s="4"/>
      <c r="K585" s="11"/>
      <c r="L585" s="4"/>
      <c r="M585" s="4"/>
      <c r="N585" s="4"/>
      <c r="O585" s="4"/>
      <c r="P585" s="4"/>
      <c r="Q585" s="4"/>
      <c r="R585" s="4"/>
      <c r="S585" s="4"/>
      <c r="T585" s="4"/>
      <c r="U585" s="4"/>
      <c r="V585" s="4"/>
      <c r="W585" s="4"/>
      <c r="X585" s="4"/>
    </row>
    <row r="586" spans="1:24" ht="15.6" x14ac:dyDescent="0.3">
      <c r="A586" s="6"/>
      <c r="B586" s="7"/>
      <c r="C586" s="136"/>
      <c r="D586" s="8"/>
      <c r="E586" s="8"/>
      <c r="F586" s="9"/>
      <c r="G586" s="10"/>
      <c r="H586" s="9"/>
      <c r="I586" s="4"/>
      <c r="J586" s="4"/>
      <c r="K586" s="11"/>
      <c r="L586" s="4"/>
      <c r="M586" s="4"/>
      <c r="N586" s="4"/>
      <c r="O586" s="4"/>
      <c r="P586" s="4"/>
      <c r="Q586" s="4"/>
      <c r="R586" s="4"/>
      <c r="S586" s="4"/>
      <c r="T586" s="4"/>
      <c r="U586" s="4"/>
      <c r="V586" s="4"/>
      <c r="W586" s="4"/>
      <c r="X586" s="4"/>
    </row>
    <row r="587" spans="1:24" ht="15.6" x14ac:dyDescent="0.3">
      <c r="A587" s="6"/>
      <c r="B587" s="7"/>
      <c r="C587" s="136"/>
      <c r="D587" s="8"/>
      <c r="E587" s="8"/>
      <c r="F587" s="9"/>
      <c r="G587" s="10"/>
      <c r="H587" s="9"/>
      <c r="I587" s="4"/>
      <c r="J587" s="4"/>
      <c r="K587" s="11"/>
      <c r="L587" s="4"/>
      <c r="M587" s="4"/>
      <c r="N587" s="4"/>
      <c r="O587" s="4"/>
      <c r="P587" s="4"/>
      <c r="Q587" s="4"/>
      <c r="R587" s="4"/>
      <c r="S587" s="4"/>
      <c r="T587" s="4"/>
      <c r="U587" s="4"/>
      <c r="V587" s="4"/>
      <c r="W587" s="4"/>
      <c r="X587" s="4"/>
    </row>
    <row r="588" spans="1:24" ht="15.6" x14ac:dyDescent="0.3">
      <c r="A588" s="6"/>
      <c r="B588" s="7"/>
      <c r="C588" s="136"/>
      <c r="D588" s="8"/>
      <c r="E588" s="8"/>
      <c r="F588" s="9"/>
      <c r="G588" s="10"/>
      <c r="H588" s="9"/>
      <c r="I588" s="4"/>
      <c r="J588" s="4"/>
      <c r="K588" s="11"/>
      <c r="L588" s="4"/>
      <c r="M588" s="4"/>
      <c r="N588" s="4"/>
      <c r="O588" s="4"/>
      <c r="P588" s="4"/>
      <c r="Q588" s="4"/>
      <c r="R588" s="4"/>
      <c r="S588" s="4"/>
      <c r="T588" s="4"/>
      <c r="U588" s="4"/>
      <c r="V588" s="4"/>
      <c r="W588" s="4"/>
      <c r="X588" s="4"/>
    </row>
    <row r="589" spans="1:24" ht="15.6" x14ac:dyDescent="0.3">
      <c r="A589" s="6"/>
      <c r="B589" s="7"/>
      <c r="C589" s="136"/>
      <c r="D589" s="8"/>
      <c r="E589" s="8"/>
      <c r="F589" s="9"/>
      <c r="G589" s="10"/>
      <c r="H589" s="9"/>
      <c r="I589" s="4"/>
      <c r="J589" s="4"/>
      <c r="K589" s="11"/>
      <c r="L589" s="4"/>
      <c r="M589" s="4"/>
      <c r="N589" s="4"/>
      <c r="O589" s="4"/>
      <c r="P589" s="4"/>
      <c r="Q589" s="4"/>
      <c r="R589" s="4"/>
      <c r="S589" s="4"/>
      <c r="T589" s="4"/>
      <c r="U589" s="4"/>
      <c r="V589" s="4"/>
      <c r="W589" s="4"/>
      <c r="X589" s="4"/>
    </row>
    <row r="590" spans="1:24" ht="15.6" x14ac:dyDescent="0.3">
      <c r="A590" s="6"/>
      <c r="B590" s="7"/>
      <c r="C590" s="136"/>
      <c r="D590" s="8"/>
      <c r="E590" s="8"/>
      <c r="F590" s="9"/>
      <c r="G590" s="10"/>
      <c r="H590" s="9"/>
      <c r="I590" s="4"/>
      <c r="J590" s="4"/>
      <c r="K590" s="11"/>
      <c r="L590" s="4"/>
      <c r="M590" s="4"/>
      <c r="N590" s="4"/>
      <c r="O590" s="4"/>
      <c r="P590" s="4"/>
      <c r="Q590" s="4"/>
      <c r="R590" s="4"/>
      <c r="S590" s="4"/>
      <c r="T590" s="4"/>
      <c r="U590" s="4"/>
      <c r="V590" s="4"/>
      <c r="W590" s="4"/>
      <c r="X590" s="4"/>
    </row>
    <row r="591" spans="1:24" ht="15.6" x14ac:dyDescent="0.3">
      <c r="A591" s="6"/>
      <c r="B591" s="7"/>
      <c r="C591" s="136"/>
      <c r="D591" s="8"/>
      <c r="E591" s="8"/>
      <c r="F591" s="9"/>
      <c r="G591" s="10"/>
      <c r="H591" s="9"/>
      <c r="I591" s="4"/>
      <c r="J591" s="4"/>
      <c r="K591" s="11"/>
      <c r="L591" s="4"/>
      <c r="M591" s="4"/>
      <c r="N591" s="4"/>
      <c r="O591" s="4"/>
      <c r="P591" s="4"/>
      <c r="Q591" s="4"/>
      <c r="R591" s="4"/>
      <c r="S591" s="4"/>
      <c r="T591" s="4"/>
      <c r="U591" s="4"/>
      <c r="V591" s="4"/>
      <c r="W591" s="4"/>
      <c r="X591" s="4"/>
    </row>
    <row r="592" spans="1:24" ht="15.6" x14ac:dyDescent="0.3">
      <c r="A592" s="6"/>
      <c r="B592" s="7"/>
      <c r="C592" s="136"/>
      <c r="D592" s="8"/>
      <c r="E592" s="8"/>
      <c r="F592" s="9"/>
      <c r="G592" s="10"/>
      <c r="H592" s="9"/>
      <c r="I592" s="4"/>
      <c r="J592" s="4"/>
      <c r="K592" s="11"/>
      <c r="L592" s="4"/>
      <c r="M592" s="4"/>
      <c r="N592" s="4"/>
      <c r="O592" s="4"/>
      <c r="P592" s="4"/>
      <c r="Q592" s="4"/>
      <c r="R592" s="4"/>
      <c r="S592" s="4"/>
      <c r="T592" s="4"/>
      <c r="U592" s="4"/>
      <c r="V592" s="4"/>
      <c r="W592" s="4"/>
      <c r="X592" s="4"/>
    </row>
    <row r="593" spans="1:24" ht="15.6" x14ac:dyDescent="0.3">
      <c r="A593" s="6"/>
      <c r="B593" s="7"/>
      <c r="C593" s="136"/>
      <c r="D593" s="8"/>
      <c r="E593" s="8"/>
      <c r="F593" s="9"/>
      <c r="G593" s="10"/>
      <c r="H593" s="9"/>
      <c r="I593" s="4"/>
      <c r="J593" s="4"/>
      <c r="K593" s="11"/>
      <c r="L593" s="4"/>
      <c r="M593" s="4"/>
      <c r="N593" s="4"/>
      <c r="O593" s="4"/>
      <c r="P593" s="4"/>
      <c r="Q593" s="4"/>
      <c r="R593" s="4"/>
      <c r="S593" s="4"/>
      <c r="T593" s="4"/>
      <c r="U593" s="4"/>
      <c r="V593" s="4"/>
      <c r="W593" s="4"/>
      <c r="X593" s="4"/>
    </row>
    <row r="594" spans="1:24" ht="15.6" x14ac:dyDescent="0.3">
      <c r="A594" s="6"/>
      <c r="B594" s="7"/>
      <c r="C594" s="136"/>
      <c r="D594" s="8"/>
      <c r="E594" s="8"/>
      <c r="F594" s="9"/>
      <c r="G594" s="10"/>
      <c r="H594" s="9"/>
      <c r="I594" s="4"/>
      <c r="J594" s="4"/>
      <c r="K594" s="11"/>
      <c r="L594" s="4"/>
      <c r="M594" s="4"/>
      <c r="N594" s="4"/>
      <c r="O594" s="4"/>
      <c r="P594" s="4"/>
      <c r="Q594" s="4"/>
      <c r="R594" s="4"/>
      <c r="S594" s="4"/>
      <c r="T594" s="4"/>
      <c r="U594" s="4"/>
      <c r="V594" s="4"/>
      <c r="W594" s="4"/>
      <c r="X594" s="4"/>
    </row>
    <row r="595" spans="1:24" ht="15.6" x14ac:dyDescent="0.3">
      <c r="A595" s="6"/>
      <c r="B595" s="7"/>
      <c r="C595" s="136"/>
      <c r="D595" s="8"/>
      <c r="E595" s="8"/>
      <c r="F595" s="9"/>
      <c r="G595" s="10"/>
      <c r="H595" s="9"/>
      <c r="I595" s="4"/>
      <c r="J595" s="4"/>
      <c r="K595" s="11"/>
      <c r="L595" s="4"/>
      <c r="M595" s="4"/>
      <c r="N595" s="4"/>
      <c r="O595" s="4"/>
      <c r="P595" s="4"/>
      <c r="Q595" s="4"/>
      <c r="R595" s="4"/>
      <c r="S595" s="4"/>
      <c r="T595" s="4"/>
      <c r="U595" s="4"/>
      <c r="V595" s="4"/>
      <c r="W595" s="4"/>
      <c r="X595" s="4"/>
    </row>
    <row r="596" spans="1:24" ht="15.6" x14ac:dyDescent="0.3">
      <c r="A596" s="6"/>
      <c r="B596" s="7"/>
      <c r="C596" s="136"/>
      <c r="D596" s="8"/>
      <c r="E596" s="8"/>
      <c r="F596" s="9"/>
      <c r="G596" s="10"/>
      <c r="H596" s="9"/>
      <c r="I596" s="4"/>
      <c r="J596" s="4"/>
      <c r="K596" s="11"/>
      <c r="L596" s="4"/>
      <c r="M596" s="4"/>
      <c r="N596" s="4"/>
      <c r="O596" s="4"/>
      <c r="P596" s="4"/>
      <c r="Q596" s="4"/>
      <c r="R596" s="4"/>
      <c r="S596" s="4"/>
      <c r="T596" s="4"/>
      <c r="U596" s="4"/>
      <c r="V596" s="4"/>
      <c r="W596" s="4"/>
      <c r="X596" s="4"/>
    </row>
    <row r="597" spans="1:24" ht="15.6" x14ac:dyDescent="0.3">
      <c r="A597" s="6"/>
      <c r="B597" s="7"/>
      <c r="C597" s="136"/>
      <c r="D597" s="8"/>
      <c r="E597" s="8"/>
      <c r="F597" s="9"/>
      <c r="G597" s="10"/>
      <c r="H597" s="9"/>
      <c r="I597" s="4"/>
      <c r="J597" s="4"/>
      <c r="K597" s="11"/>
      <c r="L597" s="4"/>
      <c r="M597" s="4"/>
      <c r="N597" s="4"/>
      <c r="O597" s="4"/>
      <c r="P597" s="4"/>
      <c r="Q597" s="4"/>
      <c r="R597" s="4"/>
      <c r="S597" s="4"/>
      <c r="T597" s="4"/>
      <c r="U597" s="4"/>
      <c r="V597" s="4"/>
      <c r="W597" s="4"/>
      <c r="X597" s="4"/>
    </row>
    <row r="598" spans="1:24" ht="15.6" x14ac:dyDescent="0.3">
      <c r="A598" s="6"/>
      <c r="B598" s="7"/>
      <c r="C598" s="136"/>
      <c r="D598" s="8"/>
      <c r="E598" s="8"/>
      <c r="F598" s="9"/>
      <c r="G598" s="10"/>
      <c r="H598" s="9"/>
      <c r="I598" s="4"/>
      <c r="J598" s="4"/>
      <c r="K598" s="11"/>
      <c r="L598" s="4"/>
      <c r="M598" s="4"/>
      <c r="N598" s="4"/>
      <c r="O598" s="4"/>
      <c r="P598" s="4"/>
      <c r="Q598" s="4"/>
      <c r="R598" s="4"/>
      <c r="S598" s="4"/>
      <c r="T598" s="4"/>
      <c r="U598" s="4"/>
      <c r="V598" s="4"/>
      <c r="W598" s="4"/>
      <c r="X598" s="4"/>
    </row>
    <row r="599" spans="1:24" ht="15.6" x14ac:dyDescent="0.3">
      <c r="A599" s="6"/>
      <c r="B599" s="7"/>
      <c r="C599" s="136"/>
      <c r="D599" s="8"/>
      <c r="E599" s="8"/>
      <c r="F599" s="9"/>
      <c r="G599" s="10"/>
      <c r="H599" s="9"/>
      <c r="I599" s="4"/>
      <c r="J599" s="4"/>
      <c r="K599" s="11"/>
      <c r="L599" s="4"/>
      <c r="M599" s="4"/>
      <c r="N599" s="4"/>
      <c r="O599" s="4"/>
      <c r="P599" s="4"/>
      <c r="Q599" s="4"/>
      <c r="R599" s="4"/>
      <c r="S599" s="4"/>
      <c r="T599" s="4"/>
      <c r="U599" s="4"/>
      <c r="V599" s="4"/>
      <c r="W599" s="4"/>
      <c r="X599" s="4"/>
    </row>
    <row r="600" spans="1:24" ht="15.6" x14ac:dyDescent="0.3">
      <c r="A600" s="6"/>
      <c r="B600" s="7"/>
      <c r="C600" s="136"/>
      <c r="D600" s="8"/>
      <c r="E600" s="8"/>
      <c r="F600" s="9"/>
      <c r="G600" s="10"/>
      <c r="H600" s="9"/>
      <c r="I600" s="4"/>
      <c r="J600" s="4"/>
      <c r="K600" s="11"/>
      <c r="L600" s="4"/>
      <c r="M600" s="4"/>
      <c r="N600" s="4"/>
      <c r="O600" s="4"/>
      <c r="P600" s="4"/>
      <c r="Q600" s="4"/>
      <c r="R600" s="4"/>
      <c r="S600" s="4"/>
      <c r="T600" s="4"/>
      <c r="U600" s="4"/>
      <c r="V600" s="4"/>
      <c r="W600" s="4"/>
      <c r="X600" s="4"/>
    </row>
    <row r="601" spans="1:24" ht="15.6" x14ac:dyDescent="0.3">
      <c r="A601" s="6"/>
      <c r="B601" s="7"/>
      <c r="C601" s="136"/>
      <c r="D601" s="8"/>
      <c r="E601" s="8"/>
      <c r="F601" s="9"/>
      <c r="G601" s="10"/>
      <c r="H601" s="9"/>
      <c r="I601" s="4"/>
      <c r="J601" s="4"/>
      <c r="K601" s="11"/>
      <c r="L601" s="4"/>
      <c r="M601" s="4"/>
      <c r="N601" s="4"/>
      <c r="O601" s="4"/>
      <c r="P601" s="4"/>
      <c r="Q601" s="4"/>
      <c r="R601" s="4"/>
      <c r="S601" s="4"/>
      <c r="T601" s="4"/>
      <c r="U601" s="4"/>
      <c r="V601" s="4"/>
      <c r="W601" s="4"/>
      <c r="X601" s="4"/>
    </row>
    <row r="602" spans="1:24" ht="15.6" x14ac:dyDescent="0.3">
      <c r="A602" s="6"/>
      <c r="B602" s="7"/>
      <c r="C602" s="136"/>
      <c r="D602" s="8"/>
      <c r="E602" s="8"/>
      <c r="F602" s="9"/>
      <c r="G602" s="10"/>
      <c r="H602" s="9"/>
      <c r="I602" s="4"/>
      <c r="J602" s="4"/>
      <c r="K602" s="11"/>
      <c r="L602" s="4"/>
      <c r="M602" s="4"/>
      <c r="N602" s="4"/>
      <c r="O602" s="4"/>
      <c r="P602" s="4"/>
      <c r="Q602" s="4"/>
      <c r="R602" s="4"/>
      <c r="S602" s="4"/>
      <c r="T602" s="4"/>
      <c r="U602" s="4"/>
      <c r="V602" s="4"/>
      <c r="W602" s="4"/>
      <c r="X602" s="4"/>
    </row>
    <row r="603" spans="1:24" ht="15.6" x14ac:dyDescent="0.3">
      <c r="A603" s="6"/>
      <c r="B603" s="7"/>
      <c r="C603" s="136"/>
      <c r="D603" s="8"/>
      <c r="E603" s="8"/>
      <c r="F603" s="9"/>
      <c r="G603" s="10"/>
      <c r="H603" s="9"/>
      <c r="I603" s="4"/>
      <c r="J603" s="4"/>
      <c r="K603" s="11"/>
      <c r="L603" s="4"/>
      <c r="M603" s="4"/>
      <c r="N603" s="4"/>
      <c r="O603" s="4"/>
      <c r="P603" s="4"/>
      <c r="Q603" s="4"/>
      <c r="R603" s="4"/>
      <c r="S603" s="4"/>
      <c r="T603" s="4"/>
      <c r="U603" s="4"/>
      <c r="V603" s="4"/>
      <c r="W603" s="4"/>
      <c r="X603" s="4"/>
    </row>
    <row r="604" spans="1:24" ht="15.6" x14ac:dyDescent="0.3">
      <c r="A604" s="6"/>
      <c r="B604" s="7"/>
      <c r="C604" s="136"/>
      <c r="D604" s="8"/>
      <c r="E604" s="8"/>
      <c r="F604" s="9"/>
      <c r="G604" s="10"/>
      <c r="H604" s="9"/>
      <c r="I604" s="4"/>
      <c r="J604" s="4"/>
      <c r="K604" s="11"/>
      <c r="L604" s="4"/>
      <c r="M604" s="4"/>
      <c r="N604" s="4"/>
      <c r="O604" s="4"/>
      <c r="P604" s="4"/>
      <c r="Q604" s="4"/>
      <c r="R604" s="4"/>
      <c r="S604" s="4"/>
      <c r="T604" s="4"/>
      <c r="U604" s="4"/>
      <c r="V604" s="4"/>
      <c r="W604" s="4"/>
      <c r="X604" s="4"/>
    </row>
    <row r="605" spans="1:24" ht="15.6" x14ac:dyDescent="0.3">
      <c r="A605" s="6"/>
      <c r="B605" s="7"/>
      <c r="C605" s="136"/>
      <c r="D605" s="8"/>
      <c r="E605" s="8"/>
      <c r="F605" s="9"/>
      <c r="G605" s="10"/>
      <c r="H605" s="9"/>
      <c r="I605" s="4"/>
      <c r="J605" s="4"/>
      <c r="K605" s="11"/>
      <c r="L605" s="4"/>
      <c r="M605" s="4"/>
      <c r="N605" s="4"/>
      <c r="O605" s="4"/>
      <c r="P605" s="4"/>
      <c r="Q605" s="4"/>
      <c r="R605" s="4"/>
      <c r="S605" s="4"/>
      <c r="T605" s="4"/>
      <c r="U605" s="4"/>
      <c r="V605" s="4"/>
      <c r="W605" s="4"/>
      <c r="X605" s="4"/>
    </row>
    <row r="606" spans="1:24" ht="15.6" x14ac:dyDescent="0.3">
      <c r="A606" s="6"/>
      <c r="B606" s="7"/>
      <c r="C606" s="136"/>
      <c r="D606" s="8"/>
      <c r="E606" s="8"/>
      <c r="F606" s="9"/>
      <c r="G606" s="10"/>
      <c r="H606" s="9"/>
      <c r="I606" s="4"/>
      <c r="J606" s="4"/>
      <c r="K606" s="11"/>
      <c r="L606" s="4"/>
      <c r="M606" s="4"/>
      <c r="N606" s="4"/>
      <c r="O606" s="4"/>
      <c r="P606" s="4"/>
      <c r="Q606" s="4"/>
      <c r="R606" s="4"/>
      <c r="S606" s="4"/>
      <c r="T606" s="4"/>
      <c r="U606" s="4"/>
      <c r="V606" s="4"/>
      <c r="W606" s="4"/>
      <c r="X606" s="4"/>
    </row>
    <row r="607" spans="1:24" ht="15.6" x14ac:dyDescent="0.3">
      <c r="A607" s="6"/>
      <c r="B607" s="7"/>
      <c r="C607" s="136"/>
      <c r="D607" s="8"/>
      <c r="E607" s="8"/>
      <c r="F607" s="9"/>
      <c r="G607" s="10"/>
      <c r="H607" s="9"/>
      <c r="I607" s="4"/>
      <c r="J607" s="4"/>
      <c r="K607" s="11"/>
      <c r="L607" s="4"/>
      <c r="M607" s="4"/>
      <c r="N607" s="4"/>
      <c r="O607" s="4"/>
      <c r="P607" s="4"/>
      <c r="Q607" s="4"/>
      <c r="R607" s="4"/>
      <c r="S607" s="4"/>
      <c r="T607" s="4"/>
      <c r="U607" s="4"/>
      <c r="V607" s="4"/>
      <c r="W607" s="4"/>
      <c r="X607" s="4"/>
    </row>
    <row r="608" spans="1:24" ht="15.6" x14ac:dyDescent="0.3">
      <c r="A608" s="6"/>
      <c r="B608" s="7"/>
      <c r="C608" s="136"/>
      <c r="D608" s="8"/>
      <c r="E608" s="8"/>
      <c r="F608" s="9"/>
      <c r="G608" s="10"/>
      <c r="H608" s="9"/>
      <c r="I608" s="4"/>
      <c r="J608" s="4"/>
      <c r="K608" s="11"/>
      <c r="L608" s="4"/>
      <c r="M608" s="4"/>
      <c r="N608" s="4"/>
      <c r="O608" s="4"/>
      <c r="P608" s="4"/>
      <c r="Q608" s="4"/>
      <c r="R608" s="4"/>
      <c r="S608" s="4"/>
      <c r="T608" s="4"/>
      <c r="U608" s="4"/>
      <c r="V608" s="4"/>
      <c r="W608" s="4"/>
      <c r="X608" s="4"/>
    </row>
    <row r="609" spans="1:24" ht="15.6" x14ac:dyDescent="0.3">
      <c r="A609" s="6"/>
      <c r="B609" s="7"/>
      <c r="C609" s="136"/>
      <c r="D609" s="8"/>
      <c r="E609" s="8"/>
      <c r="F609" s="9"/>
      <c r="G609" s="10"/>
      <c r="H609" s="9"/>
      <c r="I609" s="4"/>
      <c r="J609" s="4"/>
      <c r="K609" s="11"/>
      <c r="L609" s="4"/>
      <c r="M609" s="4"/>
      <c r="N609" s="4"/>
      <c r="O609" s="4"/>
      <c r="P609" s="4"/>
      <c r="Q609" s="4"/>
      <c r="R609" s="4"/>
      <c r="S609" s="4"/>
      <c r="T609" s="4"/>
      <c r="U609" s="4"/>
      <c r="V609" s="4"/>
      <c r="W609" s="4"/>
      <c r="X609" s="4"/>
    </row>
    <row r="610" spans="1:24" ht="15.6" x14ac:dyDescent="0.3">
      <c r="A610" s="6"/>
      <c r="B610" s="7"/>
      <c r="C610" s="136"/>
      <c r="D610" s="8"/>
      <c r="E610" s="8"/>
      <c r="F610" s="9"/>
      <c r="G610" s="10"/>
      <c r="H610" s="9"/>
      <c r="I610" s="4"/>
      <c r="J610" s="4"/>
      <c r="K610" s="11"/>
      <c r="L610" s="4"/>
      <c r="M610" s="4"/>
      <c r="N610" s="4"/>
      <c r="O610" s="4"/>
      <c r="P610" s="4"/>
      <c r="Q610" s="4"/>
      <c r="R610" s="4"/>
      <c r="S610" s="4"/>
      <c r="T610" s="4"/>
      <c r="U610" s="4"/>
      <c r="V610" s="4"/>
      <c r="W610" s="4"/>
      <c r="X610" s="4"/>
    </row>
    <row r="611" spans="1:24" ht="15.6" x14ac:dyDescent="0.3">
      <c r="A611" s="6"/>
      <c r="B611" s="7"/>
      <c r="C611" s="136"/>
      <c r="D611" s="8"/>
      <c r="E611" s="8"/>
      <c r="F611" s="9"/>
      <c r="G611" s="10"/>
      <c r="H611" s="9"/>
      <c r="I611" s="4"/>
      <c r="J611" s="4"/>
      <c r="K611" s="11"/>
      <c r="L611" s="4"/>
      <c r="M611" s="4"/>
      <c r="N611" s="4"/>
      <c r="O611" s="4"/>
      <c r="P611" s="4"/>
      <c r="Q611" s="4"/>
      <c r="R611" s="4"/>
      <c r="S611" s="4"/>
      <c r="T611" s="4"/>
      <c r="U611" s="4"/>
      <c r="V611" s="4"/>
      <c r="W611" s="4"/>
      <c r="X611" s="4"/>
    </row>
    <row r="612" spans="1:24" ht="15.6" x14ac:dyDescent="0.3">
      <c r="A612" s="6"/>
      <c r="B612" s="7"/>
      <c r="C612" s="136"/>
      <c r="D612" s="8"/>
      <c r="E612" s="8"/>
      <c r="F612" s="9"/>
      <c r="G612" s="10"/>
      <c r="H612" s="9"/>
      <c r="I612" s="4"/>
      <c r="J612" s="4"/>
      <c r="K612" s="11"/>
      <c r="L612" s="4"/>
      <c r="M612" s="4"/>
      <c r="N612" s="4"/>
      <c r="O612" s="4"/>
      <c r="P612" s="4"/>
      <c r="Q612" s="4"/>
      <c r="R612" s="4"/>
      <c r="S612" s="4"/>
      <c r="T612" s="4"/>
      <c r="U612" s="4"/>
      <c r="V612" s="4"/>
      <c r="W612" s="4"/>
      <c r="X612" s="4"/>
    </row>
    <row r="613" spans="1:24" ht="15.6" x14ac:dyDescent="0.3">
      <c r="A613" s="6"/>
      <c r="B613" s="7"/>
      <c r="C613" s="136"/>
      <c r="D613" s="8"/>
      <c r="E613" s="8"/>
      <c r="F613" s="9"/>
      <c r="G613" s="10"/>
      <c r="H613" s="9"/>
      <c r="I613" s="4"/>
      <c r="J613" s="4"/>
      <c r="K613" s="11"/>
      <c r="L613" s="4"/>
      <c r="M613" s="4"/>
      <c r="N613" s="4"/>
      <c r="O613" s="4"/>
      <c r="P613" s="4"/>
      <c r="Q613" s="4"/>
      <c r="R613" s="4"/>
      <c r="S613" s="4"/>
      <c r="T613" s="4"/>
      <c r="U613" s="4"/>
      <c r="V613" s="4"/>
      <c r="W613" s="4"/>
      <c r="X613" s="4"/>
    </row>
    <row r="614" spans="1:24" ht="15.6" x14ac:dyDescent="0.3">
      <c r="A614" s="6"/>
      <c r="B614" s="7"/>
      <c r="C614" s="136"/>
      <c r="D614" s="8"/>
      <c r="E614" s="8"/>
      <c r="F614" s="9"/>
      <c r="G614" s="10"/>
      <c r="H614" s="9"/>
      <c r="I614" s="4"/>
      <c r="J614" s="4"/>
      <c r="K614" s="11"/>
      <c r="L614" s="4"/>
      <c r="M614" s="4"/>
      <c r="N614" s="4"/>
      <c r="O614" s="4"/>
      <c r="P614" s="4"/>
      <c r="Q614" s="4"/>
      <c r="R614" s="4"/>
      <c r="S614" s="4"/>
      <c r="T614" s="4"/>
      <c r="U614" s="4"/>
      <c r="V614" s="4"/>
      <c r="W614" s="4"/>
      <c r="X614" s="4"/>
    </row>
    <row r="615" spans="1:24" ht="15.6" x14ac:dyDescent="0.3">
      <c r="A615" s="6"/>
      <c r="B615" s="7"/>
      <c r="C615" s="136"/>
      <c r="D615" s="8"/>
      <c r="E615" s="8"/>
      <c r="F615" s="9"/>
      <c r="G615" s="10"/>
      <c r="H615" s="9"/>
      <c r="I615" s="4"/>
      <c r="J615" s="4"/>
      <c r="K615" s="11"/>
      <c r="L615" s="4"/>
      <c r="M615" s="4"/>
      <c r="N615" s="4"/>
      <c r="O615" s="4"/>
      <c r="P615" s="4"/>
      <c r="Q615" s="4"/>
      <c r="R615" s="4"/>
      <c r="S615" s="4"/>
      <c r="T615" s="4"/>
      <c r="U615" s="4"/>
      <c r="V615" s="4"/>
      <c r="W615" s="4"/>
      <c r="X615" s="4"/>
    </row>
    <row r="616" spans="1:24" ht="15.6" x14ac:dyDescent="0.3">
      <c r="A616" s="6"/>
      <c r="B616" s="7"/>
      <c r="C616" s="136"/>
      <c r="D616" s="8"/>
      <c r="E616" s="8"/>
      <c r="F616" s="9"/>
      <c r="G616" s="10"/>
      <c r="H616" s="9"/>
      <c r="I616" s="4"/>
      <c r="J616" s="4"/>
      <c r="K616" s="11"/>
      <c r="L616" s="4"/>
      <c r="M616" s="4"/>
      <c r="N616" s="4"/>
      <c r="O616" s="4"/>
      <c r="P616" s="4"/>
      <c r="Q616" s="4"/>
      <c r="R616" s="4"/>
      <c r="S616" s="4"/>
      <c r="T616" s="4"/>
      <c r="U616" s="4"/>
      <c r="V616" s="4"/>
      <c r="W616" s="4"/>
      <c r="X616" s="4"/>
    </row>
    <row r="617" spans="1:24" ht="15.6" x14ac:dyDescent="0.3">
      <c r="A617" s="6"/>
      <c r="B617" s="7"/>
      <c r="C617" s="136"/>
      <c r="D617" s="8"/>
      <c r="E617" s="8"/>
      <c r="F617" s="9"/>
      <c r="G617" s="10"/>
      <c r="H617" s="9"/>
      <c r="I617" s="4"/>
      <c r="J617" s="4"/>
      <c r="K617" s="11"/>
      <c r="L617" s="4"/>
      <c r="M617" s="4"/>
      <c r="N617" s="4"/>
      <c r="O617" s="4"/>
      <c r="P617" s="4"/>
      <c r="Q617" s="4"/>
      <c r="R617" s="4"/>
      <c r="S617" s="4"/>
      <c r="T617" s="4"/>
      <c r="U617" s="4"/>
      <c r="V617" s="4"/>
      <c r="W617" s="4"/>
      <c r="X617" s="4"/>
    </row>
    <row r="618" spans="1:24" ht="15.6" x14ac:dyDescent="0.3">
      <c r="A618" s="6"/>
      <c r="B618" s="7"/>
      <c r="C618" s="136"/>
      <c r="D618" s="8"/>
      <c r="E618" s="8"/>
      <c r="F618" s="9"/>
      <c r="G618" s="10"/>
      <c r="H618" s="9"/>
      <c r="I618" s="4"/>
      <c r="J618" s="4"/>
      <c r="K618" s="11"/>
      <c r="L618" s="4"/>
      <c r="M618" s="4"/>
      <c r="N618" s="4"/>
      <c r="O618" s="4"/>
      <c r="P618" s="4"/>
      <c r="Q618" s="4"/>
      <c r="R618" s="4"/>
      <c r="S618" s="4"/>
      <c r="T618" s="4"/>
      <c r="U618" s="4"/>
      <c r="V618" s="4"/>
      <c r="W618" s="4"/>
      <c r="X618" s="4"/>
    </row>
    <row r="619" spans="1:24" ht="15.6" x14ac:dyDescent="0.3">
      <c r="A619" s="6"/>
      <c r="B619" s="7"/>
      <c r="C619" s="136"/>
      <c r="D619" s="8"/>
      <c r="E619" s="8"/>
      <c r="F619" s="9"/>
      <c r="G619" s="10"/>
      <c r="H619" s="9"/>
      <c r="I619" s="4"/>
      <c r="J619" s="4"/>
      <c r="K619" s="11"/>
      <c r="L619" s="4"/>
      <c r="M619" s="4"/>
      <c r="N619" s="4"/>
      <c r="O619" s="4"/>
      <c r="P619" s="4"/>
      <c r="Q619" s="4"/>
      <c r="R619" s="4"/>
      <c r="S619" s="4"/>
      <c r="T619" s="4"/>
      <c r="U619" s="4"/>
      <c r="V619" s="4"/>
      <c r="W619" s="4"/>
      <c r="X619" s="4"/>
    </row>
    <row r="620" spans="1:24" ht="15.6" x14ac:dyDescent="0.3">
      <c r="A620" s="6"/>
      <c r="B620" s="7"/>
      <c r="C620" s="136"/>
      <c r="D620" s="8"/>
      <c r="E620" s="8"/>
      <c r="F620" s="9"/>
      <c r="G620" s="10"/>
      <c r="H620" s="9"/>
      <c r="I620" s="4"/>
      <c r="J620" s="4"/>
      <c r="K620" s="11"/>
      <c r="L620" s="4"/>
      <c r="M620" s="4"/>
      <c r="N620" s="4"/>
      <c r="O620" s="4"/>
      <c r="P620" s="4"/>
      <c r="Q620" s="4"/>
      <c r="R620" s="4"/>
      <c r="S620" s="4"/>
      <c r="T620" s="4"/>
      <c r="U620" s="4"/>
      <c r="V620" s="4"/>
      <c r="W620" s="4"/>
      <c r="X620" s="4"/>
    </row>
    <row r="621" spans="1:24" ht="15.6" x14ac:dyDescent="0.3">
      <c r="A621" s="6"/>
      <c r="B621" s="7"/>
      <c r="C621" s="136"/>
      <c r="D621" s="8"/>
      <c r="E621" s="8"/>
      <c r="F621" s="9"/>
      <c r="G621" s="10"/>
      <c r="H621" s="9"/>
      <c r="I621" s="4"/>
      <c r="J621" s="4"/>
      <c r="K621" s="11"/>
      <c r="L621" s="4"/>
      <c r="M621" s="4"/>
      <c r="N621" s="4"/>
      <c r="O621" s="4"/>
      <c r="P621" s="4"/>
      <c r="Q621" s="4"/>
      <c r="R621" s="4"/>
      <c r="S621" s="4"/>
      <c r="T621" s="4"/>
      <c r="U621" s="4"/>
      <c r="V621" s="4"/>
      <c r="W621" s="4"/>
      <c r="X621" s="4"/>
    </row>
    <row r="622" spans="1:24" ht="15.6" x14ac:dyDescent="0.3">
      <c r="A622" s="6"/>
      <c r="B622" s="7"/>
      <c r="C622" s="136"/>
      <c r="D622" s="8"/>
      <c r="E622" s="8"/>
      <c r="F622" s="9"/>
      <c r="G622" s="10"/>
      <c r="H622" s="9"/>
      <c r="I622" s="4"/>
      <c r="J622" s="4"/>
      <c r="K622" s="11"/>
      <c r="L622" s="4"/>
      <c r="M622" s="4"/>
      <c r="N622" s="4"/>
      <c r="O622" s="4"/>
      <c r="P622" s="4"/>
      <c r="Q622" s="4"/>
      <c r="R622" s="4"/>
      <c r="S622" s="4"/>
      <c r="T622" s="4"/>
      <c r="U622" s="4"/>
      <c r="V622" s="4"/>
      <c r="W622" s="4"/>
      <c r="X622" s="4"/>
    </row>
    <row r="623" spans="1:24" ht="15.6" x14ac:dyDescent="0.3">
      <c r="A623" s="6"/>
      <c r="B623" s="7"/>
      <c r="C623" s="136"/>
      <c r="D623" s="8"/>
      <c r="E623" s="8"/>
      <c r="F623" s="9"/>
      <c r="G623" s="10"/>
      <c r="H623" s="9"/>
      <c r="I623" s="4"/>
      <c r="J623" s="4"/>
      <c r="K623" s="11"/>
      <c r="L623" s="4"/>
      <c r="M623" s="4"/>
      <c r="N623" s="4"/>
      <c r="O623" s="4"/>
      <c r="P623" s="4"/>
      <c r="Q623" s="4"/>
      <c r="R623" s="4"/>
      <c r="S623" s="4"/>
      <c r="T623" s="4"/>
      <c r="U623" s="4"/>
      <c r="V623" s="4"/>
      <c r="W623" s="4"/>
      <c r="X623" s="4"/>
    </row>
    <row r="624" spans="1:24" ht="15.6" x14ac:dyDescent="0.3">
      <c r="A624" s="6"/>
      <c r="B624" s="7"/>
      <c r="C624" s="136"/>
      <c r="D624" s="8"/>
      <c r="E624" s="8"/>
      <c r="F624" s="9"/>
      <c r="G624" s="10"/>
      <c r="H624" s="9"/>
      <c r="I624" s="4"/>
      <c r="J624" s="4"/>
      <c r="K624" s="11"/>
      <c r="L624" s="4"/>
      <c r="M624" s="4"/>
      <c r="N624" s="4"/>
      <c r="O624" s="4"/>
      <c r="P624" s="4"/>
      <c r="Q624" s="4"/>
      <c r="R624" s="4"/>
      <c r="S624" s="4"/>
      <c r="T624" s="4"/>
      <c r="U624" s="4"/>
      <c r="V624" s="4"/>
      <c r="W624" s="4"/>
      <c r="X624" s="4"/>
    </row>
    <row r="625" spans="1:24" ht="15.6" x14ac:dyDescent="0.3">
      <c r="A625" s="6"/>
      <c r="B625" s="7"/>
      <c r="C625" s="136"/>
      <c r="D625" s="8"/>
      <c r="E625" s="8"/>
      <c r="F625" s="9"/>
      <c r="G625" s="10"/>
      <c r="H625" s="9"/>
      <c r="I625" s="4"/>
      <c r="J625" s="4"/>
      <c r="K625" s="11"/>
      <c r="L625" s="4"/>
      <c r="M625" s="4"/>
      <c r="N625" s="4"/>
      <c r="O625" s="4"/>
      <c r="P625" s="4"/>
      <c r="Q625" s="4"/>
      <c r="R625" s="4"/>
      <c r="S625" s="4"/>
      <c r="T625" s="4"/>
      <c r="U625" s="4"/>
      <c r="V625" s="4"/>
      <c r="W625" s="4"/>
      <c r="X625" s="4"/>
    </row>
    <row r="626" spans="1:24" ht="15.6" x14ac:dyDescent="0.3">
      <c r="A626" s="6"/>
      <c r="B626" s="7"/>
      <c r="C626" s="136"/>
      <c r="D626" s="8"/>
      <c r="E626" s="8"/>
      <c r="F626" s="9"/>
      <c r="G626" s="10"/>
      <c r="H626" s="9"/>
      <c r="I626" s="4"/>
      <c r="J626" s="4"/>
      <c r="K626" s="11"/>
      <c r="L626" s="4"/>
      <c r="M626" s="4"/>
      <c r="N626" s="4"/>
      <c r="O626" s="4"/>
      <c r="P626" s="4"/>
      <c r="Q626" s="4"/>
      <c r="R626" s="4"/>
      <c r="S626" s="4"/>
      <c r="T626" s="4"/>
      <c r="U626" s="4"/>
      <c r="V626" s="4"/>
      <c r="W626" s="4"/>
      <c r="X626" s="4"/>
    </row>
    <row r="627" spans="1:24" ht="15.6" x14ac:dyDescent="0.3">
      <c r="A627" s="6"/>
      <c r="B627" s="7"/>
      <c r="C627" s="136"/>
      <c r="D627" s="8"/>
      <c r="E627" s="8"/>
      <c r="F627" s="9"/>
      <c r="G627" s="10"/>
      <c r="H627" s="9"/>
      <c r="I627" s="4"/>
      <c r="J627" s="4"/>
      <c r="K627" s="11"/>
      <c r="L627" s="4"/>
      <c r="M627" s="4"/>
      <c r="N627" s="4"/>
      <c r="O627" s="4"/>
      <c r="P627" s="4"/>
      <c r="Q627" s="4"/>
      <c r="R627" s="4"/>
      <c r="S627" s="4"/>
      <c r="T627" s="4"/>
      <c r="U627" s="4"/>
      <c r="V627" s="4"/>
      <c r="W627" s="4"/>
      <c r="X627" s="4"/>
    </row>
    <row r="628" spans="1:24" ht="15.6" x14ac:dyDescent="0.3">
      <c r="A628" s="6"/>
      <c r="B628" s="7"/>
      <c r="C628" s="136"/>
      <c r="D628" s="8"/>
      <c r="E628" s="8"/>
      <c r="F628" s="9"/>
      <c r="G628" s="10"/>
      <c r="H628" s="9"/>
      <c r="I628" s="4"/>
      <c r="J628" s="4"/>
      <c r="K628" s="11"/>
      <c r="L628" s="4"/>
      <c r="M628" s="4"/>
      <c r="N628" s="4"/>
      <c r="O628" s="4"/>
      <c r="P628" s="4"/>
      <c r="Q628" s="4"/>
      <c r="R628" s="4"/>
      <c r="S628" s="4"/>
      <c r="T628" s="4"/>
      <c r="U628" s="4"/>
      <c r="V628" s="4"/>
      <c r="W628" s="4"/>
      <c r="X628" s="4"/>
    </row>
    <row r="629" spans="1:24" ht="15.6" x14ac:dyDescent="0.3">
      <c r="A629" s="6"/>
      <c r="B629" s="7"/>
      <c r="C629" s="136"/>
      <c r="D629" s="8"/>
      <c r="E629" s="8"/>
      <c r="F629" s="9"/>
      <c r="G629" s="10"/>
      <c r="H629" s="9"/>
      <c r="I629" s="4"/>
      <c r="J629" s="4"/>
      <c r="K629" s="11"/>
      <c r="L629" s="4"/>
      <c r="M629" s="4"/>
      <c r="N629" s="4"/>
      <c r="O629" s="4"/>
      <c r="P629" s="4"/>
      <c r="Q629" s="4"/>
      <c r="R629" s="4"/>
      <c r="S629" s="4"/>
      <c r="T629" s="4"/>
      <c r="U629" s="4"/>
      <c r="V629" s="4"/>
      <c r="W629" s="4"/>
      <c r="X629" s="4"/>
    </row>
    <row r="630" spans="1:24" ht="15.6" x14ac:dyDescent="0.3">
      <c r="A630" s="6"/>
      <c r="B630" s="7"/>
      <c r="C630" s="136"/>
      <c r="D630" s="8"/>
      <c r="E630" s="8"/>
      <c r="F630" s="9"/>
      <c r="G630" s="10"/>
      <c r="H630" s="9"/>
      <c r="I630" s="4"/>
      <c r="J630" s="4"/>
      <c r="K630" s="11"/>
      <c r="L630" s="4"/>
      <c r="M630" s="4"/>
      <c r="N630" s="4"/>
      <c r="O630" s="4"/>
      <c r="P630" s="4"/>
      <c r="Q630" s="4"/>
      <c r="R630" s="4"/>
      <c r="S630" s="4"/>
      <c r="T630" s="4"/>
      <c r="U630" s="4"/>
      <c r="V630" s="4"/>
      <c r="W630" s="4"/>
      <c r="X630" s="4"/>
    </row>
    <row r="631" spans="1:24" ht="15.6" x14ac:dyDescent="0.3">
      <c r="A631" s="6"/>
      <c r="B631" s="7"/>
      <c r="C631" s="136"/>
      <c r="D631" s="8"/>
      <c r="E631" s="8"/>
      <c r="F631" s="9"/>
      <c r="G631" s="10"/>
      <c r="H631" s="9"/>
      <c r="I631" s="4"/>
      <c r="J631" s="4"/>
      <c r="K631" s="11"/>
      <c r="L631" s="4"/>
      <c r="M631" s="4"/>
      <c r="N631" s="4"/>
      <c r="O631" s="4"/>
      <c r="P631" s="4"/>
      <c r="Q631" s="4"/>
      <c r="R631" s="4"/>
      <c r="S631" s="4"/>
      <c r="T631" s="4"/>
      <c r="U631" s="4"/>
      <c r="V631" s="4"/>
      <c r="W631" s="4"/>
      <c r="X631" s="4"/>
    </row>
    <row r="632" spans="1:24" ht="15.6" x14ac:dyDescent="0.3">
      <c r="A632" s="6"/>
      <c r="B632" s="7"/>
      <c r="C632" s="136"/>
      <c r="D632" s="8"/>
      <c r="E632" s="8"/>
      <c r="F632" s="9"/>
      <c r="G632" s="10"/>
      <c r="H632" s="9"/>
      <c r="I632" s="4"/>
      <c r="J632" s="4"/>
      <c r="K632" s="11"/>
      <c r="L632" s="4"/>
      <c r="M632" s="4"/>
      <c r="N632" s="4"/>
      <c r="O632" s="4"/>
      <c r="P632" s="4"/>
      <c r="Q632" s="4"/>
      <c r="R632" s="4"/>
      <c r="S632" s="4"/>
      <c r="T632" s="4"/>
      <c r="U632" s="4"/>
      <c r="V632" s="4"/>
      <c r="W632" s="4"/>
      <c r="X632" s="4"/>
    </row>
    <row r="633" spans="1:24" ht="15.6" x14ac:dyDescent="0.3">
      <c r="A633" s="6"/>
      <c r="B633" s="7"/>
      <c r="C633" s="136"/>
      <c r="D633" s="8"/>
      <c r="E633" s="8"/>
      <c r="F633" s="9"/>
      <c r="G633" s="10"/>
      <c r="H633" s="9"/>
      <c r="I633" s="4"/>
      <c r="J633" s="4"/>
      <c r="K633" s="11"/>
      <c r="L633" s="4"/>
      <c r="M633" s="4"/>
      <c r="N633" s="4"/>
      <c r="O633" s="4"/>
      <c r="P633" s="4"/>
      <c r="Q633" s="4"/>
      <c r="R633" s="4"/>
      <c r="S633" s="4"/>
      <c r="T633" s="4"/>
      <c r="U633" s="4"/>
      <c r="V633" s="4"/>
      <c r="W633" s="4"/>
      <c r="X633" s="4"/>
    </row>
    <row r="634" spans="1:24" ht="15.6" x14ac:dyDescent="0.3">
      <c r="A634" s="6"/>
      <c r="B634" s="7"/>
      <c r="C634" s="136"/>
      <c r="D634" s="8"/>
      <c r="E634" s="8"/>
      <c r="F634" s="9"/>
      <c r="G634" s="10"/>
      <c r="H634" s="9"/>
      <c r="I634" s="4"/>
      <c r="J634" s="4"/>
      <c r="K634" s="11"/>
      <c r="L634" s="4"/>
      <c r="M634" s="4"/>
      <c r="N634" s="4"/>
      <c r="O634" s="4"/>
      <c r="P634" s="4"/>
      <c r="Q634" s="4"/>
      <c r="R634" s="4"/>
      <c r="S634" s="4"/>
      <c r="T634" s="4"/>
      <c r="U634" s="4"/>
      <c r="V634" s="4"/>
      <c r="W634" s="4"/>
      <c r="X634" s="4"/>
    </row>
    <row r="635" spans="1:24" ht="15.6" x14ac:dyDescent="0.3">
      <c r="A635" s="6"/>
      <c r="B635" s="7"/>
      <c r="C635" s="136"/>
      <c r="D635" s="8"/>
      <c r="E635" s="8"/>
      <c r="F635" s="9"/>
      <c r="G635" s="10"/>
      <c r="H635" s="9"/>
      <c r="I635" s="4"/>
      <c r="J635" s="4"/>
      <c r="K635" s="11"/>
      <c r="L635" s="4"/>
      <c r="M635" s="4"/>
      <c r="N635" s="4"/>
      <c r="O635" s="4"/>
      <c r="P635" s="4"/>
      <c r="Q635" s="4"/>
      <c r="R635" s="4"/>
      <c r="S635" s="4"/>
      <c r="T635" s="4"/>
      <c r="U635" s="4"/>
      <c r="V635" s="4"/>
      <c r="W635" s="4"/>
      <c r="X635" s="4"/>
    </row>
    <row r="636" spans="1:24" ht="15.6" x14ac:dyDescent="0.3">
      <c r="A636" s="6"/>
      <c r="B636" s="7"/>
      <c r="C636" s="136"/>
      <c r="D636" s="8"/>
      <c r="E636" s="8"/>
      <c r="F636" s="9"/>
      <c r="G636" s="10"/>
      <c r="H636" s="9"/>
      <c r="I636" s="4"/>
      <c r="J636" s="4"/>
      <c r="K636" s="11"/>
      <c r="L636" s="4"/>
      <c r="M636" s="4"/>
      <c r="N636" s="4"/>
      <c r="O636" s="4"/>
      <c r="P636" s="4"/>
      <c r="Q636" s="4"/>
      <c r="R636" s="4"/>
      <c r="S636" s="4"/>
      <c r="T636" s="4"/>
      <c r="U636" s="4"/>
      <c r="V636" s="4"/>
      <c r="W636" s="4"/>
      <c r="X636" s="4"/>
    </row>
    <row r="637" spans="1:24" ht="15.6" x14ac:dyDescent="0.3">
      <c r="A637" s="6"/>
      <c r="B637" s="7"/>
      <c r="C637" s="136"/>
      <c r="D637" s="8"/>
      <c r="E637" s="8"/>
      <c r="F637" s="9"/>
      <c r="G637" s="10"/>
      <c r="H637" s="9"/>
      <c r="I637" s="4"/>
      <c r="J637" s="4"/>
      <c r="K637" s="11"/>
      <c r="L637" s="4"/>
      <c r="M637" s="4"/>
      <c r="N637" s="4"/>
      <c r="O637" s="4"/>
      <c r="P637" s="4"/>
      <c r="Q637" s="4"/>
      <c r="R637" s="4"/>
      <c r="S637" s="4"/>
      <c r="T637" s="4"/>
      <c r="U637" s="4"/>
      <c r="V637" s="4"/>
      <c r="W637" s="4"/>
      <c r="X637" s="4"/>
    </row>
    <row r="638" spans="1:24" ht="15.6" x14ac:dyDescent="0.3">
      <c r="A638" s="6"/>
      <c r="B638" s="7"/>
      <c r="C638" s="136"/>
      <c r="D638" s="8"/>
      <c r="E638" s="8"/>
      <c r="F638" s="9"/>
      <c r="G638" s="10"/>
      <c r="H638" s="9"/>
      <c r="I638" s="4"/>
      <c r="J638" s="4"/>
      <c r="K638" s="11"/>
      <c r="L638" s="4"/>
      <c r="M638" s="4"/>
      <c r="N638" s="4"/>
      <c r="O638" s="4"/>
      <c r="P638" s="4"/>
      <c r="Q638" s="4"/>
      <c r="R638" s="4"/>
      <c r="S638" s="4"/>
      <c r="T638" s="4"/>
      <c r="U638" s="4"/>
      <c r="V638" s="4"/>
      <c r="W638" s="4"/>
      <c r="X638" s="4"/>
    </row>
    <row r="639" spans="1:24" ht="15.6" x14ac:dyDescent="0.3">
      <c r="A639" s="6"/>
      <c r="B639" s="7"/>
      <c r="C639" s="136"/>
      <c r="D639" s="8"/>
      <c r="E639" s="8"/>
      <c r="F639" s="9"/>
      <c r="G639" s="10"/>
      <c r="H639" s="9"/>
      <c r="I639" s="4"/>
      <c r="J639" s="4"/>
      <c r="K639" s="11"/>
      <c r="L639" s="4"/>
      <c r="M639" s="4"/>
      <c r="N639" s="4"/>
      <c r="O639" s="4"/>
      <c r="P639" s="4"/>
      <c r="Q639" s="4"/>
      <c r="R639" s="4"/>
      <c r="S639" s="4"/>
      <c r="T639" s="4"/>
      <c r="U639" s="4"/>
      <c r="V639" s="4"/>
      <c r="W639" s="4"/>
      <c r="X639" s="4"/>
    </row>
    <row r="640" spans="1:24" ht="15.6" x14ac:dyDescent="0.3">
      <c r="A640" s="6"/>
      <c r="B640" s="7"/>
      <c r="C640" s="136"/>
      <c r="D640" s="8"/>
      <c r="E640" s="8"/>
      <c r="F640" s="9"/>
      <c r="G640" s="10"/>
      <c r="H640" s="9"/>
      <c r="I640" s="4"/>
      <c r="J640" s="4"/>
      <c r="K640" s="11"/>
      <c r="L640" s="4"/>
      <c r="M640" s="4"/>
      <c r="N640" s="4"/>
      <c r="O640" s="4"/>
      <c r="P640" s="4"/>
      <c r="Q640" s="4"/>
      <c r="R640" s="4"/>
      <c r="S640" s="4"/>
      <c r="T640" s="4"/>
      <c r="U640" s="4"/>
      <c r="V640" s="4"/>
      <c r="W640" s="4"/>
      <c r="X640" s="4"/>
    </row>
    <row r="641" spans="1:24" ht="15.6" x14ac:dyDescent="0.3">
      <c r="A641" s="6"/>
      <c r="B641" s="7"/>
      <c r="C641" s="136"/>
      <c r="D641" s="8"/>
      <c r="E641" s="8"/>
      <c r="F641" s="9"/>
      <c r="G641" s="10"/>
      <c r="H641" s="9"/>
      <c r="I641" s="4"/>
      <c r="J641" s="4"/>
      <c r="K641" s="11"/>
      <c r="L641" s="4"/>
      <c r="M641" s="4"/>
      <c r="N641" s="4"/>
      <c r="O641" s="4"/>
      <c r="P641" s="4"/>
      <c r="Q641" s="4"/>
      <c r="R641" s="4"/>
      <c r="S641" s="4"/>
      <c r="T641" s="4"/>
      <c r="U641" s="4"/>
      <c r="V641" s="4"/>
      <c r="W641" s="4"/>
      <c r="X641" s="4"/>
    </row>
    <row r="642" spans="1:24" ht="15.6" x14ac:dyDescent="0.3">
      <c r="A642" s="6"/>
      <c r="B642" s="7"/>
      <c r="C642" s="136"/>
      <c r="D642" s="8"/>
      <c r="E642" s="8"/>
      <c r="F642" s="9"/>
      <c r="G642" s="10"/>
      <c r="H642" s="9"/>
      <c r="I642" s="4"/>
      <c r="J642" s="4"/>
      <c r="K642" s="11"/>
      <c r="L642" s="4"/>
      <c r="M642" s="4"/>
      <c r="N642" s="4"/>
      <c r="O642" s="4"/>
      <c r="P642" s="4"/>
      <c r="Q642" s="4"/>
      <c r="R642" s="4"/>
      <c r="S642" s="4"/>
      <c r="T642" s="4"/>
      <c r="U642" s="4"/>
      <c r="V642" s="4"/>
      <c r="W642" s="4"/>
      <c r="X642" s="4"/>
    </row>
    <row r="643" spans="1:24" ht="15.6" x14ac:dyDescent="0.3">
      <c r="A643" s="6"/>
      <c r="B643" s="7"/>
      <c r="C643" s="136"/>
      <c r="D643" s="8"/>
      <c r="E643" s="8"/>
      <c r="F643" s="9"/>
      <c r="G643" s="10"/>
      <c r="H643" s="9"/>
      <c r="I643" s="4"/>
      <c r="J643" s="4"/>
      <c r="K643" s="11"/>
      <c r="L643" s="4"/>
      <c r="M643" s="4"/>
      <c r="N643" s="4"/>
      <c r="O643" s="4"/>
      <c r="P643" s="4"/>
      <c r="Q643" s="4"/>
      <c r="R643" s="4"/>
      <c r="S643" s="4"/>
      <c r="T643" s="4"/>
      <c r="U643" s="4"/>
      <c r="V643" s="4"/>
      <c r="W643" s="4"/>
      <c r="X643" s="4"/>
    </row>
    <row r="644" spans="1:24" ht="15.6" x14ac:dyDescent="0.3">
      <c r="A644" s="6"/>
      <c r="B644" s="7"/>
      <c r="C644" s="136"/>
      <c r="D644" s="8"/>
      <c r="E644" s="8"/>
      <c r="F644" s="9"/>
      <c r="G644" s="10"/>
      <c r="H644" s="9"/>
      <c r="I644" s="4"/>
      <c r="J644" s="4"/>
      <c r="K644" s="11"/>
      <c r="L644" s="4"/>
      <c r="M644" s="4"/>
      <c r="N644" s="4"/>
      <c r="O644" s="4"/>
      <c r="P644" s="4"/>
      <c r="Q644" s="4"/>
      <c r="R644" s="4"/>
      <c r="S644" s="4"/>
      <c r="T644" s="4"/>
      <c r="U644" s="4"/>
      <c r="V644" s="4"/>
      <c r="W644" s="4"/>
      <c r="X644" s="4"/>
    </row>
    <row r="645" spans="1:24" ht="15.6" x14ac:dyDescent="0.3">
      <c r="A645" s="6"/>
      <c r="B645" s="7"/>
      <c r="C645" s="136"/>
      <c r="D645" s="8"/>
      <c r="E645" s="8"/>
      <c r="F645" s="9"/>
      <c r="G645" s="10"/>
      <c r="H645" s="9"/>
      <c r="I645" s="4"/>
      <c r="J645" s="4"/>
      <c r="K645" s="11"/>
      <c r="L645" s="4"/>
      <c r="M645" s="4"/>
      <c r="N645" s="4"/>
      <c r="O645" s="4"/>
      <c r="P645" s="4"/>
      <c r="Q645" s="4"/>
      <c r="R645" s="4"/>
      <c r="S645" s="4"/>
      <c r="T645" s="4"/>
      <c r="U645" s="4"/>
      <c r="V645" s="4"/>
      <c r="W645" s="4"/>
      <c r="X645" s="4"/>
    </row>
    <row r="646" spans="1:24" ht="15.6" x14ac:dyDescent="0.3">
      <c r="A646" s="6"/>
      <c r="B646" s="7"/>
      <c r="C646" s="136"/>
      <c r="D646" s="8"/>
      <c r="E646" s="8"/>
      <c r="F646" s="9"/>
      <c r="G646" s="10"/>
      <c r="H646" s="9"/>
      <c r="I646" s="4"/>
      <c r="J646" s="4"/>
      <c r="K646" s="11"/>
      <c r="L646" s="4"/>
      <c r="M646" s="4"/>
      <c r="N646" s="4"/>
      <c r="O646" s="4"/>
      <c r="P646" s="4"/>
      <c r="Q646" s="4"/>
      <c r="R646" s="4"/>
      <c r="S646" s="4"/>
      <c r="T646" s="4"/>
      <c r="U646" s="4"/>
      <c r="V646" s="4"/>
      <c r="W646" s="4"/>
      <c r="X646" s="4"/>
    </row>
    <row r="647" spans="1:24" ht="15.6" x14ac:dyDescent="0.3">
      <c r="A647" s="6"/>
      <c r="B647" s="7"/>
      <c r="C647" s="136"/>
      <c r="D647" s="8"/>
      <c r="E647" s="8"/>
      <c r="F647" s="9"/>
      <c r="G647" s="10"/>
      <c r="H647" s="9"/>
      <c r="I647" s="4"/>
      <c r="J647" s="4"/>
      <c r="K647" s="11"/>
      <c r="L647" s="4"/>
      <c r="M647" s="4"/>
      <c r="N647" s="4"/>
      <c r="O647" s="4"/>
      <c r="P647" s="4"/>
      <c r="Q647" s="4"/>
      <c r="R647" s="4"/>
      <c r="S647" s="4"/>
      <c r="T647" s="4"/>
      <c r="U647" s="4"/>
      <c r="V647" s="4"/>
      <c r="W647" s="4"/>
      <c r="X647" s="4"/>
    </row>
    <row r="648" spans="1:24" ht="15.6" x14ac:dyDescent="0.3">
      <c r="A648" s="6"/>
      <c r="B648" s="7"/>
      <c r="C648" s="136"/>
      <c r="D648" s="8"/>
      <c r="E648" s="8"/>
      <c r="F648" s="9"/>
      <c r="G648" s="10"/>
      <c r="H648" s="9"/>
      <c r="I648" s="4"/>
      <c r="J648" s="4"/>
      <c r="K648" s="11"/>
      <c r="L648" s="4"/>
      <c r="M648" s="4"/>
      <c r="N648" s="4"/>
      <c r="O648" s="4"/>
      <c r="P648" s="4"/>
      <c r="Q648" s="4"/>
      <c r="R648" s="4"/>
      <c r="S648" s="4"/>
      <c r="T648" s="4"/>
      <c r="U648" s="4"/>
      <c r="V648" s="4"/>
      <c r="W648" s="4"/>
      <c r="X648" s="4"/>
    </row>
    <row r="649" spans="1:24" ht="15.6" x14ac:dyDescent="0.3">
      <c r="A649" s="6"/>
      <c r="B649" s="7"/>
      <c r="C649" s="136"/>
      <c r="D649" s="8"/>
      <c r="E649" s="8"/>
      <c r="F649" s="9"/>
      <c r="G649" s="10"/>
      <c r="H649" s="9"/>
      <c r="I649" s="4"/>
      <c r="J649" s="4"/>
      <c r="K649" s="11"/>
      <c r="L649" s="4"/>
      <c r="M649" s="4"/>
      <c r="N649" s="4"/>
      <c r="O649" s="4"/>
      <c r="P649" s="4"/>
      <c r="Q649" s="4"/>
      <c r="R649" s="4"/>
      <c r="S649" s="4"/>
      <c r="T649" s="4"/>
      <c r="U649" s="4"/>
      <c r="V649" s="4"/>
      <c r="W649" s="4"/>
      <c r="X649" s="4"/>
    </row>
    <row r="650" spans="1:24" ht="15.6" x14ac:dyDescent="0.3">
      <c r="A650" s="6"/>
      <c r="B650" s="7"/>
      <c r="C650" s="136"/>
      <c r="D650" s="8"/>
      <c r="E650" s="8"/>
      <c r="F650" s="9"/>
      <c r="G650" s="10"/>
      <c r="H650" s="9"/>
      <c r="I650" s="4"/>
      <c r="J650" s="4"/>
      <c r="K650" s="11"/>
      <c r="L650" s="4"/>
      <c r="M650" s="4"/>
      <c r="N650" s="4"/>
      <c r="O650" s="4"/>
      <c r="P650" s="4"/>
      <c r="Q650" s="4"/>
      <c r="R650" s="4"/>
      <c r="S650" s="4"/>
      <c r="T650" s="4"/>
      <c r="U650" s="4"/>
      <c r="V650" s="4"/>
      <c r="W650" s="4"/>
      <c r="X650" s="4"/>
    </row>
    <row r="651" spans="1:24" ht="15.6" x14ac:dyDescent="0.3">
      <c r="A651" s="6"/>
      <c r="B651" s="7"/>
      <c r="C651" s="136"/>
      <c r="D651" s="8"/>
      <c r="E651" s="8"/>
      <c r="F651" s="9"/>
      <c r="G651" s="10"/>
      <c r="H651" s="9"/>
      <c r="I651" s="4"/>
      <c r="J651" s="4"/>
      <c r="K651" s="11"/>
      <c r="L651" s="4"/>
      <c r="M651" s="4"/>
      <c r="N651" s="4"/>
      <c r="O651" s="4"/>
      <c r="P651" s="4"/>
      <c r="Q651" s="4"/>
      <c r="R651" s="4"/>
      <c r="S651" s="4"/>
      <c r="T651" s="4"/>
      <c r="U651" s="4"/>
      <c r="V651" s="4"/>
      <c r="W651" s="4"/>
      <c r="X651" s="4"/>
    </row>
    <row r="652" spans="1:24" ht="15.6" x14ac:dyDescent="0.3">
      <c r="A652" s="6"/>
      <c r="B652" s="7"/>
      <c r="C652" s="136"/>
      <c r="D652" s="8"/>
      <c r="E652" s="8"/>
      <c r="F652" s="9"/>
      <c r="G652" s="10"/>
      <c r="H652" s="9"/>
      <c r="I652" s="4"/>
      <c r="J652" s="4"/>
      <c r="K652" s="11"/>
      <c r="L652" s="4"/>
      <c r="M652" s="4"/>
      <c r="N652" s="4"/>
      <c r="O652" s="4"/>
      <c r="P652" s="4"/>
      <c r="Q652" s="4"/>
      <c r="R652" s="4"/>
      <c r="S652" s="4"/>
      <c r="T652" s="4"/>
      <c r="U652" s="4"/>
      <c r="V652" s="4"/>
      <c r="W652" s="4"/>
      <c r="X652" s="4"/>
    </row>
    <row r="653" spans="1:24" ht="15.6" x14ac:dyDescent="0.3">
      <c r="A653" s="6"/>
      <c r="B653" s="7"/>
      <c r="C653" s="136"/>
      <c r="D653" s="8"/>
      <c r="E653" s="8"/>
      <c r="F653" s="9"/>
      <c r="G653" s="10"/>
      <c r="H653" s="9"/>
      <c r="I653" s="4"/>
      <c r="J653" s="4"/>
      <c r="K653" s="11"/>
      <c r="L653" s="4"/>
      <c r="M653" s="4"/>
      <c r="N653" s="4"/>
      <c r="O653" s="4"/>
      <c r="P653" s="4"/>
      <c r="Q653" s="4"/>
      <c r="R653" s="4"/>
      <c r="S653" s="4"/>
      <c r="T653" s="4"/>
      <c r="U653" s="4"/>
      <c r="V653" s="4"/>
      <c r="W653" s="4"/>
      <c r="X653" s="4"/>
    </row>
    <row r="654" spans="1:24" ht="15.6" x14ac:dyDescent="0.3">
      <c r="A654" s="6"/>
      <c r="B654" s="7"/>
      <c r="C654" s="136"/>
      <c r="D654" s="8"/>
      <c r="E654" s="8"/>
      <c r="F654" s="9"/>
      <c r="G654" s="10"/>
      <c r="H654" s="9"/>
      <c r="I654" s="4"/>
      <c r="J654" s="4"/>
      <c r="K654" s="11"/>
      <c r="L654" s="4"/>
      <c r="M654" s="4"/>
      <c r="N654" s="4"/>
      <c r="O654" s="4"/>
      <c r="P654" s="4"/>
      <c r="Q654" s="4"/>
      <c r="R654" s="4"/>
      <c r="S654" s="4"/>
      <c r="T654" s="4"/>
      <c r="U654" s="4"/>
      <c r="V654" s="4"/>
      <c r="W654" s="4"/>
      <c r="X654" s="4"/>
    </row>
    <row r="655" spans="1:24" ht="15.6" x14ac:dyDescent="0.3">
      <c r="A655" s="6"/>
      <c r="B655" s="7"/>
      <c r="C655" s="136"/>
      <c r="D655" s="8"/>
      <c r="E655" s="8"/>
      <c r="F655" s="9"/>
      <c r="G655" s="10"/>
      <c r="H655" s="9"/>
      <c r="I655" s="4"/>
      <c r="J655" s="4"/>
      <c r="K655" s="11"/>
      <c r="L655" s="4"/>
      <c r="M655" s="4"/>
      <c r="N655" s="4"/>
      <c r="O655" s="4"/>
      <c r="P655" s="4"/>
      <c r="Q655" s="4"/>
      <c r="R655" s="4"/>
      <c r="S655" s="4"/>
      <c r="T655" s="4"/>
      <c r="U655" s="4"/>
      <c r="V655" s="4"/>
      <c r="W655" s="4"/>
      <c r="X655" s="4"/>
    </row>
    <row r="656" spans="1:24" ht="15.6" x14ac:dyDescent="0.3">
      <c r="A656" s="6"/>
      <c r="B656" s="7"/>
      <c r="C656" s="136"/>
      <c r="D656" s="8"/>
      <c r="E656" s="8"/>
      <c r="F656" s="9"/>
      <c r="G656" s="10"/>
      <c r="H656" s="9"/>
      <c r="I656" s="4"/>
      <c r="J656" s="4"/>
      <c r="K656" s="11"/>
      <c r="L656" s="4"/>
      <c r="M656" s="4"/>
      <c r="N656" s="4"/>
      <c r="O656" s="4"/>
      <c r="P656" s="4"/>
      <c r="Q656" s="4"/>
      <c r="R656" s="4"/>
      <c r="S656" s="4"/>
      <c r="T656" s="4"/>
      <c r="U656" s="4"/>
      <c r="V656" s="4"/>
      <c r="W656" s="4"/>
      <c r="X656" s="4"/>
    </row>
    <row r="657" spans="1:24" ht="15.6" x14ac:dyDescent="0.3">
      <c r="A657" s="6"/>
      <c r="B657" s="7"/>
      <c r="C657" s="136"/>
      <c r="D657" s="8"/>
      <c r="E657" s="8"/>
      <c r="F657" s="9"/>
      <c r="G657" s="10"/>
      <c r="H657" s="9"/>
      <c r="I657" s="4"/>
      <c r="J657" s="4"/>
      <c r="K657" s="11"/>
      <c r="L657" s="4"/>
      <c r="M657" s="4"/>
      <c r="N657" s="4"/>
      <c r="O657" s="4"/>
      <c r="P657" s="4"/>
      <c r="Q657" s="4"/>
      <c r="R657" s="4"/>
      <c r="S657" s="4"/>
      <c r="T657" s="4"/>
      <c r="U657" s="4"/>
      <c r="V657" s="4"/>
      <c r="W657" s="4"/>
      <c r="X657" s="4"/>
    </row>
    <row r="658" spans="1:24" ht="15.6" x14ac:dyDescent="0.3">
      <c r="A658" s="6"/>
      <c r="B658" s="7"/>
      <c r="C658" s="136"/>
      <c r="D658" s="8"/>
      <c r="E658" s="8"/>
      <c r="F658" s="9"/>
      <c r="G658" s="10"/>
      <c r="H658" s="9"/>
      <c r="I658" s="4"/>
      <c r="J658" s="4"/>
      <c r="K658" s="11"/>
      <c r="L658" s="4"/>
      <c r="M658" s="4"/>
      <c r="N658" s="4"/>
      <c r="O658" s="4"/>
      <c r="P658" s="4"/>
      <c r="Q658" s="4"/>
      <c r="R658" s="4"/>
      <c r="S658" s="4"/>
      <c r="T658" s="4"/>
      <c r="U658" s="4"/>
      <c r="V658" s="4"/>
      <c r="W658" s="4"/>
      <c r="X658" s="4"/>
    </row>
    <row r="659" spans="1:24" ht="15.6" x14ac:dyDescent="0.3">
      <c r="A659" s="6"/>
      <c r="B659" s="7"/>
      <c r="C659" s="136"/>
      <c r="D659" s="8"/>
      <c r="E659" s="8"/>
      <c r="F659" s="9"/>
      <c r="G659" s="10"/>
      <c r="H659" s="9"/>
      <c r="I659" s="4"/>
      <c r="J659" s="4"/>
      <c r="K659" s="11"/>
      <c r="L659" s="4"/>
      <c r="M659" s="4"/>
      <c r="N659" s="4"/>
      <c r="O659" s="4"/>
      <c r="P659" s="4"/>
      <c r="Q659" s="4"/>
      <c r="R659" s="4"/>
      <c r="S659" s="4"/>
      <c r="T659" s="4"/>
      <c r="U659" s="4"/>
      <c r="V659" s="4"/>
      <c r="W659" s="4"/>
      <c r="X659" s="4"/>
    </row>
    <row r="660" spans="1:24" ht="15.6" x14ac:dyDescent="0.3">
      <c r="A660" s="6"/>
      <c r="B660" s="7"/>
      <c r="C660" s="136"/>
      <c r="D660" s="8"/>
      <c r="E660" s="8"/>
      <c r="F660" s="9"/>
      <c r="G660" s="10"/>
      <c r="H660" s="9"/>
      <c r="I660" s="4"/>
      <c r="J660" s="4"/>
      <c r="K660" s="11"/>
      <c r="L660" s="4"/>
      <c r="M660" s="4"/>
      <c r="N660" s="4"/>
      <c r="O660" s="4"/>
      <c r="P660" s="4"/>
      <c r="Q660" s="4"/>
      <c r="R660" s="4"/>
      <c r="S660" s="4"/>
      <c r="T660" s="4"/>
      <c r="U660" s="4"/>
      <c r="V660" s="4"/>
      <c r="W660" s="4"/>
      <c r="X660" s="4"/>
    </row>
    <row r="661" spans="1:24" ht="15.6" x14ac:dyDescent="0.3">
      <c r="A661" s="6"/>
      <c r="B661" s="7"/>
      <c r="C661" s="136"/>
      <c r="D661" s="8"/>
      <c r="E661" s="8"/>
      <c r="F661" s="9"/>
      <c r="G661" s="10"/>
      <c r="H661" s="9"/>
      <c r="I661" s="4"/>
      <c r="J661" s="4"/>
      <c r="K661" s="11"/>
      <c r="L661" s="4"/>
      <c r="M661" s="4"/>
      <c r="N661" s="4"/>
      <c r="O661" s="4"/>
      <c r="P661" s="4"/>
      <c r="Q661" s="4"/>
      <c r="R661" s="4"/>
      <c r="S661" s="4"/>
      <c r="T661" s="4"/>
      <c r="U661" s="4"/>
      <c r="V661" s="4"/>
      <c r="W661" s="4"/>
      <c r="X661" s="4"/>
    </row>
    <row r="662" spans="1:24" ht="15.6" x14ac:dyDescent="0.3">
      <c r="A662" s="6"/>
      <c r="B662" s="7"/>
      <c r="C662" s="136"/>
      <c r="D662" s="8"/>
      <c r="E662" s="8"/>
      <c r="F662" s="9"/>
      <c r="G662" s="10"/>
      <c r="H662" s="9"/>
      <c r="I662" s="4"/>
      <c r="J662" s="4"/>
      <c r="K662" s="11"/>
      <c r="L662" s="4"/>
      <c r="M662" s="4"/>
      <c r="N662" s="4"/>
      <c r="O662" s="4"/>
      <c r="P662" s="4"/>
      <c r="Q662" s="4"/>
      <c r="R662" s="4"/>
      <c r="S662" s="4"/>
      <c r="T662" s="4"/>
      <c r="U662" s="4"/>
      <c r="V662" s="4"/>
      <c r="W662" s="4"/>
      <c r="X662" s="4"/>
    </row>
    <row r="663" spans="1:24" ht="15.6" x14ac:dyDescent="0.3">
      <c r="A663" s="6"/>
      <c r="B663" s="7"/>
      <c r="C663" s="136"/>
      <c r="D663" s="8"/>
      <c r="E663" s="8"/>
      <c r="F663" s="9"/>
      <c r="G663" s="10"/>
      <c r="H663" s="9"/>
      <c r="I663" s="4"/>
      <c r="J663" s="4"/>
      <c r="K663" s="11"/>
      <c r="L663" s="4"/>
      <c r="M663" s="4"/>
      <c r="N663" s="4"/>
      <c r="O663" s="4"/>
      <c r="P663" s="4"/>
      <c r="Q663" s="4"/>
      <c r="R663" s="4"/>
      <c r="S663" s="4"/>
      <c r="T663" s="4"/>
      <c r="U663" s="4"/>
      <c r="V663" s="4"/>
      <c r="W663" s="4"/>
      <c r="X663" s="4"/>
    </row>
    <row r="664" spans="1:24" ht="15.6" x14ac:dyDescent="0.3">
      <c r="A664" s="6"/>
      <c r="B664" s="7"/>
      <c r="C664" s="136"/>
      <c r="D664" s="8"/>
      <c r="E664" s="8"/>
      <c r="F664" s="9"/>
      <c r="G664" s="10"/>
      <c r="H664" s="9"/>
      <c r="I664" s="4"/>
      <c r="J664" s="4"/>
      <c r="K664" s="11"/>
      <c r="L664" s="4"/>
      <c r="M664" s="4"/>
      <c r="N664" s="4"/>
      <c r="O664" s="4"/>
      <c r="P664" s="4"/>
      <c r="Q664" s="4"/>
      <c r="R664" s="4"/>
      <c r="S664" s="4"/>
      <c r="T664" s="4"/>
      <c r="U664" s="4"/>
      <c r="V664" s="4"/>
      <c r="W664" s="4"/>
      <c r="X664" s="4"/>
    </row>
    <row r="665" spans="1:24" ht="15.6" x14ac:dyDescent="0.3">
      <c r="A665" s="6"/>
      <c r="B665" s="7"/>
      <c r="C665" s="136"/>
      <c r="D665" s="8"/>
      <c r="E665" s="8"/>
      <c r="F665" s="9"/>
      <c r="G665" s="10"/>
      <c r="H665" s="9"/>
      <c r="I665" s="4"/>
      <c r="J665" s="4"/>
      <c r="K665" s="11"/>
      <c r="L665" s="4"/>
      <c r="M665" s="4"/>
      <c r="N665" s="4"/>
      <c r="O665" s="4"/>
      <c r="P665" s="4"/>
      <c r="Q665" s="4"/>
      <c r="R665" s="4"/>
      <c r="S665" s="4"/>
      <c r="T665" s="4"/>
      <c r="U665" s="4"/>
      <c r="V665" s="4"/>
      <c r="W665" s="4"/>
      <c r="X665" s="4"/>
    </row>
    <row r="666" spans="1:24" ht="15.6" x14ac:dyDescent="0.3">
      <c r="A666" s="6"/>
      <c r="B666" s="7"/>
      <c r="C666" s="136"/>
      <c r="D666" s="8"/>
      <c r="E666" s="8"/>
      <c r="F666" s="9"/>
      <c r="G666" s="10"/>
      <c r="H666" s="9"/>
      <c r="I666" s="4"/>
      <c r="J666" s="4"/>
      <c r="K666" s="11"/>
      <c r="L666" s="4"/>
      <c r="M666" s="4"/>
      <c r="N666" s="4"/>
      <c r="O666" s="4"/>
      <c r="P666" s="4"/>
      <c r="Q666" s="4"/>
      <c r="R666" s="4"/>
      <c r="S666" s="4"/>
      <c r="T666" s="4"/>
      <c r="U666" s="4"/>
      <c r="V666" s="4"/>
      <c r="W666" s="4"/>
      <c r="X666" s="4"/>
    </row>
    <row r="667" spans="1:24" ht="15.6" x14ac:dyDescent="0.3">
      <c r="A667" s="6"/>
      <c r="B667" s="7"/>
      <c r="C667" s="136"/>
      <c r="D667" s="8"/>
      <c r="E667" s="8"/>
      <c r="F667" s="9"/>
      <c r="G667" s="10"/>
      <c r="H667" s="9"/>
      <c r="I667" s="4"/>
      <c r="J667" s="4"/>
      <c r="K667" s="11"/>
      <c r="L667" s="4"/>
      <c r="M667" s="4"/>
      <c r="N667" s="4"/>
      <c r="O667" s="4"/>
      <c r="P667" s="4"/>
      <c r="Q667" s="4"/>
      <c r="R667" s="4"/>
      <c r="S667" s="4"/>
      <c r="T667" s="4"/>
      <c r="U667" s="4"/>
      <c r="V667" s="4"/>
      <c r="W667" s="4"/>
      <c r="X667" s="4"/>
    </row>
    <row r="668" spans="1:24" ht="15.6" x14ac:dyDescent="0.3">
      <c r="A668" s="6"/>
      <c r="B668" s="7"/>
      <c r="C668" s="136"/>
      <c r="D668" s="8"/>
      <c r="E668" s="8"/>
      <c r="F668" s="9"/>
      <c r="G668" s="10"/>
      <c r="H668" s="9"/>
      <c r="I668" s="4"/>
      <c r="J668" s="4"/>
      <c r="K668" s="11"/>
      <c r="L668" s="4"/>
      <c r="M668" s="4"/>
      <c r="N668" s="4"/>
      <c r="O668" s="4"/>
      <c r="P668" s="4"/>
      <c r="Q668" s="4"/>
      <c r="R668" s="4"/>
      <c r="S668" s="4"/>
      <c r="T668" s="4"/>
      <c r="U668" s="4"/>
      <c r="V668" s="4"/>
      <c r="W668" s="4"/>
      <c r="X668" s="4"/>
    </row>
    <row r="669" spans="1:24" ht="15.6" x14ac:dyDescent="0.3">
      <c r="A669" s="6"/>
      <c r="B669" s="7"/>
      <c r="C669" s="136"/>
      <c r="D669" s="8"/>
      <c r="E669" s="8"/>
      <c r="F669" s="9"/>
      <c r="G669" s="10"/>
      <c r="H669" s="9"/>
      <c r="I669" s="4"/>
      <c r="J669" s="4"/>
      <c r="K669" s="11"/>
      <c r="L669" s="4"/>
      <c r="M669" s="4"/>
      <c r="N669" s="4"/>
      <c r="O669" s="4"/>
      <c r="P669" s="4"/>
      <c r="Q669" s="4"/>
      <c r="R669" s="4"/>
      <c r="S669" s="4"/>
      <c r="T669" s="4"/>
      <c r="U669" s="4"/>
      <c r="V669" s="4"/>
      <c r="W669" s="4"/>
      <c r="X669" s="4"/>
    </row>
    <row r="670" spans="1:24" ht="15.6" x14ac:dyDescent="0.3">
      <c r="A670" s="6"/>
      <c r="B670" s="7"/>
      <c r="C670" s="136"/>
      <c r="D670" s="8"/>
      <c r="E670" s="8"/>
      <c r="F670" s="9"/>
      <c r="G670" s="10"/>
      <c r="H670" s="9"/>
      <c r="I670" s="4"/>
      <c r="J670" s="4"/>
      <c r="K670" s="11"/>
      <c r="L670" s="4"/>
      <c r="M670" s="4"/>
      <c r="N670" s="4"/>
      <c r="O670" s="4"/>
      <c r="P670" s="4"/>
      <c r="Q670" s="4"/>
      <c r="R670" s="4"/>
      <c r="S670" s="4"/>
      <c r="T670" s="4"/>
      <c r="U670" s="4"/>
      <c r="V670" s="4"/>
      <c r="W670" s="4"/>
      <c r="X670" s="4"/>
    </row>
    <row r="671" spans="1:24" ht="15.6" x14ac:dyDescent="0.3">
      <c r="A671" s="6"/>
      <c r="B671" s="7"/>
      <c r="C671" s="136"/>
      <c r="D671" s="8"/>
      <c r="E671" s="8"/>
      <c r="F671" s="9"/>
      <c r="G671" s="10"/>
      <c r="H671" s="9"/>
      <c r="I671" s="4"/>
      <c r="J671" s="4"/>
      <c r="K671" s="11"/>
      <c r="L671" s="4"/>
      <c r="M671" s="4"/>
      <c r="N671" s="4"/>
      <c r="O671" s="4"/>
      <c r="P671" s="4"/>
      <c r="Q671" s="4"/>
      <c r="R671" s="4"/>
      <c r="S671" s="4"/>
      <c r="T671" s="4"/>
      <c r="U671" s="4"/>
      <c r="V671" s="4"/>
      <c r="W671" s="4"/>
      <c r="X671" s="4"/>
    </row>
    <row r="672" spans="1:24" ht="15.6" x14ac:dyDescent="0.3">
      <c r="A672" s="6"/>
      <c r="B672" s="7"/>
      <c r="C672" s="136"/>
      <c r="D672" s="8"/>
      <c r="E672" s="8"/>
      <c r="F672" s="9"/>
      <c r="G672" s="10"/>
      <c r="H672" s="9"/>
      <c r="I672" s="4"/>
      <c r="J672" s="4"/>
      <c r="K672" s="11"/>
      <c r="L672" s="4"/>
      <c r="M672" s="4"/>
      <c r="N672" s="4"/>
      <c r="O672" s="4"/>
      <c r="P672" s="4"/>
      <c r="Q672" s="4"/>
      <c r="R672" s="4"/>
      <c r="S672" s="4"/>
      <c r="T672" s="4"/>
      <c r="U672" s="4"/>
      <c r="V672" s="4"/>
      <c r="W672" s="4"/>
      <c r="X672" s="4"/>
    </row>
    <row r="673" spans="1:24" ht="15.6" x14ac:dyDescent="0.3">
      <c r="A673" s="6"/>
      <c r="B673" s="7"/>
      <c r="C673" s="136"/>
      <c r="D673" s="8"/>
      <c r="E673" s="8"/>
      <c r="F673" s="9"/>
      <c r="G673" s="10"/>
      <c r="H673" s="9"/>
      <c r="I673" s="4"/>
      <c r="J673" s="4"/>
      <c r="K673" s="11"/>
      <c r="L673" s="4"/>
      <c r="M673" s="4"/>
      <c r="N673" s="4"/>
      <c r="O673" s="4"/>
      <c r="P673" s="4"/>
      <c r="Q673" s="4"/>
      <c r="R673" s="4"/>
      <c r="S673" s="4"/>
      <c r="T673" s="4"/>
      <c r="U673" s="4"/>
      <c r="V673" s="4"/>
      <c r="W673" s="4"/>
      <c r="X673" s="4"/>
    </row>
    <row r="674" spans="1:24" ht="15.6" x14ac:dyDescent="0.3">
      <c r="A674" s="6"/>
      <c r="B674" s="7"/>
      <c r="C674" s="136"/>
      <c r="D674" s="8"/>
      <c r="E674" s="8"/>
      <c r="F674" s="9"/>
      <c r="G674" s="10"/>
      <c r="H674" s="9"/>
      <c r="I674" s="4"/>
      <c r="J674" s="4"/>
      <c r="K674" s="11"/>
      <c r="L674" s="4"/>
      <c r="M674" s="4"/>
      <c r="N674" s="4"/>
      <c r="O674" s="4"/>
      <c r="P674" s="4"/>
      <c r="Q674" s="4"/>
      <c r="R674" s="4"/>
      <c r="S674" s="4"/>
      <c r="T674" s="4"/>
      <c r="U674" s="4"/>
      <c r="V674" s="4"/>
      <c r="W674" s="4"/>
      <c r="X674" s="4"/>
    </row>
    <row r="675" spans="1:24" ht="15.6" x14ac:dyDescent="0.3">
      <c r="A675" s="6"/>
      <c r="B675" s="7"/>
      <c r="C675" s="136"/>
      <c r="D675" s="8"/>
      <c r="E675" s="8"/>
      <c r="F675" s="9"/>
      <c r="G675" s="10"/>
      <c r="H675" s="9"/>
      <c r="I675" s="4"/>
      <c r="J675" s="4"/>
      <c r="K675" s="11"/>
      <c r="L675" s="4"/>
      <c r="M675" s="4"/>
      <c r="N675" s="4"/>
      <c r="O675" s="4"/>
      <c r="P675" s="4"/>
      <c r="Q675" s="4"/>
      <c r="R675" s="4"/>
      <c r="S675" s="4"/>
      <c r="T675" s="4"/>
      <c r="U675" s="4"/>
      <c r="V675" s="4"/>
      <c r="W675" s="4"/>
      <c r="X675" s="4"/>
    </row>
    <row r="676" spans="1:24" ht="15.6" x14ac:dyDescent="0.3">
      <c r="A676" s="6"/>
      <c r="B676" s="7"/>
      <c r="C676" s="136"/>
      <c r="D676" s="8"/>
      <c r="E676" s="8"/>
      <c r="F676" s="9"/>
      <c r="G676" s="10"/>
      <c r="H676" s="9"/>
      <c r="I676" s="4"/>
      <c r="J676" s="4"/>
      <c r="K676" s="11"/>
      <c r="L676" s="4"/>
      <c r="M676" s="4"/>
      <c r="N676" s="4"/>
      <c r="O676" s="4"/>
      <c r="P676" s="4"/>
      <c r="Q676" s="4"/>
      <c r="R676" s="4"/>
      <c r="S676" s="4"/>
      <c r="T676" s="4"/>
      <c r="U676" s="4"/>
      <c r="V676" s="4"/>
      <c r="W676" s="4"/>
      <c r="X676" s="4"/>
    </row>
    <row r="677" spans="1:24" ht="15.6" x14ac:dyDescent="0.3">
      <c r="A677" s="6"/>
      <c r="B677" s="7"/>
      <c r="C677" s="136"/>
      <c r="D677" s="8"/>
      <c r="E677" s="8"/>
      <c r="F677" s="9"/>
      <c r="G677" s="10"/>
      <c r="H677" s="9"/>
      <c r="I677" s="4"/>
      <c r="J677" s="4"/>
      <c r="K677" s="11"/>
      <c r="L677" s="4"/>
      <c r="M677" s="4"/>
      <c r="N677" s="4"/>
      <c r="O677" s="4"/>
      <c r="P677" s="4"/>
      <c r="Q677" s="4"/>
      <c r="R677" s="4"/>
      <c r="S677" s="4"/>
      <c r="T677" s="4"/>
      <c r="U677" s="4"/>
      <c r="V677" s="4"/>
      <c r="W677" s="4"/>
      <c r="X677" s="4"/>
    </row>
    <row r="678" spans="1:24" ht="15.6" x14ac:dyDescent="0.3">
      <c r="A678" s="6"/>
      <c r="B678" s="7"/>
      <c r="C678" s="136"/>
      <c r="D678" s="8"/>
      <c r="E678" s="8"/>
      <c r="F678" s="9"/>
      <c r="G678" s="10"/>
      <c r="H678" s="9"/>
      <c r="I678" s="4"/>
      <c r="J678" s="4"/>
      <c r="K678" s="11"/>
      <c r="L678" s="4"/>
      <c r="M678" s="4"/>
      <c r="N678" s="4"/>
      <c r="O678" s="4"/>
      <c r="P678" s="4"/>
      <c r="Q678" s="4"/>
      <c r="R678" s="4"/>
      <c r="S678" s="4"/>
      <c r="T678" s="4"/>
      <c r="U678" s="4"/>
      <c r="V678" s="4"/>
      <c r="W678" s="4"/>
      <c r="X678" s="4"/>
    </row>
    <row r="679" spans="1:24" ht="15.6" x14ac:dyDescent="0.3">
      <c r="A679" s="6"/>
      <c r="B679" s="7"/>
      <c r="C679" s="136"/>
      <c r="D679" s="8"/>
      <c r="E679" s="8"/>
      <c r="F679" s="9"/>
      <c r="G679" s="10"/>
      <c r="H679" s="9"/>
      <c r="I679" s="4"/>
      <c r="J679" s="4"/>
      <c r="K679" s="11"/>
      <c r="L679" s="4"/>
      <c r="M679" s="4"/>
      <c r="N679" s="4"/>
      <c r="O679" s="4"/>
      <c r="P679" s="4"/>
      <c r="Q679" s="4"/>
      <c r="R679" s="4"/>
      <c r="S679" s="4"/>
      <c r="T679" s="4"/>
      <c r="U679" s="4"/>
      <c r="V679" s="4"/>
      <c r="W679" s="4"/>
      <c r="X679" s="4"/>
    </row>
    <row r="680" spans="1:24" ht="15.6" x14ac:dyDescent="0.3">
      <c r="A680" s="6"/>
      <c r="B680" s="7"/>
      <c r="C680" s="136"/>
      <c r="D680" s="8"/>
      <c r="E680" s="8"/>
      <c r="F680" s="9"/>
      <c r="G680" s="10"/>
      <c r="H680" s="9"/>
      <c r="I680" s="4"/>
      <c r="J680" s="4"/>
      <c r="K680" s="11"/>
      <c r="L680" s="4"/>
      <c r="M680" s="4"/>
      <c r="N680" s="4"/>
      <c r="O680" s="4"/>
      <c r="P680" s="4"/>
      <c r="Q680" s="4"/>
      <c r="R680" s="4"/>
      <c r="S680" s="4"/>
      <c r="T680" s="4"/>
      <c r="U680" s="4"/>
      <c r="V680" s="4"/>
      <c r="W680" s="4"/>
      <c r="X680" s="4"/>
    </row>
    <row r="681" spans="1:24" ht="15.6" x14ac:dyDescent="0.3">
      <c r="A681" s="6"/>
      <c r="B681" s="7"/>
      <c r="C681" s="136"/>
      <c r="D681" s="8"/>
      <c r="E681" s="8"/>
      <c r="F681" s="9"/>
      <c r="G681" s="10"/>
      <c r="H681" s="9"/>
      <c r="I681" s="4"/>
      <c r="J681" s="4"/>
      <c r="K681" s="11"/>
      <c r="L681" s="4"/>
      <c r="M681" s="4"/>
      <c r="N681" s="4"/>
      <c r="O681" s="4"/>
      <c r="P681" s="4"/>
      <c r="Q681" s="4"/>
      <c r="R681" s="4"/>
      <c r="S681" s="4"/>
      <c r="T681" s="4"/>
      <c r="U681" s="4"/>
      <c r="V681" s="4"/>
      <c r="W681" s="4"/>
      <c r="X681" s="4"/>
    </row>
    <row r="682" spans="1:24" ht="15.6" x14ac:dyDescent="0.3">
      <c r="A682" s="6"/>
      <c r="B682" s="7"/>
      <c r="C682" s="136"/>
      <c r="D682" s="8"/>
      <c r="E682" s="8"/>
      <c r="F682" s="9"/>
      <c r="G682" s="10"/>
      <c r="H682" s="9"/>
      <c r="I682" s="4"/>
      <c r="J682" s="4"/>
      <c r="K682" s="11"/>
      <c r="L682" s="4"/>
      <c r="M682" s="4"/>
      <c r="N682" s="4"/>
      <c r="O682" s="4"/>
      <c r="P682" s="4"/>
      <c r="Q682" s="4"/>
      <c r="R682" s="4"/>
      <c r="S682" s="4"/>
      <c r="T682" s="4"/>
      <c r="U682" s="4"/>
      <c r="V682" s="4"/>
      <c r="W682" s="4"/>
      <c r="X682" s="4"/>
    </row>
    <row r="683" spans="1:24" ht="15.6" x14ac:dyDescent="0.3">
      <c r="A683" s="6"/>
      <c r="B683" s="7"/>
      <c r="C683" s="136"/>
      <c r="D683" s="8"/>
      <c r="E683" s="8"/>
      <c r="F683" s="9"/>
      <c r="G683" s="10"/>
      <c r="H683" s="9"/>
      <c r="I683" s="4"/>
      <c r="J683" s="4"/>
      <c r="K683" s="11"/>
      <c r="L683" s="4"/>
      <c r="M683" s="4"/>
      <c r="N683" s="4"/>
      <c r="O683" s="4"/>
      <c r="P683" s="4"/>
      <c r="Q683" s="4"/>
      <c r="R683" s="4"/>
      <c r="S683" s="4"/>
      <c r="T683" s="4"/>
      <c r="U683" s="4"/>
      <c r="V683" s="4"/>
      <c r="W683" s="4"/>
      <c r="X683" s="4"/>
    </row>
    <row r="684" spans="1:24" ht="15.6" x14ac:dyDescent="0.3">
      <c r="A684" s="6"/>
      <c r="B684" s="7"/>
      <c r="C684" s="136"/>
      <c r="D684" s="8"/>
      <c r="E684" s="8"/>
      <c r="F684" s="9"/>
      <c r="G684" s="10"/>
      <c r="H684" s="9"/>
      <c r="I684" s="4"/>
      <c r="J684" s="4"/>
      <c r="K684" s="11"/>
      <c r="L684" s="4"/>
      <c r="M684" s="4"/>
      <c r="N684" s="4"/>
      <c r="O684" s="4"/>
      <c r="P684" s="4"/>
      <c r="Q684" s="4"/>
      <c r="R684" s="4"/>
      <c r="S684" s="4"/>
      <c r="T684" s="4"/>
      <c r="U684" s="4"/>
      <c r="V684" s="4"/>
      <c r="W684" s="4"/>
      <c r="X684" s="4"/>
    </row>
    <row r="685" spans="1:24" ht="15.6" x14ac:dyDescent="0.3">
      <c r="A685" s="6"/>
      <c r="B685" s="7"/>
      <c r="C685" s="136"/>
      <c r="D685" s="8"/>
      <c r="E685" s="8"/>
      <c r="F685" s="9"/>
      <c r="G685" s="10"/>
      <c r="H685" s="9"/>
      <c r="I685" s="4"/>
      <c r="J685" s="4"/>
      <c r="K685" s="11"/>
      <c r="L685" s="4"/>
      <c r="M685" s="4"/>
      <c r="N685" s="4"/>
      <c r="O685" s="4"/>
      <c r="P685" s="4"/>
      <c r="Q685" s="4"/>
      <c r="R685" s="4"/>
      <c r="S685" s="4"/>
      <c r="T685" s="4"/>
      <c r="U685" s="4"/>
      <c r="V685" s="4"/>
      <c r="W685" s="4"/>
      <c r="X685" s="4"/>
    </row>
    <row r="686" spans="1:24" ht="15.6" x14ac:dyDescent="0.3">
      <c r="A686" s="6"/>
      <c r="B686" s="7"/>
      <c r="C686" s="136"/>
      <c r="D686" s="8"/>
      <c r="E686" s="8"/>
      <c r="F686" s="9"/>
      <c r="G686" s="10"/>
      <c r="H686" s="9"/>
      <c r="I686" s="4"/>
      <c r="J686" s="4"/>
      <c r="K686" s="11"/>
      <c r="L686" s="4"/>
      <c r="M686" s="4"/>
      <c r="N686" s="4"/>
      <c r="O686" s="4"/>
      <c r="P686" s="4"/>
      <c r="Q686" s="4"/>
      <c r="R686" s="4"/>
      <c r="S686" s="4"/>
      <c r="T686" s="4"/>
      <c r="U686" s="4"/>
      <c r="V686" s="4"/>
      <c r="W686" s="4"/>
      <c r="X686" s="4"/>
    </row>
    <row r="687" spans="1:24" ht="15.6" x14ac:dyDescent="0.3">
      <c r="A687" s="6"/>
      <c r="B687" s="7"/>
      <c r="C687" s="136"/>
      <c r="D687" s="8"/>
      <c r="E687" s="8"/>
      <c r="F687" s="9"/>
      <c r="G687" s="10"/>
      <c r="H687" s="9"/>
      <c r="I687" s="4"/>
      <c r="J687" s="4"/>
      <c r="K687" s="11"/>
      <c r="L687" s="4"/>
      <c r="M687" s="4"/>
      <c r="N687" s="4"/>
      <c r="O687" s="4"/>
      <c r="P687" s="4"/>
      <c r="Q687" s="4"/>
      <c r="R687" s="4"/>
      <c r="S687" s="4"/>
      <c r="T687" s="4"/>
      <c r="U687" s="4"/>
      <c r="V687" s="4"/>
      <c r="W687" s="4"/>
      <c r="X687" s="4"/>
    </row>
    <row r="688" spans="1:24" ht="15.6" x14ac:dyDescent="0.3">
      <c r="A688" s="6"/>
      <c r="B688" s="7"/>
      <c r="C688" s="136"/>
      <c r="D688" s="8"/>
      <c r="E688" s="8"/>
      <c r="F688" s="9"/>
      <c r="G688" s="10"/>
      <c r="H688" s="9"/>
      <c r="I688" s="4"/>
      <c r="J688" s="4"/>
      <c r="K688" s="11"/>
      <c r="L688" s="4"/>
      <c r="M688" s="4"/>
      <c r="N688" s="4"/>
      <c r="O688" s="4"/>
      <c r="P688" s="4"/>
      <c r="Q688" s="4"/>
      <c r="R688" s="4"/>
      <c r="S688" s="4"/>
      <c r="T688" s="4"/>
      <c r="U688" s="4"/>
      <c r="V688" s="4"/>
      <c r="W688" s="4"/>
      <c r="X688" s="4"/>
    </row>
    <row r="689" spans="1:24" ht="15.6" x14ac:dyDescent="0.3">
      <c r="A689" s="6"/>
      <c r="B689" s="7"/>
      <c r="C689" s="136"/>
      <c r="D689" s="8"/>
      <c r="E689" s="8"/>
      <c r="F689" s="9"/>
      <c r="G689" s="10"/>
      <c r="H689" s="9"/>
      <c r="I689" s="4"/>
      <c r="J689" s="4"/>
      <c r="K689" s="11"/>
      <c r="L689" s="4"/>
      <c r="M689" s="4"/>
      <c r="N689" s="4"/>
      <c r="O689" s="4"/>
      <c r="P689" s="4"/>
      <c r="Q689" s="4"/>
      <c r="R689" s="4"/>
      <c r="S689" s="4"/>
      <c r="T689" s="4"/>
      <c r="U689" s="4"/>
      <c r="V689" s="4"/>
      <c r="W689" s="4"/>
      <c r="X689" s="4"/>
    </row>
    <row r="690" spans="1:24" ht="15.6" x14ac:dyDescent="0.3">
      <c r="A690" s="6"/>
      <c r="B690" s="7"/>
      <c r="C690" s="136"/>
      <c r="D690" s="8"/>
      <c r="E690" s="8"/>
      <c r="F690" s="9"/>
      <c r="G690" s="10"/>
      <c r="H690" s="9"/>
      <c r="I690" s="4"/>
      <c r="J690" s="4"/>
      <c r="K690" s="11"/>
      <c r="L690" s="4"/>
      <c r="M690" s="4"/>
      <c r="N690" s="4"/>
      <c r="O690" s="4"/>
      <c r="P690" s="4"/>
      <c r="Q690" s="4"/>
      <c r="R690" s="4"/>
      <c r="S690" s="4"/>
      <c r="T690" s="4"/>
      <c r="U690" s="4"/>
      <c r="V690" s="4"/>
      <c r="W690" s="4"/>
      <c r="X690" s="4"/>
    </row>
    <row r="691" spans="1:24" ht="15.6" x14ac:dyDescent="0.3">
      <c r="A691" s="6"/>
      <c r="B691" s="7"/>
      <c r="C691" s="136"/>
      <c r="D691" s="8"/>
      <c r="E691" s="8"/>
      <c r="F691" s="9"/>
      <c r="G691" s="10"/>
      <c r="H691" s="9"/>
      <c r="I691" s="4"/>
      <c r="J691" s="4"/>
      <c r="K691" s="11"/>
      <c r="L691" s="4"/>
      <c r="M691" s="4"/>
      <c r="N691" s="4"/>
      <c r="O691" s="4"/>
      <c r="P691" s="4"/>
      <c r="Q691" s="4"/>
      <c r="R691" s="4"/>
      <c r="S691" s="4"/>
      <c r="T691" s="4"/>
      <c r="U691" s="4"/>
      <c r="V691" s="4"/>
      <c r="W691" s="4"/>
      <c r="X691" s="4"/>
    </row>
    <row r="692" spans="1:24" ht="15.6" x14ac:dyDescent="0.3">
      <c r="A692" s="6"/>
      <c r="B692" s="7"/>
      <c r="C692" s="136"/>
      <c r="D692" s="8"/>
      <c r="E692" s="8"/>
      <c r="F692" s="9"/>
      <c r="G692" s="10"/>
      <c r="H692" s="9"/>
      <c r="I692" s="4"/>
      <c r="J692" s="4"/>
      <c r="K692" s="11"/>
      <c r="L692" s="4"/>
      <c r="M692" s="4"/>
      <c r="N692" s="4"/>
      <c r="O692" s="4"/>
      <c r="P692" s="4"/>
      <c r="Q692" s="4"/>
      <c r="R692" s="4"/>
      <c r="S692" s="4"/>
      <c r="T692" s="4"/>
      <c r="U692" s="4"/>
      <c r="V692" s="4"/>
      <c r="W692" s="4"/>
      <c r="X692" s="4"/>
    </row>
    <row r="693" spans="1:24" ht="15.6" x14ac:dyDescent="0.3">
      <c r="A693" s="6"/>
      <c r="B693" s="7"/>
      <c r="C693" s="136"/>
      <c r="D693" s="8"/>
      <c r="E693" s="8"/>
      <c r="F693" s="9"/>
      <c r="G693" s="10"/>
      <c r="H693" s="9"/>
      <c r="I693" s="4"/>
      <c r="J693" s="4"/>
      <c r="K693" s="11"/>
      <c r="L693" s="4"/>
      <c r="M693" s="4"/>
      <c r="N693" s="4"/>
      <c r="O693" s="4"/>
      <c r="P693" s="4"/>
      <c r="Q693" s="4"/>
      <c r="R693" s="4"/>
      <c r="S693" s="4"/>
      <c r="T693" s="4"/>
      <c r="U693" s="4"/>
      <c r="V693" s="4"/>
      <c r="W693" s="4"/>
      <c r="X693" s="4"/>
    </row>
    <row r="694" spans="1:24" ht="15.6" x14ac:dyDescent="0.3">
      <c r="A694" s="6"/>
      <c r="B694" s="7"/>
      <c r="C694" s="136"/>
      <c r="D694" s="8"/>
      <c r="E694" s="8"/>
      <c r="F694" s="9"/>
      <c r="G694" s="10"/>
      <c r="H694" s="9"/>
      <c r="I694" s="4"/>
      <c r="J694" s="4"/>
      <c r="K694" s="11"/>
      <c r="L694" s="4"/>
      <c r="M694" s="4"/>
      <c r="N694" s="4"/>
      <c r="O694" s="4"/>
      <c r="P694" s="4"/>
      <c r="Q694" s="4"/>
      <c r="R694" s="4"/>
      <c r="S694" s="4"/>
      <c r="T694" s="4"/>
      <c r="U694" s="4"/>
      <c r="V694" s="4"/>
      <c r="W694" s="4"/>
      <c r="X694" s="4"/>
    </row>
    <row r="695" spans="1:24" ht="15.6" x14ac:dyDescent="0.3">
      <c r="A695" s="6"/>
      <c r="B695" s="7"/>
      <c r="C695" s="136"/>
      <c r="D695" s="8"/>
      <c r="E695" s="8"/>
      <c r="F695" s="9"/>
      <c r="G695" s="10"/>
      <c r="H695" s="9"/>
      <c r="I695" s="4"/>
      <c r="J695" s="4"/>
      <c r="K695" s="11"/>
      <c r="L695" s="4"/>
      <c r="M695" s="4"/>
      <c r="N695" s="4"/>
      <c r="O695" s="4"/>
      <c r="P695" s="4"/>
      <c r="Q695" s="4"/>
      <c r="R695" s="4"/>
      <c r="S695" s="4"/>
      <c r="T695" s="4"/>
      <c r="U695" s="4"/>
      <c r="V695" s="4"/>
      <c r="W695" s="4"/>
      <c r="X695" s="4"/>
    </row>
    <row r="696" spans="1:24" ht="15.6" x14ac:dyDescent="0.3">
      <c r="A696" s="6"/>
      <c r="B696" s="7"/>
      <c r="C696" s="136"/>
      <c r="D696" s="8"/>
      <c r="E696" s="8"/>
      <c r="F696" s="9"/>
      <c r="G696" s="10"/>
      <c r="H696" s="9"/>
      <c r="I696" s="4"/>
      <c r="J696" s="4"/>
      <c r="K696" s="11"/>
      <c r="L696" s="4"/>
      <c r="M696" s="4"/>
      <c r="N696" s="4"/>
      <c r="O696" s="4"/>
      <c r="P696" s="4"/>
      <c r="Q696" s="4"/>
      <c r="R696" s="4"/>
      <c r="S696" s="4"/>
      <c r="T696" s="4"/>
      <c r="U696" s="4"/>
      <c r="V696" s="4"/>
      <c r="W696" s="4"/>
      <c r="X696" s="4"/>
    </row>
    <row r="697" spans="1:24" ht="15.6" x14ac:dyDescent="0.3">
      <c r="A697" s="6"/>
      <c r="B697" s="7"/>
      <c r="C697" s="136"/>
      <c r="D697" s="8"/>
      <c r="E697" s="8"/>
      <c r="F697" s="9"/>
      <c r="G697" s="10"/>
      <c r="H697" s="9"/>
      <c r="I697" s="4"/>
      <c r="J697" s="4"/>
      <c r="K697" s="11"/>
      <c r="L697" s="4"/>
      <c r="M697" s="4"/>
      <c r="N697" s="4"/>
      <c r="O697" s="4"/>
      <c r="P697" s="4"/>
      <c r="Q697" s="4"/>
      <c r="R697" s="4"/>
      <c r="S697" s="4"/>
      <c r="T697" s="4"/>
      <c r="U697" s="4"/>
      <c r="V697" s="4"/>
      <c r="W697" s="4"/>
      <c r="X697" s="4"/>
    </row>
    <row r="698" spans="1:24" ht="15.6" x14ac:dyDescent="0.3">
      <c r="A698" s="6"/>
      <c r="B698" s="7"/>
      <c r="C698" s="136"/>
      <c r="D698" s="8"/>
      <c r="E698" s="8"/>
      <c r="F698" s="9"/>
      <c r="G698" s="10"/>
      <c r="H698" s="9"/>
      <c r="I698" s="4"/>
      <c r="J698" s="4"/>
      <c r="K698" s="11"/>
      <c r="L698" s="4"/>
      <c r="M698" s="4"/>
      <c r="N698" s="4"/>
      <c r="O698" s="4"/>
      <c r="P698" s="4"/>
      <c r="Q698" s="4"/>
      <c r="R698" s="4"/>
      <c r="S698" s="4"/>
      <c r="T698" s="4"/>
      <c r="U698" s="4"/>
      <c r="V698" s="4"/>
      <c r="W698" s="4"/>
      <c r="X698" s="4"/>
    </row>
    <row r="699" spans="1:24" ht="15.6" x14ac:dyDescent="0.3">
      <c r="A699" s="6"/>
      <c r="B699" s="7"/>
      <c r="C699" s="136"/>
      <c r="D699" s="8"/>
      <c r="E699" s="8"/>
      <c r="F699" s="9"/>
      <c r="G699" s="10"/>
      <c r="H699" s="9"/>
      <c r="I699" s="4"/>
      <c r="J699" s="4"/>
      <c r="K699" s="11"/>
      <c r="L699" s="4"/>
      <c r="M699" s="4"/>
      <c r="N699" s="4"/>
      <c r="O699" s="4"/>
      <c r="P699" s="4"/>
      <c r="Q699" s="4"/>
      <c r="R699" s="4"/>
      <c r="S699" s="4"/>
      <c r="T699" s="4"/>
      <c r="U699" s="4"/>
      <c r="V699" s="4"/>
      <c r="W699" s="4"/>
      <c r="X699" s="4"/>
    </row>
    <row r="700" spans="1:24" ht="15.6" x14ac:dyDescent="0.3">
      <c r="A700" s="6"/>
      <c r="B700" s="7"/>
      <c r="C700" s="136"/>
      <c r="D700" s="8"/>
      <c r="E700" s="8"/>
      <c r="F700" s="9"/>
      <c r="G700" s="10"/>
      <c r="H700" s="9"/>
      <c r="I700" s="4"/>
      <c r="J700" s="4"/>
      <c r="K700" s="11"/>
      <c r="L700" s="4"/>
      <c r="M700" s="4"/>
      <c r="N700" s="4"/>
      <c r="O700" s="4"/>
      <c r="P700" s="4"/>
      <c r="Q700" s="4"/>
      <c r="R700" s="4"/>
      <c r="S700" s="4"/>
      <c r="T700" s="4"/>
      <c r="U700" s="4"/>
      <c r="V700" s="4"/>
      <c r="W700" s="4"/>
      <c r="X700" s="4"/>
    </row>
    <row r="701" spans="1:24" ht="15.6" x14ac:dyDescent="0.3">
      <c r="A701" s="6"/>
      <c r="B701" s="7"/>
      <c r="C701" s="136"/>
      <c r="D701" s="8"/>
      <c r="E701" s="8"/>
      <c r="F701" s="9"/>
      <c r="G701" s="10"/>
      <c r="H701" s="9"/>
      <c r="I701" s="4"/>
      <c r="J701" s="4"/>
      <c r="K701" s="11"/>
      <c r="L701" s="4"/>
      <c r="M701" s="4"/>
      <c r="N701" s="4"/>
      <c r="O701" s="4"/>
      <c r="P701" s="4"/>
      <c r="Q701" s="4"/>
      <c r="R701" s="4"/>
      <c r="S701" s="4"/>
      <c r="T701" s="4"/>
      <c r="U701" s="4"/>
      <c r="V701" s="4"/>
      <c r="W701" s="4"/>
      <c r="X701" s="4"/>
    </row>
    <row r="702" spans="1:24" ht="15.6" x14ac:dyDescent="0.3">
      <c r="A702" s="6"/>
      <c r="B702" s="7"/>
      <c r="C702" s="136"/>
      <c r="D702" s="8"/>
      <c r="E702" s="8"/>
      <c r="F702" s="9"/>
      <c r="G702" s="10"/>
      <c r="H702" s="9"/>
      <c r="I702" s="4"/>
      <c r="J702" s="4"/>
      <c r="K702" s="11"/>
      <c r="L702" s="4"/>
      <c r="M702" s="4"/>
      <c r="N702" s="4"/>
      <c r="O702" s="4"/>
      <c r="P702" s="4"/>
      <c r="Q702" s="4"/>
      <c r="R702" s="4"/>
      <c r="S702" s="4"/>
      <c r="T702" s="4"/>
      <c r="U702" s="4"/>
      <c r="V702" s="4"/>
      <c r="W702" s="4"/>
      <c r="X702" s="4"/>
    </row>
    <row r="703" spans="1:24" ht="15.6" x14ac:dyDescent="0.3">
      <c r="A703" s="6"/>
      <c r="B703" s="7"/>
      <c r="C703" s="136"/>
      <c r="D703" s="8"/>
      <c r="E703" s="8"/>
      <c r="F703" s="9"/>
      <c r="G703" s="10"/>
      <c r="H703" s="9"/>
      <c r="I703" s="4"/>
      <c r="J703" s="4"/>
      <c r="K703" s="11"/>
      <c r="L703" s="4"/>
      <c r="M703" s="4"/>
      <c r="N703" s="4"/>
      <c r="O703" s="4"/>
      <c r="P703" s="4"/>
      <c r="Q703" s="4"/>
      <c r="R703" s="4"/>
      <c r="S703" s="4"/>
      <c r="T703" s="4"/>
      <c r="U703" s="4"/>
      <c r="V703" s="4"/>
      <c r="W703" s="4"/>
      <c r="X703" s="4"/>
    </row>
    <row r="704" spans="1:24" ht="15.6" x14ac:dyDescent="0.3">
      <c r="A704" s="6"/>
      <c r="B704" s="7"/>
      <c r="C704" s="136"/>
      <c r="D704" s="8"/>
      <c r="E704" s="8"/>
      <c r="F704" s="9"/>
      <c r="G704" s="10"/>
      <c r="H704" s="9"/>
      <c r="I704" s="4"/>
      <c r="J704" s="4"/>
      <c r="K704" s="11"/>
      <c r="L704" s="4"/>
      <c r="M704" s="4"/>
      <c r="N704" s="4"/>
      <c r="O704" s="4"/>
      <c r="P704" s="4"/>
      <c r="Q704" s="4"/>
      <c r="R704" s="4"/>
      <c r="S704" s="4"/>
      <c r="T704" s="4"/>
      <c r="U704" s="4"/>
      <c r="V704" s="4"/>
      <c r="W704" s="4"/>
      <c r="X704" s="4"/>
    </row>
    <row r="705" spans="1:24" ht="15.6" x14ac:dyDescent="0.3">
      <c r="A705" s="6"/>
      <c r="B705" s="7"/>
      <c r="C705" s="136"/>
      <c r="D705" s="8"/>
      <c r="E705" s="8"/>
      <c r="F705" s="9"/>
      <c r="G705" s="10"/>
      <c r="H705" s="9"/>
      <c r="I705" s="4"/>
      <c r="J705" s="4"/>
      <c r="K705" s="11"/>
      <c r="L705" s="4"/>
      <c r="M705" s="4"/>
      <c r="N705" s="4"/>
      <c r="O705" s="4"/>
      <c r="P705" s="4"/>
      <c r="Q705" s="4"/>
      <c r="R705" s="4"/>
      <c r="S705" s="4"/>
      <c r="T705" s="4"/>
      <c r="U705" s="4"/>
      <c r="V705" s="4"/>
      <c r="W705" s="4"/>
      <c r="X705" s="4"/>
    </row>
    <row r="706" spans="1:24" ht="15.6" x14ac:dyDescent="0.3">
      <c r="A706" s="6"/>
      <c r="B706" s="7"/>
      <c r="C706" s="136"/>
      <c r="D706" s="8"/>
      <c r="E706" s="8"/>
      <c r="F706" s="9"/>
      <c r="G706" s="10"/>
      <c r="H706" s="9"/>
      <c r="I706" s="4"/>
      <c r="J706" s="4"/>
      <c r="K706" s="11"/>
      <c r="L706" s="4"/>
      <c r="M706" s="4"/>
      <c r="N706" s="4"/>
      <c r="O706" s="4"/>
      <c r="P706" s="4"/>
      <c r="Q706" s="4"/>
      <c r="R706" s="4"/>
      <c r="S706" s="4"/>
      <c r="T706" s="4"/>
      <c r="U706" s="4"/>
      <c r="V706" s="4"/>
      <c r="W706" s="4"/>
      <c r="X706" s="4"/>
    </row>
    <row r="707" spans="1:24" ht="15.6" x14ac:dyDescent="0.3">
      <c r="A707" s="6"/>
      <c r="B707" s="7"/>
      <c r="C707" s="136"/>
      <c r="D707" s="8"/>
      <c r="E707" s="8"/>
      <c r="F707" s="9"/>
      <c r="G707" s="10"/>
      <c r="H707" s="9"/>
      <c r="I707" s="4"/>
      <c r="J707" s="4"/>
      <c r="K707" s="11"/>
      <c r="L707" s="4"/>
      <c r="M707" s="4"/>
      <c r="N707" s="4"/>
      <c r="O707" s="4"/>
      <c r="P707" s="4"/>
      <c r="Q707" s="4"/>
      <c r="R707" s="4"/>
      <c r="S707" s="4"/>
      <c r="T707" s="4"/>
      <c r="U707" s="4"/>
      <c r="V707" s="4"/>
      <c r="W707" s="4"/>
      <c r="X707" s="4"/>
    </row>
    <row r="708" spans="1:24" ht="15.6" x14ac:dyDescent="0.3">
      <c r="A708" s="6"/>
      <c r="B708" s="7"/>
      <c r="C708" s="136"/>
      <c r="D708" s="8"/>
      <c r="E708" s="8"/>
      <c r="F708" s="9"/>
      <c r="G708" s="10"/>
      <c r="H708" s="9"/>
      <c r="I708" s="4"/>
      <c r="J708" s="4"/>
      <c r="K708" s="11"/>
      <c r="L708" s="4"/>
      <c r="M708" s="4"/>
      <c r="N708" s="4"/>
      <c r="O708" s="4"/>
      <c r="P708" s="4"/>
      <c r="Q708" s="4"/>
      <c r="R708" s="4"/>
      <c r="S708" s="4"/>
      <c r="T708" s="4"/>
      <c r="U708" s="4"/>
      <c r="V708" s="4"/>
      <c r="W708" s="4"/>
      <c r="X708" s="4"/>
    </row>
    <row r="709" spans="1:24" ht="15.6" x14ac:dyDescent="0.3">
      <c r="A709" s="6"/>
      <c r="B709" s="7"/>
      <c r="C709" s="136"/>
      <c r="D709" s="8"/>
      <c r="E709" s="8"/>
      <c r="F709" s="9"/>
      <c r="G709" s="10"/>
      <c r="H709" s="9"/>
      <c r="I709" s="4"/>
      <c r="J709" s="4"/>
      <c r="K709" s="11"/>
      <c r="L709" s="4"/>
      <c r="M709" s="4"/>
      <c r="N709" s="4"/>
      <c r="O709" s="4"/>
      <c r="P709" s="4"/>
      <c r="Q709" s="4"/>
      <c r="R709" s="4"/>
      <c r="S709" s="4"/>
      <c r="T709" s="4"/>
      <c r="U709" s="4"/>
      <c r="V709" s="4"/>
      <c r="W709" s="4"/>
      <c r="X709" s="4"/>
    </row>
    <row r="710" spans="1:24" ht="15.6" x14ac:dyDescent="0.3">
      <c r="A710" s="6"/>
      <c r="B710" s="7"/>
      <c r="C710" s="136"/>
      <c r="D710" s="8"/>
      <c r="E710" s="8"/>
      <c r="F710" s="9"/>
      <c r="G710" s="10"/>
      <c r="H710" s="9"/>
      <c r="I710" s="4"/>
      <c r="J710" s="4"/>
      <c r="K710" s="11"/>
      <c r="L710" s="4"/>
      <c r="M710" s="4"/>
      <c r="N710" s="4"/>
      <c r="O710" s="4"/>
      <c r="P710" s="4"/>
      <c r="Q710" s="4"/>
      <c r="R710" s="4"/>
      <c r="S710" s="4"/>
      <c r="T710" s="4"/>
      <c r="U710" s="4"/>
      <c r="V710" s="4"/>
      <c r="W710" s="4"/>
      <c r="X710" s="4"/>
    </row>
    <row r="711" spans="1:24" ht="15.6" x14ac:dyDescent="0.3">
      <c r="A711" s="6"/>
      <c r="B711" s="7"/>
      <c r="C711" s="136"/>
      <c r="D711" s="8"/>
      <c r="E711" s="8"/>
      <c r="F711" s="9"/>
      <c r="G711" s="10"/>
      <c r="H711" s="9"/>
      <c r="I711" s="4"/>
      <c r="J711" s="4"/>
      <c r="K711" s="11"/>
      <c r="L711" s="4"/>
      <c r="M711" s="4"/>
      <c r="N711" s="4"/>
      <c r="O711" s="4"/>
      <c r="P711" s="4"/>
      <c r="Q711" s="4"/>
      <c r="R711" s="4"/>
      <c r="S711" s="4"/>
      <c r="T711" s="4"/>
      <c r="U711" s="4"/>
      <c r="V711" s="4"/>
      <c r="W711" s="4"/>
      <c r="X711" s="4"/>
    </row>
    <row r="712" spans="1:24" ht="15.6" x14ac:dyDescent="0.3">
      <c r="A712" s="6"/>
      <c r="B712" s="7"/>
      <c r="C712" s="136"/>
      <c r="D712" s="8"/>
      <c r="E712" s="8"/>
      <c r="F712" s="9"/>
      <c r="G712" s="10"/>
      <c r="H712" s="9"/>
      <c r="I712" s="4"/>
      <c r="J712" s="4"/>
      <c r="K712" s="11"/>
      <c r="L712" s="4"/>
      <c r="M712" s="4"/>
      <c r="N712" s="4"/>
      <c r="O712" s="4"/>
      <c r="P712" s="4"/>
      <c r="Q712" s="4"/>
      <c r="R712" s="4"/>
      <c r="S712" s="4"/>
      <c r="T712" s="4"/>
      <c r="U712" s="4"/>
      <c r="V712" s="4"/>
      <c r="W712" s="4"/>
      <c r="X712" s="4"/>
    </row>
    <row r="713" spans="1:24" ht="15.6" x14ac:dyDescent="0.3">
      <c r="A713" s="6"/>
      <c r="B713" s="7"/>
      <c r="C713" s="136"/>
      <c r="D713" s="8"/>
      <c r="E713" s="8"/>
      <c r="F713" s="9"/>
      <c r="G713" s="10"/>
      <c r="H713" s="9"/>
      <c r="I713" s="4"/>
      <c r="J713" s="4"/>
      <c r="K713" s="11"/>
      <c r="L713" s="4"/>
      <c r="M713" s="4"/>
      <c r="N713" s="4"/>
      <c r="O713" s="4"/>
      <c r="P713" s="4"/>
      <c r="Q713" s="4"/>
      <c r="R713" s="4"/>
      <c r="S713" s="4"/>
      <c r="T713" s="4"/>
      <c r="U713" s="4"/>
      <c r="V713" s="4"/>
      <c r="W713" s="4"/>
      <c r="X713" s="4"/>
    </row>
    <row r="714" spans="1:24" ht="15.6" x14ac:dyDescent="0.3">
      <c r="A714" s="6"/>
      <c r="B714" s="7"/>
      <c r="C714" s="136"/>
      <c r="D714" s="8"/>
      <c r="E714" s="8"/>
      <c r="F714" s="9"/>
      <c r="G714" s="10"/>
      <c r="H714" s="9"/>
      <c r="I714" s="4"/>
      <c r="J714" s="4"/>
      <c r="K714" s="11"/>
      <c r="L714" s="4"/>
      <c r="M714" s="4"/>
      <c r="N714" s="4"/>
      <c r="O714" s="4"/>
      <c r="P714" s="4"/>
      <c r="Q714" s="4"/>
      <c r="R714" s="4"/>
      <c r="S714" s="4"/>
      <c r="T714" s="4"/>
      <c r="U714" s="4"/>
      <c r="V714" s="4"/>
      <c r="W714" s="4"/>
      <c r="X714" s="4"/>
    </row>
    <row r="715" spans="1:24" ht="15.6" x14ac:dyDescent="0.3">
      <c r="A715" s="6"/>
      <c r="B715" s="7"/>
      <c r="C715" s="136"/>
      <c r="D715" s="8"/>
      <c r="E715" s="8"/>
      <c r="F715" s="9"/>
      <c r="G715" s="10"/>
      <c r="H715" s="9"/>
      <c r="I715" s="4"/>
      <c r="J715" s="4"/>
      <c r="K715" s="11"/>
      <c r="L715" s="4"/>
      <c r="M715" s="4"/>
      <c r="N715" s="4"/>
      <c r="O715" s="4"/>
      <c r="P715" s="4"/>
      <c r="Q715" s="4"/>
      <c r="R715" s="4"/>
      <c r="S715" s="4"/>
      <c r="T715" s="4"/>
      <c r="U715" s="4"/>
      <c r="V715" s="4"/>
      <c r="W715" s="4"/>
      <c r="X715" s="4"/>
    </row>
    <row r="716" spans="1:24" ht="15.6" x14ac:dyDescent="0.3">
      <c r="A716" s="6"/>
      <c r="B716" s="7"/>
      <c r="C716" s="136"/>
      <c r="D716" s="8"/>
      <c r="E716" s="8"/>
      <c r="F716" s="9"/>
      <c r="G716" s="10"/>
      <c r="H716" s="9"/>
      <c r="I716" s="4"/>
      <c r="J716" s="4"/>
      <c r="K716" s="11"/>
      <c r="L716" s="4"/>
      <c r="M716" s="4"/>
      <c r="N716" s="4"/>
      <c r="O716" s="4"/>
      <c r="P716" s="4"/>
      <c r="Q716" s="4"/>
      <c r="R716" s="4"/>
      <c r="S716" s="4"/>
      <c r="T716" s="4"/>
      <c r="U716" s="4"/>
      <c r="V716" s="4"/>
      <c r="W716" s="4"/>
      <c r="X716" s="4"/>
    </row>
    <row r="717" spans="1:24" ht="15.6" x14ac:dyDescent="0.3">
      <c r="A717" s="6"/>
      <c r="B717" s="7"/>
      <c r="C717" s="136"/>
      <c r="D717" s="8"/>
      <c r="E717" s="8"/>
      <c r="F717" s="9"/>
      <c r="G717" s="10"/>
      <c r="H717" s="9"/>
      <c r="I717" s="4"/>
      <c r="J717" s="4"/>
      <c r="K717" s="11"/>
      <c r="L717" s="4"/>
      <c r="M717" s="4"/>
      <c r="N717" s="4"/>
      <c r="O717" s="4"/>
      <c r="P717" s="4"/>
      <c r="Q717" s="4"/>
      <c r="R717" s="4"/>
      <c r="S717" s="4"/>
      <c r="T717" s="4"/>
      <c r="U717" s="4"/>
      <c r="V717" s="4"/>
      <c r="W717" s="4"/>
      <c r="X717" s="4"/>
    </row>
    <row r="718" spans="1:24" ht="15.6" x14ac:dyDescent="0.3">
      <c r="A718" s="6"/>
      <c r="B718" s="7"/>
      <c r="C718" s="136"/>
      <c r="D718" s="8"/>
      <c r="E718" s="8"/>
      <c r="F718" s="9"/>
      <c r="G718" s="10"/>
      <c r="H718" s="9"/>
      <c r="I718" s="4"/>
      <c r="J718" s="4"/>
      <c r="K718" s="11"/>
      <c r="L718" s="4"/>
      <c r="M718" s="4"/>
      <c r="N718" s="4"/>
      <c r="O718" s="4"/>
      <c r="P718" s="4"/>
      <c r="Q718" s="4"/>
      <c r="R718" s="4"/>
      <c r="S718" s="4"/>
      <c r="T718" s="4"/>
      <c r="U718" s="4"/>
      <c r="V718" s="4"/>
      <c r="W718" s="4"/>
      <c r="X718" s="4"/>
    </row>
    <row r="719" spans="1:24" ht="15.6" x14ac:dyDescent="0.3">
      <c r="A719" s="6"/>
      <c r="B719" s="7"/>
      <c r="C719" s="136"/>
      <c r="D719" s="8"/>
      <c r="E719" s="8"/>
      <c r="F719" s="9"/>
      <c r="G719" s="10"/>
      <c r="H719" s="9"/>
      <c r="I719" s="4"/>
      <c r="J719" s="4"/>
      <c r="K719" s="11"/>
      <c r="L719" s="4"/>
      <c r="M719" s="4"/>
      <c r="N719" s="4"/>
      <c r="O719" s="4"/>
      <c r="P719" s="4"/>
      <c r="Q719" s="4"/>
      <c r="R719" s="4"/>
      <c r="S719" s="4"/>
      <c r="T719" s="4"/>
      <c r="U719" s="4"/>
      <c r="V719" s="4"/>
      <c r="W719" s="4"/>
      <c r="X719" s="4"/>
    </row>
    <row r="720" spans="1:24" ht="15.6" x14ac:dyDescent="0.3">
      <c r="A720" s="6"/>
      <c r="B720" s="7"/>
      <c r="C720" s="136"/>
      <c r="D720" s="8"/>
      <c r="E720" s="8"/>
      <c r="F720" s="9"/>
      <c r="G720" s="10"/>
      <c r="H720" s="9"/>
      <c r="I720" s="4"/>
      <c r="J720" s="4"/>
      <c r="K720" s="11"/>
      <c r="L720" s="4"/>
      <c r="M720" s="4"/>
      <c r="N720" s="4"/>
      <c r="O720" s="4"/>
      <c r="P720" s="4"/>
      <c r="Q720" s="4"/>
      <c r="R720" s="4"/>
      <c r="S720" s="4"/>
      <c r="T720" s="4"/>
      <c r="U720" s="4"/>
      <c r="V720" s="4"/>
      <c r="W720" s="4"/>
      <c r="X720" s="4"/>
    </row>
    <row r="721" spans="1:24" ht="15.6" x14ac:dyDescent="0.3">
      <c r="A721" s="6"/>
      <c r="B721" s="7"/>
      <c r="C721" s="136"/>
      <c r="D721" s="8"/>
      <c r="E721" s="8"/>
      <c r="F721" s="9"/>
      <c r="G721" s="10"/>
      <c r="H721" s="9"/>
      <c r="I721" s="4"/>
      <c r="J721" s="4"/>
      <c r="K721" s="11"/>
      <c r="L721" s="4"/>
      <c r="M721" s="4"/>
      <c r="N721" s="4"/>
      <c r="O721" s="4"/>
      <c r="P721" s="4"/>
      <c r="Q721" s="4"/>
      <c r="R721" s="4"/>
      <c r="S721" s="4"/>
      <c r="T721" s="4"/>
      <c r="U721" s="4"/>
      <c r="V721" s="4"/>
      <c r="W721" s="4"/>
      <c r="X721" s="4"/>
    </row>
    <row r="722" spans="1:24" ht="15.6" x14ac:dyDescent="0.3">
      <c r="A722" s="6"/>
      <c r="B722" s="7"/>
      <c r="C722" s="136"/>
      <c r="D722" s="8"/>
      <c r="E722" s="8"/>
      <c r="F722" s="9"/>
      <c r="G722" s="10"/>
      <c r="H722" s="9"/>
      <c r="I722" s="4"/>
      <c r="J722" s="4"/>
      <c r="K722" s="11"/>
      <c r="L722" s="4"/>
      <c r="M722" s="4"/>
      <c r="N722" s="4"/>
      <c r="O722" s="4"/>
      <c r="P722" s="4"/>
      <c r="Q722" s="4"/>
      <c r="R722" s="4"/>
      <c r="S722" s="4"/>
      <c r="T722" s="4"/>
      <c r="U722" s="4"/>
      <c r="V722" s="4"/>
      <c r="W722" s="4"/>
      <c r="X722" s="4"/>
    </row>
    <row r="723" spans="1:24" ht="15.6" x14ac:dyDescent="0.3">
      <c r="A723" s="6"/>
      <c r="B723" s="7"/>
      <c r="C723" s="136"/>
      <c r="D723" s="8"/>
      <c r="E723" s="8"/>
      <c r="F723" s="9"/>
      <c r="G723" s="10"/>
      <c r="H723" s="9"/>
      <c r="I723" s="4"/>
      <c r="J723" s="4"/>
      <c r="K723" s="11"/>
      <c r="L723" s="4"/>
      <c r="M723" s="4"/>
      <c r="N723" s="4"/>
      <c r="O723" s="4"/>
      <c r="P723" s="4"/>
      <c r="Q723" s="4"/>
      <c r="R723" s="4"/>
      <c r="S723" s="4"/>
      <c r="T723" s="4"/>
      <c r="U723" s="4"/>
      <c r="V723" s="4"/>
      <c r="W723" s="4"/>
      <c r="X723" s="4"/>
    </row>
    <row r="724" spans="1:24" ht="15.6" x14ac:dyDescent="0.3">
      <c r="A724" s="6"/>
      <c r="B724" s="7"/>
      <c r="C724" s="136"/>
      <c r="D724" s="8"/>
      <c r="E724" s="8"/>
      <c r="F724" s="9"/>
      <c r="G724" s="10"/>
      <c r="H724" s="9"/>
      <c r="I724" s="4"/>
      <c r="J724" s="4"/>
      <c r="K724" s="11"/>
      <c r="L724" s="4"/>
      <c r="M724" s="4"/>
      <c r="N724" s="4"/>
      <c r="O724" s="4"/>
      <c r="P724" s="4"/>
      <c r="Q724" s="4"/>
      <c r="R724" s="4"/>
      <c r="S724" s="4"/>
      <c r="T724" s="4"/>
      <c r="U724" s="4"/>
      <c r="V724" s="4"/>
      <c r="W724" s="4"/>
      <c r="X724" s="4"/>
    </row>
    <row r="725" spans="1:24" ht="15.6" x14ac:dyDescent="0.3">
      <c r="A725" s="6"/>
      <c r="B725" s="7"/>
      <c r="C725" s="136"/>
      <c r="D725" s="8"/>
      <c r="E725" s="8"/>
      <c r="F725" s="9"/>
      <c r="G725" s="10"/>
      <c r="H725" s="9"/>
      <c r="I725" s="4"/>
      <c r="J725" s="4"/>
      <c r="K725" s="11"/>
      <c r="L725" s="4"/>
      <c r="M725" s="4"/>
      <c r="N725" s="4"/>
      <c r="O725" s="4"/>
      <c r="P725" s="4"/>
      <c r="Q725" s="4"/>
      <c r="R725" s="4"/>
      <c r="S725" s="4"/>
      <c r="T725" s="4"/>
      <c r="U725" s="4"/>
      <c r="V725" s="4"/>
      <c r="W725" s="4"/>
      <c r="X725" s="4"/>
    </row>
    <row r="726" spans="1:24" ht="15.6" x14ac:dyDescent="0.3">
      <c r="A726" s="6"/>
      <c r="B726" s="7"/>
      <c r="C726" s="136"/>
      <c r="D726" s="8"/>
      <c r="E726" s="8"/>
      <c r="F726" s="9"/>
      <c r="G726" s="10"/>
      <c r="H726" s="9"/>
      <c r="I726" s="4"/>
      <c r="J726" s="4"/>
      <c r="K726" s="11"/>
      <c r="L726" s="4"/>
      <c r="M726" s="4"/>
      <c r="N726" s="4"/>
      <c r="O726" s="4"/>
      <c r="P726" s="4"/>
      <c r="Q726" s="4"/>
      <c r="R726" s="4"/>
      <c r="S726" s="4"/>
      <c r="T726" s="4"/>
      <c r="U726" s="4"/>
      <c r="V726" s="4"/>
      <c r="W726" s="4"/>
      <c r="X726" s="4"/>
    </row>
    <row r="727" spans="1:24" ht="15.6" x14ac:dyDescent="0.3">
      <c r="A727" s="6"/>
      <c r="B727" s="7"/>
      <c r="C727" s="136"/>
      <c r="D727" s="8"/>
      <c r="E727" s="8"/>
      <c r="F727" s="9"/>
      <c r="G727" s="10"/>
      <c r="H727" s="9"/>
      <c r="I727" s="4"/>
      <c r="J727" s="4"/>
      <c r="K727" s="11"/>
      <c r="L727" s="4"/>
      <c r="M727" s="4"/>
      <c r="N727" s="4"/>
      <c r="O727" s="4"/>
      <c r="P727" s="4"/>
      <c r="Q727" s="4"/>
      <c r="R727" s="4"/>
      <c r="S727" s="4"/>
      <c r="T727" s="4"/>
      <c r="U727" s="4"/>
      <c r="V727" s="4"/>
      <c r="W727" s="4"/>
      <c r="X727" s="4"/>
    </row>
    <row r="728" spans="1:24" ht="15.6" x14ac:dyDescent="0.3">
      <c r="A728" s="6"/>
      <c r="B728" s="7"/>
      <c r="C728" s="136"/>
      <c r="D728" s="8"/>
      <c r="E728" s="8"/>
      <c r="F728" s="9"/>
      <c r="G728" s="10"/>
      <c r="H728" s="9"/>
      <c r="I728" s="4"/>
      <c r="J728" s="4"/>
      <c r="K728" s="11"/>
      <c r="L728" s="4"/>
      <c r="M728" s="4"/>
      <c r="N728" s="4"/>
      <c r="O728" s="4"/>
      <c r="P728" s="4"/>
      <c r="Q728" s="4"/>
      <c r="R728" s="4"/>
      <c r="S728" s="4"/>
      <c r="T728" s="4"/>
      <c r="U728" s="4"/>
      <c r="V728" s="4"/>
      <c r="W728" s="4"/>
      <c r="X728" s="4"/>
    </row>
    <row r="729" spans="1:24" ht="15.6" x14ac:dyDescent="0.3">
      <c r="A729" s="6"/>
      <c r="B729" s="7"/>
      <c r="C729" s="136"/>
      <c r="D729" s="8"/>
      <c r="E729" s="8"/>
      <c r="F729" s="9"/>
      <c r="G729" s="10"/>
      <c r="H729" s="9"/>
      <c r="I729" s="4"/>
      <c r="J729" s="4"/>
      <c r="K729" s="11"/>
      <c r="L729" s="4"/>
      <c r="M729" s="4"/>
      <c r="N729" s="4"/>
      <c r="O729" s="4"/>
      <c r="P729" s="4"/>
      <c r="Q729" s="4"/>
      <c r="R729" s="4"/>
      <c r="S729" s="4"/>
      <c r="T729" s="4"/>
      <c r="U729" s="4"/>
      <c r="V729" s="4"/>
      <c r="W729" s="4"/>
      <c r="X729" s="4"/>
    </row>
    <row r="730" spans="1:24" ht="15.6" x14ac:dyDescent="0.3">
      <c r="A730" s="6"/>
      <c r="B730" s="7"/>
      <c r="C730" s="136"/>
      <c r="D730" s="8"/>
      <c r="E730" s="8"/>
      <c r="F730" s="9"/>
      <c r="G730" s="10"/>
      <c r="H730" s="9"/>
      <c r="I730" s="4"/>
      <c r="J730" s="4"/>
      <c r="K730" s="11"/>
      <c r="L730" s="4"/>
      <c r="M730" s="4"/>
      <c r="N730" s="4"/>
      <c r="O730" s="4"/>
      <c r="P730" s="4"/>
      <c r="Q730" s="4"/>
      <c r="R730" s="4"/>
      <c r="S730" s="4"/>
      <c r="T730" s="4"/>
      <c r="U730" s="4"/>
      <c r="V730" s="4"/>
      <c r="W730" s="4"/>
      <c r="X730" s="4"/>
    </row>
    <row r="731" spans="1:24" ht="15.6" x14ac:dyDescent="0.3">
      <c r="A731" s="6"/>
      <c r="B731" s="7"/>
      <c r="C731" s="136"/>
      <c r="D731" s="8"/>
      <c r="E731" s="8"/>
      <c r="F731" s="9"/>
      <c r="G731" s="10"/>
      <c r="H731" s="9"/>
      <c r="I731" s="4"/>
      <c r="J731" s="4"/>
      <c r="K731" s="11"/>
      <c r="L731" s="4"/>
      <c r="M731" s="4"/>
      <c r="N731" s="4"/>
      <c r="O731" s="4"/>
      <c r="P731" s="4"/>
      <c r="Q731" s="4"/>
      <c r="R731" s="4"/>
      <c r="S731" s="4"/>
      <c r="T731" s="4"/>
      <c r="U731" s="4"/>
      <c r="V731" s="4"/>
      <c r="W731" s="4"/>
      <c r="X731" s="4"/>
    </row>
    <row r="732" spans="1:24" ht="15.6" x14ac:dyDescent="0.3">
      <c r="A732" s="6"/>
      <c r="B732" s="7"/>
      <c r="C732" s="136"/>
      <c r="D732" s="8"/>
      <c r="E732" s="8"/>
      <c r="F732" s="9"/>
      <c r="G732" s="10"/>
      <c r="H732" s="9"/>
      <c r="I732" s="4"/>
      <c r="J732" s="4"/>
      <c r="K732" s="11"/>
      <c r="L732" s="4"/>
      <c r="M732" s="4"/>
      <c r="N732" s="4"/>
      <c r="O732" s="4"/>
      <c r="P732" s="4"/>
      <c r="Q732" s="4"/>
      <c r="R732" s="4"/>
      <c r="S732" s="4"/>
      <c r="T732" s="4"/>
      <c r="U732" s="4"/>
      <c r="V732" s="4"/>
      <c r="W732" s="4"/>
      <c r="X732" s="4"/>
    </row>
    <row r="733" spans="1:24" ht="15.6" x14ac:dyDescent="0.3">
      <c r="A733" s="6"/>
      <c r="B733" s="7"/>
      <c r="C733" s="136"/>
      <c r="D733" s="8"/>
      <c r="E733" s="8"/>
      <c r="F733" s="9"/>
      <c r="G733" s="10"/>
      <c r="H733" s="9"/>
      <c r="I733" s="4"/>
      <c r="J733" s="4"/>
      <c r="K733" s="11"/>
      <c r="L733" s="4"/>
      <c r="M733" s="4"/>
      <c r="N733" s="4"/>
      <c r="O733" s="4"/>
      <c r="P733" s="4"/>
      <c r="Q733" s="4"/>
      <c r="R733" s="4"/>
      <c r="S733" s="4"/>
      <c r="T733" s="4"/>
      <c r="U733" s="4"/>
      <c r="V733" s="4"/>
      <c r="W733" s="4"/>
      <c r="X733" s="4"/>
    </row>
    <row r="734" spans="1:24" ht="15.6" x14ac:dyDescent="0.3">
      <c r="A734" s="6"/>
      <c r="B734" s="7"/>
      <c r="C734" s="136"/>
      <c r="D734" s="8"/>
      <c r="E734" s="8"/>
      <c r="F734" s="9"/>
      <c r="G734" s="10"/>
      <c r="H734" s="9"/>
      <c r="I734" s="4"/>
      <c r="J734" s="4"/>
      <c r="K734" s="11"/>
      <c r="L734" s="4"/>
      <c r="M734" s="4"/>
      <c r="N734" s="4"/>
      <c r="O734" s="4"/>
      <c r="P734" s="4"/>
      <c r="Q734" s="4"/>
      <c r="R734" s="4"/>
      <c r="S734" s="4"/>
      <c r="T734" s="4"/>
      <c r="U734" s="4"/>
      <c r="V734" s="4"/>
      <c r="W734" s="4"/>
      <c r="X734" s="4"/>
    </row>
    <row r="735" spans="1:24" ht="15.6" x14ac:dyDescent="0.3">
      <c r="A735" s="6"/>
      <c r="B735" s="7"/>
      <c r="C735" s="136"/>
      <c r="D735" s="8"/>
      <c r="E735" s="8"/>
      <c r="F735" s="9"/>
      <c r="G735" s="10"/>
      <c r="H735" s="9"/>
      <c r="I735" s="4"/>
      <c r="J735" s="4"/>
      <c r="K735" s="11"/>
      <c r="L735" s="4"/>
      <c r="M735" s="4"/>
      <c r="N735" s="4"/>
      <c r="O735" s="4"/>
      <c r="P735" s="4"/>
      <c r="Q735" s="4"/>
      <c r="R735" s="4"/>
      <c r="S735" s="4"/>
      <c r="T735" s="4"/>
      <c r="U735" s="4"/>
      <c r="V735" s="4"/>
      <c r="W735" s="4"/>
      <c r="X735" s="4"/>
    </row>
    <row r="736" spans="1:24" ht="15.6" x14ac:dyDescent="0.3">
      <c r="A736" s="6"/>
      <c r="B736" s="7"/>
      <c r="C736" s="136"/>
      <c r="D736" s="8"/>
      <c r="E736" s="8"/>
      <c r="F736" s="9"/>
      <c r="G736" s="10"/>
      <c r="H736" s="9"/>
      <c r="I736" s="4"/>
      <c r="J736" s="4"/>
      <c r="K736" s="11"/>
      <c r="L736" s="4"/>
      <c r="M736" s="4"/>
      <c r="N736" s="4"/>
      <c r="O736" s="4"/>
      <c r="P736" s="4"/>
      <c r="Q736" s="4"/>
      <c r="R736" s="4"/>
      <c r="S736" s="4"/>
      <c r="T736" s="4"/>
      <c r="U736" s="4"/>
      <c r="V736" s="4"/>
      <c r="W736" s="4"/>
      <c r="X736" s="4"/>
    </row>
    <row r="737" spans="1:24" ht="15.6" x14ac:dyDescent="0.3">
      <c r="A737" s="6"/>
      <c r="B737" s="7"/>
      <c r="C737" s="136"/>
      <c r="D737" s="8"/>
      <c r="E737" s="8"/>
      <c r="F737" s="9"/>
      <c r="G737" s="10"/>
      <c r="H737" s="9"/>
      <c r="I737" s="4"/>
      <c r="J737" s="4"/>
      <c r="K737" s="11"/>
      <c r="L737" s="4"/>
      <c r="M737" s="4"/>
      <c r="N737" s="4"/>
      <c r="O737" s="4"/>
      <c r="P737" s="4"/>
      <c r="Q737" s="4"/>
      <c r="R737" s="4"/>
      <c r="S737" s="4"/>
      <c r="T737" s="4"/>
      <c r="U737" s="4"/>
      <c r="V737" s="4"/>
      <c r="W737" s="4"/>
      <c r="X737" s="4"/>
    </row>
    <row r="738" spans="1:24" ht="15.6" x14ac:dyDescent="0.3">
      <c r="A738" s="6"/>
      <c r="B738" s="7"/>
      <c r="C738" s="136"/>
      <c r="D738" s="8"/>
      <c r="E738" s="8"/>
      <c r="F738" s="9"/>
      <c r="G738" s="10"/>
      <c r="H738" s="9"/>
      <c r="I738" s="4"/>
      <c r="J738" s="4"/>
      <c r="K738" s="11"/>
      <c r="L738" s="4"/>
      <c r="M738" s="4"/>
      <c r="N738" s="4"/>
      <c r="O738" s="4"/>
      <c r="P738" s="4"/>
      <c r="Q738" s="4"/>
      <c r="R738" s="4"/>
      <c r="S738" s="4"/>
      <c r="T738" s="4"/>
      <c r="U738" s="4"/>
      <c r="V738" s="4"/>
      <c r="W738" s="4"/>
      <c r="X738" s="4"/>
    </row>
    <row r="739" spans="1:24" ht="15.6" x14ac:dyDescent="0.3">
      <c r="A739" s="6"/>
      <c r="B739" s="7"/>
      <c r="C739" s="136"/>
      <c r="D739" s="8"/>
      <c r="E739" s="8"/>
      <c r="F739" s="9"/>
      <c r="G739" s="10"/>
      <c r="H739" s="9"/>
      <c r="I739" s="4"/>
      <c r="J739" s="4"/>
      <c r="K739" s="11"/>
      <c r="L739" s="4"/>
      <c r="M739" s="4"/>
      <c r="N739" s="4"/>
      <c r="O739" s="4"/>
      <c r="P739" s="4"/>
      <c r="Q739" s="4"/>
      <c r="R739" s="4"/>
      <c r="S739" s="4"/>
      <c r="T739" s="4"/>
      <c r="U739" s="4"/>
      <c r="V739" s="4"/>
      <c r="W739" s="4"/>
      <c r="X739" s="4"/>
    </row>
    <row r="740" spans="1:24" ht="15.6" x14ac:dyDescent="0.3">
      <c r="A740" s="6"/>
      <c r="B740" s="7"/>
      <c r="C740" s="136"/>
      <c r="D740" s="8"/>
      <c r="E740" s="8"/>
      <c r="F740" s="9"/>
      <c r="G740" s="10"/>
      <c r="H740" s="9"/>
      <c r="I740" s="4"/>
      <c r="J740" s="4"/>
      <c r="K740" s="11"/>
      <c r="L740" s="4"/>
      <c r="M740" s="4"/>
      <c r="N740" s="4"/>
      <c r="O740" s="4"/>
      <c r="P740" s="4"/>
      <c r="Q740" s="4"/>
      <c r="R740" s="4"/>
      <c r="S740" s="4"/>
      <c r="T740" s="4"/>
      <c r="U740" s="4"/>
      <c r="V740" s="4"/>
      <c r="W740" s="4"/>
      <c r="X740" s="4"/>
    </row>
    <row r="741" spans="1:24" ht="15.6" x14ac:dyDescent="0.3">
      <c r="A741" s="6"/>
      <c r="B741" s="7"/>
      <c r="C741" s="136"/>
      <c r="D741" s="8"/>
      <c r="E741" s="8"/>
      <c r="F741" s="9"/>
      <c r="G741" s="10"/>
      <c r="H741" s="9"/>
      <c r="I741" s="4"/>
      <c r="J741" s="4"/>
      <c r="K741" s="11"/>
      <c r="L741" s="4"/>
      <c r="M741" s="4"/>
      <c r="N741" s="4"/>
      <c r="O741" s="4"/>
      <c r="P741" s="4"/>
      <c r="Q741" s="4"/>
      <c r="R741" s="4"/>
      <c r="S741" s="4"/>
      <c r="T741" s="4"/>
      <c r="U741" s="4"/>
      <c r="V741" s="4"/>
      <c r="W741" s="4"/>
      <c r="X741" s="4"/>
    </row>
    <row r="742" spans="1:24" ht="15.6" x14ac:dyDescent="0.3">
      <c r="A742" s="6"/>
      <c r="B742" s="7"/>
      <c r="C742" s="136"/>
      <c r="D742" s="8"/>
      <c r="E742" s="8"/>
      <c r="F742" s="9"/>
      <c r="G742" s="10"/>
      <c r="H742" s="9"/>
      <c r="I742" s="4"/>
      <c r="J742" s="4"/>
      <c r="K742" s="11"/>
      <c r="L742" s="4"/>
      <c r="M742" s="4"/>
      <c r="N742" s="4"/>
      <c r="O742" s="4"/>
      <c r="P742" s="4"/>
      <c r="Q742" s="4"/>
      <c r="R742" s="4"/>
      <c r="S742" s="4"/>
      <c r="T742" s="4"/>
      <c r="U742" s="4"/>
      <c r="V742" s="4"/>
      <c r="W742" s="4"/>
      <c r="X742" s="4"/>
    </row>
    <row r="743" spans="1:24" ht="15.6" x14ac:dyDescent="0.3">
      <c r="A743" s="6"/>
      <c r="B743" s="7"/>
      <c r="C743" s="136"/>
      <c r="D743" s="8"/>
      <c r="E743" s="8"/>
      <c r="F743" s="9"/>
      <c r="G743" s="10"/>
      <c r="H743" s="9"/>
      <c r="I743" s="4"/>
      <c r="J743" s="4"/>
      <c r="K743" s="11"/>
      <c r="L743" s="4"/>
      <c r="M743" s="4"/>
      <c r="N743" s="4"/>
      <c r="O743" s="4"/>
      <c r="P743" s="4"/>
      <c r="Q743" s="4"/>
      <c r="R743" s="4"/>
      <c r="S743" s="4"/>
      <c r="T743" s="4"/>
      <c r="U743" s="4"/>
      <c r="V743" s="4"/>
      <c r="W743" s="4"/>
      <c r="X743" s="4"/>
    </row>
    <row r="744" spans="1:24" ht="15.6" x14ac:dyDescent="0.3">
      <c r="A744" s="6"/>
      <c r="B744" s="7"/>
      <c r="C744" s="136"/>
      <c r="D744" s="8"/>
      <c r="E744" s="8"/>
      <c r="F744" s="9"/>
      <c r="G744" s="10"/>
      <c r="H744" s="9"/>
      <c r="I744" s="4"/>
      <c r="J744" s="4"/>
      <c r="K744" s="11"/>
      <c r="L744" s="4"/>
      <c r="M744" s="4"/>
      <c r="N744" s="4"/>
      <c r="O744" s="4"/>
      <c r="P744" s="4"/>
      <c r="Q744" s="4"/>
      <c r="R744" s="4"/>
      <c r="S744" s="4"/>
      <c r="T744" s="4"/>
      <c r="U744" s="4"/>
      <c r="V744" s="4"/>
      <c r="W744" s="4"/>
      <c r="X744" s="4"/>
    </row>
    <row r="745" spans="1:24" ht="15.6" x14ac:dyDescent="0.3">
      <c r="A745" s="6"/>
      <c r="B745" s="7"/>
      <c r="C745" s="136"/>
      <c r="D745" s="8"/>
      <c r="E745" s="8"/>
      <c r="F745" s="9"/>
      <c r="G745" s="10"/>
      <c r="H745" s="9"/>
      <c r="I745" s="4"/>
      <c r="J745" s="4"/>
      <c r="K745" s="11"/>
      <c r="L745" s="4"/>
      <c r="M745" s="4"/>
      <c r="N745" s="4"/>
      <c r="O745" s="4"/>
      <c r="P745" s="4"/>
      <c r="Q745" s="4"/>
      <c r="R745" s="4"/>
      <c r="S745" s="4"/>
      <c r="T745" s="4"/>
      <c r="U745" s="4"/>
      <c r="V745" s="4"/>
      <c r="W745" s="4"/>
      <c r="X745" s="4"/>
    </row>
    <row r="746" spans="1:24" ht="15.6" x14ac:dyDescent="0.3">
      <c r="A746" s="6"/>
      <c r="B746" s="7"/>
      <c r="C746" s="136"/>
      <c r="D746" s="8"/>
      <c r="E746" s="8"/>
      <c r="F746" s="9"/>
      <c r="G746" s="10"/>
      <c r="H746" s="9"/>
      <c r="I746" s="4"/>
      <c r="J746" s="4"/>
      <c r="K746" s="11"/>
      <c r="L746" s="4"/>
      <c r="M746" s="4"/>
      <c r="N746" s="4"/>
      <c r="O746" s="4"/>
      <c r="P746" s="4"/>
      <c r="Q746" s="4"/>
      <c r="R746" s="4"/>
      <c r="S746" s="4"/>
      <c r="T746" s="4"/>
      <c r="U746" s="4"/>
      <c r="V746" s="4"/>
      <c r="W746" s="4"/>
      <c r="X746" s="4"/>
    </row>
    <row r="747" spans="1:24" ht="15.6" x14ac:dyDescent="0.3">
      <c r="A747" s="6"/>
      <c r="B747" s="7"/>
      <c r="C747" s="136"/>
      <c r="D747" s="8"/>
      <c r="E747" s="8"/>
      <c r="F747" s="9"/>
      <c r="G747" s="10"/>
      <c r="H747" s="9"/>
      <c r="I747" s="4"/>
      <c r="J747" s="4"/>
      <c r="K747" s="11"/>
      <c r="L747" s="4"/>
      <c r="M747" s="4"/>
      <c r="N747" s="4"/>
      <c r="O747" s="4"/>
      <c r="P747" s="4"/>
      <c r="Q747" s="4"/>
      <c r="R747" s="4"/>
      <c r="S747" s="4"/>
      <c r="T747" s="4"/>
      <c r="U747" s="4"/>
      <c r="V747" s="4"/>
      <c r="W747" s="4"/>
      <c r="X747" s="4"/>
    </row>
    <row r="748" spans="1:24" ht="15.6" x14ac:dyDescent="0.3">
      <c r="A748" s="6"/>
      <c r="B748" s="7"/>
      <c r="C748" s="136"/>
      <c r="D748" s="8"/>
      <c r="E748" s="8"/>
      <c r="F748" s="9"/>
      <c r="G748" s="10"/>
      <c r="H748" s="9"/>
      <c r="I748" s="4"/>
      <c r="J748" s="4"/>
      <c r="K748" s="11"/>
      <c r="L748" s="4"/>
      <c r="M748" s="4"/>
      <c r="N748" s="4"/>
      <c r="O748" s="4"/>
      <c r="P748" s="4"/>
      <c r="Q748" s="4"/>
      <c r="R748" s="4"/>
      <c r="S748" s="4"/>
      <c r="T748" s="4"/>
      <c r="U748" s="4"/>
      <c r="V748" s="4"/>
      <c r="W748" s="4"/>
      <c r="X748" s="4"/>
    </row>
    <row r="749" spans="1:24" ht="15.6" x14ac:dyDescent="0.3">
      <c r="A749" s="6"/>
      <c r="B749" s="7"/>
      <c r="C749" s="136"/>
      <c r="D749" s="8"/>
      <c r="E749" s="8"/>
      <c r="F749" s="9"/>
      <c r="G749" s="10"/>
      <c r="H749" s="9"/>
      <c r="I749" s="4"/>
      <c r="J749" s="4"/>
      <c r="K749" s="11"/>
      <c r="L749" s="4"/>
      <c r="M749" s="4"/>
      <c r="N749" s="4"/>
      <c r="O749" s="4"/>
      <c r="P749" s="4"/>
      <c r="Q749" s="4"/>
      <c r="R749" s="4"/>
      <c r="S749" s="4"/>
      <c r="T749" s="4"/>
      <c r="U749" s="4"/>
      <c r="V749" s="4"/>
      <c r="W749" s="4"/>
      <c r="X749" s="4"/>
    </row>
    <row r="750" spans="1:24" ht="15.6" x14ac:dyDescent="0.3">
      <c r="A750" s="6"/>
      <c r="B750" s="7"/>
      <c r="C750" s="136"/>
      <c r="D750" s="8"/>
      <c r="E750" s="8"/>
      <c r="F750" s="9"/>
      <c r="G750" s="10"/>
      <c r="H750" s="9"/>
      <c r="I750" s="4"/>
      <c r="J750" s="4"/>
      <c r="K750" s="11"/>
      <c r="L750" s="4"/>
      <c r="M750" s="4"/>
      <c r="N750" s="4"/>
      <c r="O750" s="4"/>
      <c r="P750" s="4"/>
      <c r="Q750" s="4"/>
      <c r="R750" s="4"/>
      <c r="S750" s="4"/>
      <c r="T750" s="4"/>
      <c r="U750" s="4"/>
      <c r="V750" s="4"/>
      <c r="W750" s="4"/>
      <c r="X750" s="4"/>
    </row>
    <row r="751" spans="1:24" ht="15.6" x14ac:dyDescent="0.3">
      <c r="A751" s="6"/>
      <c r="B751" s="7"/>
      <c r="C751" s="136"/>
      <c r="D751" s="8"/>
      <c r="E751" s="8"/>
      <c r="F751" s="9"/>
      <c r="G751" s="10"/>
      <c r="H751" s="9"/>
      <c r="I751" s="4"/>
      <c r="J751" s="4"/>
      <c r="K751" s="11"/>
      <c r="L751" s="4"/>
      <c r="M751" s="4"/>
      <c r="N751" s="4"/>
      <c r="O751" s="4"/>
      <c r="P751" s="4"/>
      <c r="Q751" s="4"/>
      <c r="R751" s="4"/>
      <c r="S751" s="4"/>
      <c r="T751" s="4"/>
      <c r="U751" s="4"/>
      <c r="V751" s="4"/>
      <c r="W751" s="4"/>
      <c r="X751" s="4"/>
    </row>
    <row r="752" spans="1:24" ht="15.6" x14ac:dyDescent="0.3">
      <c r="A752" s="6"/>
      <c r="B752" s="7"/>
      <c r="C752" s="136"/>
      <c r="D752" s="8"/>
      <c r="E752" s="8"/>
      <c r="F752" s="9"/>
      <c r="G752" s="10"/>
      <c r="H752" s="9"/>
      <c r="I752" s="4"/>
      <c r="J752" s="4"/>
      <c r="K752" s="11"/>
      <c r="L752" s="4"/>
      <c r="M752" s="4"/>
      <c r="N752" s="4"/>
      <c r="O752" s="4"/>
      <c r="P752" s="4"/>
      <c r="Q752" s="4"/>
      <c r="R752" s="4"/>
      <c r="S752" s="4"/>
      <c r="T752" s="4"/>
      <c r="U752" s="4"/>
      <c r="V752" s="4"/>
      <c r="W752" s="4"/>
      <c r="X752" s="4"/>
    </row>
    <row r="753" spans="1:24" ht="15.6" x14ac:dyDescent="0.3">
      <c r="A753" s="6"/>
      <c r="B753" s="7"/>
      <c r="C753" s="136"/>
      <c r="D753" s="8"/>
      <c r="E753" s="8"/>
      <c r="F753" s="9"/>
      <c r="G753" s="10"/>
      <c r="H753" s="9"/>
      <c r="I753" s="4"/>
      <c r="J753" s="4"/>
      <c r="K753" s="11"/>
      <c r="L753" s="4"/>
      <c r="M753" s="4"/>
      <c r="N753" s="4"/>
      <c r="O753" s="4"/>
      <c r="P753" s="4"/>
      <c r="Q753" s="4"/>
      <c r="R753" s="4"/>
      <c r="S753" s="4"/>
      <c r="T753" s="4"/>
      <c r="U753" s="4"/>
      <c r="V753" s="4"/>
      <c r="W753" s="4"/>
      <c r="X753" s="4"/>
    </row>
    <row r="754" spans="1:24" ht="15.6" x14ac:dyDescent="0.3">
      <c r="A754" s="6"/>
      <c r="B754" s="7"/>
      <c r="C754" s="136"/>
      <c r="D754" s="8"/>
      <c r="E754" s="8"/>
      <c r="F754" s="9"/>
      <c r="G754" s="10"/>
      <c r="H754" s="9"/>
      <c r="I754" s="4"/>
      <c r="J754" s="4"/>
      <c r="K754" s="11"/>
      <c r="L754" s="4"/>
      <c r="M754" s="4"/>
      <c r="N754" s="4"/>
      <c r="O754" s="4"/>
      <c r="P754" s="4"/>
      <c r="Q754" s="4"/>
      <c r="R754" s="4"/>
      <c r="S754" s="4"/>
      <c r="T754" s="4"/>
      <c r="U754" s="4"/>
      <c r="V754" s="4"/>
      <c r="W754" s="4"/>
      <c r="X754" s="4"/>
    </row>
    <row r="755" spans="1:24" ht="15.6" x14ac:dyDescent="0.3">
      <c r="A755" s="6"/>
      <c r="B755" s="7"/>
      <c r="C755" s="136"/>
      <c r="D755" s="8"/>
      <c r="E755" s="8"/>
      <c r="F755" s="9"/>
      <c r="G755" s="10"/>
      <c r="H755" s="9"/>
      <c r="I755" s="4"/>
      <c r="J755" s="4"/>
      <c r="K755" s="11"/>
      <c r="L755" s="4"/>
      <c r="M755" s="4"/>
      <c r="N755" s="4"/>
      <c r="O755" s="4"/>
      <c r="P755" s="4"/>
      <c r="Q755" s="4"/>
      <c r="R755" s="4"/>
      <c r="S755" s="4"/>
      <c r="T755" s="4"/>
      <c r="U755" s="4"/>
      <c r="V755" s="4"/>
      <c r="W755" s="4"/>
      <c r="X755" s="4"/>
    </row>
    <row r="756" spans="1:24" ht="15.6" x14ac:dyDescent="0.3">
      <c r="A756" s="6"/>
      <c r="B756" s="7"/>
      <c r="C756" s="136"/>
      <c r="D756" s="8"/>
      <c r="E756" s="8"/>
      <c r="F756" s="9"/>
      <c r="G756" s="10"/>
      <c r="H756" s="9"/>
      <c r="I756" s="4"/>
      <c r="J756" s="4"/>
      <c r="K756" s="11"/>
      <c r="L756" s="4"/>
      <c r="M756" s="4"/>
      <c r="N756" s="4"/>
      <c r="O756" s="4"/>
      <c r="P756" s="4"/>
      <c r="Q756" s="4"/>
      <c r="R756" s="4"/>
      <c r="S756" s="4"/>
      <c r="T756" s="4"/>
      <c r="U756" s="4"/>
      <c r="V756" s="4"/>
      <c r="W756" s="4"/>
      <c r="X756" s="4"/>
    </row>
    <row r="757" spans="1:24" ht="15.6" x14ac:dyDescent="0.3">
      <c r="A757" s="6"/>
      <c r="B757" s="7"/>
      <c r="C757" s="136"/>
      <c r="D757" s="8"/>
      <c r="E757" s="8"/>
      <c r="F757" s="9"/>
      <c r="G757" s="10"/>
      <c r="H757" s="9"/>
      <c r="I757" s="4"/>
      <c r="J757" s="4"/>
      <c r="K757" s="11"/>
      <c r="L757" s="4"/>
      <c r="M757" s="4"/>
      <c r="N757" s="4"/>
      <c r="O757" s="4"/>
      <c r="P757" s="4"/>
      <c r="Q757" s="4"/>
      <c r="R757" s="4"/>
      <c r="S757" s="4"/>
      <c r="T757" s="4"/>
      <c r="U757" s="4"/>
      <c r="V757" s="4"/>
      <c r="W757" s="4"/>
      <c r="X757" s="4"/>
    </row>
    <row r="758" spans="1:24" ht="15.6" x14ac:dyDescent="0.3">
      <c r="A758" s="6"/>
      <c r="B758" s="7"/>
      <c r="C758" s="136"/>
      <c r="D758" s="8"/>
      <c r="E758" s="8"/>
      <c r="F758" s="9"/>
      <c r="G758" s="10"/>
      <c r="H758" s="9"/>
      <c r="I758" s="4"/>
      <c r="J758" s="4"/>
      <c r="K758" s="11"/>
      <c r="L758" s="4"/>
      <c r="M758" s="4"/>
      <c r="N758" s="4"/>
      <c r="O758" s="4"/>
      <c r="P758" s="4"/>
      <c r="Q758" s="4"/>
      <c r="R758" s="4"/>
      <c r="S758" s="4"/>
      <c r="T758" s="4"/>
      <c r="U758" s="4"/>
      <c r="V758" s="4"/>
      <c r="W758" s="4"/>
      <c r="X758" s="4"/>
    </row>
    <row r="759" spans="1:24" ht="15.6" x14ac:dyDescent="0.3">
      <c r="A759" s="6"/>
      <c r="B759" s="7"/>
      <c r="C759" s="136"/>
      <c r="D759" s="8"/>
      <c r="E759" s="8"/>
      <c r="F759" s="9"/>
      <c r="G759" s="10"/>
      <c r="H759" s="9"/>
      <c r="I759" s="4"/>
      <c r="J759" s="4"/>
      <c r="K759" s="11"/>
      <c r="L759" s="4"/>
      <c r="M759" s="4"/>
      <c r="N759" s="4"/>
      <c r="O759" s="4"/>
      <c r="P759" s="4"/>
      <c r="Q759" s="4"/>
      <c r="R759" s="4"/>
      <c r="S759" s="4"/>
      <c r="T759" s="4"/>
      <c r="U759" s="4"/>
      <c r="V759" s="4"/>
      <c r="W759" s="4"/>
      <c r="X759" s="4"/>
    </row>
    <row r="760" spans="1:24" ht="15.6" x14ac:dyDescent="0.3">
      <c r="A760" s="6"/>
      <c r="B760" s="7"/>
      <c r="C760" s="136"/>
      <c r="D760" s="8"/>
      <c r="E760" s="8"/>
      <c r="F760" s="9"/>
      <c r="G760" s="10"/>
      <c r="H760" s="9"/>
      <c r="I760" s="4"/>
      <c r="J760" s="4"/>
      <c r="K760" s="11"/>
      <c r="L760" s="4"/>
      <c r="M760" s="4"/>
      <c r="N760" s="4"/>
      <c r="O760" s="4"/>
      <c r="P760" s="4"/>
      <c r="Q760" s="4"/>
      <c r="R760" s="4"/>
      <c r="S760" s="4"/>
      <c r="T760" s="4"/>
      <c r="U760" s="4"/>
      <c r="V760" s="4"/>
      <c r="W760" s="4"/>
      <c r="X760" s="4"/>
    </row>
    <row r="761" spans="1:24" ht="15.6" x14ac:dyDescent="0.3">
      <c r="A761" s="6"/>
      <c r="B761" s="7"/>
      <c r="C761" s="136"/>
      <c r="D761" s="8"/>
      <c r="E761" s="8"/>
      <c r="F761" s="9"/>
      <c r="G761" s="10"/>
      <c r="H761" s="9"/>
      <c r="I761" s="4"/>
      <c r="J761" s="4"/>
      <c r="K761" s="11"/>
      <c r="L761" s="4"/>
      <c r="M761" s="4"/>
      <c r="N761" s="4"/>
      <c r="O761" s="4"/>
      <c r="P761" s="4"/>
      <c r="Q761" s="4"/>
      <c r="R761" s="4"/>
      <c r="S761" s="4"/>
      <c r="T761" s="4"/>
      <c r="U761" s="4"/>
      <c r="V761" s="4"/>
      <c r="W761" s="4"/>
      <c r="X761" s="4"/>
    </row>
    <row r="762" spans="1:24" ht="15.6" x14ac:dyDescent="0.3">
      <c r="A762" s="6"/>
      <c r="B762" s="7"/>
      <c r="C762" s="136"/>
      <c r="D762" s="8"/>
      <c r="E762" s="8"/>
      <c r="F762" s="9"/>
      <c r="G762" s="10"/>
      <c r="H762" s="9"/>
      <c r="I762" s="4"/>
      <c r="J762" s="4"/>
      <c r="K762" s="11"/>
      <c r="L762" s="4"/>
      <c r="M762" s="4"/>
      <c r="N762" s="4"/>
      <c r="O762" s="4"/>
      <c r="P762" s="4"/>
      <c r="Q762" s="4"/>
      <c r="R762" s="4"/>
      <c r="S762" s="4"/>
      <c r="T762" s="4"/>
      <c r="U762" s="4"/>
      <c r="V762" s="4"/>
      <c r="W762" s="4"/>
      <c r="X762" s="4"/>
    </row>
    <row r="763" spans="1:24" ht="15.6" x14ac:dyDescent="0.3">
      <c r="A763" s="6"/>
      <c r="B763" s="7"/>
      <c r="C763" s="136"/>
      <c r="D763" s="8"/>
      <c r="E763" s="8"/>
      <c r="F763" s="9"/>
      <c r="G763" s="10"/>
      <c r="H763" s="9"/>
      <c r="I763" s="4"/>
      <c r="J763" s="4"/>
      <c r="K763" s="11"/>
      <c r="L763" s="4"/>
      <c r="M763" s="4"/>
      <c r="N763" s="4"/>
      <c r="O763" s="4"/>
      <c r="P763" s="4"/>
      <c r="Q763" s="4"/>
      <c r="R763" s="4"/>
      <c r="S763" s="4"/>
      <c r="T763" s="4"/>
      <c r="U763" s="4"/>
      <c r="V763" s="4"/>
      <c r="W763" s="4"/>
      <c r="X763" s="4"/>
    </row>
    <row r="764" spans="1:24" ht="15.6" x14ac:dyDescent="0.3">
      <c r="A764" s="6"/>
      <c r="B764" s="7"/>
      <c r="C764" s="136"/>
      <c r="D764" s="8"/>
      <c r="E764" s="8"/>
      <c r="F764" s="9"/>
      <c r="G764" s="10"/>
      <c r="H764" s="9"/>
      <c r="I764" s="4"/>
      <c r="J764" s="4"/>
      <c r="K764" s="11"/>
      <c r="L764" s="4"/>
      <c r="M764" s="4"/>
      <c r="N764" s="4"/>
      <c r="O764" s="4"/>
      <c r="P764" s="4"/>
      <c r="Q764" s="4"/>
      <c r="R764" s="4"/>
      <c r="S764" s="4"/>
      <c r="T764" s="4"/>
      <c r="U764" s="4"/>
      <c r="V764" s="4"/>
      <c r="W764" s="4"/>
      <c r="X764" s="4"/>
    </row>
    <row r="765" spans="1:24" ht="15.6" x14ac:dyDescent="0.3">
      <c r="A765" s="6"/>
      <c r="B765" s="7"/>
      <c r="C765" s="136"/>
      <c r="D765" s="8"/>
      <c r="E765" s="8"/>
      <c r="F765" s="9"/>
      <c r="G765" s="10"/>
      <c r="H765" s="9"/>
      <c r="I765" s="4"/>
      <c r="J765" s="4"/>
      <c r="K765" s="11"/>
      <c r="L765" s="4"/>
      <c r="M765" s="4"/>
      <c r="N765" s="4"/>
      <c r="O765" s="4"/>
      <c r="P765" s="4"/>
      <c r="Q765" s="4"/>
      <c r="R765" s="4"/>
      <c r="S765" s="4"/>
      <c r="T765" s="4"/>
      <c r="U765" s="4"/>
      <c r="V765" s="4"/>
      <c r="W765" s="4"/>
      <c r="X765" s="4"/>
    </row>
    <row r="766" spans="1:24" ht="15.6" x14ac:dyDescent="0.3">
      <c r="A766" s="6"/>
      <c r="B766" s="7"/>
      <c r="C766" s="136"/>
      <c r="D766" s="8"/>
      <c r="E766" s="8"/>
      <c r="F766" s="9"/>
      <c r="G766" s="10"/>
      <c r="H766" s="9"/>
      <c r="I766" s="4"/>
      <c r="J766" s="4"/>
      <c r="K766" s="11"/>
      <c r="L766" s="4"/>
      <c r="M766" s="4"/>
      <c r="N766" s="4"/>
      <c r="O766" s="4"/>
      <c r="P766" s="4"/>
      <c r="Q766" s="4"/>
      <c r="R766" s="4"/>
      <c r="S766" s="4"/>
      <c r="T766" s="4"/>
      <c r="U766" s="4"/>
      <c r="V766" s="4"/>
      <c r="W766" s="4"/>
      <c r="X766" s="4"/>
    </row>
    <row r="767" spans="1:24" ht="15.6" x14ac:dyDescent="0.3">
      <c r="A767" s="6"/>
      <c r="B767" s="7"/>
      <c r="C767" s="136"/>
      <c r="D767" s="8"/>
      <c r="E767" s="8"/>
      <c r="F767" s="9"/>
      <c r="G767" s="10"/>
      <c r="H767" s="9"/>
      <c r="I767" s="4"/>
      <c r="J767" s="4"/>
      <c r="K767" s="11"/>
      <c r="L767" s="4"/>
      <c r="M767" s="4"/>
      <c r="N767" s="4"/>
      <c r="O767" s="4"/>
      <c r="P767" s="4"/>
      <c r="Q767" s="4"/>
      <c r="R767" s="4"/>
      <c r="S767" s="4"/>
      <c r="T767" s="4"/>
      <c r="U767" s="4"/>
      <c r="V767" s="4"/>
      <c r="W767" s="4"/>
      <c r="X767" s="4"/>
    </row>
    <row r="768" spans="1:24" ht="15.6" x14ac:dyDescent="0.3">
      <c r="A768" s="6"/>
      <c r="B768" s="7"/>
      <c r="C768" s="136"/>
      <c r="D768" s="8"/>
      <c r="E768" s="8"/>
      <c r="F768" s="9"/>
      <c r="G768" s="10"/>
      <c r="H768" s="9"/>
      <c r="I768" s="4"/>
      <c r="J768" s="4"/>
      <c r="K768" s="11"/>
      <c r="L768" s="4"/>
      <c r="M768" s="4"/>
      <c r="N768" s="4"/>
      <c r="O768" s="4"/>
      <c r="P768" s="4"/>
      <c r="Q768" s="4"/>
      <c r="R768" s="4"/>
      <c r="S768" s="4"/>
      <c r="T768" s="4"/>
      <c r="U768" s="4"/>
      <c r="V768" s="4"/>
      <c r="W768" s="4"/>
      <c r="X768" s="4"/>
    </row>
    <row r="769" spans="1:24" ht="15.6" x14ac:dyDescent="0.3">
      <c r="A769" s="6"/>
      <c r="B769" s="7"/>
      <c r="C769" s="136"/>
      <c r="D769" s="8"/>
      <c r="E769" s="8"/>
      <c r="F769" s="9"/>
      <c r="G769" s="10"/>
      <c r="H769" s="9"/>
      <c r="I769" s="4"/>
      <c r="J769" s="4"/>
      <c r="K769" s="11"/>
      <c r="L769" s="4"/>
      <c r="M769" s="4"/>
      <c r="N769" s="4"/>
      <c r="O769" s="4"/>
      <c r="P769" s="4"/>
      <c r="Q769" s="4"/>
      <c r="R769" s="4"/>
      <c r="S769" s="4"/>
      <c r="T769" s="4"/>
      <c r="U769" s="4"/>
      <c r="V769" s="4"/>
      <c r="W769" s="4"/>
      <c r="X769" s="4"/>
    </row>
    <row r="770" spans="1:24" ht="15.6" x14ac:dyDescent="0.3">
      <c r="A770" s="6"/>
      <c r="B770" s="7"/>
      <c r="C770" s="136"/>
      <c r="D770" s="8"/>
      <c r="E770" s="8"/>
      <c r="F770" s="9"/>
      <c r="G770" s="10"/>
      <c r="H770" s="9"/>
      <c r="I770" s="4"/>
      <c r="J770" s="4"/>
      <c r="K770" s="11"/>
      <c r="L770" s="4"/>
      <c r="M770" s="4"/>
      <c r="N770" s="4"/>
      <c r="O770" s="4"/>
      <c r="P770" s="4"/>
      <c r="Q770" s="4"/>
      <c r="R770" s="4"/>
      <c r="S770" s="4"/>
      <c r="T770" s="4"/>
      <c r="U770" s="4"/>
      <c r="V770" s="4"/>
      <c r="W770" s="4"/>
      <c r="X770" s="4"/>
    </row>
    <row r="771" spans="1:24" ht="15.6" x14ac:dyDescent="0.3">
      <c r="A771" s="6"/>
      <c r="B771" s="7"/>
      <c r="C771" s="136"/>
      <c r="D771" s="8"/>
      <c r="E771" s="8"/>
      <c r="F771" s="9"/>
      <c r="G771" s="10"/>
      <c r="H771" s="9"/>
      <c r="I771" s="4"/>
      <c r="J771" s="4"/>
      <c r="K771" s="11"/>
      <c r="L771" s="4"/>
      <c r="M771" s="4"/>
      <c r="N771" s="4"/>
      <c r="O771" s="4"/>
      <c r="P771" s="4"/>
      <c r="Q771" s="4"/>
      <c r="R771" s="4"/>
      <c r="S771" s="4"/>
      <c r="T771" s="4"/>
      <c r="U771" s="4"/>
      <c r="V771" s="4"/>
      <c r="W771" s="4"/>
      <c r="X771" s="4"/>
    </row>
    <row r="772" spans="1:24" ht="15.6" x14ac:dyDescent="0.3">
      <c r="A772" s="6"/>
      <c r="B772" s="7"/>
      <c r="C772" s="136"/>
      <c r="D772" s="8"/>
      <c r="E772" s="8"/>
      <c r="F772" s="9"/>
      <c r="G772" s="10"/>
      <c r="H772" s="9"/>
      <c r="I772" s="4"/>
      <c r="J772" s="4"/>
      <c r="K772" s="11"/>
      <c r="L772" s="4"/>
      <c r="M772" s="4"/>
      <c r="N772" s="4"/>
      <c r="O772" s="4"/>
      <c r="P772" s="4"/>
      <c r="Q772" s="4"/>
      <c r="R772" s="4"/>
      <c r="S772" s="4"/>
      <c r="T772" s="4"/>
      <c r="U772" s="4"/>
      <c r="V772" s="4"/>
      <c r="W772" s="4"/>
      <c r="X772" s="4"/>
    </row>
    <row r="773" spans="1:24" ht="15.6" x14ac:dyDescent="0.3">
      <c r="A773" s="6"/>
      <c r="B773" s="7"/>
      <c r="C773" s="136"/>
      <c r="D773" s="8"/>
      <c r="E773" s="8"/>
      <c r="F773" s="9"/>
      <c r="G773" s="10"/>
      <c r="H773" s="9"/>
      <c r="I773" s="4"/>
      <c r="J773" s="4"/>
      <c r="K773" s="11"/>
      <c r="L773" s="4"/>
      <c r="M773" s="4"/>
      <c r="N773" s="4"/>
      <c r="O773" s="4"/>
      <c r="P773" s="4"/>
      <c r="Q773" s="4"/>
      <c r="R773" s="4"/>
      <c r="S773" s="4"/>
      <c r="T773" s="4"/>
      <c r="U773" s="4"/>
      <c r="V773" s="4"/>
      <c r="W773" s="4"/>
      <c r="X773" s="4"/>
    </row>
    <row r="774" spans="1:24" ht="15.6" x14ac:dyDescent="0.3">
      <c r="A774" s="6"/>
      <c r="B774" s="7"/>
      <c r="C774" s="136"/>
      <c r="D774" s="8"/>
      <c r="E774" s="8"/>
      <c r="F774" s="9"/>
      <c r="G774" s="10"/>
      <c r="H774" s="9"/>
      <c r="I774" s="4"/>
      <c r="J774" s="4"/>
      <c r="K774" s="11"/>
      <c r="L774" s="4"/>
      <c r="M774" s="4"/>
      <c r="N774" s="4"/>
      <c r="O774" s="4"/>
      <c r="P774" s="4"/>
      <c r="Q774" s="4"/>
      <c r="R774" s="4"/>
      <c r="S774" s="4"/>
      <c r="T774" s="4"/>
      <c r="U774" s="4"/>
      <c r="V774" s="4"/>
      <c r="W774" s="4"/>
      <c r="X774" s="4"/>
    </row>
    <row r="775" spans="1:24" ht="15.6" x14ac:dyDescent="0.3">
      <c r="A775" s="6"/>
      <c r="B775" s="7"/>
      <c r="C775" s="136"/>
      <c r="D775" s="8"/>
      <c r="E775" s="8"/>
      <c r="F775" s="9"/>
      <c r="G775" s="10"/>
      <c r="H775" s="9"/>
      <c r="I775" s="4"/>
      <c r="J775" s="4"/>
      <c r="K775" s="11"/>
      <c r="L775" s="4"/>
      <c r="M775" s="4"/>
      <c r="N775" s="4"/>
      <c r="O775" s="4"/>
      <c r="P775" s="4"/>
      <c r="Q775" s="4"/>
      <c r="R775" s="4"/>
      <c r="S775" s="4"/>
      <c r="T775" s="4"/>
      <c r="U775" s="4"/>
      <c r="V775" s="4"/>
      <c r="W775" s="4"/>
      <c r="X775" s="4"/>
    </row>
    <row r="776" spans="1:24" ht="15.6" x14ac:dyDescent="0.3">
      <c r="A776" s="6"/>
      <c r="B776" s="7"/>
      <c r="C776" s="136"/>
      <c r="D776" s="8"/>
      <c r="E776" s="8"/>
      <c r="F776" s="9"/>
      <c r="G776" s="10"/>
      <c r="H776" s="9"/>
      <c r="I776" s="4"/>
      <c r="J776" s="4"/>
      <c r="K776" s="11"/>
      <c r="L776" s="4"/>
      <c r="M776" s="4"/>
      <c r="N776" s="4"/>
      <c r="O776" s="4"/>
      <c r="P776" s="4"/>
      <c r="Q776" s="4"/>
      <c r="R776" s="4"/>
      <c r="S776" s="4"/>
      <c r="T776" s="4"/>
      <c r="U776" s="4"/>
      <c r="V776" s="4"/>
      <c r="W776" s="4"/>
      <c r="X776" s="4"/>
    </row>
    <row r="777" spans="1:24" ht="15.6" x14ac:dyDescent="0.3">
      <c r="A777" s="6"/>
      <c r="B777" s="7"/>
      <c r="C777" s="136"/>
      <c r="D777" s="8"/>
      <c r="E777" s="8"/>
      <c r="F777" s="9"/>
      <c r="G777" s="10"/>
      <c r="H777" s="9"/>
      <c r="I777" s="4"/>
      <c r="J777" s="4"/>
      <c r="K777" s="11"/>
      <c r="L777" s="4"/>
      <c r="M777" s="4"/>
      <c r="N777" s="4"/>
      <c r="O777" s="4"/>
      <c r="P777" s="4"/>
      <c r="Q777" s="4"/>
      <c r="R777" s="4"/>
      <c r="S777" s="4"/>
      <c r="T777" s="4"/>
      <c r="U777" s="4"/>
      <c r="V777" s="4"/>
      <c r="W777" s="4"/>
      <c r="X777" s="4"/>
    </row>
    <row r="778" spans="1:24" ht="15.6" x14ac:dyDescent="0.3">
      <c r="A778" s="6"/>
      <c r="B778" s="7"/>
      <c r="C778" s="136"/>
      <c r="D778" s="8"/>
      <c r="E778" s="8"/>
      <c r="F778" s="9"/>
      <c r="G778" s="10"/>
      <c r="H778" s="9"/>
      <c r="I778" s="4"/>
      <c r="J778" s="4"/>
      <c r="K778" s="11"/>
      <c r="L778" s="4"/>
      <c r="M778" s="4"/>
      <c r="N778" s="4"/>
      <c r="O778" s="4"/>
      <c r="P778" s="4"/>
      <c r="Q778" s="4"/>
      <c r="R778" s="4"/>
      <c r="S778" s="4"/>
      <c r="T778" s="4"/>
      <c r="U778" s="4"/>
      <c r="V778" s="4"/>
      <c r="W778" s="4"/>
      <c r="X778" s="4"/>
    </row>
    <row r="779" spans="1:24" ht="15.6" x14ac:dyDescent="0.3">
      <c r="A779" s="6"/>
      <c r="B779" s="7"/>
      <c r="C779" s="136"/>
      <c r="D779" s="8"/>
      <c r="E779" s="8"/>
      <c r="F779" s="9"/>
      <c r="G779" s="10"/>
      <c r="H779" s="9"/>
      <c r="I779" s="4"/>
      <c r="J779" s="4"/>
      <c r="K779" s="11"/>
      <c r="L779" s="4"/>
      <c r="M779" s="4"/>
      <c r="N779" s="4"/>
      <c r="O779" s="4"/>
      <c r="P779" s="4"/>
      <c r="Q779" s="4"/>
      <c r="R779" s="4"/>
      <c r="S779" s="4"/>
      <c r="T779" s="4"/>
      <c r="U779" s="4"/>
      <c r="V779" s="4"/>
      <c r="W779" s="4"/>
      <c r="X779" s="4"/>
    </row>
    <row r="780" spans="1:24" ht="15.6" x14ac:dyDescent="0.3">
      <c r="A780" s="6"/>
      <c r="B780" s="7"/>
      <c r="C780" s="136"/>
      <c r="D780" s="8"/>
      <c r="E780" s="8"/>
      <c r="F780" s="9"/>
      <c r="G780" s="10"/>
      <c r="H780" s="9"/>
      <c r="I780" s="4"/>
      <c r="J780" s="4"/>
      <c r="K780" s="11"/>
      <c r="L780" s="4"/>
      <c r="M780" s="4"/>
      <c r="N780" s="4"/>
      <c r="O780" s="4"/>
      <c r="P780" s="4"/>
      <c r="Q780" s="4"/>
      <c r="R780" s="4"/>
      <c r="S780" s="4"/>
      <c r="T780" s="4"/>
      <c r="U780" s="4"/>
      <c r="V780" s="4"/>
      <c r="W780" s="4"/>
      <c r="X780" s="4"/>
    </row>
    <row r="781" spans="1:24" ht="15.6" x14ac:dyDescent="0.3">
      <c r="A781" s="6"/>
      <c r="B781" s="7"/>
      <c r="C781" s="136"/>
      <c r="D781" s="8"/>
      <c r="E781" s="8"/>
      <c r="F781" s="9"/>
      <c r="G781" s="10"/>
      <c r="H781" s="9"/>
      <c r="I781" s="4"/>
      <c r="J781" s="4"/>
      <c r="K781" s="11"/>
      <c r="L781" s="4"/>
      <c r="M781" s="4"/>
      <c r="N781" s="4"/>
      <c r="O781" s="4"/>
      <c r="P781" s="4"/>
      <c r="Q781" s="4"/>
      <c r="R781" s="4"/>
      <c r="S781" s="4"/>
      <c r="T781" s="4"/>
      <c r="U781" s="4"/>
      <c r="V781" s="4"/>
      <c r="W781" s="4"/>
      <c r="X781" s="4"/>
    </row>
    <row r="782" spans="1:24" ht="15.6" x14ac:dyDescent="0.3">
      <c r="A782" s="6"/>
      <c r="B782" s="7"/>
      <c r="C782" s="136"/>
      <c r="D782" s="8"/>
      <c r="E782" s="8"/>
      <c r="F782" s="9"/>
      <c r="G782" s="10"/>
      <c r="H782" s="9"/>
      <c r="I782" s="4"/>
      <c r="J782" s="4"/>
      <c r="K782" s="11"/>
      <c r="L782" s="4"/>
      <c r="M782" s="4"/>
      <c r="N782" s="4"/>
      <c r="O782" s="4"/>
      <c r="P782" s="4"/>
      <c r="Q782" s="4"/>
      <c r="R782" s="4"/>
      <c r="S782" s="4"/>
      <c r="T782" s="4"/>
      <c r="U782" s="4"/>
      <c r="V782" s="4"/>
      <c r="W782" s="4"/>
      <c r="X782" s="4"/>
    </row>
    <row r="783" spans="1:24" ht="15.6" x14ac:dyDescent="0.3">
      <c r="A783" s="6"/>
      <c r="B783" s="7"/>
      <c r="C783" s="136"/>
      <c r="D783" s="8"/>
      <c r="E783" s="8"/>
      <c r="F783" s="9"/>
      <c r="G783" s="10"/>
      <c r="H783" s="9"/>
      <c r="I783" s="4"/>
      <c r="J783" s="4"/>
      <c r="K783" s="11"/>
      <c r="L783" s="4"/>
      <c r="M783" s="4"/>
      <c r="N783" s="4"/>
      <c r="O783" s="4"/>
      <c r="P783" s="4"/>
      <c r="Q783" s="4"/>
      <c r="R783" s="4"/>
      <c r="S783" s="4"/>
      <c r="T783" s="4"/>
      <c r="U783" s="4"/>
      <c r="V783" s="4"/>
      <c r="W783" s="4"/>
      <c r="X783" s="4"/>
    </row>
    <row r="784" spans="1:24" ht="15.6" x14ac:dyDescent="0.3">
      <c r="A784" s="6"/>
      <c r="B784" s="7"/>
      <c r="C784" s="136"/>
      <c r="D784" s="8"/>
      <c r="E784" s="8"/>
      <c r="F784" s="9"/>
      <c r="G784" s="10"/>
      <c r="H784" s="9"/>
      <c r="I784" s="4"/>
      <c r="J784" s="4"/>
      <c r="K784" s="11"/>
      <c r="L784" s="4"/>
      <c r="M784" s="4"/>
      <c r="N784" s="4"/>
      <c r="O784" s="4"/>
      <c r="P784" s="4"/>
      <c r="Q784" s="4"/>
      <c r="R784" s="4"/>
      <c r="S784" s="4"/>
      <c r="T784" s="4"/>
      <c r="U784" s="4"/>
      <c r="V784" s="4"/>
      <c r="W784" s="4"/>
      <c r="X784" s="4"/>
    </row>
    <row r="785" spans="1:24" ht="15.6" x14ac:dyDescent="0.3">
      <c r="A785" s="6"/>
      <c r="B785" s="7"/>
      <c r="C785" s="136"/>
      <c r="D785" s="8"/>
      <c r="E785" s="8"/>
      <c r="F785" s="9"/>
      <c r="G785" s="10"/>
      <c r="H785" s="9"/>
      <c r="I785" s="4"/>
      <c r="J785" s="4"/>
      <c r="K785" s="11"/>
      <c r="L785" s="4"/>
      <c r="M785" s="4"/>
      <c r="N785" s="4"/>
      <c r="O785" s="4"/>
      <c r="P785" s="4"/>
      <c r="Q785" s="4"/>
      <c r="R785" s="4"/>
      <c r="S785" s="4"/>
      <c r="T785" s="4"/>
      <c r="U785" s="4"/>
      <c r="V785" s="4"/>
      <c r="W785" s="4"/>
      <c r="X785" s="4"/>
    </row>
    <row r="786" spans="1:24" ht="15.6" x14ac:dyDescent="0.3">
      <c r="A786" s="6"/>
      <c r="B786" s="7"/>
      <c r="C786" s="136"/>
      <c r="D786" s="8"/>
      <c r="E786" s="8"/>
      <c r="F786" s="9"/>
      <c r="G786" s="10"/>
      <c r="H786" s="9"/>
      <c r="I786" s="4"/>
      <c r="J786" s="4"/>
      <c r="K786" s="11"/>
      <c r="L786" s="4"/>
      <c r="M786" s="4"/>
      <c r="N786" s="4"/>
      <c r="O786" s="4"/>
      <c r="P786" s="4"/>
      <c r="Q786" s="4"/>
      <c r="R786" s="4"/>
      <c r="S786" s="4"/>
      <c r="T786" s="4"/>
      <c r="U786" s="4"/>
      <c r="V786" s="4"/>
      <c r="W786" s="4"/>
      <c r="X786" s="4"/>
    </row>
    <row r="787" spans="1:24" ht="15.6" x14ac:dyDescent="0.3">
      <c r="A787" s="6"/>
      <c r="B787" s="7"/>
      <c r="C787" s="136"/>
      <c r="D787" s="8"/>
      <c r="E787" s="8"/>
      <c r="F787" s="9"/>
      <c r="G787" s="10"/>
      <c r="H787" s="9"/>
      <c r="I787" s="4"/>
      <c r="J787" s="4"/>
      <c r="K787" s="11"/>
      <c r="L787" s="4"/>
      <c r="M787" s="4"/>
      <c r="N787" s="4"/>
      <c r="O787" s="4"/>
      <c r="P787" s="4"/>
      <c r="Q787" s="4"/>
      <c r="R787" s="4"/>
      <c r="S787" s="4"/>
      <c r="T787" s="4"/>
      <c r="U787" s="4"/>
      <c r="V787" s="4"/>
      <c r="W787" s="4"/>
      <c r="X787" s="4"/>
    </row>
    <row r="788" spans="1:24" ht="15.6" x14ac:dyDescent="0.3">
      <c r="A788" s="6"/>
      <c r="B788" s="7"/>
      <c r="C788" s="136"/>
      <c r="D788" s="8"/>
      <c r="E788" s="8"/>
      <c r="F788" s="9"/>
      <c r="G788" s="10"/>
      <c r="H788" s="9"/>
      <c r="I788" s="4"/>
      <c r="J788" s="4"/>
      <c r="K788" s="11"/>
      <c r="L788" s="4"/>
      <c r="M788" s="4"/>
      <c r="N788" s="4"/>
      <c r="O788" s="4"/>
      <c r="P788" s="4"/>
      <c r="Q788" s="4"/>
      <c r="R788" s="4"/>
      <c r="S788" s="4"/>
      <c r="T788" s="4"/>
      <c r="U788" s="4"/>
      <c r="V788" s="4"/>
      <c r="W788" s="4"/>
      <c r="X788" s="4"/>
    </row>
    <row r="789" spans="1:24" ht="15.6" x14ac:dyDescent="0.3">
      <c r="A789" s="6"/>
      <c r="B789" s="7"/>
      <c r="C789" s="136"/>
      <c r="D789" s="8"/>
      <c r="E789" s="8"/>
      <c r="F789" s="9"/>
      <c r="G789" s="10"/>
      <c r="H789" s="9"/>
      <c r="I789" s="4"/>
      <c r="J789" s="4"/>
      <c r="K789" s="11"/>
      <c r="L789" s="4"/>
      <c r="M789" s="4"/>
      <c r="N789" s="4"/>
      <c r="O789" s="4"/>
      <c r="P789" s="4"/>
      <c r="Q789" s="4"/>
      <c r="R789" s="4"/>
      <c r="S789" s="4"/>
      <c r="T789" s="4"/>
      <c r="U789" s="4"/>
      <c r="V789" s="4"/>
      <c r="W789" s="4"/>
      <c r="X789" s="4"/>
    </row>
    <row r="790" spans="1:24" ht="15.6" x14ac:dyDescent="0.3">
      <c r="A790" s="6"/>
      <c r="B790" s="7"/>
      <c r="C790" s="136"/>
      <c r="D790" s="8"/>
      <c r="E790" s="8"/>
      <c r="F790" s="9"/>
      <c r="G790" s="10"/>
      <c r="H790" s="9"/>
      <c r="I790" s="4"/>
      <c r="J790" s="4"/>
      <c r="K790" s="11"/>
      <c r="L790" s="4"/>
      <c r="M790" s="4"/>
      <c r="N790" s="4"/>
      <c r="O790" s="4"/>
      <c r="P790" s="4"/>
      <c r="Q790" s="4"/>
      <c r="R790" s="4"/>
      <c r="S790" s="4"/>
      <c r="T790" s="4"/>
      <c r="U790" s="4"/>
      <c r="V790" s="4"/>
      <c r="W790" s="4"/>
      <c r="X790" s="4"/>
    </row>
    <row r="791" spans="1:24" ht="15.6" x14ac:dyDescent="0.3">
      <c r="A791" s="6"/>
      <c r="B791" s="7"/>
      <c r="C791" s="136"/>
      <c r="D791" s="8"/>
      <c r="E791" s="8"/>
      <c r="F791" s="9"/>
      <c r="G791" s="10"/>
      <c r="H791" s="9"/>
      <c r="I791" s="4"/>
      <c r="J791" s="4"/>
      <c r="K791" s="11"/>
      <c r="L791" s="4"/>
      <c r="M791" s="4"/>
      <c r="N791" s="4"/>
      <c r="O791" s="4"/>
      <c r="P791" s="4"/>
      <c r="Q791" s="4"/>
      <c r="R791" s="4"/>
      <c r="S791" s="4"/>
      <c r="T791" s="4"/>
      <c r="U791" s="4"/>
      <c r="V791" s="4"/>
      <c r="W791" s="4"/>
      <c r="X791" s="4"/>
    </row>
    <row r="792" spans="1:24" ht="15.6" x14ac:dyDescent="0.3">
      <c r="A792" s="6"/>
      <c r="B792" s="7"/>
      <c r="C792" s="136"/>
      <c r="D792" s="8"/>
      <c r="E792" s="8"/>
      <c r="F792" s="9"/>
      <c r="G792" s="10"/>
      <c r="H792" s="9"/>
      <c r="I792" s="4"/>
      <c r="J792" s="4"/>
      <c r="K792" s="11"/>
      <c r="L792" s="4"/>
      <c r="M792" s="4"/>
      <c r="N792" s="4"/>
      <c r="O792" s="4"/>
      <c r="P792" s="4"/>
      <c r="Q792" s="4"/>
      <c r="R792" s="4"/>
      <c r="S792" s="4"/>
      <c r="T792" s="4"/>
      <c r="U792" s="4"/>
      <c r="V792" s="4"/>
      <c r="W792" s="4"/>
      <c r="X792" s="4"/>
    </row>
    <row r="793" spans="1:24" ht="15.6" x14ac:dyDescent="0.3">
      <c r="A793" s="6"/>
      <c r="B793" s="7"/>
      <c r="C793" s="136"/>
      <c r="D793" s="8"/>
      <c r="E793" s="8"/>
      <c r="F793" s="9"/>
      <c r="G793" s="10"/>
      <c r="H793" s="9"/>
      <c r="I793" s="4"/>
      <c r="J793" s="4"/>
      <c r="K793" s="11"/>
      <c r="L793" s="4"/>
      <c r="M793" s="4"/>
      <c r="N793" s="4"/>
      <c r="O793" s="4"/>
      <c r="P793" s="4"/>
      <c r="Q793" s="4"/>
      <c r="R793" s="4"/>
      <c r="S793" s="4"/>
      <c r="T793" s="4"/>
      <c r="U793" s="4"/>
      <c r="V793" s="4"/>
      <c r="W793" s="4"/>
      <c r="X793" s="4"/>
    </row>
    <row r="794" spans="1:24" ht="15.6" x14ac:dyDescent="0.3">
      <c r="A794" s="6"/>
      <c r="B794" s="7"/>
      <c r="C794" s="136"/>
      <c r="D794" s="8"/>
      <c r="E794" s="8"/>
      <c r="F794" s="9"/>
      <c r="G794" s="10"/>
      <c r="H794" s="9"/>
      <c r="I794" s="4"/>
      <c r="J794" s="4"/>
      <c r="K794" s="11"/>
      <c r="L794" s="4"/>
      <c r="M794" s="4"/>
      <c r="N794" s="4"/>
      <c r="O794" s="4"/>
      <c r="P794" s="4"/>
      <c r="Q794" s="4"/>
      <c r="R794" s="4"/>
      <c r="S794" s="4"/>
      <c r="T794" s="4"/>
      <c r="U794" s="4"/>
      <c r="V794" s="4"/>
      <c r="W794" s="4"/>
      <c r="X794" s="4"/>
    </row>
    <row r="795" spans="1:24" ht="15.6" x14ac:dyDescent="0.3">
      <c r="A795" s="6"/>
      <c r="B795" s="7"/>
      <c r="C795" s="136"/>
      <c r="D795" s="8"/>
      <c r="E795" s="8"/>
      <c r="F795" s="9"/>
      <c r="G795" s="10"/>
      <c r="H795" s="9"/>
      <c r="I795" s="4"/>
      <c r="J795" s="4"/>
      <c r="K795" s="11"/>
      <c r="L795" s="4"/>
      <c r="M795" s="4"/>
      <c r="N795" s="4"/>
      <c r="O795" s="4"/>
      <c r="P795" s="4"/>
      <c r="Q795" s="4"/>
      <c r="R795" s="4"/>
      <c r="S795" s="4"/>
      <c r="T795" s="4"/>
      <c r="U795" s="4"/>
      <c r="V795" s="4"/>
      <c r="W795" s="4"/>
      <c r="X795" s="4"/>
    </row>
    <row r="796" spans="1:24" ht="15.6" x14ac:dyDescent="0.3">
      <c r="A796" s="6"/>
      <c r="B796" s="7"/>
      <c r="C796" s="136"/>
      <c r="D796" s="8"/>
      <c r="E796" s="8"/>
      <c r="F796" s="9"/>
      <c r="G796" s="10"/>
      <c r="H796" s="9"/>
      <c r="I796" s="4"/>
      <c r="J796" s="4"/>
      <c r="K796" s="11"/>
      <c r="L796" s="4"/>
      <c r="M796" s="4"/>
      <c r="N796" s="4"/>
      <c r="O796" s="4"/>
      <c r="P796" s="4"/>
      <c r="Q796" s="4"/>
      <c r="R796" s="4"/>
      <c r="S796" s="4"/>
      <c r="T796" s="4"/>
      <c r="U796" s="4"/>
      <c r="V796" s="4"/>
      <c r="W796" s="4"/>
      <c r="X796" s="4"/>
    </row>
    <row r="797" spans="1:24" ht="15.6" x14ac:dyDescent="0.3">
      <c r="A797" s="6"/>
      <c r="B797" s="7"/>
      <c r="C797" s="136"/>
      <c r="D797" s="8"/>
      <c r="E797" s="8"/>
      <c r="F797" s="9"/>
      <c r="G797" s="10"/>
      <c r="H797" s="9"/>
      <c r="I797" s="4"/>
      <c r="J797" s="4"/>
      <c r="K797" s="11"/>
      <c r="L797" s="4"/>
      <c r="M797" s="4"/>
      <c r="N797" s="4"/>
      <c r="O797" s="4"/>
      <c r="P797" s="4"/>
      <c r="Q797" s="4"/>
      <c r="R797" s="4"/>
      <c r="S797" s="4"/>
      <c r="T797" s="4"/>
      <c r="U797" s="4"/>
      <c r="V797" s="4"/>
      <c r="W797" s="4"/>
      <c r="X797" s="4"/>
    </row>
    <row r="798" spans="1:24" ht="15.6" x14ac:dyDescent="0.3">
      <c r="A798" s="6"/>
      <c r="B798" s="7"/>
      <c r="C798" s="136"/>
      <c r="D798" s="8"/>
      <c r="E798" s="8"/>
      <c r="F798" s="9"/>
      <c r="G798" s="10"/>
      <c r="H798" s="9"/>
      <c r="I798" s="4"/>
      <c r="J798" s="4"/>
      <c r="K798" s="11"/>
      <c r="L798" s="4"/>
      <c r="M798" s="4"/>
      <c r="N798" s="4"/>
      <c r="O798" s="4"/>
      <c r="P798" s="4"/>
      <c r="Q798" s="4"/>
      <c r="R798" s="4"/>
      <c r="S798" s="4"/>
      <c r="T798" s="4"/>
      <c r="U798" s="4"/>
      <c r="V798" s="4"/>
      <c r="W798" s="4"/>
      <c r="X798" s="4"/>
    </row>
    <row r="799" spans="1:24" ht="15.6" x14ac:dyDescent="0.3">
      <c r="A799" s="6"/>
      <c r="B799" s="7"/>
      <c r="C799" s="136"/>
      <c r="D799" s="8"/>
      <c r="E799" s="8"/>
      <c r="F799" s="9"/>
      <c r="G799" s="10"/>
      <c r="H799" s="9"/>
      <c r="I799" s="4"/>
      <c r="J799" s="4"/>
      <c r="K799" s="11"/>
      <c r="L799" s="4"/>
      <c r="M799" s="4"/>
      <c r="N799" s="4"/>
      <c r="O799" s="4"/>
      <c r="P799" s="4"/>
      <c r="Q799" s="4"/>
      <c r="R799" s="4"/>
      <c r="S799" s="4"/>
      <c r="T799" s="4"/>
      <c r="U799" s="4"/>
      <c r="V799" s="4"/>
      <c r="W799" s="4"/>
      <c r="X799" s="4"/>
    </row>
    <row r="800" spans="1:24" ht="15.6" x14ac:dyDescent="0.3">
      <c r="A800" s="6"/>
      <c r="B800" s="7"/>
      <c r="C800" s="136"/>
      <c r="D800" s="8"/>
      <c r="E800" s="8"/>
      <c r="F800" s="9"/>
      <c r="G800" s="10"/>
      <c r="H800" s="9"/>
      <c r="I800" s="4"/>
      <c r="J800" s="4"/>
      <c r="K800" s="11"/>
      <c r="L800" s="4"/>
      <c r="M800" s="4"/>
      <c r="N800" s="4"/>
      <c r="O800" s="4"/>
      <c r="P800" s="4"/>
      <c r="Q800" s="4"/>
      <c r="R800" s="4"/>
      <c r="S800" s="4"/>
      <c r="T800" s="4"/>
      <c r="U800" s="4"/>
      <c r="V800" s="4"/>
      <c r="W800" s="4"/>
      <c r="X800" s="4"/>
    </row>
    <row r="801" spans="1:24" ht="15.6" x14ac:dyDescent="0.3">
      <c r="A801" s="6"/>
      <c r="B801" s="7"/>
      <c r="C801" s="136"/>
      <c r="D801" s="8"/>
      <c r="E801" s="8"/>
      <c r="F801" s="9"/>
      <c r="G801" s="10"/>
      <c r="H801" s="9"/>
      <c r="I801" s="4"/>
      <c r="J801" s="4"/>
      <c r="K801" s="11"/>
      <c r="L801" s="4"/>
      <c r="M801" s="4"/>
      <c r="N801" s="4"/>
      <c r="O801" s="4"/>
      <c r="P801" s="4"/>
      <c r="Q801" s="4"/>
      <c r="R801" s="4"/>
      <c r="S801" s="4"/>
      <c r="T801" s="4"/>
      <c r="U801" s="4"/>
      <c r="V801" s="4"/>
      <c r="W801" s="4"/>
      <c r="X801" s="4"/>
    </row>
    <row r="802" spans="1:24" ht="15.6" x14ac:dyDescent="0.3">
      <c r="A802" s="6"/>
      <c r="B802" s="7"/>
      <c r="C802" s="136"/>
      <c r="D802" s="8"/>
      <c r="E802" s="8"/>
      <c r="F802" s="9"/>
      <c r="G802" s="10"/>
      <c r="H802" s="9"/>
      <c r="I802" s="4"/>
      <c r="J802" s="4"/>
      <c r="K802" s="11"/>
      <c r="L802" s="4"/>
      <c r="M802" s="4"/>
      <c r="N802" s="4"/>
      <c r="O802" s="4"/>
      <c r="P802" s="4"/>
      <c r="Q802" s="4"/>
      <c r="R802" s="4"/>
      <c r="S802" s="4"/>
      <c r="T802" s="4"/>
      <c r="U802" s="4"/>
      <c r="V802" s="4"/>
      <c r="W802" s="4"/>
      <c r="X802" s="4"/>
    </row>
    <row r="803" spans="1:24" ht="15.6" x14ac:dyDescent="0.3">
      <c r="A803" s="6"/>
      <c r="B803" s="7"/>
      <c r="C803" s="136"/>
      <c r="D803" s="8"/>
      <c r="E803" s="8"/>
      <c r="F803" s="9"/>
      <c r="G803" s="10"/>
      <c r="H803" s="9"/>
      <c r="I803" s="4"/>
      <c r="J803" s="4"/>
      <c r="K803" s="11"/>
      <c r="L803" s="4"/>
      <c r="M803" s="4"/>
      <c r="N803" s="4"/>
      <c r="O803" s="4"/>
      <c r="P803" s="4"/>
      <c r="Q803" s="4"/>
      <c r="R803" s="4"/>
      <c r="S803" s="4"/>
      <c r="T803" s="4"/>
      <c r="U803" s="4"/>
      <c r="V803" s="4"/>
      <c r="W803" s="4"/>
      <c r="X803" s="4"/>
    </row>
    <row r="804" spans="1:24" ht="15.6" x14ac:dyDescent="0.3">
      <c r="A804" s="6"/>
      <c r="B804" s="7"/>
      <c r="C804" s="136"/>
      <c r="D804" s="8"/>
      <c r="E804" s="8"/>
      <c r="F804" s="9"/>
      <c r="G804" s="10"/>
      <c r="H804" s="9"/>
      <c r="I804" s="4"/>
      <c r="J804" s="4"/>
      <c r="K804" s="11"/>
      <c r="L804" s="4"/>
      <c r="M804" s="4"/>
      <c r="N804" s="4"/>
      <c r="O804" s="4"/>
      <c r="P804" s="4"/>
      <c r="Q804" s="4"/>
      <c r="R804" s="4"/>
      <c r="S804" s="4"/>
      <c r="T804" s="4"/>
      <c r="U804" s="4"/>
      <c r="V804" s="4"/>
      <c r="W804" s="4"/>
      <c r="X804" s="4"/>
    </row>
    <row r="805" spans="1:24" ht="15.6" x14ac:dyDescent="0.3">
      <c r="A805" s="6"/>
      <c r="B805" s="7"/>
      <c r="C805" s="136"/>
      <c r="D805" s="8"/>
      <c r="E805" s="8"/>
      <c r="F805" s="9"/>
      <c r="G805" s="10"/>
      <c r="H805" s="9"/>
      <c r="I805" s="4"/>
      <c r="J805" s="4"/>
      <c r="K805" s="11"/>
      <c r="L805" s="4"/>
      <c r="M805" s="4"/>
      <c r="N805" s="4"/>
      <c r="O805" s="4"/>
      <c r="P805" s="4"/>
      <c r="Q805" s="4"/>
      <c r="R805" s="4"/>
      <c r="S805" s="4"/>
      <c r="T805" s="4"/>
      <c r="U805" s="4"/>
      <c r="V805" s="4"/>
      <c r="W805" s="4"/>
      <c r="X805" s="4"/>
    </row>
    <row r="806" spans="1:24" ht="15.6" x14ac:dyDescent="0.3">
      <c r="A806" s="6"/>
      <c r="B806" s="7"/>
      <c r="C806" s="136"/>
      <c r="D806" s="8"/>
      <c r="E806" s="8"/>
      <c r="F806" s="9"/>
      <c r="G806" s="10"/>
      <c r="H806" s="9"/>
      <c r="I806" s="4"/>
      <c r="J806" s="4"/>
      <c r="K806" s="11"/>
      <c r="L806" s="4"/>
      <c r="M806" s="4"/>
      <c r="N806" s="4"/>
      <c r="O806" s="4"/>
      <c r="P806" s="4"/>
      <c r="Q806" s="4"/>
      <c r="R806" s="4"/>
      <c r="S806" s="4"/>
      <c r="T806" s="4"/>
      <c r="U806" s="4"/>
      <c r="V806" s="4"/>
      <c r="W806" s="4"/>
      <c r="X806" s="4"/>
    </row>
    <row r="807" spans="1:24" ht="15.6" x14ac:dyDescent="0.3">
      <c r="A807" s="6"/>
      <c r="B807" s="7"/>
      <c r="C807" s="136"/>
      <c r="D807" s="8"/>
      <c r="E807" s="8"/>
      <c r="F807" s="9"/>
      <c r="G807" s="10"/>
      <c r="H807" s="9"/>
      <c r="I807" s="4"/>
      <c r="J807" s="4"/>
      <c r="K807" s="11"/>
      <c r="L807" s="4"/>
      <c r="M807" s="4"/>
      <c r="N807" s="4"/>
      <c r="O807" s="4"/>
      <c r="P807" s="4"/>
      <c r="Q807" s="4"/>
      <c r="R807" s="4"/>
      <c r="S807" s="4"/>
      <c r="T807" s="4"/>
      <c r="U807" s="4"/>
      <c r="V807" s="4"/>
      <c r="W807" s="4"/>
      <c r="X807" s="4"/>
    </row>
    <row r="808" spans="1:24" ht="15.6" x14ac:dyDescent="0.3">
      <c r="A808" s="6"/>
      <c r="B808" s="7"/>
      <c r="C808" s="136"/>
      <c r="D808" s="8"/>
      <c r="E808" s="8"/>
      <c r="F808" s="9"/>
      <c r="G808" s="10"/>
      <c r="H808" s="9"/>
      <c r="I808" s="4"/>
      <c r="J808" s="4"/>
      <c r="K808" s="11"/>
      <c r="L808" s="4"/>
      <c r="M808" s="4"/>
      <c r="N808" s="4"/>
      <c r="O808" s="4"/>
      <c r="P808" s="4"/>
      <c r="Q808" s="4"/>
      <c r="R808" s="4"/>
      <c r="S808" s="4"/>
      <c r="T808" s="4"/>
      <c r="U808" s="4"/>
      <c r="V808" s="4"/>
      <c r="W808" s="4"/>
      <c r="X808" s="4"/>
    </row>
    <row r="809" spans="1:24" ht="15.6" x14ac:dyDescent="0.3">
      <c r="A809" s="6"/>
      <c r="B809" s="7"/>
      <c r="C809" s="136"/>
      <c r="D809" s="8"/>
      <c r="E809" s="8"/>
      <c r="F809" s="9"/>
      <c r="G809" s="10"/>
      <c r="H809" s="9"/>
      <c r="I809" s="4"/>
      <c r="J809" s="4"/>
      <c r="K809" s="11"/>
      <c r="L809" s="4"/>
      <c r="M809" s="4"/>
      <c r="N809" s="4"/>
      <c r="O809" s="4"/>
      <c r="P809" s="4"/>
      <c r="Q809" s="4"/>
      <c r="R809" s="4"/>
      <c r="S809" s="4"/>
      <c r="T809" s="4"/>
      <c r="U809" s="4"/>
      <c r="V809" s="4"/>
      <c r="W809" s="4"/>
      <c r="X809" s="4"/>
    </row>
    <row r="810" spans="1:24" ht="15.6" x14ac:dyDescent="0.3">
      <c r="A810" s="6"/>
      <c r="B810" s="7"/>
      <c r="C810" s="136"/>
      <c r="D810" s="8"/>
      <c r="E810" s="8"/>
      <c r="F810" s="9"/>
      <c r="G810" s="10"/>
      <c r="H810" s="9"/>
      <c r="I810" s="4"/>
      <c r="J810" s="4"/>
      <c r="K810" s="11"/>
      <c r="L810" s="4"/>
      <c r="M810" s="4"/>
      <c r="N810" s="4"/>
      <c r="O810" s="4"/>
      <c r="P810" s="4"/>
      <c r="Q810" s="4"/>
      <c r="R810" s="4"/>
      <c r="S810" s="4"/>
      <c r="T810" s="4"/>
      <c r="U810" s="4"/>
      <c r="V810" s="4"/>
      <c r="W810" s="4"/>
      <c r="X810" s="4"/>
    </row>
    <row r="811" spans="1:24" ht="15.6" x14ac:dyDescent="0.3">
      <c r="A811" s="6"/>
      <c r="B811" s="7"/>
      <c r="C811" s="136"/>
      <c r="D811" s="8"/>
      <c r="E811" s="8"/>
      <c r="F811" s="9"/>
      <c r="G811" s="10"/>
      <c r="H811" s="9"/>
      <c r="I811" s="4"/>
      <c r="J811" s="4"/>
      <c r="K811" s="11"/>
      <c r="L811" s="4"/>
      <c r="M811" s="4"/>
      <c r="N811" s="4"/>
      <c r="O811" s="4"/>
      <c r="P811" s="4"/>
      <c r="Q811" s="4"/>
      <c r="R811" s="4"/>
      <c r="S811" s="4"/>
      <c r="T811" s="4"/>
      <c r="U811" s="4"/>
      <c r="V811" s="4"/>
      <c r="W811" s="4"/>
      <c r="X811" s="4"/>
    </row>
    <row r="812" spans="1:24" ht="15.6" x14ac:dyDescent="0.3">
      <c r="A812" s="6"/>
      <c r="B812" s="7"/>
      <c r="C812" s="136"/>
      <c r="D812" s="8"/>
      <c r="E812" s="8"/>
      <c r="F812" s="9"/>
      <c r="G812" s="10"/>
      <c r="H812" s="9"/>
      <c r="I812" s="4"/>
      <c r="J812" s="4"/>
      <c r="K812" s="11"/>
      <c r="L812" s="4"/>
      <c r="M812" s="4"/>
      <c r="N812" s="4"/>
      <c r="O812" s="4"/>
      <c r="P812" s="4"/>
      <c r="Q812" s="4"/>
      <c r="R812" s="4"/>
      <c r="S812" s="4"/>
      <c r="T812" s="4"/>
      <c r="U812" s="4"/>
      <c r="V812" s="4"/>
      <c r="W812" s="4"/>
      <c r="X812" s="4"/>
    </row>
    <row r="813" spans="1:24" ht="15.6" x14ac:dyDescent="0.3">
      <c r="A813" s="6"/>
      <c r="B813" s="7"/>
      <c r="C813" s="136"/>
      <c r="D813" s="8"/>
      <c r="E813" s="8"/>
      <c r="F813" s="9"/>
      <c r="G813" s="10"/>
      <c r="H813" s="9"/>
      <c r="I813" s="4"/>
      <c r="J813" s="4"/>
      <c r="K813" s="11"/>
      <c r="L813" s="4"/>
      <c r="M813" s="4"/>
      <c r="N813" s="4"/>
      <c r="O813" s="4"/>
      <c r="P813" s="4"/>
      <c r="Q813" s="4"/>
      <c r="R813" s="4"/>
      <c r="S813" s="4"/>
      <c r="T813" s="4"/>
      <c r="U813" s="4"/>
      <c r="V813" s="4"/>
      <c r="W813" s="4"/>
      <c r="X813" s="4"/>
    </row>
    <row r="814" spans="1:24" ht="15.6" x14ac:dyDescent="0.3">
      <c r="A814" s="6"/>
      <c r="B814" s="7"/>
      <c r="C814" s="136"/>
      <c r="D814" s="8"/>
      <c r="E814" s="8"/>
      <c r="F814" s="9"/>
      <c r="G814" s="10"/>
      <c r="H814" s="9"/>
      <c r="I814" s="4"/>
      <c r="J814" s="4"/>
      <c r="K814" s="11"/>
      <c r="L814" s="4"/>
      <c r="M814" s="4"/>
      <c r="N814" s="4"/>
      <c r="O814" s="4"/>
      <c r="P814" s="4"/>
      <c r="Q814" s="4"/>
      <c r="R814" s="4"/>
      <c r="S814" s="4"/>
      <c r="T814" s="4"/>
      <c r="U814" s="4"/>
      <c r="V814" s="4"/>
      <c r="W814" s="4"/>
      <c r="X814" s="4"/>
    </row>
    <row r="815" spans="1:24" ht="15.6" x14ac:dyDescent="0.3">
      <c r="A815" s="6"/>
      <c r="B815" s="7"/>
      <c r="C815" s="136"/>
      <c r="D815" s="8"/>
      <c r="E815" s="8"/>
      <c r="F815" s="9"/>
      <c r="G815" s="10"/>
      <c r="H815" s="9"/>
      <c r="I815" s="4"/>
      <c r="J815" s="4"/>
      <c r="K815" s="11"/>
      <c r="L815" s="4"/>
      <c r="M815" s="4"/>
      <c r="N815" s="4"/>
      <c r="O815" s="4"/>
      <c r="P815" s="4"/>
      <c r="Q815" s="4"/>
      <c r="R815" s="4"/>
      <c r="S815" s="4"/>
      <c r="T815" s="4"/>
      <c r="U815" s="4"/>
      <c r="V815" s="4"/>
      <c r="W815" s="4"/>
      <c r="X815" s="4"/>
    </row>
    <row r="816" spans="1:24" ht="15.6" x14ac:dyDescent="0.3">
      <c r="A816" s="6"/>
      <c r="B816" s="7"/>
      <c r="C816" s="136"/>
      <c r="D816" s="8"/>
      <c r="E816" s="8"/>
      <c r="F816" s="9"/>
      <c r="G816" s="10"/>
      <c r="H816" s="9"/>
      <c r="I816" s="4"/>
      <c r="J816" s="4"/>
      <c r="K816" s="11"/>
      <c r="L816" s="4"/>
      <c r="M816" s="4"/>
      <c r="N816" s="4"/>
      <c r="O816" s="4"/>
      <c r="P816" s="4"/>
      <c r="Q816" s="4"/>
      <c r="R816" s="4"/>
      <c r="S816" s="4"/>
      <c r="T816" s="4"/>
      <c r="U816" s="4"/>
      <c r="V816" s="4"/>
      <c r="W816" s="4"/>
      <c r="X816" s="4"/>
    </row>
    <row r="817" spans="1:24" ht="15.6" x14ac:dyDescent="0.3">
      <c r="A817" s="6"/>
      <c r="B817" s="7"/>
      <c r="C817" s="136"/>
      <c r="D817" s="8"/>
      <c r="E817" s="8"/>
      <c r="F817" s="9"/>
      <c r="G817" s="10"/>
      <c r="H817" s="9"/>
      <c r="I817" s="4"/>
      <c r="J817" s="4"/>
      <c r="K817" s="11"/>
      <c r="L817" s="4"/>
      <c r="M817" s="4"/>
      <c r="N817" s="4"/>
      <c r="O817" s="4"/>
      <c r="P817" s="4"/>
      <c r="Q817" s="4"/>
      <c r="R817" s="4"/>
      <c r="S817" s="4"/>
      <c r="T817" s="4"/>
      <c r="U817" s="4"/>
      <c r="V817" s="4"/>
      <c r="W817" s="4"/>
      <c r="X817" s="4"/>
    </row>
    <row r="818" spans="1:24" ht="15.6" x14ac:dyDescent="0.3">
      <c r="A818" s="6"/>
      <c r="B818" s="7"/>
      <c r="C818" s="136"/>
      <c r="D818" s="8"/>
      <c r="E818" s="8"/>
      <c r="F818" s="9"/>
      <c r="G818" s="10"/>
      <c r="H818" s="9"/>
      <c r="I818" s="4"/>
      <c r="J818" s="4"/>
      <c r="K818" s="11"/>
      <c r="L818" s="4"/>
      <c r="M818" s="4"/>
      <c r="N818" s="4"/>
      <c r="O818" s="4"/>
      <c r="P818" s="4"/>
      <c r="Q818" s="4"/>
      <c r="R818" s="4"/>
      <c r="S818" s="4"/>
      <c r="T818" s="4"/>
      <c r="U818" s="4"/>
      <c r="V818" s="4"/>
      <c r="W818" s="4"/>
      <c r="X818" s="4"/>
    </row>
    <row r="819" spans="1:24" ht="15.6" x14ac:dyDescent="0.3">
      <c r="A819" s="6"/>
      <c r="B819" s="7"/>
      <c r="C819" s="136"/>
      <c r="D819" s="8"/>
      <c r="E819" s="8"/>
      <c r="F819" s="9"/>
      <c r="G819" s="10"/>
      <c r="H819" s="9"/>
      <c r="I819" s="4"/>
      <c r="J819" s="4"/>
      <c r="K819" s="11"/>
      <c r="L819" s="4"/>
      <c r="M819" s="4"/>
      <c r="N819" s="4"/>
      <c r="O819" s="4"/>
      <c r="P819" s="4"/>
      <c r="Q819" s="4"/>
      <c r="R819" s="4"/>
      <c r="S819" s="4"/>
      <c r="T819" s="4"/>
      <c r="U819" s="4"/>
      <c r="V819" s="4"/>
      <c r="W819" s="4"/>
      <c r="X819" s="4"/>
    </row>
    <row r="820" spans="1:24" ht="15.6" x14ac:dyDescent="0.3">
      <c r="A820" s="6"/>
      <c r="B820" s="7"/>
      <c r="C820" s="136"/>
      <c r="D820" s="8"/>
      <c r="E820" s="8"/>
      <c r="F820" s="9"/>
      <c r="G820" s="10"/>
      <c r="H820" s="9"/>
      <c r="I820" s="4"/>
      <c r="J820" s="4"/>
      <c r="K820" s="11"/>
      <c r="L820" s="4"/>
      <c r="M820" s="4"/>
      <c r="N820" s="4"/>
      <c r="O820" s="4"/>
      <c r="P820" s="4"/>
      <c r="Q820" s="4"/>
      <c r="R820" s="4"/>
      <c r="S820" s="4"/>
      <c r="T820" s="4"/>
      <c r="U820" s="4"/>
      <c r="V820" s="4"/>
      <c r="W820" s="4"/>
      <c r="X820" s="4"/>
    </row>
    <row r="821" spans="1:24" ht="15.6" x14ac:dyDescent="0.3">
      <c r="A821" s="6"/>
      <c r="B821" s="7"/>
      <c r="C821" s="136"/>
      <c r="D821" s="8"/>
      <c r="E821" s="8"/>
      <c r="F821" s="9"/>
      <c r="G821" s="10"/>
      <c r="H821" s="9"/>
      <c r="I821" s="4"/>
      <c r="J821" s="4"/>
      <c r="K821" s="11"/>
      <c r="L821" s="4"/>
      <c r="M821" s="4"/>
      <c r="N821" s="4"/>
      <c r="O821" s="4"/>
      <c r="P821" s="4"/>
      <c r="Q821" s="4"/>
      <c r="R821" s="4"/>
      <c r="S821" s="4"/>
      <c r="T821" s="4"/>
      <c r="U821" s="4"/>
      <c r="V821" s="4"/>
      <c r="W821" s="4"/>
      <c r="X821" s="4"/>
    </row>
    <row r="822" spans="1:24" ht="15.6" x14ac:dyDescent="0.3">
      <c r="A822" s="6"/>
      <c r="B822" s="7"/>
      <c r="C822" s="136"/>
      <c r="D822" s="8"/>
      <c r="E822" s="8"/>
      <c r="F822" s="9"/>
      <c r="G822" s="10"/>
      <c r="H822" s="9"/>
      <c r="I822" s="4"/>
      <c r="J822" s="4"/>
      <c r="K822" s="11"/>
      <c r="L822" s="4"/>
      <c r="M822" s="4"/>
      <c r="N822" s="4"/>
      <c r="O822" s="4"/>
      <c r="P822" s="4"/>
      <c r="Q822" s="4"/>
      <c r="R822" s="4"/>
      <c r="S822" s="4"/>
      <c r="T822" s="4"/>
      <c r="U822" s="4"/>
      <c r="V822" s="4"/>
      <c r="W822" s="4"/>
      <c r="X822" s="4"/>
    </row>
    <row r="823" spans="1:24" ht="15.6" x14ac:dyDescent="0.3">
      <c r="A823" s="6"/>
      <c r="B823" s="7"/>
      <c r="C823" s="136"/>
      <c r="D823" s="8"/>
      <c r="E823" s="8"/>
      <c r="F823" s="9"/>
      <c r="G823" s="10"/>
      <c r="H823" s="9"/>
      <c r="I823" s="4"/>
      <c r="J823" s="4"/>
      <c r="K823" s="11"/>
      <c r="L823" s="4"/>
      <c r="M823" s="4"/>
      <c r="N823" s="4"/>
      <c r="O823" s="4"/>
      <c r="P823" s="4"/>
      <c r="Q823" s="4"/>
      <c r="R823" s="4"/>
      <c r="S823" s="4"/>
      <c r="T823" s="4"/>
      <c r="U823" s="4"/>
      <c r="V823" s="4"/>
      <c r="W823" s="4"/>
      <c r="X823" s="4"/>
    </row>
    <row r="824" spans="1:24" ht="15.6" x14ac:dyDescent="0.3">
      <c r="A824" s="6"/>
      <c r="B824" s="7"/>
      <c r="C824" s="136"/>
      <c r="D824" s="8"/>
      <c r="E824" s="8"/>
      <c r="F824" s="9"/>
      <c r="G824" s="10"/>
      <c r="H824" s="9"/>
      <c r="I824" s="4"/>
      <c r="J824" s="4"/>
      <c r="K824" s="11"/>
      <c r="L824" s="4"/>
      <c r="M824" s="4"/>
      <c r="N824" s="4"/>
      <c r="O824" s="4"/>
      <c r="P824" s="4"/>
      <c r="Q824" s="4"/>
      <c r="R824" s="4"/>
      <c r="S824" s="4"/>
      <c r="T824" s="4"/>
      <c r="U824" s="4"/>
      <c r="V824" s="4"/>
      <c r="W824" s="4"/>
      <c r="X824" s="4"/>
    </row>
    <row r="825" spans="1:24" ht="15.6" x14ac:dyDescent="0.3">
      <c r="A825" s="6"/>
      <c r="B825" s="7"/>
      <c r="C825" s="136"/>
      <c r="D825" s="8"/>
      <c r="E825" s="8"/>
      <c r="F825" s="9"/>
      <c r="G825" s="10"/>
      <c r="H825" s="9"/>
      <c r="I825" s="4"/>
      <c r="J825" s="4"/>
      <c r="K825" s="11"/>
      <c r="L825" s="4"/>
      <c r="M825" s="4"/>
      <c r="N825" s="4"/>
      <c r="O825" s="4"/>
      <c r="P825" s="4"/>
      <c r="Q825" s="4"/>
      <c r="R825" s="4"/>
      <c r="S825" s="4"/>
      <c r="T825" s="4"/>
      <c r="U825" s="4"/>
      <c r="V825" s="4"/>
      <c r="W825" s="4"/>
      <c r="X825" s="4"/>
    </row>
    <row r="826" spans="1:24" ht="15.6" x14ac:dyDescent="0.3">
      <c r="A826" s="6"/>
      <c r="B826" s="7"/>
      <c r="C826" s="136"/>
      <c r="D826" s="8"/>
      <c r="E826" s="8"/>
      <c r="F826" s="9"/>
      <c r="G826" s="10"/>
      <c r="H826" s="9"/>
      <c r="I826" s="4"/>
      <c r="J826" s="4"/>
      <c r="K826" s="11"/>
      <c r="L826" s="4"/>
      <c r="M826" s="4"/>
      <c r="N826" s="4"/>
      <c r="O826" s="4"/>
      <c r="P826" s="4"/>
      <c r="Q826" s="4"/>
      <c r="R826" s="4"/>
      <c r="S826" s="4"/>
      <c r="T826" s="4"/>
      <c r="U826" s="4"/>
      <c r="V826" s="4"/>
      <c r="W826" s="4"/>
      <c r="X826" s="4"/>
    </row>
    <row r="827" spans="1:24" ht="15.6" x14ac:dyDescent="0.3">
      <c r="A827" s="6"/>
      <c r="B827" s="7"/>
      <c r="C827" s="136"/>
      <c r="D827" s="8"/>
      <c r="E827" s="8"/>
      <c r="F827" s="9"/>
      <c r="G827" s="10"/>
      <c r="H827" s="9"/>
      <c r="I827" s="4"/>
      <c r="J827" s="4"/>
      <c r="K827" s="11"/>
      <c r="L827" s="4"/>
      <c r="M827" s="4"/>
      <c r="N827" s="4"/>
      <c r="O827" s="4"/>
      <c r="P827" s="4"/>
      <c r="Q827" s="4"/>
      <c r="R827" s="4"/>
      <c r="S827" s="4"/>
      <c r="T827" s="4"/>
      <c r="U827" s="4"/>
      <c r="V827" s="4"/>
      <c r="W827" s="4"/>
      <c r="X827" s="4"/>
    </row>
    <row r="828" spans="1:24" ht="15.6" x14ac:dyDescent="0.3">
      <c r="A828" s="6"/>
      <c r="B828" s="7"/>
      <c r="C828" s="136"/>
      <c r="D828" s="8"/>
      <c r="E828" s="8"/>
      <c r="F828" s="9"/>
      <c r="G828" s="10"/>
      <c r="H828" s="9"/>
      <c r="I828" s="4"/>
      <c r="J828" s="4"/>
      <c r="K828" s="11"/>
      <c r="L828" s="4"/>
      <c r="M828" s="4"/>
      <c r="N828" s="4"/>
      <c r="O828" s="4"/>
      <c r="P828" s="4"/>
      <c r="Q828" s="4"/>
      <c r="R828" s="4"/>
      <c r="S828" s="4"/>
      <c r="T828" s="4"/>
      <c r="U828" s="4"/>
      <c r="V828" s="4"/>
      <c r="W828" s="4"/>
      <c r="X828" s="4"/>
    </row>
    <row r="829" spans="1:24" ht="15.6" x14ac:dyDescent="0.3">
      <c r="A829" s="6"/>
      <c r="B829" s="7"/>
      <c r="C829" s="136"/>
      <c r="D829" s="8"/>
      <c r="E829" s="8"/>
      <c r="F829" s="9"/>
      <c r="G829" s="10"/>
      <c r="H829" s="9"/>
      <c r="I829" s="4"/>
      <c r="J829" s="4"/>
      <c r="K829" s="11"/>
      <c r="L829" s="4"/>
      <c r="M829" s="4"/>
      <c r="N829" s="4"/>
      <c r="O829" s="4"/>
      <c r="P829" s="4"/>
      <c r="Q829" s="4"/>
      <c r="R829" s="4"/>
      <c r="S829" s="4"/>
      <c r="T829" s="4"/>
      <c r="U829" s="4"/>
      <c r="V829" s="4"/>
      <c r="W829" s="4"/>
      <c r="X829" s="4"/>
    </row>
    <row r="830" spans="1:24" ht="15.6" x14ac:dyDescent="0.3">
      <c r="A830" s="6"/>
      <c r="B830" s="7"/>
      <c r="C830" s="136"/>
      <c r="D830" s="8"/>
      <c r="E830" s="8"/>
      <c r="F830" s="9"/>
      <c r="G830" s="10"/>
      <c r="H830" s="9"/>
      <c r="I830" s="4"/>
      <c r="J830" s="4"/>
      <c r="K830" s="11"/>
      <c r="L830" s="4"/>
      <c r="M830" s="4"/>
      <c r="N830" s="4"/>
      <c r="O830" s="4"/>
      <c r="P830" s="4"/>
      <c r="Q830" s="4"/>
      <c r="R830" s="4"/>
      <c r="S830" s="4"/>
      <c r="T830" s="4"/>
      <c r="U830" s="4"/>
      <c r="V830" s="4"/>
      <c r="W830" s="4"/>
      <c r="X830" s="4"/>
    </row>
    <row r="831" spans="1:24" ht="15.6" x14ac:dyDescent="0.3">
      <c r="A831" s="6"/>
      <c r="B831" s="7"/>
      <c r="C831" s="136"/>
      <c r="D831" s="8"/>
      <c r="E831" s="8"/>
      <c r="F831" s="9"/>
      <c r="G831" s="10"/>
      <c r="H831" s="9"/>
      <c r="I831" s="4"/>
      <c r="J831" s="4"/>
      <c r="K831" s="11"/>
      <c r="L831" s="4"/>
      <c r="M831" s="4"/>
      <c r="N831" s="4"/>
      <c r="O831" s="4"/>
      <c r="P831" s="4"/>
      <c r="Q831" s="4"/>
      <c r="R831" s="4"/>
      <c r="S831" s="4"/>
      <c r="T831" s="4"/>
      <c r="U831" s="4"/>
      <c r="V831" s="4"/>
      <c r="W831" s="4"/>
      <c r="X831" s="4"/>
    </row>
    <row r="832" spans="1:24" ht="15.6" x14ac:dyDescent="0.3">
      <c r="A832" s="6"/>
      <c r="B832" s="7"/>
      <c r="C832" s="136"/>
      <c r="D832" s="8"/>
      <c r="E832" s="8"/>
      <c r="F832" s="9"/>
      <c r="G832" s="10"/>
      <c r="H832" s="9"/>
      <c r="I832" s="4"/>
      <c r="J832" s="4"/>
      <c r="K832" s="11"/>
      <c r="L832" s="4"/>
      <c r="M832" s="4"/>
      <c r="N832" s="4"/>
      <c r="O832" s="4"/>
      <c r="P832" s="4"/>
      <c r="Q832" s="4"/>
      <c r="R832" s="4"/>
      <c r="S832" s="4"/>
      <c r="T832" s="4"/>
      <c r="U832" s="4"/>
      <c r="V832" s="4"/>
      <c r="W832" s="4"/>
      <c r="X832" s="4"/>
    </row>
    <row r="833" spans="1:24" ht="15.6" x14ac:dyDescent="0.3">
      <c r="A833" s="6"/>
      <c r="B833" s="7"/>
      <c r="C833" s="136"/>
      <c r="D833" s="8"/>
      <c r="E833" s="8"/>
      <c r="F833" s="9"/>
      <c r="G833" s="10"/>
      <c r="H833" s="9"/>
      <c r="I833" s="4"/>
      <c r="J833" s="4"/>
      <c r="K833" s="11"/>
      <c r="L833" s="4"/>
      <c r="M833" s="4"/>
      <c r="N833" s="4"/>
      <c r="O833" s="4"/>
      <c r="P833" s="4"/>
      <c r="Q833" s="4"/>
      <c r="R833" s="4"/>
      <c r="S833" s="4"/>
      <c r="T833" s="4"/>
      <c r="U833" s="4"/>
      <c r="V833" s="4"/>
      <c r="W833" s="4"/>
      <c r="X833" s="4"/>
    </row>
    <row r="834" spans="1:24" ht="15.6" x14ac:dyDescent="0.3">
      <c r="A834" s="6"/>
      <c r="B834" s="7"/>
      <c r="C834" s="136"/>
      <c r="D834" s="8"/>
      <c r="E834" s="8"/>
      <c r="F834" s="9"/>
      <c r="G834" s="10"/>
      <c r="H834" s="9"/>
      <c r="I834" s="4"/>
      <c r="J834" s="4"/>
      <c r="K834" s="11"/>
      <c r="L834" s="4"/>
      <c r="M834" s="4"/>
      <c r="N834" s="4"/>
      <c r="O834" s="4"/>
      <c r="P834" s="4"/>
      <c r="Q834" s="4"/>
      <c r="R834" s="4"/>
      <c r="S834" s="4"/>
      <c r="T834" s="4"/>
      <c r="U834" s="4"/>
      <c r="V834" s="4"/>
      <c r="W834" s="4"/>
      <c r="X834" s="4"/>
    </row>
    <row r="835" spans="1:24" ht="15.6" x14ac:dyDescent="0.3">
      <c r="A835" s="6"/>
      <c r="B835" s="7"/>
      <c r="C835" s="136"/>
      <c r="D835" s="8"/>
      <c r="E835" s="8"/>
      <c r="F835" s="9"/>
      <c r="G835" s="10"/>
      <c r="H835" s="9"/>
      <c r="I835" s="4"/>
      <c r="J835" s="4"/>
      <c r="K835" s="11"/>
      <c r="L835" s="4"/>
      <c r="M835" s="4"/>
      <c r="N835" s="4"/>
      <c r="O835" s="4"/>
      <c r="P835" s="4"/>
      <c r="Q835" s="4"/>
      <c r="R835" s="4"/>
      <c r="S835" s="4"/>
      <c r="T835" s="4"/>
      <c r="U835" s="4"/>
      <c r="V835" s="4"/>
      <c r="W835" s="4"/>
      <c r="X835" s="4"/>
    </row>
    <row r="836" spans="1:24" ht="15.6" x14ac:dyDescent="0.3">
      <c r="A836" s="6"/>
      <c r="B836" s="7"/>
      <c r="C836" s="136"/>
      <c r="D836" s="8"/>
      <c r="E836" s="8"/>
      <c r="F836" s="9"/>
      <c r="G836" s="10"/>
      <c r="H836" s="9"/>
      <c r="I836" s="4"/>
      <c r="J836" s="4"/>
      <c r="K836" s="11"/>
      <c r="L836" s="4"/>
      <c r="M836" s="4"/>
      <c r="N836" s="4"/>
      <c r="O836" s="4"/>
      <c r="P836" s="4"/>
      <c r="Q836" s="4"/>
      <c r="R836" s="4"/>
      <c r="S836" s="4"/>
      <c r="T836" s="4"/>
      <c r="U836" s="4"/>
      <c r="V836" s="4"/>
      <c r="W836" s="4"/>
      <c r="X836" s="4"/>
    </row>
    <row r="837" spans="1:24" ht="15.6" x14ac:dyDescent="0.3">
      <c r="A837" s="6"/>
      <c r="B837" s="7"/>
      <c r="C837" s="136"/>
      <c r="D837" s="8"/>
      <c r="E837" s="8"/>
      <c r="F837" s="9"/>
      <c r="G837" s="10"/>
      <c r="H837" s="9"/>
      <c r="I837" s="4"/>
      <c r="J837" s="4"/>
      <c r="K837" s="11"/>
      <c r="L837" s="4"/>
      <c r="M837" s="4"/>
      <c r="N837" s="4"/>
      <c r="O837" s="4"/>
      <c r="P837" s="4"/>
      <c r="Q837" s="4"/>
      <c r="R837" s="4"/>
      <c r="S837" s="4"/>
      <c r="T837" s="4"/>
      <c r="U837" s="4"/>
      <c r="V837" s="4"/>
      <c r="W837" s="4"/>
      <c r="X837" s="4"/>
    </row>
    <row r="838" spans="1:24" ht="15.6" x14ac:dyDescent="0.3">
      <c r="A838" s="6"/>
      <c r="B838" s="7"/>
      <c r="C838" s="136"/>
      <c r="D838" s="8"/>
      <c r="E838" s="8"/>
      <c r="F838" s="9"/>
      <c r="G838" s="10"/>
      <c r="H838" s="9"/>
      <c r="I838" s="4"/>
      <c r="J838" s="4"/>
      <c r="K838" s="11"/>
      <c r="L838" s="4"/>
      <c r="M838" s="4"/>
      <c r="N838" s="4"/>
      <c r="O838" s="4"/>
      <c r="P838" s="4"/>
      <c r="Q838" s="4"/>
      <c r="R838" s="4"/>
      <c r="S838" s="4"/>
      <c r="T838" s="4"/>
      <c r="U838" s="4"/>
      <c r="V838" s="4"/>
      <c r="W838" s="4"/>
      <c r="X838" s="4"/>
    </row>
    <row r="839" spans="1:24" ht="15.6" x14ac:dyDescent="0.3">
      <c r="A839" s="6"/>
      <c r="B839" s="7"/>
      <c r="C839" s="136"/>
      <c r="D839" s="8"/>
      <c r="E839" s="8"/>
      <c r="F839" s="9"/>
      <c r="G839" s="10"/>
      <c r="H839" s="9"/>
      <c r="I839" s="4"/>
      <c r="J839" s="4"/>
      <c r="K839" s="11"/>
      <c r="L839" s="4"/>
      <c r="M839" s="4"/>
      <c r="N839" s="4"/>
      <c r="O839" s="4"/>
      <c r="P839" s="4"/>
      <c r="Q839" s="4"/>
      <c r="R839" s="4"/>
      <c r="S839" s="4"/>
      <c r="T839" s="4"/>
      <c r="U839" s="4"/>
      <c r="V839" s="4"/>
      <c r="W839" s="4"/>
      <c r="X839" s="4"/>
    </row>
    <row r="840" spans="1:24" ht="15.6" x14ac:dyDescent="0.3">
      <c r="A840" s="6"/>
      <c r="B840" s="7"/>
      <c r="C840" s="136"/>
      <c r="D840" s="8"/>
      <c r="E840" s="8"/>
      <c r="F840" s="9"/>
      <c r="G840" s="10"/>
      <c r="H840" s="9"/>
      <c r="I840" s="4"/>
      <c r="J840" s="4"/>
      <c r="K840" s="11"/>
      <c r="L840" s="4"/>
      <c r="M840" s="4"/>
      <c r="N840" s="4"/>
      <c r="O840" s="4"/>
      <c r="P840" s="4"/>
      <c r="Q840" s="4"/>
      <c r="R840" s="4"/>
      <c r="S840" s="4"/>
      <c r="T840" s="4"/>
      <c r="U840" s="4"/>
      <c r="V840" s="4"/>
      <c r="W840" s="4"/>
      <c r="X840" s="4"/>
    </row>
    <row r="841" spans="1:24" ht="15.6" x14ac:dyDescent="0.3">
      <c r="A841" s="6"/>
      <c r="B841" s="7"/>
      <c r="C841" s="136"/>
      <c r="D841" s="8"/>
      <c r="E841" s="8"/>
      <c r="F841" s="9"/>
      <c r="G841" s="10"/>
      <c r="H841" s="9"/>
      <c r="I841" s="4"/>
      <c r="J841" s="4"/>
      <c r="K841" s="11"/>
      <c r="L841" s="4"/>
      <c r="M841" s="4"/>
      <c r="N841" s="4"/>
      <c r="O841" s="4"/>
      <c r="P841" s="4"/>
      <c r="Q841" s="4"/>
      <c r="R841" s="4"/>
      <c r="S841" s="4"/>
      <c r="T841" s="4"/>
      <c r="U841" s="4"/>
      <c r="V841" s="4"/>
      <c r="W841" s="4"/>
      <c r="X841" s="4"/>
    </row>
    <row r="842" spans="1:24" ht="15.6" x14ac:dyDescent="0.3">
      <c r="A842" s="6"/>
      <c r="B842" s="7"/>
      <c r="C842" s="136"/>
      <c r="D842" s="8"/>
      <c r="E842" s="8"/>
      <c r="F842" s="9"/>
      <c r="G842" s="10"/>
      <c r="H842" s="9"/>
      <c r="I842" s="4"/>
      <c r="J842" s="4"/>
      <c r="K842" s="11"/>
      <c r="L842" s="4"/>
      <c r="M842" s="4"/>
      <c r="N842" s="4"/>
      <c r="O842" s="4"/>
      <c r="P842" s="4"/>
      <c r="Q842" s="4"/>
      <c r="R842" s="4"/>
      <c r="S842" s="4"/>
      <c r="T842" s="4"/>
      <c r="U842" s="4"/>
      <c r="V842" s="4"/>
      <c r="W842" s="4"/>
      <c r="X842" s="4"/>
    </row>
    <row r="843" spans="1:24" ht="15.6" x14ac:dyDescent="0.3">
      <c r="A843" s="6"/>
      <c r="B843" s="7"/>
      <c r="C843" s="136"/>
      <c r="D843" s="8"/>
      <c r="E843" s="8"/>
      <c r="F843" s="9"/>
      <c r="G843" s="10"/>
      <c r="H843" s="9"/>
      <c r="I843" s="4"/>
      <c r="J843" s="4"/>
      <c r="K843" s="11"/>
      <c r="L843" s="4"/>
      <c r="M843" s="4"/>
      <c r="N843" s="4"/>
      <c r="O843" s="4"/>
      <c r="P843" s="4"/>
      <c r="Q843" s="4"/>
      <c r="R843" s="4"/>
      <c r="S843" s="4"/>
      <c r="T843" s="4"/>
      <c r="U843" s="4"/>
      <c r="V843" s="4"/>
      <c r="W843" s="4"/>
      <c r="X843" s="4"/>
    </row>
    <row r="844" spans="1:24" ht="15.6" x14ac:dyDescent="0.3">
      <c r="A844" s="6"/>
      <c r="B844" s="7"/>
      <c r="C844" s="136"/>
      <c r="D844" s="8"/>
      <c r="E844" s="8"/>
      <c r="F844" s="9"/>
      <c r="G844" s="10"/>
      <c r="H844" s="9"/>
      <c r="I844" s="4"/>
      <c r="J844" s="4"/>
      <c r="K844" s="11"/>
      <c r="L844" s="4"/>
      <c r="M844" s="4"/>
      <c r="N844" s="4"/>
      <c r="O844" s="4"/>
      <c r="P844" s="4"/>
      <c r="Q844" s="4"/>
      <c r="R844" s="4"/>
      <c r="S844" s="4"/>
      <c r="T844" s="4"/>
      <c r="U844" s="4"/>
      <c r="V844" s="4"/>
      <c r="W844" s="4"/>
      <c r="X844" s="4"/>
    </row>
    <row r="845" spans="1:24" ht="15.6" x14ac:dyDescent="0.3">
      <c r="A845" s="6"/>
      <c r="B845" s="7"/>
      <c r="C845" s="136"/>
      <c r="D845" s="8"/>
      <c r="E845" s="8"/>
      <c r="F845" s="9"/>
      <c r="G845" s="10"/>
      <c r="H845" s="9"/>
      <c r="I845" s="4"/>
      <c r="J845" s="4"/>
      <c r="K845" s="11"/>
      <c r="L845" s="4"/>
      <c r="M845" s="4"/>
      <c r="N845" s="4"/>
      <c r="O845" s="4"/>
      <c r="P845" s="4"/>
      <c r="Q845" s="4"/>
      <c r="R845" s="4"/>
      <c r="S845" s="4"/>
      <c r="T845" s="4"/>
      <c r="U845" s="4"/>
      <c r="V845" s="4"/>
      <c r="W845" s="4"/>
      <c r="X845" s="4"/>
    </row>
    <row r="846" spans="1:24" ht="15.6" x14ac:dyDescent="0.3">
      <c r="A846" s="6"/>
      <c r="B846" s="7"/>
      <c r="C846" s="136"/>
      <c r="D846" s="8"/>
      <c r="E846" s="8"/>
      <c r="F846" s="9"/>
      <c r="G846" s="10"/>
      <c r="H846" s="9"/>
      <c r="I846" s="4"/>
      <c r="J846" s="4"/>
      <c r="K846" s="11"/>
      <c r="L846" s="4"/>
      <c r="M846" s="4"/>
      <c r="N846" s="4"/>
      <c r="O846" s="4"/>
      <c r="P846" s="4"/>
      <c r="Q846" s="4"/>
      <c r="R846" s="4"/>
      <c r="S846" s="4"/>
      <c r="T846" s="4"/>
      <c r="U846" s="4"/>
      <c r="V846" s="4"/>
      <c r="W846" s="4"/>
      <c r="X846" s="4"/>
    </row>
    <row r="847" spans="1:24" ht="15.6" x14ac:dyDescent="0.3">
      <c r="A847" s="6"/>
      <c r="B847" s="7"/>
      <c r="C847" s="136"/>
      <c r="D847" s="8"/>
      <c r="E847" s="8"/>
      <c r="F847" s="9"/>
      <c r="G847" s="10"/>
      <c r="H847" s="9"/>
      <c r="I847" s="4"/>
      <c r="J847" s="4"/>
      <c r="K847" s="11"/>
      <c r="L847" s="4"/>
      <c r="M847" s="4"/>
      <c r="N847" s="4"/>
      <c r="O847" s="4"/>
      <c r="P847" s="4"/>
      <c r="Q847" s="4"/>
      <c r="R847" s="4"/>
      <c r="S847" s="4"/>
      <c r="T847" s="4"/>
      <c r="U847" s="4"/>
      <c r="V847" s="4"/>
      <c r="W847" s="4"/>
      <c r="X847" s="4"/>
    </row>
    <row r="848" spans="1:24" ht="15.6" x14ac:dyDescent="0.3">
      <c r="A848" s="6"/>
      <c r="B848" s="7"/>
      <c r="C848" s="136"/>
      <c r="D848" s="8"/>
      <c r="E848" s="8"/>
      <c r="F848" s="9"/>
      <c r="G848" s="10"/>
      <c r="H848" s="9"/>
      <c r="I848" s="4"/>
      <c r="J848" s="4"/>
      <c r="K848" s="11"/>
      <c r="L848" s="4"/>
      <c r="M848" s="4"/>
      <c r="N848" s="4"/>
      <c r="O848" s="4"/>
      <c r="P848" s="4"/>
      <c r="Q848" s="4"/>
      <c r="R848" s="4"/>
      <c r="S848" s="4"/>
      <c r="T848" s="4"/>
      <c r="U848" s="4"/>
      <c r="V848" s="4"/>
      <c r="W848" s="4"/>
      <c r="X848" s="4"/>
    </row>
    <row r="849" spans="1:24" ht="15.6" x14ac:dyDescent="0.3">
      <c r="A849" s="6"/>
      <c r="B849" s="7"/>
      <c r="C849" s="136"/>
      <c r="D849" s="8"/>
      <c r="E849" s="8"/>
      <c r="F849" s="9"/>
      <c r="G849" s="10"/>
      <c r="H849" s="9"/>
      <c r="I849" s="4"/>
      <c r="J849" s="4"/>
      <c r="K849" s="11"/>
      <c r="L849" s="4"/>
      <c r="M849" s="4"/>
      <c r="N849" s="4"/>
      <c r="O849" s="4"/>
      <c r="P849" s="4"/>
      <c r="Q849" s="4"/>
      <c r="R849" s="4"/>
      <c r="S849" s="4"/>
      <c r="T849" s="4"/>
      <c r="U849" s="4"/>
      <c r="V849" s="4"/>
      <c r="W849" s="4"/>
      <c r="X849" s="4"/>
    </row>
    <row r="850" spans="1:24" ht="15.6" x14ac:dyDescent="0.3">
      <c r="A850" s="6"/>
      <c r="B850" s="7"/>
      <c r="C850" s="136"/>
      <c r="D850" s="8"/>
      <c r="E850" s="8"/>
      <c r="F850" s="9"/>
      <c r="G850" s="10"/>
      <c r="H850" s="9"/>
      <c r="I850" s="4"/>
      <c r="J850" s="4"/>
      <c r="K850" s="11"/>
      <c r="L850" s="4"/>
      <c r="M850" s="4"/>
      <c r="N850" s="4"/>
      <c r="O850" s="4"/>
      <c r="P850" s="4"/>
      <c r="Q850" s="4"/>
      <c r="R850" s="4"/>
      <c r="S850" s="4"/>
      <c r="T850" s="4"/>
      <c r="U850" s="4"/>
      <c r="V850" s="4"/>
      <c r="W850" s="4"/>
      <c r="X850" s="4"/>
    </row>
    <row r="851" spans="1:24" ht="15.6" x14ac:dyDescent="0.3">
      <c r="A851" s="6"/>
      <c r="B851" s="7"/>
      <c r="C851" s="136"/>
      <c r="D851" s="8"/>
      <c r="E851" s="8"/>
      <c r="F851" s="9"/>
      <c r="G851" s="10"/>
      <c r="H851" s="9"/>
      <c r="I851" s="4"/>
      <c r="J851" s="4"/>
      <c r="K851" s="11"/>
      <c r="L851" s="4"/>
      <c r="M851" s="4"/>
      <c r="N851" s="4"/>
      <c r="O851" s="4"/>
      <c r="P851" s="4"/>
      <c r="Q851" s="4"/>
      <c r="R851" s="4"/>
      <c r="S851" s="4"/>
      <c r="T851" s="4"/>
      <c r="U851" s="4"/>
      <c r="V851" s="4"/>
      <c r="W851" s="4"/>
      <c r="X851" s="4"/>
    </row>
    <row r="852" spans="1:24" ht="15.6" x14ac:dyDescent="0.3">
      <c r="A852" s="6"/>
      <c r="B852" s="7"/>
      <c r="C852" s="136"/>
      <c r="D852" s="8"/>
      <c r="E852" s="8"/>
      <c r="F852" s="9"/>
      <c r="G852" s="10"/>
      <c r="H852" s="9"/>
      <c r="I852" s="4"/>
      <c r="J852" s="4"/>
      <c r="K852" s="11"/>
      <c r="L852" s="4"/>
      <c r="M852" s="4"/>
      <c r="N852" s="4"/>
      <c r="O852" s="4"/>
      <c r="P852" s="4"/>
      <c r="Q852" s="4"/>
      <c r="R852" s="4"/>
      <c r="S852" s="4"/>
      <c r="T852" s="4"/>
      <c r="U852" s="4"/>
      <c r="V852" s="4"/>
      <c r="W852" s="4"/>
      <c r="X852" s="4"/>
    </row>
    <row r="853" spans="1:24" ht="15.6" x14ac:dyDescent="0.3">
      <c r="A853" s="6"/>
      <c r="B853" s="7"/>
      <c r="C853" s="136"/>
      <c r="D853" s="8"/>
      <c r="E853" s="8"/>
      <c r="F853" s="9"/>
      <c r="G853" s="10"/>
      <c r="H853" s="9"/>
      <c r="I853" s="4"/>
      <c r="J853" s="4"/>
      <c r="K853" s="11"/>
      <c r="L853" s="4"/>
      <c r="M853" s="4"/>
      <c r="N853" s="4"/>
      <c r="O853" s="4"/>
      <c r="P853" s="4"/>
      <c r="Q853" s="4"/>
      <c r="R853" s="4"/>
      <c r="S853" s="4"/>
      <c r="T853" s="4"/>
      <c r="U853" s="4"/>
      <c r="V853" s="4"/>
      <c r="W853" s="4"/>
      <c r="X853" s="4"/>
    </row>
    <row r="854" spans="1:24" ht="15.6" x14ac:dyDescent="0.3">
      <c r="A854" s="6"/>
      <c r="B854" s="7"/>
      <c r="C854" s="136"/>
      <c r="D854" s="8"/>
      <c r="E854" s="8"/>
      <c r="F854" s="9"/>
      <c r="G854" s="10"/>
      <c r="H854" s="9"/>
      <c r="I854" s="4"/>
      <c r="J854" s="4"/>
      <c r="K854" s="11"/>
      <c r="L854" s="4"/>
      <c r="M854" s="4"/>
      <c r="N854" s="4"/>
      <c r="O854" s="4"/>
      <c r="P854" s="4"/>
      <c r="Q854" s="4"/>
      <c r="R854" s="4"/>
      <c r="S854" s="4"/>
      <c r="T854" s="4"/>
      <c r="U854" s="4"/>
      <c r="V854" s="4"/>
      <c r="W854" s="4"/>
      <c r="X854" s="4"/>
    </row>
    <row r="855" spans="1:24" ht="15.6" x14ac:dyDescent="0.3">
      <c r="A855" s="6"/>
      <c r="B855" s="7"/>
      <c r="C855" s="136"/>
      <c r="D855" s="8"/>
      <c r="E855" s="8"/>
      <c r="F855" s="9"/>
      <c r="G855" s="10"/>
      <c r="H855" s="9"/>
      <c r="I855" s="4"/>
      <c r="J855" s="4"/>
      <c r="K855" s="11"/>
      <c r="L855" s="4"/>
      <c r="M855" s="4"/>
      <c r="N855" s="4"/>
      <c r="O855" s="4"/>
      <c r="P855" s="4"/>
      <c r="Q855" s="4"/>
      <c r="R855" s="4"/>
      <c r="S855" s="4"/>
      <c r="T855" s="4"/>
      <c r="U855" s="4"/>
      <c r="V855" s="4"/>
      <c r="W855" s="4"/>
      <c r="X855" s="4"/>
    </row>
    <row r="856" spans="1:24" ht="15.6" x14ac:dyDescent="0.3">
      <c r="A856" s="6"/>
      <c r="B856" s="7"/>
      <c r="C856" s="136"/>
      <c r="D856" s="8"/>
      <c r="E856" s="8"/>
      <c r="F856" s="9"/>
      <c r="G856" s="10"/>
      <c r="H856" s="9"/>
      <c r="I856" s="4"/>
      <c r="J856" s="4"/>
      <c r="K856" s="11"/>
      <c r="L856" s="4"/>
      <c r="M856" s="4"/>
      <c r="N856" s="4"/>
      <c r="O856" s="4"/>
      <c r="P856" s="4"/>
      <c r="Q856" s="4"/>
      <c r="R856" s="4"/>
      <c r="S856" s="4"/>
      <c r="T856" s="4"/>
      <c r="U856" s="4"/>
      <c r="V856" s="4"/>
      <c r="W856" s="4"/>
      <c r="X856" s="4"/>
    </row>
    <row r="857" spans="1:24" ht="15.6" x14ac:dyDescent="0.3">
      <c r="A857" s="6"/>
      <c r="B857" s="7"/>
      <c r="C857" s="136"/>
      <c r="D857" s="8"/>
      <c r="E857" s="8"/>
      <c r="F857" s="9"/>
      <c r="G857" s="10"/>
      <c r="H857" s="9"/>
      <c r="I857" s="4"/>
      <c r="J857" s="4"/>
      <c r="K857" s="11"/>
      <c r="L857" s="4"/>
      <c r="M857" s="4"/>
      <c r="N857" s="4"/>
      <c r="O857" s="4"/>
      <c r="P857" s="4"/>
      <c r="Q857" s="4"/>
      <c r="R857" s="4"/>
      <c r="S857" s="4"/>
      <c r="T857" s="4"/>
      <c r="U857" s="4"/>
      <c r="V857" s="4"/>
      <c r="W857" s="4"/>
      <c r="X857" s="4"/>
    </row>
    <row r="858" spans="1:24" ht="15.6" x14ac:dyDescent="0.3">
      <c r="A858" s="6"/>
      <c r="B858" s="7"/>
      <c r="C858" s="136"/>
      <c r="D858" s="8"/>
      <c r="E858" s="8"/>
      <c r="F858" s="9"/>
      <c r="G858" s="10"/>
      <c r="H858" s="9"/>
      <c r="I858" s="4"/>
      <c r="J858" s="4"/>
      <c r="K858" s="11"/>
      <c r="L858" s="4"/>
      <c r="M858" s="4"/>
      <c r="N858" s="4"/>
      <c r="O858" s="4"/>
      <c r="P858" s="4"/>
      <c r="Q858" s="4"/>
      <c r="R858" s="4"/>
      <c r="S858" s="4"/>
      <c r="T858" s="4"/>
      <c r="U858" s="4"/>
      <c r="V858" s="4"/>
      <c r="W858" s="4"/>
      <c r="X858" s="4"/>
    </row>
    <row r="859" spans="1:24" ht="15.6" x14ac:dyDescent="0.3">
      <c r="A859" s="6"/>
      <c r="B859" s="7"/>
      <c r="C859" s="136"/>
      <c r="D859" s="8"/>
      <c r="E859" s="8"/>
      <c r="F859" s="9"/>
      <c r="G859" s="10"/>
      <c r="H859" s="9"/>
      <c r="I859" s="4"/>
      <c r="J859" s="4"/>
      <c r="K859" s="11"/>
      <c r="L859" s="4"/>
      <c r="M859" s="4"/>
      <c r="N859" s="4"/>
      <c r="O859" s="4"/>
      <c r="P859" s="4"/>
      <c r="Q859" s="4"/>
      <c r="R859" s="4"/>
      <c r="S859" s="4"/>
      <c r="T859" s="4"/>
      <c r="U859" s="4"/>
      <c r="V859" s="4"/>
      <c r="W859" s="4"/>
      <c r="X859" s="4"/>
    </row>
    <row r="860" spans="1:24" ht="15.6" x14ac:dyDescent="0.3">
      <c r="A860" s="6"/>
      <c r="B860" s="7"/>
      <c r="C860" s="136"/>
      <c r="D860" s="8"/>
      <c r="E860" s="8"/>
      <c r="F860" s="9"/>
      <c r="G860" s="10"/>
      <c r="H860" s="9"/>
      <c r="I860" s="4"/>
      <c r="J860" s="4"/>
      <c r="K860" s="11"/>
      <c r="L860" s="4"/>
      <c r="M860" s="4"/>
      <c r="N860" s="4"/>
      <c r="O860" s="4"/>
      <c r="P860" s="4"/>
      <c r="Q860" s="4"/>
      <c r="R860" s="4"/>
      <c r="S860" s="4"/>
      <c r="T860" s="4"/>
      <c r="U860" s="4"/>
      <c r="V860" s="4"/>
      <c r="W860" s="4"/>
      <c r="X860" s="4"/>
    </row>
    <row r="861" spans="1:24" ht="15.6" x14ac:dyDescent="0.3">
      <c r="A861" s="6"/>
      <c r="B861" s="7"/>
      <c r="C861" s="136"/>
      <c r="D861" s="8"/>
      <c r="E861" s="8"/>
      <c r="F861" s="9"/>
      <c r="G861" s="10"/>
      <c r="H861" s="9"/>
      <c r="I861" s="4"/>
      <c r="J861" s="4"/>
      <c r="K861" s="11"/>
      <c r="L861" s="4"/>
      <c r="M861" s="4"/>
      <c r="N861" s="4"/>
      <c r="O861" s="4"/>
      <c r="P861" s="4"/>
      <c r="Q861" s="4"/>
      <c r="R861" s="4"/>
      <c r="S861" s="4"/>
      <c r="T861" s="4"/>
      <c r="U861" s="4"/>
      <c r="V861" s="4"/>
      <c r="W861" s="4"/>
      <c r="X861" s="4"/>
    </row>
    <row r="862" spans="1:24" ht="15.6" x14ac:dyDescent="0.3">
      <c r="A862" s="6"/>
      <c r="B862" s="7"/>
      <c r="C862" s="136"/>
      <c r="D862" s="8"/>
      <c r="E862" s="8"/>
      <c r="F862" s="9"/>
      <c r="G862" s="10"/>
      <c r="H862" s="9"/>
      <c r="I862" s="4"/>
      <c r="J862" s="4"/>
      <c r="K862" s="11"/>
      <c r="L862" s="4"/>
      <c r="M862" s="4"/>
      <c r="N862" s="4"/>
      <c r="O862" s="4"/>
      <c r="P862" s="4"/>
      <c r="Q862" s="4"/>
      <c r="R862" s="4"/>
      <c r="S862" s="4"/>
      <c r="T862" s="4"/>
      <c r="U862" s="4"/>
      <c r="V862" s="4"/>
      <c r="W862" s="4"/>
      <c r="X862" s="4"/>
    </row>
    <row r="863" spans="1:24" ht="15.6" x14ac:dyDescent="0.3">
      <c r="A863" s="6"/>
      <c r="B863" s="7"/>
      <c r="C863" s="136"/>
      <c r="D863" s="8"/>
      <c r="E863" s="8"/>
      <c r="F863" s="9"/>
      <c r="G863" s="10"/>
      <c r="H863" s="9"/>
      <c r="I863" s="4"/>
      <c r="J863" s="4"/>
      <c r="K863" s="11"/>
      <c r="L863" s="4"/>
      <c r="M863" s="4"/>
      <c r="N863" s="4"/>
      <c r="O863" s="4"/>
      <c r="P863" s="4"/>
      <c r="Q863" s="4"/>
      <c r="R863" s="4"/>
      <c r="S863" s="4"/>
      <c r="T863" s="4"/>
      <c r="U863" s="4"/>
      <c r="V863" s="4"/>
      <c r="W863" s="4"/>
      <c r="X863" s="4"/>
    </row>
    <row r="864" spans="1:24" ht="15.6" x14ac:dyDescent="0.3">
      <c r="A864" s="6"/>
      <c r="B864" s="7"/>
      <c r="C864" s="136"/>
      <c r="D864" s="8"/>
      <c r="E864" s="8"/>
      <c r="F864" s="9"/>
      <c r="G864" s="10"/>
      <c r="H864" s="9"/>
      <c r="I864" s="4"/>
      <c r="J864" s="4"/>
      <c r="K864" s="11"/>
      <c r="L864" s="4"/>
      <c r="M864" s="4"/>
      <c r="N864" s="4"/>
      <c r="O864" s="4"/>
      <c r="P864" s="4"/>
      <c r="Q864" s="4"/>
      <c r="R864" s="4"/>
      <c r="S864" s="4"/>
      <c r="T864" s="4"/>
      <c r="U864" s="4"/>
      <c r="V864" s="4"/>
      <c r="W864" s="4"/>
      <c r="X864" s="4"/>
    </row>
    <row r="865" spans="1:24" ht="15.6" x14ac:dyDescent="0.3">
      <c r="A865" s="6"/>
      <c r="B865" s="7"/>
      <c r="C865" s="136"/>
      <c r="D865" s="8"/>
      <c r="E865" s="8"/>
      <c r="F865" s="9"/>
      <c r="G865" s="10"/>
      <c r="H865" s="9"/>
      <c r="I865" s="4"/>
      <c r="J865" s="4"/>
      <c r="K865" s="11"/>
      <c r="L865" s="4"/>
      <c r="M865" s="4"/>
      <c r="N865" s="4"/>
      <c r="O865" s="4"/>
      <c r="P865" s="4"/>
      <c r="Q865" s="4"/>
      <c r="R865" s="4"/>
      <c r="S865" s="4"/>
      <c r="T865" s="4"/>
      <c r="U865" s="4"/>
      <c r="V865" s="4"/>
      <c r="W865" s="4"/>
      <c r="X865" s="4"/>
    </row>
    <row r="866" spans="1:24" ht="15.6" x14ac:dyDescent="0.3">
      <c r="A866" s="6"/>
      <c r="B866" s="7"/>
      <c r="C866" s="136"/>
      <c r="D866" s="8"/>
      <c r="E866" s="8"/>
      <c r="F866" s="9"/>
      <c r="G866" s="10"/>
      <c r="H866" s="9"/>
      <c r="I866" s="4"/>
      <c r="J866" s="4"/>
      <c r="K866" s="11"/>
      <c r="L866" s="4"/>
      <c r="M866" s="4"/>
      <c r="N866" s="4"/>
      <c r="O866" s="4"/>
      <c r="P866" s="4"/>
      <c r="Q866" s="4"/>
      <c r="R866" s="4"/>
      <c r="S866" s="4"/>
      <c r="T866" s="4"/>
      <c r="U866" s="4"/>
      <c r="V866" s="4"/>
      <c r="W866" s="4"/>
      <c r="X866" s="4"/>
    </row>
    <row r="867" spans="1:24" ht="15.6" x14ac:dyDescent="0.3">
      <c r="A867" s="6"/>
      <c r="B867" s="7"/>
      <c r="C867" s="136"/>
      <c r="D867" s="8"/>
      <c r="E867" s="8"/>
      <c r="F867" s="9"/>
      <c r="G867" s="10"/>
      <c r="H867" s="9"/>
      <c r="I867" s="4"/>
      <c r="J867" s="4"/>
      <c r="K867" s="11"/>
      <c r="L867" s="4"/>
      <c r="M867" s="4"/>
      <c r="N867" s="4"/>
      <c r="O867" s="4"/>
      <c r="P867" s="4"/>
      <c r="Q867" s="4"/>
      <c r="R867" s="4"/>
      <c r="S867" s="4"/>
      <c r="T867" s="4"/>
      <c r="U867" s="4"/>
      <c r="V867" s="4"/>
      <c r="W867" s="4"/>
      <c r="X867" s="4"/>
    </row>
    <row r="868" spans="1:24" ht="15.6" x14ac:dyDescent="0.3">
      <c r="A868" s="6"/>
      <c r="B868" s="7"/>
      <c r="C868" s="136"/>
      <c r="D868" s="8"/>
      <c r="E868" s="8"/>
      <c r="F868" s="9"/>
      <c r="G868" s="10"/>
      <c r="H868" s="9"/>
      <c r="I868" s="4"/>
      <c r="J868" s="4"/>
      <c r="K868" s="11"/>
      <c r="L868" s="4"/>
      <c r="M868" s="4"/>
      <c r="N868" s="4"/>
      <c r="O868" s="4"/>
      <c r="P868" s="4"/>
      <c r="Q868" s="4"/>
      <c r="R868" s="4"/>
      <c r="S868" s="4"/>
      <c r="T868" s="4"/>
      <c r="U868" s="4"/>
      <c r="V868" s="4"/>
      <c r="W868" s="4"/>
      <c r="X868" s="4"/>
    </row>
    <row r="869" spans="1:24" ht="15.6" x14ac:dyDescent="0.3">
      <c r="A869" s="6"/>
      <c r="B869" s="7"/>
      <c r="C869" s="136"/>
      <c r="D869" s="8"/>
      <c r="E869" s="8"/>
      <c r="F869" s="9"/>
      <c r="G869" s="10"/>
      <c r="H869" s="9"/>
      <c r="I869" s="4"/>
      <c r="J869" s="4"/>
      <c r="K869" s="11"/>
      <c r="L869" s="4"/>
      <c r="M869" s="4"/>
      <c r="N869" s="4"/>
      <c r="O869" s="4"/>
      <c r="P869" s="4"/>
      <c r="Q869" s="4"/>
      <c r="R869" s="4"/>
      <c r="S869" s="4"/>
      <c r="T869" s="4"/>
      <c r="U869" s="4"/>
      <c r="V869" s="4"/>
      <c r="W869" s="4"/>
      <c r="X869" s="4"/>
    </row>
    <row r="870" spans="1:24" ht="15.6" x14ac:dyDescent="0.3">
      <c r="A870" s="6"/>
      <c r="B870" s="7"/>
      <c r="C870" s="136"/>
      <c r="D870" s="8"/>
      <c r="E870" s="8"/>
      <c r="F870" s="9"/>
      <c r="G870" s="10"/>
      <c r="H870" s="9"/>
      <c r="I870" s="4"/>
      <c r="J870" s="4"/>
      <c r="K870" s="11"/>
      <c r="L870" s="4"/>
      <c r="M870" s="4"/>
      <c r="N870" s="4"/>
      <c r="O870" s="4"/>
      <c r="P870" s="4"/>
      <c r="Q870" s="4"/>
      <c r="R870" s="4"/>
      <c r="S870" s="4"/>
      <c r="T870" s="4"/>
      <c r="U870" s="4"/>
      <c r="V870" s="4"/>
      <c r="W870" s="4"/>
      <c r="X870" s="4"/>
    </row>
    <row r="871" spans="1:24" ht="15.6" x14ac:dyDescent="0.3">
      <c r="A871" s="6"/>
      <c r="B871" s="7"/>
      <c r="C871" s="136"/>
      <c r="D871" s="8"/>
      <c r="E871" s="8"/>
      <c r="F871" s="9"/>
      <c r="G871" s="10"/>
      <c r="H871" s="9"/>
      <c r="I871" s="4"/>
      <c r="J871" s="4"/>
      <c r="K871" s="11"/>
      <c r="L871" s="4"/>
      <c r="M871" s="4"/>
      <c r="N871" s="4"/>
      <c r="O871" s="4"/>
      <c r="P871" s="4"/>
      <c r="Q871" s="4"/>
      <c r="R871" s="4"/>
      <c r="S871" s="4"/>
      <c r="T871" s="4"/>
      <c r="U871" s="4"/>
      <c r="V871" s="4"/>
      <c r="W871" s="4"/>
      <c r="X871" s="4"/>
    </row>
    <row r="872" spans="1:24" ht="15.6" x14ac:dyDescent="0.3">
      <c r="A872" s="6"/>
      <c r="B872" s="7"/>
      <c r="C872" s="136"/>
      <c r="D872" s="8"/>
      <c r="E872" s="8"/>
      <c r="F872" s="9"/>
      <c r="G872" s="10"/>
      <c r="H872" s="9"/>
      <c r="I872" s="4"/>
      <c r="J872" s="4"/>
      <c r="K872" s="11"/>
      <c r="L872" s="4"/>
      <c r="M872" s="4"/>
      <c r="N872" s="4"/>
      <c r="O872" s="4"/>
      <c r="P872" s="4"/>
      <c r="Q872" s="4"/>
      <c r="R872" s="4"/>
      <c r="S872" s="4"/>
      <c r="T872" s="4"/>
      <c r="U872" s="4"/>
      <c r="V872" s="4"/>
      <c r="W872" s="4"/>
      <c r="X872" s="4"/>
    </row>
    <row r="873" spans="1:24" ht="15.6" x14ac:dyDescent="0.3">
      <c r="A873" s="6"/>
      <c r="B873" s="7"/>
      <c r="C873" s="136"/>
      <c r="D873" s="8"/>
      <c r="E873" s="8"/>
      <c r="F873" s="9"/>
      <c r="G873" s="10"/>
      <c r="H873" s="9"/>
      <c r="I873" s="4"/>
      <c r="J873" s="4"/>
      <c r="K873" s="11"/>
      <c r="L873" s="4"/>
      <c r="M873" s="4"/>
      <c r="N873" s="4"/>
      <c r="O873" s="4"/>
      <c r="P873" s="4"/>
      <c r="Q873" s="4"/>
      <c r="R873" s="4"/>
      <c r="S873" s="4"/>
      <c r="T873" s="4"/>
      <c r="U873" s="4"/>
      <c r="V873" s="4"/>
      <c r="W873" s="4"/>
      <c r="X873" s="4"/>
    </row>
    <row r="874" spans="1:24" ht="15.6" x14ac:dyDescent="0.3">
      <c r="A874" s="6"/>
      <c r="B874" s="7"/>
      <c r="C874" s="136"/>
      <c r="D874" s="8"/>
      <c r="E874" s="8"/>
      <c r="F874" s="9"/>
      <c r="G874" s="10"/>
      <c r="H874" s="9"/>
      <c r="I874" s="4"/>
      <c r="J874" s="4"/>
      <c r="K874" s="11"/>
      <c r="L874" s="4"/>
      <c r="M874" s="4"/>
      <c r="N874" s="4"/>
      <c r="O874" s="4"/>
      <c r="P874" s="4"/>
      <c r="Q874" s="4"/>
      <c r="R874" s="4"/>
      <c r="S874" s="4"/>
      <c r="T874" s="4"/>
      <c r="U874" s="4"/>
      <c r="V874" s="4"/>
      <c r="W874" s="4"/>
      <c r="X874" s="4"/>
    </row>
    <row r="875" spans="1:24" ht="15.6" x14ac:dyDescent="0.3">
      <c r="A875" s="6"/>
      <c r="B875" s="7"/>
      <c r="C875" s="136"/>
      <c r="D875" s="8"/>
      <c r="E875" s="8"/>
      <c r="F875" s="9"/>
      <c r="G875" s="10"/>
      <c r="H875" s="9"/>
      <c r="I875" s="4"/>
      <c r="J875" s="4"/>
      <c r="K875" s="11"/>
      <c r="L875" s="4"/>
      <c r="M875" s="4"/>
      <c r="N875" s="4"/>
      <c r="O875" s="4"/>
      <c r="P875" s="4"/>
      <c r="Q875" s="4"/>
      <c r="R875" s="4"/>
      <c r="S875" s="4"/>
      <c r="T875" s="4"/>
      <c r="U875" s="4"/>
      <c r="V875" s="4"/>
      <c r="W875" s="4"/>
      <c r="X875" s="4"/>
    </row>
    <row r="876" spans="1:24" ht="15.6" x14ac:dyDescent="0.3">
      <c r="A876" s="6"/>
      <c r="B876" s="7"/>
      <c r="C876" s="136"/>
      <c r="D876" s="8"/>
      <c r="E876" s="8"/>
      <c r="F876" s="9"/>
      <c r="G876" s="10"/>
      <c r="H876" s="9"/>
      <c r="I876" s="4"/>
      <c r="J876" s="4"/>
      <c r="K876" s="11"/>
      <c r="L876" s="4"/>
      <c r="M876" s="4"/>
      <c r="N876" s="4"/>
      <c r="O876" s="4"/>
      <c r="P876" s="4"/>
      <c r="Q876" s="4"/>
      <c r="R876" s="4"/>
      <c r="S876" s="4"/>
      <c r="T876" s="4"/>
      <c r="U876" s="4"/>
      <c r="V876" s="4"/>
      <c r="W876" s="4"/>
      <c r="X876" s="4"/>
    </row>
    <row r="877" spans="1:24" ht="15.6" x14ac:dyDescent="0.3">
      <c r="A877" s="6"/>
      <c r="B877" s="7"/>
      <c r="C877" s="136"/>
      <c r="D877" s="8"/>
      <c r="E877" s="8"/>
      <c r="F877" s="9"/>
      <c r="G877" s="10"/>
      <c r="H877" s="9"/>
      <c r="I877" s="4"/>
      <c r="J877" s="4"/>
      <c r="K877" s="11"/>
      <c r="L877" s="4"/>
      <c r="M877" s="4"/>
      <c r="N877" s="4"/>
      <c r="O877" s="4"/>
      <c r="P877" s="4"/>
      <c r="Q877" s="4"/>
      <c r="R877" s="4"/>
      <c r="S877" s="4"/>
      <c r="T877" s="4"/>
      <c r="U877" s="4"/>
      <c r="V877" s="4"/>
      <c r="W877" s="4"/>
      <c r="X877" s="4"/>
    </row>
    <row r="878" spans="1:24" ht="15.6" x14ac:dyDescent="0.3">
      <c r="A878" s="6"/>
      <c r="B878" s="7"/>
      <c r="C878" s="136"/>
      <c r="D878" s="8"/>
      <c r="E878" s="8"/>
      <c r="F878" s="9"/>
      <c r="G878" s="10"/>
      <c r="H878" s="9"/>
      <c r="I878" s="4"/>
      <c r="J878" s="4"/>
      <c r="K878" s="11"/>
      <c r="L878" s="4"/>
      <c r="M878" s="4"/>
      <c r="N878" s="4"/>
      <c r="O878" s="4"/>
      <c r="P878" s="4"/>
      <c r="Q878" s="4"/>
      <c r="R878" s="4"/>
      <c r="S878" s="4"/>
      <c r="T878" s="4"/>
      <c r="U878" s="4"/>
      <c r="V878" s="4"/>
      <c r="W878" s="4"/>
      <c r="X878" s="4"/>
    </row>
    <row r="879" spans="1:24" ht="15.6" x14ac:dyDescent="0.3">
      <c r="A879" s="6"/>
      <c r="B879" s="7"/>
      <c r="C879" s="136"/>
      <c r="D879" s="8"/>
      <c r="E879" s="8"/>
      <c r="F879" s="9"/>
      <c r="G879" s="10"/>
      <c r="H879" s="9"/>
      <c r="I879" s="4"/>
      <c r="J879" s="4"/>
      <c r="K879" s="11"/>
      <c r="L879" s="4"/>
      <c r="M879" s="4"/>
      <c r="N879" s="4"/>
      <c r="O879" s="4"/>
      <c r="P879" s="4"/>
      <c r="Q879" s="4"/>
      <c r="R879" s="4"/>
      <c r="S879" s="4"/>
      <c r="T879" s="4"/>
      <c r="U879" s="4"/>
      <c r="V879" s="4"/>
      <c r="W879" s="4"/>
      <c r="X879" s="4"/>
    </row>
    <row r="880" spans="1:24" ht="15.6" x14ac:dyDescent="0.3">
      <c r="A880" s="6"/>
      <c r="B880" s="7"/>
      <c r="C880" s="136"/>
      <c r="D880" s="8"/>
      <c r="E880" s="8"/>
      <c r="F880" s="9"/>
      <c r="G880" s="10"/>
      <c r="H880" s="9"/>
      <c r="I880" s="4"/>
      <c r="J880" s="4"/>
      <c r="K880" s="11"/>
      <c r="L880" s="4"/>
      <c r="M880" s="4"/>
      <c r="N880" s="4"/>
      <c r="O880" s="4"/>
      <c r="P880" s="4"/>
      <c r="Q880" s="4"/>
      <c r="R880" s="4"/>
      <c r="S880" s="4"/>
      <c r="T880" s="4"/>
      <c r="U880" s="4"/>
      <c r="V880" s="4"/>
      <c r="W880" s="4"/>
      <c r="X880" s="4"/>
    </row>
    <row r="881" spans="1:24" ht="15.6" x14ac:dyDescent="0.3">
      <c r="A881" s="6"/>
      <c r="B881" s="7"/>
      <c r="C881" s="136"/>
      <c r="D881" s="8"/>
      <c r="E881" s="8"/>
      <c r="F881" s="9"/>
      <c r="G881" s="10"/>
      <c r="H881" s="9"/>
      <c r="I881" s="4"/>
      <c r="J881" s="4"/>
      <c r="K881" s="11"/>
      <c r="L881" s="4"/>
      <c r="M881" s="4"/>
      <c r="N881" s="4"/>
      <c r="O881" s="4"/>
      <c r="P881" s="4"/>
      <c r="Q881" s="4"/>
      <c r="R881" s="4"/>
      <c r="S881" s="4"/>
      <c r="T881" s="4"/>
      <c r="U881" s="4"/>
      <c r="V881" s="4"/>
      <c r="W881" s="4"/>
      <c r="X881" s="4"/>
    </row>
    <row r="882" spans="1:24" ht="15.6" x14ac:dyDescent="0.3">
      <c r="A882" s="6"/>
      <c r="B882" s="7"/>
      <c r="C882" s="136"/>
      <c r="D882" s="8"/>
      <c r="E882" s="8"/>
      <c r="F882" s="9"/>
      <c r="G882" s="10"/>
      <c r="H882" s="9"/>
      <c r="I882" s="4"/>
      <c r="J882" s="4"/>
      <c r="K882" s="11"/>
      <c r="L882" s="4"/>
      <c r="M882" s="4"/>
      <c r="N882" s="4"/>
      <c r="O882" s="4"/>
      <c r="P882" s="4"/>
      <c r="Q882" s="4"/>
      <c r="R882" s="4"/>
      <c r="S882" s="4"/>
      <c r="T882" s="4"/>
      <c r="U882" s="4"/>
      <c r="V882" s="4"/>
      <c r="W882" s="4"/>
      <c r="X882" s="4"/>
    </row>
    <row r="883" spans="1:24" ht="15.6" x14ac:dyDescent="0.3">
      <c r="A883" s="6"/>
      <c r="B883" s="7"/>
      <c r="C883" s="136"/>
      <c r="D883" s="8"/>
      <c r="E883" s="8"/>
      <c r="F883" s="9"/>
      <c r="G883" s="10"/>
      <c r="H883" s="9"/>
      <c r="I883" s="4"/>
      <c r="J883" s="4"/>
      <c r="K883" s="11"/>
      <c r="L883" s="4"/>
      <c r="M883" s="4"/>
      <c r="N883" s="4"/>
      <c r="O883" s="4"/>
      <c r="P883" s="4"/>
      <c r="Q883" s="4"/>
      <c r="R883" s="4"/>
      <c r="S883" s="4"/>
      <c r="T883" s="4"/>
      <c r="U883" s="4"/>
      <c r="V883" s="4"/>
      <c r="W883" s="4"/>
      <c r="X883" s="4"/>
    </row>
    <row r="884" spans="1:24" ht="15.6" x14ac:dyDescent="0.3">
      <c r="A884" s="6"/>
      <c r="B884" s="7"/>
      <c r="C884" s="136"/>
      <c r="D884" s="8"/>
      <c r="E884" s="8"/>
      <c r="F884" s="9"/>
      <c r="G884" s="10"/>
      <c r="H884" s="9"/>
      <c r="I884" s="4"/>
      <c r="J884" s="4"/>
      <c r="K884" s="11"/>
      <c r="L884" s="4"/>
      <c r="M884" s="4"/>
      <c r="N884" s="4"/>
      <c r="O884" s="4"/>
      <c r="P884" s="4"/>
      <c r="Q884" s="4"/>
      <c r="R884" s="4"/>
      <c r="S884" s="4"/>
      <c r="T884" s="4"/>
      <c r="U884" s="4"/>
      <c r="V884" s="4"/>
      <c r="W884" s="4"/>
      <c r="X884" s="4"/>
    </row>
    <row r="885" spans="1:24" ht="15.6" x14ac:dyDescent="0.3">
      <c r="A885" s="6"/>
      <c r="B885" s="7"/>
      <c r="C885" s="136"/>
      <c r="D885" s="8"/>
      <c r="E885" s="8"/>
      <c r="F885" s="9"/>
      <c r="G885" s="10"/>
      <c r="H885" s="9"/>
      <c r="I885" s="4"/>
      <c r="J885" s="4"/>
      <c r="K885" s="11"/>
      <c r="L885" s="4"/>
      <c r="M885" s="4"/>
      <c r="N885" s="4"/>
      <c r="O885" s="4"/>
      <c r="P885" s="4"/>
      <c r="Q885" s="4"/>
      <c r="R885" s="4"/>
      <c r="S885" s="4"/>
      <c r="T885" s="4"/>
      <c r="U885" s="4"/>
      <c r="V885" s="4"/>
      <c r="W885" s="4"/>
      <c r="X885" s="4"/>
    </row>
    <row r="886" spans="1:24" ht="15.6" x14ac:dyDescent="0.3">
      <c r="A886" s="6"/>
      <c r="B886" s="7"/>
      <c r="C886" s="136"/>
      <c r="D886" s="8"/>
      <c r="E886" s="8"/>
      <c r="F886" s="9"/>
      <c r="G886" s="10"/>
      <c r="H886" s="9"/>
      <c r="I886" s="4"/>
      <c r="J886" s="4"/>
      <c r="K886" s="11"/>
      <c r="L886" s="4"/>
      <c r="M886" s="4"/>
      <c r="N886" s="4"/>
      <c r="O886" s="4"/>
      <c r="P886" s="4"/>
      <c r="Q886" s="4"/>
      <c r="R886" s="4"/>
      <c r="S886" s="4"/>
      <c r="T886" s="4"/>
      <c r="U886" s="4"/>
      <c r="V886" s="4"/>
      <c r="W886" s="4"/>
      <c r="X886" s="4"/>
    </row>
    <row r="887" spans="1:24" ht="15.6" x14ac:dyDescent="0.3">
      <c r="A887" s="6"/>
      <c r="B887" s="7"/>
      <c r="C887" s="136"/>
      <c r="D887" s="8"/>
      <c r="E887" s="8"/>
      <c r="F887" s="9"/>
      <c r="G887" s="10"/>
      <c r="H887" s="9"/>
      <c r="I887" s="4"/>
      <c r="J887" s="4"/>
      <c r="K887" s="11"/>
      <c r="L887" s="4"/>
      <c r="M887" s="4"/>
      <c r="N887" s="4"/>
      <c r="O887" s="4"/>
      <c r="P887" s="4"/>
      <c r="Q887" s="4"/>
      <c r="R887" s="4"/>
      <c r="S887" s="4"/>
      <c r="T887" s="4"/>
      <c r="U887" s="4"/>
      <c r="V887" s="4"/>
      <c r="W887" s="4"/>
      <c r="X887" s="4"/>
    </row>
    <row r="888" spans="1:24" ht="15.6" x14ac:dyDescent="0.3">
      <c r="A888" s="6"/>
      <c r="B888" s="7"/>
      <c r="C888" s="136"/>
      <c r="D888" s="8"/>
      <c r="E888" s="8"/>
      <c r="F888" s="9"/>
      <c r="G888" s="10"/>
      <c r="H888" s="9"/>
      <c r="I888" s="4"/>
      <c r="J888" s="4"/>
      <c r="K888" s="11"/>
      <c r="L888" s="4"/>
      <c r="M888" s="4"/>
      <c r="N888" s="4"/>
      <c r="O888" s="4"/>
      <c r="P888" s="4"/>
      <c r="Q888" s="4"/>
      <c r="R888" s="4"/>
      <c r="S888" s="4"/>
      <c r="T888" s="4"/>
      <c r="U888" s="4"/>
      <c r="V888" s="4"/>
      <c r="W888" s="4"/>
      <c r="X888" s="4"/>
    </row>
    <row r="889" spans="1:24" ht="15.6" x14ac:dyDescent="0.3">
      <c r="A889" s="6"/>
      <c r="B889" s="7"/>
      <c r="C889" s="136"/>
      <c r="D889" s="8"/>
      <c r="E889" s="8"/>
      <c r="F889" s="9"/>
      <c r="G889" s="10"/>
      <c r="H889" s="9"/>
      <c r="I889" s="4"/>
      <c r="J889" s="4"/>
      <c r="K889" s="11"/>
      <c r="L889" s="4"/>
      <c r="M889" s="4"/>
      <c r="N889" s="4"/>
      <c r="O889" s="4"/>
      <c r="P889" s="4"/>
      <c r="Q889" s="4"/>
      <c r="R889" s="4"/>
      <c r="S889" s="4"/>
      <c r="T889" s="4"/>
      <c r="U889" s="4"/>
      <c r="V889" s="4"/>
      <c r="W889" s="4"/>
      <c r="X889" s="4"/>
    </row>
    <row r="890" spans="1:24" ht="15.6" x14ac:dyDescent="0.3">
      <c r="A890" s="6"/>
      <c r="B890" s="7"/>
      <c r="C890" s="136"/>
      <c r="D890" s="8"/>
      <c r="E890" s="8"/>
      <c r="F890" s="9"/>
      <c r="G890" s="10"/>
      <c r="H890" s="9"/>
      <c r="I890" s="4"/>
      <c r="J890" s="4"/>
      <c r="K890" s="11"/>
      <c r="L890" s="4"/>
      <c r="M890" s="4"/>
      <c r="N890" s="4"/>
      <c r="O890" s="4"/>
      <c r="P890" s="4"/>
      <c r="Q890" s="4"/>
      <c r="R890" s="4"/>
      <c r="S890" s="4"/>
      <c r="T890" s="4"/>
      <c r="U890" s="4"/>
      <c r="V890" s="4"/>
      <c r="W890" s="4"/>
      <c r="X890" s="4"/>
    </row>
    <row r="891" spans="1:24" ht="15.6" x14ac:dyDescent="0.3">
      <c r="A891" s="6"/>
      <c r="B891" s="7"/>
      <c r="C891" s="136"/>
      <c r="D891" s="8"/>
      <c r="E891" s="8"/>
      <c r="F891" s="9"/>
      <c r="G891" s="10"/>
      <c r="H891" s="9"/>
      <c r="I891" s="4"/>
      <c r="J891" s="4"/>
      <c r="K891" s="11"/>
      <c r="L891" s="4"/>
      <c r="M891" s="4"/>
      <c r="N891" s="4"/>
      <c r="O891" s="4"/>
      <c r="P891" s="4"/>
      <c r="Q891" s="4"/>
      <c r="R891" s="4"/>
      <c r="S891" s="4"/>
      <c r="T891" s="4"/>
      <c r="U891" s="4"/>
      <c r="V891" s="4"/>
      <c r="W891" s="4"/>
      <c r="X891" s="4"/>
    </row>
    <row r="892" spans="1:24" ht="15.6" x14ac:dyDescent="0.3">
      <c r="A892" s="6"/>
      <c r="B892" s="7"/>
      <c r="C892" s="136"/>
      <c r="D892" s="8"/>
      <c r="E892" s="8"/>
      <c r="F892" s="9"/>
      <c r="G892" s="10"/>
      <c r="H892" s="9"/>
      <c r="I892" s="4"/>
      <c r="J892" s="4"/>
      <c r="K892" s="11"/>
      <c r="L892" s="4"/>
      <c r="M892" s="4"/>
      <c r="N892" s="4"/>
      <c r="O892" s="4"/>
      <c r="P892" s="4"/>
      <c r="Q892" s="4"/>
      <c r="R892" s="4"/>
      <c r="S892" s="4"/>
      <c r="T892" s="4"/>
      <c r="U892" s="4"/>
      <c r="V892" s="4"/>
      <c r="W892" s="4"/>
      <c r="X892" s="4"/>
    </row>
    <row r="893" spans="1:24" ht="15.6" x14ac:dyDescent="0.3">
      <c r="A893" s="6"/>
      <c r="B893" s="7"/>
      <c r="C893" s="136"/>
      <c r="D893" s="8"/>
      <c r="E893" s="8"/>
      <c r="F893" s="9"/>
      <c r="G893" s="10"/>
      <c r="H893" s="9"/>
      <c r="I893" s="4"/>
      <c r="J893" s="4"/>
      <c r="K893" s="11"/>
      <c r="L893" s="4"/>
      <c r="M893" s="4"/>
      <c r="N893" s="4"/>
      <c r="O893" s="4"/>
      <c r="P893" s="4"/>
      <c r="Q893" s="4"/>
      <c r="R893" s="4"/>
      <c r="S893" s="4"/>
      <c r="T893" s="4"/>
      <c r="U893" s="4"/>
      <c r="V893" s="4"/>
      <c r="W893" s="4"/>
      <c r="X893" s="4"/>
    </row>
    <row r="894" spans="1:24" ht="15.6" x14ac:dyDescent="0.3">
      <c r="A894" s="6"/>
      <c r="B894" s="7"/>
      <c r="C894" s="136"/>
      <c r="D894" s="8"/>
      <c r="E894" s="8"/>
      <c r="F894" s="9"/>
      <c r="G894" s="10"/>
      <c r="H894" s="9"/>
      <c r="I894" s="4"/>
      <c r="J894" s="4"/>
      <c r="K894" s="11"/>
      <c r="L894" s="4"/>
      <c r="M894" s="4"/>
      <c r="N894" s="4"/>
      <c r="O894" s="4"/>
      <c r="P894" s="4"/>
      <c r="Q894" s="4"/>
      <c r="R894" s="4"/>
      <c r="S894" s="4"/>
      <c r="T894" s="4"/>
      <c r="U894" s="4"/>
      <c r="V894" s="4"/>
      <c r="W894" s="4"/>
      <c r="X894" s="4"/>
    </row>
    <row r="895" spans="1:24" ht="15.6" x14ac:dyDescent="0.3">
      <c r="A895" s="6"/>
      <c r="B895" s="7"/>
      <c r="C895" s="136"/>
      <c r="D895" s="8"/>
      <c r="E895" s="8"/>
      <c r="F895" s="9"/>
      <c r="G895" s="10"/>
      <c r="H895" s="9"/>
      <c r="I895" s="4"/>
      <c r="J895" s="4"/>
      <c r="K895" s="11"/>
      <c r="L895" s="4"/>
      <c r="M895" s="4"/>
      <c r="N895" s="4"/>
      <c r="O895" s="4"/>
      <c r="P895" s="4"/>
      <c r="Q895" s="4"/>
      <c r="R895" s="4"/>
      <c r="S895" s="4"/>
      <c r="T895" s="4"/>
      <c r="U895" s="4"/>
      <c r="V895" s="4"/>
      <c r="W895" s="4"/>
      <c r="X895" s="4"/>
    </row>
    <row r="896" spans="1:24" ht="15.6" x14ac:dyDescent="0.3">
      <c r="A896" s="6"/>
      <c r="B896" s="7"/>
      <c r="C896" s="136"/>
      <c r="D896" s="8"/>
      <c r="E896" s="8"/>
      <c r="F896" s="9"/>
      <c r="G896" s="10"/>
      <c r="H896" s="9"/>
      <c r="I896" s="4"/>
      <c r="J896" s="4"/>
      <c r="K896" s="11"/>
      <c r="L896" s="4"/>
      <c r="M896" s="4"/>
      <c r="N896" s="4"/>
      <c r="O896" s="4"/>
      <c r="P896" s="4"/>
      <c r="Q896" s="4"/>
      <c r="R896" s="4"/>
      <c r="S896" s="4"/>
      <c r="T896" s="4"/>
      <c r="U896" s="4"/>
      <c r="V896" s="4"/>
      <c r="W896" s="4"/>
      <c r="X896" s="4"/>
    </row>
    <row r="897" spans="1:24" ht="15.6" x14ac:dyDescent="0.3">
      <c r="A897" s="6"/>
      <c r="B897" s="7"/>
      <c r="C897" s="136"/>
      <c r="D897" s="8"/>
      <c r="E897" s="8"/>
      <c r="F897" s="9"/>
      <c r="G897" s="10"/>
      <c r="H897" s="9"/>
      <c r="I897" s="4"/>
      <c r="J897" s="4"/>
      <c r="K897" s="11"/>
      <c r="L897" s="4"/>
      <c r="M897" s="4"/>
      <c r="N897" s="4"/>
      <c r="O897" s="4"/>
      <c r="P897" s="4"/>
      <c r="Q897" s="4"/>
      <c r="R897" s="4"/>
      <c r="S897" s="4"/>
      <c r="T897" s="4"/>
      <c r="U897" s="4"/>
      <c r="V897" s="4"/>
      <c r="W897" s="4"/>
      <c r="X897" s="4"/>
    </row>
    <row r="898" spans="1:24" ht="15.6" x14ac:dyDescent="0.3">
      <c r="A898" s="6"/>
      <c r="B898" s="7"/>
      <c r="C898" s="136"/>
      <c r="D898" s="8"/>
      <c r="E898" s="8"/>
      <c r="F898" s="9"/>
      <c r="G898" s="10"/>
      <c r="H898" s="9"/>
      <c r="I898" s="4"/>
      <c r="J898" s="4"/>
      <c r="K898" s="11"/>
      <c r="L898" s="4"/>
      <c r="M898" s="4"/>
      <c r="N898" s="4"/>
      <c r="O898" s="4"/>
      <c r="P898" s="4"/>
      <c r="Q898" s="4"/>
      <c r="R898" s="4"/>
      <c r="S898" s="4"/>
      <c r="T898" s="4"/>
      <c r="U898" s="4"/>
      <c r="V898" s="4"/>
      <c r="W898" s="4"/>
      <c r="X898" s="4"/>
    </row>
    <row r="899" spans="1:24" ht="15.6" x14ac:dyDescent="0.3">
      <c r="A899" s="6"/>
      <c r="B899" s="7"/>
      <c r="C899" s="136"/>
      <c r="D899" s="8"/>
      <c r="E899" s="8"/>
      <c r="F899" s="9"/>
      <c r="G899" s="10"/>
      <c r="H899" s="9"/>
      <c r="I899" s="4"/>
      <c r="J899" s="4"/>
      <c r="K899" s="11"/>
      <c r="L899" s="4"/>
      <c r="M899" s="4"/>
      <c r="N899" s="4"/>
      <c r="O899" s="4"/>
      <c r="P899" s="4"/>
      <c r="Q899" s="4"/>
      <c r="R899" s="4"/>
      <c r="S899" s="4"/>
      <c r="T899" s="4"/>
      <c r="U899" s="4"/>
      <c r="V899" s="4"/>
      <c r="W899" s="4"/>
      <c r="X899" s="4"/>
    </row>
    <row r="900" spans="1:24" ht="15.6" x14ac:dyDescent="0.3">
      <c r="A900" s="6"/>
      <c r="B900" s="7"/>
      <c r="C900" s="136"/>
      <c r="D900" s="8"/>
      <c r="E900" s="8"/>
      <c r="F900" s="9"/>
      <c r="G900" s="10"/>
      <c r="H900" s="9"/>
      <c r="I900" s="4"/>
      <c r="J900" s="4"/>
      <c r="K900" s="11"/>
      <c r="L900" s="4"/>
      <c r="M900" s="4"/>
      <c r="N900" s="4"/>
      <c r="O900" s="4"/>
      <c r="P900" s="4"/>
      <c r="Q900" s="4"/>
      <c r="R900" s="4"/>
      <c r="S900" s="4"/>
      <c r="T900" s="4"/>
      <c r="U900" s="4"/>
      <c r="V900" s="4"/>
      <c r="W900" s="4"/>
      <c r="X900" s="4"/>
    </row>
    <row r="901" spans="1:24" ht="15.6" x14ac:dyDescent="0.3">
      <c r="A901" s="6"/>
      <c r="B901" s="7"/>
      <c r="C901" s="136"/>
      <c r="D901" s="8"/>
      <c r="E901" s="8"/>
      <c r="F901" s="9"/>
      <c r="G901" s="10"/>
      <c r="H901" s="9"/>
      <c r="I901" s="4"/>
      <c r="J901" s="4"/>
      <c r="K901" s="11"/>
      <c r="L901" s="4"/>
      <c r="M901" s="4"/>
      <c r="N901" s="4"/>
      <c r="O901" s="4"/>
      <c r="P901" s="4"/>
      <c r="Q901" s="4"/>
      <c r="R901" s="4"/>
      <c r="S901" s="4"/>
      <c r="T901" s="4"/>
      <c r="U901" s="4"/>
      <c r="V901" s="4"/>
      <c r="W901" s="4"/>
      <c r="X901" s="4"/>
    </row>
    <row r="902" spans="1:24" ht="15.6" x14ac:dyDescent="0.3">
      <c r="A902" s="6"/>
      <c r="B902" s="7"/>
      <c r="C902" s="136"/>
      <c r="D902" s="8"/>
      <c r="E902" s="8"/>
      <c r="F902" s="9"/>
      <c r="G902" s="10"/>
      <c r="H902" s="9"/>
      <c r="I902" s="4"/>
      <c r="J902" s="4"/>
      <c r="K902" s="11"/>
      <c r="L902" s="4"/>
      <c r="M902" s="4"/>
      <c r="N902" s="4"/>
      <c r="O902" s="4"/>
      <c r="P902" s="4"/>
      <c r="Q902" s="4"/>
      <c r="R902" s="4"/>
      <c r="S902" s="4"/>
      <c r="T902" s="4"/>
      <c r="U902" s="4"/>
      <c r="V902" s="4"/>
      <c r="W902" s="4"/>
      <c r="X902" s="4"/>
    </row>
    <row r="903" spans="1:24" ht="15.6" x14ac:dyDescent="0.3">
      <c r="A903" s="6"/>
      <c r="B903" s="7"/>
      <c r="C903" s="136"/>
      <c r="D903" s="8"/>
      <c r="E903" s="8"/>
      <c r="F903" s="9"/>
      <c r="G903" s="10"/>
      <c r="H903" s="9"/>
      <c r="I903" s="4"/>
      <c r="J903" s="4"/>
      <c r="K903" s="11"/>
      <c r="L903" s="4"/>
      <c r="M903" s="4"/>
      <c r="N903" s="4"/>
      <c r="O903" s="4"/>
      <c r="P903" s="4"/>
      <c r="Q903" s="4"/>
      <c r="R903" s="4"/>
      <c r="S903" s="4"/>
      <c r="T903" s="4"/>
      <c r="U903" s="4"/>
      <c r="V903" s="4"/>
      <c r="W903" s="4"/>
      <c r="X903" s="4"/>
    </row>
    <row r="904" spans="1:24" ht="15.6" x14ac:dyDescent="0.3">
      <c r="A904" s="6"/>
      <c r="B904" s="7"/>
      <c r="C904" s="136"/>
      <c r="D904" s="8"/>
      <c r="E904" s="8"/>
      <c r="F904" s="9"/>
      <c r="G904" s="10"/>
      <c r="H904" s="9"/>
      <c r="I904" s="4"/>
      <c r="J904" s="4"/>
      <c r="K904" s="11"/>
      <c r="L904" s="4"/>
      <c r="M904" s="4"/>
      <c r="N904" s="4"/>
      <c r="O904" s="4"/>
      <c r="P904" s="4"/>
      <c r="Q904" s="4"/>
      <c r="R904" s="4"/>
      <c r="S904" s="4"/>
      <c r="T904" s="4"/>
      <c r="U904" s="4"/>
      <c r="V904" s="4"/>
      <c r="W904" s="4"/>
      <c r="X904" s="4"/>
    </row>
    <row r="905" spans="1:24" ht="15.6" x14ac:dyDescent="0.3">
      <c r="A905" s="6"/>
      <c r="B905" s="7"/>
      <c r="C905" s="136"/>
      <c r="D905" s="8"/>
      <c r="E905" s="8"/>
      <c r="F905" s="9"/>
      <c r="G905" s="10"/>
      <c r="H905" s="9"/>
      <c r="I905" s="4"/>
      <c r="J905" s="4"/>
      <c r="K905" s="11"/>
      <c r="L905" s="4"/>
      <c r="M905" s="4"/>
      <c r="N905" s="4"/>
      <c r="O905" s="4"/>
      <c r="P905" s="4"/>
      <c r="Q905" s="4"/>
      <c r="R905" s="4"/>
      <c r="S905" s="4"/>
      <c r="T905" s="4"/>
      <c r="U905" s="4"/>
      <c r="V905" s="4"/>
      <c r="W905" s="4"/>
      <c r="X905" s="4"/>
    </row>
    <row r="906" spans="1:24" ht="15.6" x14ac:dyDescent="0.3">
      <c r="A906" s="6"/>
      <c r="B906" s="7"/>
      <c r="C906" s="136"/>
      <c r="D906" s="8"/>
      <c r="E906" s="8"/>
      <c r="F906" s="9"/>
      <c r="G906" s="10"/>
      <c r="H906" s="9"/>
      <c r="I906" s="4"/>
      <c r="J906" s="4"/>
      <c r="K906" s="11"/>
      <c r="L906" s="4"/>
      <c r="M906" s="4"/>
      <c r="N906" s="4"/>
      <c r="O906" s="4"/>
      <c r="P906" s="4"/>
      <c r="Q906" s="4"/>
      <c r="R906" s="4"/>
      <c r="S906" s="4"/>
      <c r="T906" s="4"/>
      <c r="U906" s="4"/>
      <c r="V906" s="4"/>
      <c r="W906" s="4"/>
      <c r="X906" s="4"/>
    </row>
    <row r="907" spans="1:24" ht="15.6" x14ac:dyDescent="0.3">
      <c r="A907" s="6"/>
      <c r="B907" s="7"/>
      <c r="C907" s="136"/>
      <c r="D907" s="8"/>
      <c r="E907" s="8"/>
      <c r="F907" s="9"/>
      <c r="G907" s="10"/>
      <c r="H907" s="9"/>
      <c r="I907" s="4"/>
      <c r="J907" s="4"/>
      <c r="K907" s="11"/>
      <c r="L907" s="4"/>
      <c r="M907" s="4"/>
      <c r="N907" s="4"/>
      <c r="O907" s="4"/>
      <c r="P907" s="4"/>
      <c r="Q907" s="4"/>
      <c r="R907" s="4"/>
      <c r="S907" s="4"/>
      <c r="T907" s="4"/>
      <c r="U907" s="4"/>
      <c r="V907" s="4"/>
      <c r="W907" s="4"/>
      <c r="X907" s="4"/>
    </row>
    <row r="908" spans="1:24" ht="15.6" x14ac:dyDescent="0.3">
      <c r="A908" s="6"/>
      <c r="B908" s="7"/>
      <c r="C908" s="136"/>
      <c r="D908" s="8"/>
      <c r="E908" s="8"/>
      <c r="F908" s="9"/>
      <c r="G908" s="10"/>
      <c r="H908" s="9"/>
      <c r="I908" s="4"/>
      <c r="J908" s="4"/>
      <c r="K908" s="11"/>
      <c r="L908" s="4"/>
      <c r="M908" s="4"/>
      <c r="N908" s="4"/>
      <c r="O908" s="4"/>
      <c r="P908" s="4"/>
      <c r="Q908" s="4"/>
      <c r="R908" s="4"/>
      <c r="S908" s="4"/>
      <c r="T908" s="4"/>
      <c r="U908" s="4"/>
      <c r="V908" s="4"/>
      <c r="W908" s="4"/>
      <c r="X908" s="4"/>
    </row>
    <row r="909" spans="1:24" ht="15.6" x14ac:dyDescent="0.3">
      <c r="A909" s="6"/>
      <c r="B909" s="7"/>
      <c r="C909" s="136"/>
      <c r="D909" s="8"/>
      <c r="E909" s="8"/>
      <c r="F909" s="9"/>
      <c r="G909" s="10"/>
      <c r="H909" s="9"/>
      <c r="I909" s="4"/>
      <c r="J909" s="4"/>
      <c r="K909" s="11"/>
      <c r="L909" s="4"/>
      <c r="M909" s="4"/>
      <c r="N909" s="4"/>
      <c r="O909" s="4"/>
      <c r="P909" s="4"/>
      <c r="Q909" s="4"/>
      <c r="R909" s="4"/>
      <c r="S909" s="4"/>
      <c r="T909" s="4"/>
      <c r="U909" s="4"/>
      <c r="V909" s="4"/>
      <c r="W909" s="4"/>
      <c r="X909" s="4"/>
    </row>
    <row r="910" spans="1:24" ht="15.6" x14ac:dyDescent="0.3">
      <c r="A910" s="6"/>
      <c r="B910" s="7"/>
      <c r="C910" s="136"/>
      <c r="D910" s="8"/>
      <c r="E910" s="8"/>
      <c r="F910" s="9"/>
      <c r="G910" s="10"/>
      <c r="H910" s="9"/>
      <c r="I910" s="4"/>
      <c r="J910" s="4"/>
      <c r="K910" s="11"/>
      <c r="L910" s="4"/>
      <c r="M910" s="4"/>
      <c r="N910" s="4"/>
      <c r="O910" s="4"/>
      <c r="P910" s="4"/>
      <c r="Q910" s="4"/>
      <c r="R910" s="4"/>
      <c r="S910" s="4"/>
      <c r="T910" s="4"/>
      <c r="U910" s="4"/>
      <c r="V910" s="4"/>
      <c r="W910" s="4"/>
      <c r="X910" s="4"/>
    </row>
    <row r="911" spans="1:24" ht="15.6" x14ac:dyDescent="0.3">
      <c r="A911" s="6"/>
      <c r="B911" s="7"/>
      <c r="C911" s="136"/>
      <c r="D911" s="8"/>
      <c r="E911" s="8"/>
      <c r="F911" s="9"/>
      <c r="G911" s="10"/>
      <c r="H911" s="9"/>
      <c r="I911" s="4"/>
      <c r="J911" s="4"/>
      <c r="K911" s="11"/>
      <c r="L911" s="4"/>
      <c r="M911" s="4"/>
      <c r="N911" s="4"/>
      <c r="O911" s="4"/>
      <c r="P911" s="4"/>
      <c r="Q911" s="4"/>
      <c r="R911" s="4"/>
      <c r="S911" s="4"/>
      <c r="T911" s="4"/>
      <c r="U911" s="4"/>
      <c r="V911" s="4"/>
      <c r="W911" s="4"/>
      <c r="X911" s="4"/>
    </row>
    <row r="912" spans="1:24" ht="15.6" x14ac:dyDescent="0.3">
      <c r="A912" s="6"/>
      <c r="B912" s="7"/>
      <c r="C912" s="136"/>
      <c r="D912" s="8"/>
      <c r="E912" s="8"/>
      <c r="F912" s="9"/>
      <c r="G912" s="10"/>
      <c r="H912" s="9"/>
      <c r="I912" s="4"/>
      <c r="J912" s="4"/>
      <c r="K912" s="11"/>
      <c r="L912" s="4"/>
      <c r="M912" s="4"/>
      <c r="N912" s="4"/>
      <c r="O912" s="4"/>
      <c r="P912" s="4"/>
      <c r="Q912" s="4"/>
      <c r="R912" s="4"/>
      <c r="S912" s="4"/>
      <c r="T912" s="4"/>
      <c r="U912" s="4"/>
      <c r="V912" s="4"/>
      <c r="W912" s="4"/>
      <c r="X912" s="4"/>
    </row>
    <row r="913" spans="1:24" ht="15.6" x14ac:dyDescent="0.3">
      <c r="A913" s="6"/>
      <c r="B913" s="7"/>
      <c r="C913" s="136"/>
      <c r="D913" s="8"/>
      <c r="E913" s="8"/>
      <c r="F913" s="9"/>
      <c r="G913" s="10"/>
      <c r="H913" s="9"/>
      <c r="I913" s="4"/>
      <c r="J913" s="4"/>
      <c r="K913" s="11"/>
      <c r="L913" s="4"/>
      <c r="M913" s="4"/>
      <c r="N913" s="4"/>
      <c r="O913" s="4"/>
      <c r="P913" s="4"/>
      <c r="Q913" s="4"/>
      <c r="R913" s="4"/>
      <c r="S913" s="4"/>
      <c r="T913" s="4"/>
      <c r="U913" s="4"/>
      <c r="V913" s="4"/>
      <c r="W913" s="4"/>
      <c r="X913" s="4"/>
    </row>
    <row r="914" spans="1:24" ht="15.6" x14ac:dyDescent="0.3">
      <c r="A914" s="6"/>
      <c r="B914" s="7"/>
      <c r="C914" s="136"/>
      <c r="D914" s="8"/>
      <c r="E914" s="8"/>
      <c r="F914" s="9"/>
      <c r="G914" s="10"/>
      <c r="H914" s="9"/>
      <c r="I914" s="4"/>
      <c r="J914" s="4"/>
      <c r="K914" s="11"/>
      <c r="L914" s="4"/>
      <c r="M914" s="4"/>
      <c r="N914" s="4"/>
      <c r="O914" s="4"/>
      <c r="P914" s="4"/>
      <c r="Q914" s="4"/>
      <c r="R914" s="4"/>
      <c r="S914" s="4"/>
      <c r="T914" s="4"/>
      <c r="U914" s="4"/>
      <c r="V914" s="4"/>
      <c r="W914" s="4"/>
      <c r="X914" s="4"/>
    </row>
    <row r="915" spans="1:24" ht="15.6" x14ac:dyDescent="0.3">
      <c r="A915" s="6"/>
      <c r="B915" s="7"/>
      <c r="C915" s="136"/>
      <c r="D915" s="8"/>
      <c r="E915" s="8"/>
      <c r="F915" s="9"/>
      <c r="G915" s="10"/>
      <c r="H915" s="9"/>
      <c r="I915" s="4"/>
      <c r="J915" s="4"/>
      <c r="K915" s="11"/>
      <c r="L915" s="4"/>
      <c r="M915" s="4"/>
      <c r="N915" s="4"/>
      <c r="O915" s="4"/>
      <c r="P915" s="4"/>
      <c r="Q915" s="4"/>
      <c r="R915" s="4"/>
      <c r="S915" s="4"/>
      <c r="T915" s="4"/>
      <c r="U915" s="4"/>
      <c r="V915" s="4"/>
      <c r="W915" s="4"/>
      <c r="X915" s="4"/>
    </row>
    <row r="916" spans="1:24" ht="15.6" x14ac:dyDescent="0.3">
      <c r="A916" s="6"/>
      <c r="B916" s="7"/>
      <c r="C916" s="136"/>
      <c r="D916" s="8"/>
      <c r="E916" s="8"/>
      <c r="F916" s="9"/>
      <c r="G916" s="10"/>
      <c r="H916" s="9"/>
      <c r="I916" s="4"/>
      <c r="J916" s="4"/>
      <c r="K916" s="11"/>
      <c r="L916" s="4"/>
      <c r="M916" s="4"/>
      <c r="N916" s="4"/>
      <c r="O916" s="4"/>
      <c r="P916" s="4"/>
      <c r="Q916" s="4"/>
      <c r="R916" s="4"/>
      <c r="S916" s="4"/>
      <c r="T916" s="4"/>
      <c r="U916" s="4"/>
      <c r="V916" s="4"/>
      <c r="W916" s="4"/>
      <c r="X916" s="4"/>
    </row>
    <row r="917" spans="1:24" ht="15.6" x14ac:dyDescent="0.3">
      <c r="A917" s="6"/>
      <c r="B917" s="7"/>
      <c r="C917" s="136"/>
      <c r="D917" s="8"/>
      <c r="E917" s="8"/>
      <c r="F917" s="9"/>
      <c r="G917" s="10"/>
      <c r="H917" s="9"/>
      <c r="I917" s="4"/>
      <c r="J917" s="4"/>
      <c r="K917" s="11"/>
      <c r="L917" s="4"/>
      <c r="M917" s="4"/>
      <c r="N917" s="4"/>
      <c r="O917" s="4"/>
      <c r="P917" s="4"/>
      <c r="Q917" s="4"/>
      <c r="R917" s="4"/>
      <c r="S917" s="4"/>
      <c r="T917" s="4"/>
      <c r="U917" s="4"/>
      <c r="V917" s="4"/>
      <c r="W917" s="4"/>
      <c r="X917" s="4"/>
    </row>
    <row r="918" spans="1:24" ht="15.6" x14ac:dyDescent="0.3">
      <c r="A918" s="6"/>
      <c r="B918" s="7"/>
      <c r="C918" s="136"/>
      <c r="D918" s="8"/>
      <c r="E918" s="8"/>
      <c r="F918" s="9"/>
      <c r="G918" s="10"/>
      <c r="H918" s="9"/>
      <c r="I918" s="4"/>
      <c r="J918" s="4"/>
      <c r="K918" s="11"/>
      <c r="L918" s="4"/>
      <c r="M918" s="4"/>
      <c r="N918" s="4"/>
      <c r="O918" s="4"/>
      <c r="P918" s="4"/>
      <c r="Q918" s="4"/>
      <c r="R918" s="4"/>
      <c r="S918" s="4"/>
      <c r="T918" s="4"/>
      <c r="U918" s="4"/>
      <c r="V918" s="4"/>
      <c r="W918" s="4"/>
      <c r="X918" s="4"/>
    </row>
    <row r="919" spans="1:24" ht="15.6" x14ac:dyDescent="0.3">
      <c r="A919" s="6"/>
      <c r="B919" s="7"/>
      <c r="C919" s="136"/>
      <c r="D919" s="8"/>
      <c r="E919" s="8"/>
      <c r="F919" s="9"/>
      <c r="G919" s="10"/>
      <c r="H919" s="9"/>
      <c r="I919" s="4"/>
      <c r="J919" s="4"/>
      <c r="K919" s="11"/>
      <c r="L919" s="4"/>
      <c r="M919" s="4"/>
      <c r="N919" s="4"/>
      <c r="O919" s="4"/>
      <c r="P919" s="4"/>
      <c r="Q919" s="4"/>
      <c r="R919" s="4"/>
      <c r="S919" s="4"/>
      <c r="T919" s="4"/>
      <c r="U919" s="4"/>
      <c r="V919" s="4"/>
      <c r="W919" s="4"/>
      <c r="X919" s="4"/>
    </row>
    <row r="920" spans="1:24" ht="15.6" x14ac:dyDescent="0.3">
      <c r="A920" s="6"/>
      <c r="B920" s="7"/>
      <c r="C920" s="136"/>
      <c r="D920" s="8"/>
      <c r="E920" s="8"/>
      <c r="F920" s="9"/>
      <c r="G920" s="10"/>
      <c r="H920" s="9"/>
      <c r="I920" s="4"/>
      <c r="J920" s="4"/>
      <c r="K920" s="11"/>
      <c r="L920" s="4"/>
      <c r="M920" s="4"/>
      <c r="N920" s="4"/>
      <c r="O920" s="4"/>
      <c r="P920" s="4"/>
      <c r="Q920" s="4"/>
      <c r="R920" s="4"/>
      <c r="S920" s="4"/>
      <c r="T920" s="4"/>
      <c r="U920" s="4"/>
      <c r="V920" s="4"/>
      <c r="W920" s="4"/>
      <c r="X920" s="4"/>
    </row>
    <row r="921" spans="1:24" ht="15.6" x14ac:dyDescent="0.3">
      <c r="A921" s="6"/>
      <c r="B921" s="7"/>
      <c r="C921" s="136"/>
      <c r="D921" s="8"/>
      <c r="E921" s="8"/>
      <c r="F921" s="9"/>
      <c r="G921" s="10"/>
      <c r="H921" s="9"/>
      <c r="I921" s="4"/>
      <c r="J921" s="4"/>
      <c r="K921" s="11"/>
      <c r="L921" s="4"/>
      <c r="M921" s="4"/>
      <c r="N921" s="4"/>
      <c r="O921" s="4"/>
      <c r="P921" s="4"/>
      <c r="Q921" s="4"/>
      <c r="R921" s="4"/>
      <c r="S921" s="4"/>
      <c r="T921" s="4"/>
      <c r="U921" s="4"/>
      <c r="V921" s="4"/>
      <c r="W921" s="4"/>
      <c r="X921" s="4"/>
    </row>
    <row r="922" spans="1:24" ht="15.6" x14ac:dyDescent="0.3">
      <c r="A922" s="6"/>
      <c r="B922" s="7"/>
      <c r="C922" s="136"/>
      <c r="D922" s="8"/>
      <c r="E922" s="8"/>
      <c r="F922" s="9"/>
      <c r="G922" s="10"/>
      <c r="H922" s="9"/>
      <c r="I922" s="4"/>
      <c r="J922" s="4"/>
      <c r="K922" s="11"/>
      <c r="L922" s="4"/>
      <c r="M922" s="4"/>
      <c r="N922" s="4"/>
      <c r="O922" s="4"/>
      <c r="P922" s="4"/>
      <c r="Q922" s="4"/>
      <c r="R922" s="4"/>
      <c r="S922" s="4"/>
      <c r="T922" s="4"/>
      <c r="U922" s="4"/>
      <c r="V922" s="4"/>
      <c r="W922" s="4"/>
      <c r="X922" s="4"/>
    </row>
    <row r="923" spans="1:24" ht="15.6" x14ac:dyDescent="0.3">
      <c r="A923" s="6"/>
      <c r="B923" s="7"/>
      <c r="C923" s="136"/>
      <c r="D923" s="8"/>
      <c r="E923" s="8"/>
      <c r="F923" s="9"/>
      <c r="G923" s="10"/>
      <c r="H923" s="9"/>
      <c r="I923" s="4"/>
      <c r="J923" s="4"/>
      <c r="K923" s="11"/>
      <c r="L923" s="4"/>
      <c r="M923" s="4"/>
      <c r="N923" s="4"/>
      <c r="O923" s="4"/>
      <c r="P923" s="4"/>
      <c r="Q923" s="4"/>
      <c r="R923" s="4"/>
      <c r="S923" s="4"/>
      <c r="T923" s="4"/>
      <c r="U923" s="4"/>
      <c r="V923" s="4"/>
      <c r="W923" s="4"/>
      <c r="X923" s="4"/>
    </row>
    <row r="924" spans="1:24" ht="15.6" x14ac:dyDescent="0.3">
      <c r="A924" s="6"/>
      <c r="B924" s="7"/>
      <c r="C924" s="136"/>
      <c r="D924" s="8"/>
      <c r="E924" s="8"/>
      <c r="F924" s="9"/>
      <c r="G924" s="10"/>
      <c r="H924" s="9"/>
      <c r="I924" s="4"/>
      <c r="J924" s="4"/>
      <c r="K924" s="11"/>
      <c r="L924" s="4"/>
      <c r="M924" s="4"/>
      <c r="N924" s="4"/>
      <c r="O924" s="4"/>
      <c r="P924" s="4"/>
      <c r="Q924" s="4"/>
      <c r="R924" s="4"/>
      <c r="S924" s="4"/>
      <c r="T924" s="4"/>
      <c r="U924" s="4"/>
      <c r="V924" s="4"/>
      <c r="W924" s="4"/>
      <c r="X924" s="4"/>
    </row>
    <row r="925" spans="1:24" ht="15.6" x14ac:dyDescent="0.3">
      <c r="A925" s="6"/>
      <c r="B925" s="7"/>
      <c r="C925" s="136"/>
      <c r="D925" s="8"/>
      <c r="E925" s="8"/>
      <c r="F925" s="9"/>
      <c r="G925" s="10"/>
      <c r="H925" s="9"/>
      <c r="I925" s="4"/>
      <c r="J925" s="4"/>
      <c r="K925" s="11"/>
      <c r="L925" s="4"/>
      <c r="M925" s="4"/>
      <c r="N925" s="4"/>
      <c r="O925" s="4"/>
      <c r="P925" s="4"/>
      <c r="Q925" s="4"/>
      <c r="R925" s="4"/>
      <c r="S925" s="4"/>
      <c r="T925" s="4"/>
      <c r="U925" s="4"/>
      <c r="V925" s="4"/>
      <c r="W925" s="4"/>
      <c r="X925" s="4"/>
    </row>
    <row r="926" spans="1:24" ht="15.6" x14ac:dyDescent="0.3">
      <c r="A926" s="6"/>
      <c r="B926" s="7"/>
      <c r="C926" s="136"/>
      <c r="D926" s="8"/>
      <c r="E926" s="8"/>
      <c r="F926" s="9"/>
      <c r="G926" s="10"/>
      <c r="H926" s="9"/>
      <c r="I926" s="4"/>
      <c r="J926" s="4"/>
      <c r="K926" s="11"/>
      <c r="L926" s="4"/>
      <c r="M926" s="4"/>
      <c r="N926" s="4"/>
      <c r="O926" s="4"/>
      <c r="P926" s="4"/>
      <c r="Q926" s="4"/>
      <c r="R926" s="4"/>
      <c r="S926" s="4"/>
      <c r="T926" s="4"/>
      <c r="U926" s="4"/>
      <c r="V926" s="4"/>
      <c r="W926" s="4"/>
      <c r="X926" s="4"/>
    </row>
    <row r="927" spans="1:24" ht="15.6" x14ac:dyDescent="0.3">
      <c r="A927" s="6"/>
      <c r="B927" s="7"/>
      <c r="C927" s="136"/>
      <c r="D927" s="8"/>
      <c r="E927" s="8"/>
      <c r="F927" s="9"/>
      <c r="G927" s="10"/>
      <c r="H927" s="9"/>
      <c r="I927" s="4"/>
      <c r="J927" s="4"/>
      <c r="K927" s="11"/>
      <c r="L927" s="4"/>
      <c r="M927" s="4"/>
      <c r="N927" s="4"/>
      <c r="O927" s="4"/>
      <c r="P927" s="4"/>
      <c r="Q927" s="4"/>
      <c r="R927" s="4"/>
      <c r="S927" s="4"/>
      <c r="T927" s="4"/>
      <c r="U927" s="4"/>
      <c r="V927" s="4"/>
      <c r="W927" s="4"/>
      <c r="X927" s="4"/>
    </row>
    <row r="928" spans="1:24" ht="15.6" x14ac:dyDescent="0.3">
      <c r="A928" s="6"/>
      <c r="B928" s="7"/>
      <c r="C928" s="136"/>
      <c r="D928" s="8"/>
      <c r="E928" s="8"/>
      <c r="F928" s="9"/>
      <c r="G928" s="10"/>
      <c r="H928" s="9"/>
      <c r="I928" s="4"/>
      <c r="J928" s="4"/>
      <c r="K928" s="11"/>
      <c r="L928" s="4"/>
      <c r="M928" s="4"/>
      <c r="N928" s="4"/>
      <c r="O928" s="4"/>
      <c r="P928" s="4"/>
      <c r="Q928" s="4"/>
      <c r="R928" s="4"/>
      <c r="S928" s="4"/>
      <c r="T928" s="4"/>
      <c r="U928" s="4"/>
      <c r="V928" s="4"/>
      <c r="W928" s="4"/>
      <c r="X928" s="4"/>
    </row>
    <row r="929" spans="1:24" ht="15.6" x14ac:dyDescent="0.3">
      <c r="A929" s="6"/>
      <c r="B929" s="7"/>
      <c r="C929" s="136"/>
      <c r="D929" s="8"/>
      <c r="E929" s="8"/>
      <c r="F929" s="9"/>
      <c r="G929" s="10"/>
      <c r="H929" s="9"/>
      <c r="I929" s="4"/>
      <c r="J929" s="4"/>
      <c r="K929" s="11"/>
      <c r="L929" s="4"/>
      <c r="M929" s="4"/>
      <c r="N929" s="4"/>
      <c r="O929" s="4"/>
      <c r="P929" s="4"/>
      <c r="Q929" s="4"/>
      <c r="R929" s="4"/>
      <c r="S929" s="4"/>
      <c r="T929" s="4"/>
      <c r="U929" s="4"/>
      <c r="V929" s="4"/>
      <c r="W929" s="4"/>
      <c r="X929" s="4"/>
    </row>
    <row r="930" spans="1:24" ht="15.6" x14ac:dyDescent="0.3">
      <c r="A930" s="6"/>
      <c r="B930" s="7"/>
      <c r="C930" s="136"/>
      <c r="D930" s="8"/>
      <c r="E930" s="8"/>
      <c r="F930" s="9"/>
      <c r="G930" s="10"/>
      <c r="H930" s="9"/>
      <c r="I930" s="4"/>
      <c r="J930" s="4"/>
      <c r="K930" s="11"/>
      <c r="L930" s="4"/>
      <c r="M930" s="4"/>
      <c r="N930" s="4"/>
      <c r="O930" s="4"/>
      <c r="P930" s="4"/>
      <c r="Q930" s="4"/>
      <c r="R930" s="4"/>
      <c r="S930" s="4"/>
      <c r="T930" s="4"/>
      <c r="U930" s="4"/>
      <c r="V930" s="4"/>
      <c r="W930" s="4"/>
      <c r="X930" s="4"/>
    </row>
    <row r="931" spans="1:24" ht="15.6" x14ac:dyDescent="0.3">
      <c r="A931" s="6"/>
      <c r="B931" s="7"/>
      <c r="C931" s="136"/>
      <c r="D931" s="8"/>
      <c r="E931" s="8"/>
      <c r="F931" s="9"/>
      <c r="G931" s="10"/>
      <c r="H931" s="9"/>
      <c r="I931" s="4"/>
      <c r="J931" s="4"/>
      <c r="K931" s="11"/>
      <c r="L931" s="4"/>
      <c r="M931" s="4"/>
      <c r="N931" s="4"/>
      <c r="O931" s="4"/>
      <c r="P931" s="4"/>
      <c r="Q931" s="4"/>
      <c r="R931" s="4"/>
      <c r="S931" s="4"/>
      <c r="T931" s="4"/>
      <c r="U931" s="4"/>
      <c r="V931" s="4"/>
      <c r="W931" s="4"/>
      <c r="X931" s="4"/>
    </row>
    <row r="932" spans="1:24" ht="15.6" x14ac:dyDescent="0.3">
      <c r="A932" s="6"/>
      <c r="B932" s="7"/>
      <c r="C932" s="136"/>
      <c r="D932" s="8"/>
      <c r="E932" s="8"/>
      <c r="F932" s="9"/>
      <c r="G932" s="10"/>
      <c r="H932" s="9"/>
      <c r="I932" s="4"/>
      <c r="J932" s="4"/>
      <c r="K932" s="11"/>
      <c r="L932" s="4"/>
      <c r="M932" s="4"/>
      <c r="N932" s="4"/>
      <c r="O932" s="4"/>
      <c r="P932" s="4"/>
      <c r="Q932" s="4"/>
      <c r="R932" s="4"/>
      <c r="S932" s="4"/>
      <c r="T932" s="4"/>
      <c r="U932" s="4"/>
      <c r="V932" s="4"/>
      <c r="W932" s="4"/>
      <c r="X932" s="4"/>
    </row>
    <row r="933" spans="1:24" ht="15.6" x14ac:dyDescent="0.3">
      <c r="A933" s="6"/>
      <c r="B933" s="7"/>
      <c r="C933" s="136"/>
      <c r="D933" s="8"/>
      <c r="E933" s="8"/>
      <c r="F933" s="9"/>
      <c r="G933" s="10"/>
      <c r="H933" s="9"/>
      <c r="I933" s="4"/>
      <c r="J933" s="4"/>
      <c r="K933" s="11"/>
      <c r="L933" s="4"/>
      <c r="M933" s="4"/>
      <c r="N933" s="4"/>
      <c r="O933" s="4"/>
      <c r="P933" s="4"/>
      <c r="Q933" s="4"/>
      <c r="R933" s="4"/>
      <c r="S933" s="4"/>
      <c r="T933" s="4"/>
      <c r="U933" s="4"/>
      <c r="V933" s="4"/>
      <c r="W933" s="4"/>
      <c r="X933" s="4"/>
    </row>
    <row r="934" spans="1:24" ht="15.6" x14ac:dyDescent="0.3">
      <c r="A934" s="6"/>
      <c r="B934" s="7"/>
      <c r="C934" s="136"/>
      <c r="D934" s="8"/>
      <c r="E934" s="8"/>
      <c r="F934" s="9"/>
      <c r="G934" s="10"/>
      <c r="H934" s="9"/>
      <c r="I934" s="4"/>
      <c r="J934" s="4"/>
      <c r="K934" s="11"/>
      <c r="L934" s="4"/>
      <c r="M934" s="4"/>
      <c r="N934" s="4"/>
      <c r="O934" s="4"/>
      <c r="P934" s="4"/>
      <c r="Q934" s="4"/>
      <c r="R934" s="4"/>
      <c r="S934" s="4"/>
      <c r="T934" s="4"/>
      <c r="U934" s="4"/>
      <c r="V934" s="4"/>
      <c r="W934" s="4"/>
      <c r="X934" s="4"/>
    </row>
    <row r="935" spans="1:24" ht="15.6" x14ac:dyDescent="0.3">
      <c r="A935" s="6"/>
      <c r="B935" s="7"/>
      <c r="C935" s="136"/>
      <c r="D935" s="8"/>
      <c r="E935" s="8"/>
      <c r="F935" s="9"/>
      <c r="G935" s="10"/>
      <c r="H935" s="9"/>
      <c r="I935" s="4"/>
      <c r="J935" s="4"/>
      <c r="K935" s="11"/>
      <c r="L935" s="4"/>
      <c r="M935" s="4"/>
      <c r="N935" s="4"/>
      <c r="O935" s="4"/>
      <c r="P935" s="4"/>
      <c r="Q935" s="4"/>
      <c r="R935" s="4"/>
      <c r="S935" s="4"/>
      <c r="T935" s="4"/>
      <c r="U935" s="4"/>
      <c r="V935" s="4"/>
      <c r="W935" s="4"/>
      <c r="X935" s="4"/>
    </row>
    <row r="936" spans="1:24" ht="15.6" x14ac:dyDescent="0.3">
      <c r="A936" s="45"/>
      <c r="B936" s="46"/>
      <c r="C936" s="137"/>
      <c r="D936" s="47"/>
      <c r="E936" s="47"/>
      <c r="F936" s="41"/>
      <c r="G936" s="48"/>
      <c r="H936" s="41"/>
      <c r="I936" s="4"/>
      <c r="J936" s="4"/>
      <c r="K936" s="11"/>
      <c r="L936" s="4"/>
      <c r="M936" s="4"/>
      <c r="N936" s="4"/>
      <c r="O936" s="4"/>
      <c r="P936" s="4"/>
      <c r="Q936" s="4"/>
      <c r="R936" s="4"/>
      <c r="S936" s="4"/>
      <c r="T936" s="4"/>
      <c r="U936" s="4"/>
      <c r="V936" s="4"/>
      <c r="W936" s="4"/>
      <c r="X936" s="4"/>
    </row>
    <row r="937" spans="1:24" ht="15.6" x14ac:dyDescent="0.3">
      <c r="A937" s="45"/>
      <c r="B937" s="46"/>
      <c r="C937" s="137"/>
      <c r="D937" s="47"/>
      <c r="E937" s="47"/>
      <c r="F937" s="41"/>
      <c r="G937" s="48"/>
      <c r="H937" s="41"/>
      <c r="I937" s="4"/>
      <c r="J937" s="4"/>
      <c r="K937" s="11"/>
      <c r="L937" s="4"/>
      <c r="M937" s="4"/>
      <c r="N937" s="4"/>
      <c r="O937" s="4"/>
      <c r="P937" s="4"/>
      <c r="Q937" s="4"/>
      <c r="R937" s="4"/>
      <c r="S937" s="4"/>
      <c r="T937" s="4"/>
      <c r="U937" s="4"/>
      <c r="V937" s="4"/>
      <c r="W937" s="4"/>
      <c r="X937" s="4"/>
    </row>
    <row r="938" spans="1:24" ht="15.6" x14ac:dyDescent="0.3">
      <c r="A938" s="45"/>
      <c r="B938" s="46"/>
      <c r="C938" s="137"/>
      <c r="D938" s="47"/>
      <c r="E938" s="47"/>
      <c r="F938" s="41"/>
      <c r="G938" s="48"/>
      <c r="H938" s="41"/>
      <c r="I938" s="4"/>
      <c r="J938" s="4"/>
      <c r="K938" s="11"/>
      <c r="L938" s="4"/>
      <c r="M938" s="4"/>
      <c r="N938" s="4"/>
      <c r="O938" s="4"/>
      <c r="P938" s="4"/>
      <c r="Q938" s="4"/>
      <c r="R938" s="4"/>
      <c r="S938" s="4"/>
      <c r="T938" s="4"/>
      <c r="U938" s="4"/>
      <c r="V938" s="4"/>
      <c r="W938" s="4"/>
      <c r="X938" s="4"/>
    </row>
    <row r="939" spans="1:24" ht="15.6" x14ac:dyDescent="0.3">
      <c r="A939" s="45"/>
      <c r="B939" s="46"/>
      <c r="C939" s="137"/>
      <c r="D939" s="47"/>
      <c r="E939" s="47"/>
      <c r="F939" s="41"/>
      <c r="G939" s="48"/>
      <c r="H939" s="41"/>
      <c r="I939" s="4"/>
      <c r="J939" s="4"/>
      <c r="K939" s="11"/>
      <c r="L939" s="4"/>
      <c r="M939" s="4"/>
      <c r="N939" s="4"/>
      <c r="O939" s="4"/>
      <c r="P939" s="4"/>
      <c r="Q939" s="4"/>
      <c r="R939" s="4"/>
      <c r="S939" s="4"/>
      <c r="T939" s="4"/>
      <c r="U939" s="4"/>
      <c r="V939" s="4"/>
      <c r="W939" s="4"/>
      <c r="X939" s="4"/>
    </row>
    <row r="940" spans="1:24" ht="15.6" x14ac:dyDescent="0.3">
      <c r="A940" s="45"/>
      <c r="B940" s="46"/>
      <c r="C940" s="137"/>
      <c r="D940" s="47"/>
      <c r="E940" s="47"/>
      <c r="F940" s="41"/>
      <c r="G940" s="48"/>
      <c r="H940" s="41"/>
      <c r="I940" s="4"/>
      <c r="J940" s="4"/>
      <c r="K940" s="11"/>
      <c r="L940" s="4"/>
      <c r="M940" s="4"/>
      <c r="N940" s="4"/>
      <c r="O940" s="4"/>
      <c r="P940" s="4"/>
      <c r="Q940" s="4"/>
      <c r="R940" s="4"/>
      <c r="S940" s="4"/>
      <c r="T940" s="4"/>
      <c r="U940" s="4"/>
      <c r="V940" s="4"/>
      <c r="W940" s="4"/>
      <c r="X940" s="4"/>
    </row>
    <row r="941" spans="1:24" ht="15.6" x14ac:dyDescent="0.3">
      <c r="A941" s="45"/>
      <c r="B941" s="46"/>
      <c r="C941" s="137"/>
      <c r="D941" s="47"/>
      <c r="E941" s="47"/>
      <c r="F941" s="41"/>
      <c r="G941" s="48"/>
      <c r="H941" s="41"/>
      <c r="I941" s="4"/>
      <c r="J941" s="4"/>
      <c r="K941" s="11"/>
      <c r="L941" s="4"/>
      <c r="M941" s="4"/>
      <c r="N941" s="4"/>
      <c r="O941" s="4"/>
      <c r="P941" s="4"/>
      <c r="Q941" s="4"/>
      <c r="R941" s="4"/>
      <c r="S941" s="4"/>
      <c r="T941" s="4"/>
      <c r="U941" s="4"/>
      <c r="V941" s="4"/>
      <c r="W941" s="4"/>
      <c r="X941" s="4"/>
    </row>
  </sheetData>
  <mergeCells count="5">
    <mergeCell ref="C32:G32"/>
    <mergeCell ref="A2:H4"/>
    <mergeCell ref="B41:F41"/>
    <mergeCell ref="B42:F42"/>
    <mergeCell ref="B43:F43"/>
  </mergeCells>
  <phoneticPr fontId="31" type="noConversion"/>
  <pageMargins left="0.7" right="0.7" top="0.75" bottom="0.75" header="0" footer="0"/>
  <pageSetup scale="4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81186-A52D-4FBD-B3FB-CF11EDADDDA7}">
  <dimension ref="B4:H7"/>
  <sheetViews>
    <sheetView zoomScale="130" zoomScaleNormal="130" workbookViewId="0">
      <selection activeCell="E23" sqref="E23"/>
    </sheetView>
  </sheetViews>
  <sheetFormatPr baseColWidth="10" defaultRowHeight="13.8" x14ac:dyDescent="0.3"/>
  <cols>
    <col min="2" max="2" width="21.33203125" bestFit="1" customWidth="1"/>
    <col min="3" max="3" width="18.6640625" customWidth="1"/>
    <col min="6" max="6" width="15.88671875" bestFit="1" customWidth="1"/>
    <col min="7" max="8" width="14.5546875" bestFit="1" customWidth="1"/>
  </cols>
  <sheetData>
    <row r="4" spans="2:8" x14ac:dyDescent="0.3">
      <c r="B4" s="834" t="s">
        <v>227</v>
      </c>
      <c r="C4" s="835"/>
      <c r="D4" s="367" t="s">
        <v>930</v>
      </c>
      <c r="E4" s="612">
        <v>1</v>
      </c>
      <c r="F4" s="412">
        <v>2970000</v>
      </c>
      <c r="G4" s="616"/>
      <c r="H4" s="616"/>
    </row>
    <row r="5" spans="2:8" x14ac:dyDescent="0.3">
      <c r="B5" s="834" t="s">
        <v>243</v>
      </c>
      <c r="C5" s="835"/>
      <c r="D5" s="367" t="s">
        <v>930</v>
      </c>
      <c r="E5" s="612">
        <v>1</v>
      </c>
      <c r="F5" s="412">
        <v>2310000</v>
      </c>
      <c r="G5" s="616"/>
    </row>
    <row r="6" spans="2:8" ht="13.2" customHeight="1" x14ac:dyDescent="0.3">
      <c r="B6" s="834" t="s">
        <v>935</v>
      </c>
      <c r="C6" s="836"/>
      <c r="D6" s="367" t="s">
        <v>930</v>
      </c>
      <c r="E6" s="612">
        <v>1</v>
      </c>
      <c r="F6" s="412">
        <v>2560000</v>
      </c>
      <c r="G6">
        <f>RESUMEN!K39</f>
        <v>0</v>
      </c>
      <c r="H6" s="625"/>
    </row>
    <row r="7" spans="2:8" x14ac:dyDescent="0.3">
      <c r="B7" s="834" t="s">
        <v>937</v>
      </c>
      <c r="C7" s="836"/>
      <c r="D7" s="367" t="s">
        <v>930</v>
      </c>
      <c r="E7" s="612">
        <v>1</v>
      </c>
      <c r="F7" s="412">
        <v>1250000</v>
      </c>
    </row>
  </sheetData>
  <mergeCells count="4">
    <mergeCell ref="B4:C4"/>
    <mergeCell ref="B5:C5"/>
    <mergeCell ref="B6:C6"/>
    <mergeCell ref="B7:C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4706F-71A9-44C7-8ACB-79A97D3A3E39}">
  <dimension ref="B3:P628"/>
  <sheetViews>
    <sheetView view="pageBreakPreview" zoomScale="40" zoomScaleNormal="85" zoomScaleSheetLayoutView="40" workbookViewId="0">
      <selection activeCell="AG2" sqref="AG2"/>
    </sheetView>
  </sheetViews>
  <sheetFormatPr baseColWidth="10" defaultColWidth="10.88671875" defaultRowHeight="14.4" x14ac:dyDescent="0.3"/>
  <cols>
    <col min="1" max="1" width="4.33203125" style="394" customWidth="1"/>
    <col min="2" max="2" width="21.109375" style="394" customWidth="1"/>
    <col min="3" max="3" width="47.88671875" style="394" customWidth="1"/>
    <col min="4" max="4" width="26.88671875" style="394" bestFit="1" customWidth="1"/>
    <col min="5" max="5" width="22.5546875" style="394" bestFit="1" customWidth="1"/>
    <col min="6" max="6" width="22.109375" style="394" customWidth="1"/>
    <col min="7" max="7" width="35.109375" style="394" bestFit="1" customWidth="1"/>
    <col min="8" max="8" width="7.6640625" style="394" customWidth="1"/>
    <col min="9" max="9" width="6.44140625" style="394" bestFit="1" customWidth="1"/>
    <col min="10" max="10" width="22.109375" style="394" bestFit="1" customWidth="1"/>
    <col min="11" max="11" width="71.44140625" style="394" customWidth="1"/>
    <col min="12" max="12" width="13.88671875" style="394" customWidth="1"/>
    <col min="13" max="13" width="9.33203125" style="394" bestFit="1" customWidth="1"/>
    <col min="14" max="14" width="6.33203125" style="394" bestFit="1" customWidth="1"/>
    <col min="15" max="15" width="48.44140625" style="394" bestFit="1" customWidth="1"/>
    <col min="16" max="16" width="20" style="394" bestFit="1" customWidth="1"/>
    <col min="17" max="17" width="19.6640625" style="394" bestFit="1" customWidth="1"/>
    <col min="18" max="18" width="16.33203125" style="394" bestFit="1" customWidth="1"/>
    <col min="19" max="19" width="29.33203125" style="394" bestFit="1" customWidth="1"/>
    <col min="20" max="20" width="14.6640625" style="394" bestFit="1" customWidth="1"/>
    <col min="21" max="21" width="10.88671875" style="394"/>
    <col min="22" max="22" width="18.33203125" style="394" bestFit="1" customWidth="1"/>
    <col min="23" max="28" width="10.88671875" style="394"/>
    <col min="29" max="29" width="13.33203125" style="394" bestFit="1" customWidth="1"/>
    <col min="30" max="16384" width="10.88671875" style="394"/>
  </cols>
  <sheetData>
    <row r="3" spans="2:16" ht="14.4" customHeight="1" x14ac:dyDescent="0.3">
      <c r="B3" s="1088" t="s">
        <v>352</v>
      </c>
      <c r="C3" s="1088"/>
      <c r="D3" s="1088"/>
      <c r="E3" s="1088"/>
      <c r="F3" s="1088"/>
      <c r="G3" s="1088"/>
      <c r="H3" s="571"/>
      <c r="I3" s="392"/>
      <c r="J3" s="1089" t="s">
        <v>352</v>
      </c>
      <c r="K3" s="1089"/>
      <c r="L3" s="1089"/>
      <c r="M3" s="1089"/>
      <c r="N3" s="1089"/>
      <c r="O3" s="1089"/>
      <c r="P3" s="1089"/>
    </row>
    <row r="4" spans="2:16" ht="26.25" customHeight="1" x14ac:dyDescent="0.3">
      <c r="B4" s="1088"/>
      <c r="C4" s="1088"/>
      <c r="D4" s="1088"/>
      <c r="E4" s="1088"/>
      <c r="F4" s="1088"/>
      <c r="G4" s="1088"/>
      <c r="H4" s="571"/>
      <c r="I4" s="392"/>
      <c r="J4" s="1089"/>
      <c r="K4" s="1089"/>
      <c r="L4" s="1089"/>
      <c r="M4" s="1089"/>
      <c r="N4" s="1089"/>
      <c r="O4" s="1089"/>
      <c r="P4" s="1089"/>
    </row>
    <row r="5" spans="2:16" ht="14.4" customHeight="1" x14ac:dyDescent="0.3">
      <c r="B5" s="393"/>
      <c r="C5" s="393"/>
      <c r="D5" s="393"/>
      <c r="E5" s="393"/>
      <c r="F5" s="393"/>
    </row>
    <row r="6" spans="2:16" ht="20.399999999999999" customHeight="1" x14ac:dyDescent="0.3">
      <c r="C6" s="395"/>
      <c r="F6" s="396"/>
      <c r="G6" s="396">
        <f>SUM(G9:G620)</f>
        <v>11258.712017308404</v>
      </c>
      <c r="H6" s="396"/>
      <c r="J6" s="397" t="s">
        <v>353</v>
      </c>
      <c r="K6" s="397" t="s">
        <v>354</v>
      </c>
      <c r="N6" s="575" t="s">
        <v>35</v>
      </c>
      <c r="O6" s="575" t="s">
        <v>382</v>
      </c>
      <c r="P6" s="597" t="s">
        <v>923</v>
      </c>
    </row>
    <row r="7" spans="2:16" ht="15" customHeight="1" x14ac:dyDescent="0.3">
      <c r="J7" s="398">
        <v>7</v>
      </c>
      <c r="K7" s="395">
        <v>520</v>
      </c>
      <c r="N7" s="400"/>
      <c r="O7" s="576" t="s">
        <v>361</v>
      </c>
      <c r="P7" s="400">
        <v>11258.7120173084</v>
      </c>
    </row>
    <row r="8" spans="2:16" ht="14.4" customHeight="1" x14ac:dyDescent="0.3">
      <c r="B8" s="397" t="s">
        <v>355</v>
      </c>
      <c r="C8" s="397" t="s">
        <v>356</v>
      </c>
      <c r="D8" s="397" t="s">
        <v>357</v>
      </c>
      <c r="E8" s="397" t="s">
        <v>358</v>
      </c>
      <c r="F8" s="397" t="s">
        <v>359</v>
      </c>
      <c r="G8" s="397" t="s">
        <v>360</v>
      </c>
      <c r="H8" s="604"/>
      <c r="J8" s="398">
        <v>6</v>
      </c>
      <c r="K8" s="395">
        <f>1200+11.2*9.6+3.5*8/2+6.4*6.2+6.5*6.2</f>
        <v>1401.5</v>
      </c>
      <c r="N8" s="400" t="s">
        <v>898</v>
      </c>
      <c r="O8" s="576" t="s">
        <v>776</v>
      </c>
      <c r="P8" s="400">
        <v>1198.4317505999998</v>
      </c>
    </row>
    <row r="9" spans="2:16" ht="14.4" customHeight="1" x14ac:dyDescent="0.3">
      <c r="B9" s="399" t="s">
        <v>361</v>
      </c>
      <c r="C9" s="399" t="s">
        <v>362</v>
      </c>
      <c r="D9" s="400" t="s">
        <v>363</v>
      </c>
      <c r="E9" s="400" t="s">
        <v>364</v>
      </c>
      <c r="F9" s="400" t="s">
        <v>365</v>
      </c>
      <c r="G9" s="401">
        <v>4.8460000000000001</v>
      </c>
      <c r="H9" s="577"/>
      <c r="J9" s="398">
        <v>5</v>
      </c>
      <c r="K9" s="395">
        <f>1200+6.5*6.2*2+(16.2+3.3)/2*33.5*2</f>
        <v>1933.85</v>
      </c>
      <c r="N9" s="400" t="s">
        <v>899</v>
      </c>
      <c r="O9" s="576" t="s">
        <v>846</v>
      </c>
      <c r="P9" s="400">
        <v>1494</v>
      </c>
    </row>
    <row r="10" spans="2:16" ht="14.4" customHeight="1" x14ac:dyDescent="0.3">
      <c r="B10" s="399" t="s">
        <v>361</v>
      </c>
      <c r="C10" s="399" t="s">
        <v>362</v>
      </c>
      <c r="D10" s="400" t="s">
        <v>363</v>
      </c>
      <c r="E10" s="400" t="s">
        <v>364</v>
      </c>
      <c r="F10" s="400" t="s">
        <v>366</v>
      </c>
      <c r="G10" s="401">
        <v>1.7310000000000001</v>
      </c>
      <c r="H10" s="577"/>
      <c r="J10" s="398">
        <v>4</v>
      </c>
      <c r="K10" s="395">
        <f>1200+6.5*6.2*2+(16.2+3.3)/2*33.5*2</f>
        <v>1933.85</v>
      </c>
      <c r="N10" s="400" t="s">
        <v>900</v>
      </c>
      <c r="O10" s="576" t="s">
        <v>845</v>
      </c>
      <c r="P10" s="400">
        <v>1474</v>
      </c>
    </row>
    <row r="11" spans="2:16" ht="14.4" customHeight="1" x14ac:dyDescent="0.3">
      <c r="B11" s="399" t="s">
        <v>361</v>
      </c>
      <c r="C11" s="399" t="s">
        <v>362</v>
      </c>
      <c r="D11" s="400" t="s">
        <v>363</v>
      </c>
      <c r="E11" s="400" t="s">
        <v>364</v>
      </c>
      <c r="F11" s="400" t="s">
        <v>367</v>
      </c>
      <c r="G11" s="401">
        <v>3.92</v>
      </c>
      <c r="H11" s="577"/>
      <c r="J11" s="398">
        <v>3</v>
      </c>
      <c r="K11" s="395">
        <f>1200+6.5*6.2*2+(16.2+3.3)/2*33.5*2</f>
        <v>1933.85</v>
      </c>
      <c r="N11" s="400" t="s">
        <v>901</v>
      </c>
      <c r="O11" s="576" t="s">
        <v>369</v>
      </c>
      <c r="P11" s="400">
        <v>4884.3976870000006</v>
      </c>
    </row>
    <row r="12" spans="2:16" ht="14.4" customHeight="1" x14ac:dyDescent="0.3">
      <c r="B12" s="399" t="s">
        <v>361</v>
      </c>
      <c r="C12" s="399" t="s">
        <v>362</v>
      </c>
      <c r="D12" s="400" t="s">
        <v>363</v>
      </c>
      <c r="E12" s="400" t="s">
        <v>364</v>
      </c>
      <c r="F12" s="400" t="s">
        <v>366</v>
      </c>
      <c r="G12" s="401">
        <v>6.3639999999999999</v>
      </c>
      <c r="H12" s="577"/>
      <c r="J12" s="398">
        <v>2</v>
      </c>
      <c r="K12" s="395">
        <f>6.7*133+2108+5.4*(3.4+1.6)/2+6.2*6+11*12+6.2*6.2+6.2*6.4+6.2*6.6</f>
        <v>3300.8399999999997</v>
      </c>
      <c r="N12" s="400" t="s">
        <v>902</v>
      </c>
      <c r="O12" s="576" t="s">
        <v>710</v>
      </c>
      <c r="P12" s="400">
        <v>641.77800000000002</v>
      </c>
    </row>
    <row r="13" spans="2:16" ht="14.4" customHeight="1" x14ac:dyDescent="0.3">
      <c r="B13" s="399" t="s">
        <v>361</v>
      </c>
      <c r="C13" s="399" t="s">
        <v>362</v>
      </c>
      <c r="D13" s="400" t="s">
        <v>363</v>
      </c>
      <c r="E13" s="400" t="s">
        <v>364</v>
      </c>
      <c r="F13" s="400" t="s">
        <v>368</v>
      </c>
      <c r="G13" s="401">
        <v>6.3639999999999999</v>
      </c>
      <c r="H13" s="577"/>
      <c r="J13" s="402">
        <v>1</v>
      </c>
      <c r="K13" s="403">
        <f>3146.6+7.8*133+6.2*6.6+6*6.25+2.2*2.8+5.8*11+2.2*2.8+5.9*6.2*2</f>
        <v>4411.7</v>
      </c>
      <c r="N13" s="400" t="s">
        <v>903</v>
      </c>
      <c r="O13" s="576" t="s">
        <v>362</v>
      </c>
      <c r="P13" s="400">
        <v>729.31648720839974</v>
      </c>
    </row>
    <row r="14" spans="2:16" ht="14.4" customHeight="1" x14ac:dyDescent="0.3">
      <c r="B14" s="399" t="s">
        <v>361</v>
      </c>
      <c r="C14" s="399" t="s">
        <v>369</v>
      </c>
      <c r="D14" s="400" t="s">
        <v>363</v>
      </c>
      <c r="E14" s="400" t="s">
        <v>364</v>
      </c>
      <c r="F14" s="400" t="s">
        <v>368</v>
      </c>
      <c r="G14" s="401">
        <v>6.3639999999999999</v>
      </c>
      <c r="H14" s="577"/>
      <c r="K14" s="395">
        <f>SUBTOTAL(9,K7:K13)</f>
        <v>15435.59</v>
      </c>
      <c r="N14" s="400" t="s">
        <v>904</v>
      </c>
      <c r="O14" s="578" t="s">
        <v>544</v>
      </c>
      <c r="P14" s="400">
        <v>836.78809249999961</v>
      </c>
    </row>
    <row r="15" spans="2:16" x14ac:dyDescent="0.3">
      <c r="B15" s="399" t="s">
        <v>361</v>
      </c>
      <c r="C15" s="399" t="s">
        <v>362</v>
      </c>
      <c r="D15" s="400" t="s">
        <v>370</v>
      </c>
      <c r="E15" s="400" t="s">
        <v>364</v>
      </c>
      <c r="F15" s="400" t="s">
        <v>371</v>
      </c>
      <c r="G15" s="401">
        <v>5.78</v>
      </c>
      <c r="H15" s="577"/>
      <c r="N15" s="575"/>
      <c r="O15" s="579" t="s">
        <v>399</v>
      </c>
      <c r="P15" s="575">
        <v>11258.7120173084</v>
      </c>
    </row>
    <row r="16" spans="2:16" x14ac:dyDescent="0.3">
      <c r="B16" s="399" t="s">
        <v>361</v>
      </c>
      <c r="C16" s="399" t="s">
        <v>362</v>
      </c>
      <c r="D16" s="400" t="s">
        <v>370</v>
      </c>
      <c r="E16" s="400" t="s">
        <v>364</v>
      </c>
      <c r="F16" s="400" t="s">
        <v>372</v>
      </c>
      <c r="G16" s="401">
        <v>5.78</v>
      </c>
      <c r="H16" s="577"/>
      <c r="I16" s="580" t="s">
        <v>35</v>
      </c>
      <c r="J16" s="1090" t="s">
        <v>373</v>
      </c>
      <c r="K16" s="1091"/>
      <c r="L16" s="580" t="s">
        <v>19</v>
      </c>
      <c r="O16" s="581"/>
    </row>
    <row r="17" spans="2:15" x14ac:dyDescent="0.3">
      <c r="B17" s="399" t="s">
        <v>361</v>
      </c>
      <c r="C17" s="399" t="s">
        <v>362</v>
      </c>
      <c r="D17" s="400" t="s">
        <v>370</v>
      </c>
      <c r="E17" s="400" t="s">
        <v>364</v>
      </c>
      <c r="F17" s="400" t="s">
        <v>374</v>
      </c>
      <c r="G17" s="401">
        <v>5.78</v>
      </c>
      <c r="H17" s="577"/>
      <c r="I17" s="582"/>
      <c r="J17" s="1086"/>
      <c r="K17" s="1087"/>
      <c r="L17" s="582"/>
      <c r="O17" s="581"/>
    </row>
    <row r="18" spans="2:15" x14ac:dyDescent="0.3">
      <c r="B18" s="399" t="s">
        <v>361</v>
      </c>
      <c r="C18" s="399" t="s">
        <v>362</v>
      </c>
      <c r="D18" s="400" t="s">
        <v>370</v>
      </c>
      <c r="E18" s="400" t="s">
        <v>364</v>
      </c>
      <c r="F18" s="400" t="s">
        <v>375</v>
      </c>
      <c r="G18" s="401">
        <v>5.78</v>
      </c>
      <c r="H18" s="577"/>
      <c r="I18" s="583" t="s">
        <v>905</v>
      </c>
      <c r="J18" s="1086" t="s">
        <v>376</v>
      </c>
      <c r="K18" s="1087"/>
      <c r="L18" s="584">
        <f>G6</f>
        <v>11258.712017308404</v>
      </c>
    </row>
    <row r="19" spans="2:15" x14ac:dyDescent="0.3">
      <c r="B19" s="399" t="s">
        <v>361</v>
      </c>
      <c r="C19" s="399" t="s">
        <v>362</v>
      </c>
      <c r="D19" s="400" t="s">
        <v>370</v>
      </c>
      <c r="E19" s="400" t="s">
        <v>364</v>
      </c>
      <c r="F19" s="400" t="s">
        <v>377</v>
      </c>
      <c r="G19" s="401">
        <v>5.78</v>
      </c>
      <c r="H19" s="577"/>
      <c r="I19" s="585" t="s">
        <v>906</v>
      </c>
      <c r="J19" s="1086" t="s">
        <v>907</v>
      </c>
      <c r="K19" s="1087"/>
      <c r="L19" s="586">
        <v>1.5</v>
      </c>
    </row>
    <row r="20" spans="2:15" x14ac:dyDescent="0.3">
      <c r="B20" s="399" t="s">
        <v>361</v>
      </c>
      <c r="C20" s="399" t="s">
        <v>362</v>
      </c>
      <c r="D20" s="400" t="s">
        <v>370</v>
      </c>
      <c r="E20" s="400" t="s">
        <v>364</v>
      </c>
      <c r="F20" s="400" t="s">
        <v>378</v>
      </c>
      <c r="G20" s="401">
        <v>6.343</v>
      </c>
      <c r="H20" s="577"/>
      <c r="I20" s="583" t="s">
        <v>908</v>
      </c>
      <c r="J20" s="1086" t="s">
        <v>909</v>
      </c>
      <c r="K20" s="1087"/>
      <c r="L20" s="584">
        <f>L18*L19</f>
        <v>16888.068025962606</v>
      </c>
    </row>
    <row r="21" spans="2:15" x14ac:dyDescent="0.3">
      <c r="B21" s="399" t="s">
        <v>361</v>
      </c>
      <c r="C21" s="399" t="s">
        <v>362</v>
      </c>
      <c r="D21" s="400" t="s">
        <v>370</v>
      </c>
      <c r="E21" s="400" t="s">
        <v>364</v>
      </c>
      <c r="F21" s="400" t="s">
        <v>379</v>
      </c>
      <c r="G21" s="401">
        <v>5.766</v>
      </c>
      <c r="H21" s="577"/>
      <c r="I21" s="583" t="s">
        <v>910</v>
      </c>
      <c r="J21" s="1086" t="s">
        <v>911</v>
      </c>
      <c r="K21" s="1087"/>
      <c r="L21" s="584">
        <f>1981*2.5</f>
        <v>4952.5</v>
      </c>
    </row>
    <row r="22" spans="2:15" x14ac:dyDescent="0.3">
      <c r="B22" s="399" t="s">
        <v>361</v>
      </c>
      <c r="C22" s="399" t="s">
        <v>362</v>
      </c>
      <c r="D22" s="400" t="s">
        <v>370</v>
      </c>
      <c r="E22" s="400" t="s">
        <v>364</v>
      </c>
      <c r="F22" s="400" t="s">
        <v>380</v>
      </c>
      <c r="G22" s="401">
        <v>5.766</v>
      </c>
      <c r="H22" s="577"/>
      <c r="I22" s="585" t="s">
        <v>912</v>
      </c>
      <c r="J22" s="1086" t="s">
        <v>913</v>
      </c>
      <c r="K22" s="1087"/>
      <c r="L22" s="586">
        <v>1.05</v>
      </c>
    </row>
    <row r="23" spans="2:15" x14ac:dyDescent="0.3">
      <c r="B23" s="399" t="s">
        <v>361</v>
      </c>
      <c r="C23" s="399" t="s">
        <v>362</v>
      </c>
      <c r="D23" s="400" t="s">
        <v>363</v>
      </c>
      <c r="E23" s="400" t="s">
        <v>364</v>
      </c>
      <c r="F23" s="400" t="s">
        <v>381</v>
      </c>
      <c r="G23" s="401">
        <v>15.486000000000001</v>
      </c>
      <c r="H23" s="577"/>
      <c r="I23" s="583" t="s">
        <v>914</v>
      </c>
      <c r="J23" s="1086" t="s">
        <v>915</v>
      </c>
      <c r="K23" s="1087"/>
      <c r="L23" s="584">
        <f>L21*L22</f>
        <v>5200.125</v>
      </c>
    </row>
    <row r="24" spans="2:15" x14ac:dyDescent="0.3">
      <c r="B24" s="399" t="s">
        <v>361</v>
      </c>
      <c r="C24" s="399" t="s">
        <v>362</v>
      </c>
      <c r="D24" s="400" t="s">
        <v>363</v>
      </c>
      <c r="E24" s="400" t="s">
        <v>364</v>
      </c>
      <c r="F24" s="400" t="s">
        <v>384</v>
      </c>
      <c r="G24" s="401">
        <v>1.7410000000000001</v>
      </c>
      <c r="H24" s="577"/>
      <c r="I24" s="583" t="s">
        <v>916</v>
      </c>
      <c r="J24" s="1086" t="s">
        <v>917</v>
      </c>
      <c r="K24" s="1087"/>
      <c r="L24" s="584">
        <f>L20-L23</f>
        <v>11687.943025962606</v>
      </c>
    </row>
    <row r="25" spans="2:15" x14ac:dyDescent="0.3">
      <c r="B25" s="399" t="s">
        <v>361</v>
      </c>
      <c r="C25" s="399" t="s">
        <v>362</v>
      </c>
      <c r="D25" s="400" t="s">
        <v>363</v>
      </c>
      <c r="E25" s="400" t="s">
        <v>364</v>
      </c>
      <c r="F25" s="400" t="s">
        <v>385</v>
      </c>
      <c r="G25" s="401">
        <v>3.7719999999999998</v>
      </c>
      <c r="H25" s="577"/>
      <c r="I25" s="603" t="s">
        <v>918</v>
      </c>
      <c r="J25" s="1086" t="s">
        <v>919</v>
      </c>
      <c r="K25" s="1087"/>
      <c r="L25" s="584">
        <f>P10+P11+P12+P13+P14</f>
        <v>8566.2802667083997</v>
      </c>
    </row>
    <row r="26" spans="2:15" x14ac:dyDescent="0.3">
      <c r="B26" s="399" t="s">
        <v>361</v>
      </c>
      <c r="C26" s="399" t="s">
        <v>362</v>
      </c>
      <c r="D26" s="400" t="s">
        <v>363</v>
      </c>
      <c r="E26" s="400" t="s">
        <v>364</v>
      </c>
      <c r="F26" s="400" t="s">
        <v>384</v>
      </c>
      <c r="G26" s="401">
        <v>6.36</v>
      </c>
      <c r="H26" s="577"/>
      <c r="I26" s="603" t="s">
        <v>920</v>
      </c>
      <c r="J26" s="1086" t="s">
        <v>921</v>
      </c>
      <c r="K26" s="1087"/>
      <c r="L26" s="584">
        <f>P8+P9</f>
        <v>2692.4317505999998</v>
      </c>
    </row>
    <row r="27" spans="2:15" x14ac:dyDescent="0.3">
      <c r="B27" s="399" t="s">
        <v>361</v>
      </c>
      <c r="C27" s="399" t="s">
        <v>369</v>
      </c>
      <c r="D27" s="400" t="s">
        <v>363</v>
      </c>
      <c r="E27" s="400" t="s">
        <v>364</v>
      </c>
      <c r="F27" s="400" t="s">
        <v>384</v>
      </c>
      <c r="G27" s="401">
        <f>19.326-G26</f>
        <v>12.966000000000001</v>
      </c>
      <c r="H27" s="577"/>
      <c r="I27" s="604"/>
      <c r="J27" s="587"/>
      <c r="K27" s="587"/>
      <c r="L27" s="588"/>
    </row>
    <row r="28" spans="2:15" x14ac:dyDescent="0.3">
      <c r="B28" s="399" t="s">
        <v>361</v>
      </c>
      <c r="C28" s="399" t="s">
        <v>362</v>
      </c>
      <c r="D28" s="400" t="s">
        <v>363</v>
      </c>
      <c r="E28" s="400" t="s">
        <v>364</v>
      </c>
      <c r="F28" s="400" t="s">
        <v>388</v>
      </c>
      <c r="G28" s="401">
        <v>6.36</v>
      </c>
      <c r="H28" s="577"/>
    </row>
    <row r="29" spans="2:15" x14ac:dyDescent="0.3">
      <c r="B29" s="399" t="s">
        <v>361</v>
      </c>
      <c r="C29" s="399" t="s">
        <v>369</v>
      </c>
      <c r="D29" s="400" t="s">
        <v>363</v>
      </c>
      <c r="E29" s="400" t="s">
        <v>364</v>
      </c>
      <c r="F29" s="400" t="s">
        <v>388</v>
      </c>
      <c r="G29" s="401">
        <f>18.919-6.36</f>
        <v>12.559000000000001</v>
      </c>
      <c r="H29" s="577"/>
      <c r="J29" s="592" t="s">
        <v>382</v>
      </c>
      <c r="K29" s="404" t="s">
        <v>383</v>
      </c>
      <c r="L29" s="405"/>
    </row>
    <row r="30" spans="2:15" x14ac:dyDescent="0.3">
      <c r="B30" s="399" t="s">
        <v>361</v>
      </c>
      <c r="C30" s="399" t="s">
        <v>362</v>
      </c>
      <c r="D30" s="400" t="s">
        <v>363</v>
      </c>
      <c r="E30" s="400" t="s">
        <v>364</v>
      </c>
      <c r="F30" s="400" t="s">
        <v>391</v>
      </c>
      <c r="G30" s="401">
        <v>4.5970000000000004</v>
      </c>
      <c r="H30" s="577"/>
      <c r="J30" s="404" t="s">
        <v>361</v>
      </c>
      <c r="K30" s="406">
        <v>11258.7120173084</v>
      </c>
      <c r="L30" s="405"/>
    </row>
    <row r="31" spans="2:15" x14ac:dyDescent="0.3">
      <c r="B31" s="399" t="s">
        <v>361</v>
      </c>
      <c r="C31" s="399" t="s">
        <v>362</v>
      </c>
      <c r="D31" s="400" t="s">
        <v>363</v>
      </c>
      <c r="E31" s="400" t="s">
        <v>364</v>
      </c>
      <c r="F31" s="400" t="s">
        <v>393</v>
      </c>
      <c r="G31" s="401">
        <v>2.9670000000000001</v>
      </c>
      <c r="H31" s="577"/>
      <c r="J31" s="407" t="s">
        <v>386</v>
      </c>
      <c r="K31" s="408">
        <v>2968</v>
      </c>
      <c r="L31" s="405"/>
    </row>
    <row r="32" spans="2:15" x14ac:dyDescent="0.3">
      <c r="B32" s="399" t="s">
        <v>361</v>
      </c>
      <c r="C32" s="399" t="s">
        <v>362</v>
      </c>
      <c r="D32" s="400" t="s">
        <v>363</v>
      </c>
      <c r="E32" s="400" t="s">
        <v>364</v>
      </c>
      <c r="F32" s="400" t="s">
        <v>395</v>
      </c>
      <c r="G32" s="401">
        <v>1.36</v>
      </c>
      <c r="H32" s="577"/>
      <c r="J32" s="407" t="s">
        <v>370</v>
      </c>
      <c r="K32" s="408">
        <v>1615.8165999999999</v>
      </c>
      <c r="L32" s="405"/>
    </row>
    <row r="33" spans="2:16" x14ac:dyDescent="0.3">
      <c r="B33" s="399" t="s">
        <v>361</v>
      </c>
      <c r="C33" s="399" t="s">
        <v>362</v>
      </c>
      <c r="D33" s="400" t="s">
        <v>396</v>
      </c>
      <c r="E33" s="400" t="s">
        <v>364</v>
      </c>
      <c r="F33" s="400" t="s">
        <v>397</v>
      </c>
      <c r="G33" s="401">
        <v>0.50800000000000001</v>
      </c>
      <c r="H33" s="577"/>
      <c r="J33" s="407" t="s">
        <v>387</v>
      </c>
      <c r="K33" s="408">
        <v>252.29147859999998</v>
      </c>
      <c r="L33" s="405"/>
    </row>
    <row r="34" spans="2:16" x14ac:dyDescent="0.3">
      <c r="B34" s="399" t="s">
        <v>361</v>
      </c>
      <c r="C34" s="399" t="s">
        <v>362</v>
      </c>
      <c r="D34" s="400" t="s">
        <v>363</v>
      </c>
      <c r="E34" s="400" t="s">
        <v>364</v>
      </c>
      <c r="F34" s="400" t="s">
        <v>398</v>
      </c>
      <c r="G34" s="401">
        <v>3.7509999999999999</v>
      </c>
      <c r="H34" s="577"/>
      <c r="J34" s="407" t="s">
        <v>389</v>
      </c>
      <c r="K34" s="408">
        <v>465.88392249999987</v>
      </c>
      <c r="L34" s="405"/>
    </row>
    <row r="35" spans="2:16" x14ac:dyDescent="0.3">
      <c r="B35" s="399" t="s">
        <v>361</v>
      </c>
      <c r="C35" s="399" t="s">
        <v>362</v>
      </c>
      <c r="D35" s="400" t="s">
        <v>363</v>
      </c>
      <c r="E35" s="400" t="s">
        <v>364</v>
      </c>
      <c r="F35" s="400" t="s">
        <v>398</v>
      </c>
      <c r="G35" s="401">
        <v>6.4960000000000004</v>
      </c>
      <c r="H35" s="577"/>
      <c r="J35" s="407" t="s">
        <v>390</v>
      </c>
      <c r="K35" s="408">
        <v>1718.8064572084002</v>
      </c>
      <c r="L35" s="405"/>
    </row>
    <row r="36" spans="2:16" x14ac:dyDescent="0.3">
      <c r="B36" s="399" t="s">
        <v>361</v>
      </c>
      <c r="C36" s="399" t="s">
        <v>362</v>
      </c>
      <c r="D36" s="400" t="s">
        <v>370</v>
      </c>
      <c r="E36" s="400" t="s">
        <v>364</v>
      </c>
      <c r="F36" s="400" t="s">
        <v>400</v>
      </c>
      <c r="G36" s="401">
        <v>5.78</v>
      </c>
      <c r="H36" s="577"/>
      <c r="J36" s="407" t="s">
        <v>392</v>
      </c>
      <c r="K36" s="408">
        <v>46.583572000000004</v>
      </c>
      <c r="L36" s="405"/>
    </row>
    <row r="37" spans="2:16" x14ac:dyDescent="0.3">
      <c r="B37" s="399" t="s">
        <v>361</v>
      </c>
      <c r="C37" s="399" t="s">
        <v>362</v>
      </c>
      <c r="D37" s="400" t="s">
        <v>370</v>
      </c>
      <c r="E37" s="400" t="s">
        <v>364</v>
      </c>
      <c r="F37" s="400" t="s">
        <v>401</v>
      </c>
      <c r="G37" s="401">
        <v>5.78</v>
      </c>
      <c r="H37" s="577"/>
      <c r="J37" s="407" t="s">
        <v>394</v>
      </c>
      <c r="K37" s="408">
        <v>31.145999999999994</v>
      </c>
      <c r="L37" s="405"/>
    </row>
    <row r="38" spans="2:16" x14ac:dyDescent="0.3">
      <c r="B38" s="399" t="s">
        <v>361</v>
      </c>
      <c r="C38" s="399" t="s">
        <v>362</v>
      </c>
      <c r="D38" s="400" t="s">
        <v>370</v>
      </c>
      <c r="E38" s="400" t="s">
        <v>364</v>
      </c>
      <c r="F38" s="400" t="s">
        <v>402</v>
      </c>
      <c r="G38" s="401">
        <v>5.78</v>
      </c>
      <c r="H38" s="577"/>
      <c r="J38" s="407" t="s">
        <v>363</v>
      </c>
      <c r="K38" s="408">
        <v>3189.3349999999996</v>
      </c>
      <c r="L38" s="405"/>
    </row>
    <row r="39" spans="2:16" x14ac:dyDescent="0.3">
      <c r="B39" s="399" t="s">
        <v>361</v>
      </c>
      <c r="C39" s="399" t="s">
        <v>362</v>
      </c>
      <c r="D39" s="400" t="s">
        <v>370</v>
      </c>
      <c r="E39" s="400" t="s">
        <v>364</v>
      </c>
      <c r="F39" s="400" t="s">
        <v>403</v>
      </c>
      <c r="G39" s="401">
        <v>5.78</v>
      </c>
      <c r="H39" s="577"/>
      <c r="J39" s="407" t="s">
        <v>396</v>
      </c>
      <c r="K39" s="408">
        <v>970.84898699999985</v>
      </c>
      <c r="L39" s="405"/>
    </row>
    <row r="40" spans="2:16" x14ac:dyDescent="0.3">
      <c r="B40" s="399" t="s">
        <v>361</v>
      </c>
      <c r="C40" s="399" t="s">
        <v>362</v>
      </c>
      <c r="D40" s="400" t="s">
        <v>370</v>
      </c>
      <c r="E40" s="400" t="s">
        <v>364</v>
      </c>
      <c r="F40" s="400" t="s">
        <v>404</v>
      </c>
      <c r="G40" s="401">
        <v>5.78</v>
      </c>
      <c r="H40" s="577"/>
      <c r="J40" s="409" t="s">
        <v>399</v>
      </c>
      <c r="K40" s="410">
        <v>11258.7120173084</v>
      </c>
      <c r="L40" s="405"/>
    </row>
    <row r="41" spans="2:16" x14ac:dyDescent="0.3">
      <c r="B41" s="399" t="s">
        <v>361</v>
      </c>
      <c r="C41" s="399" t="s">
        <v>362</v>
      </c>
      <c r="D41" s="400" t="s">
        <v>370</v>
      </c>
      <c r="E41" s="400" t="s">
        <v>364</v>
      </c>
      <c r="F41" s="400" t="s">
        <v>406</v>
      </c>
      <c r="G41" s="401">
        <v>6.3579999999999997</v>
      </c>
      <c r="H41" s="577"/>
      <c r="J41" s="405"/>
      <c r="K41" s="405"/>
      <c r="L41" s="405"/>
    </row>
    <row r="42" spans="2:16" ht="15" customHeight="1" x14ac:dyDescent="0.3">
      <c r="B42" s="399" t="s">
        <v>361</v>
      </c>
      <c r="C42" s="399" t="s">
        <v>362</v>
      </c>
      <c r="D42" s="400" t="s">
        <v>370</v>
      </c>
      <c r="E42" s="400" t="s">
        <v>364</v>
      </c>
      <c r="F42" s="400" t="s">
        <v>407</v>
      </c>
      <c r="G42" s="401">
        <v>5.78</v>
      </c>
      <c r="H42" s="577"/>
      <c r="J42" s="405"/>
      <c r="K42" s="405"/>
      <c r="L42" s="405"/>
      <c r="N42" s="593"/>
      <c r="O42" s="593"/>
      <c r="P42" s="593"/>
    </row>
    <row r="43" spans="2:16" ht="15" customHeight="1" x14ac:dyDescent="0.3">
      <c r="B43" s="399" t="s">
        <v>361</v>
      </c>
      <c r="C43" s="399" t="s">
        <v>362</v>
      </c>
      <c r="D43" s="400" t="s">
        <v>370</v>
      </c>
      <c r="E43" s="400" t="s">
        <v>364</v>
      </c>
      <c r="F43" s="400" t="s">
        <v>409</v>
      </c>
      <c r="G43" s="401">
        <v>5.78</v>
      </c>
      <c r="H43" s="577"/>
      <c r="N43" s="593"/>
      <c r="O43" s="593"/>
      <c r="P43" s="593"/>
    </row>
    <row r="44" spans="2:16" ht="15" customHeight="1" x14ac:dyDescent="0.3">
      <c r="B44" s="399" t="s">
        <v>361</v>
      </c>
      <c r="C44" s="399" t="s">
        <v>362</v>
      </c>
      <c r="D44" s="400" t="s">
        <v>390</v>
      </c>
      <c r="E44" s="400" t="s">
        <v>364</v>
      </c>
      <c r="F44" s="400" t="s">
        <v>410</v>
      </c>
      <c r="G44" s="401">
        <f>(31.9147)*(3.2508+15.2)/2*0.06</f>
        <v>17.665552402800003</v>
      </c>
      <c r="H44" s="577"/>
      <c r="N44" s="593"/>
      <c r="O44" s="593"/>
      <c r="P44" s="593"/>
    </row>
    <row r="45" spans="2:16" ht="15" customHeight="1" x14ac:dyDescent="0.3">
      <c r="B45" s="399" t="s">
        <v>361</v>
      </c>
      <c r="C45" s="399" t="s">
        <v>362</v>
      </c>
      <c r="D45" s="400" t="s">
        <v>363</v>
      </c>
      <c r="E45" s="400" t="s">
        <v>364</v>
      </c>
      <c r="F45" s="400" t="s">
        <v>411</v>
      </c>
      <c r="G45" s="401">
        <v>15.503</v>
      </c>
      <c r="H45" s="577"/>
      <c r="N45" s="593"/>
      <c r="O45" s="593"/>
      <c r="P45" s="593"/>
    </row>
    <row r="46" spans="2:16" ht="15" customHeight="1" x14ac:dyDescent="0.3">
      <c r="B46" s="399" t="s">
        <v>361</v>
      </c>
      <c r="C46" s="399" t="s">
        <v>362</v>
      </c>
      <c r="D46" s="400" t="s">
        <v>363</v>
      </c>
      <c r="E46" s="400" t="s">
        <v>364</v>
      </c>
      <c r="F46" s="400" t="s">
        <v>412</v>
      </c>
      <c r="G46" s="401">
        <v>2.0009999999999999</v>
      </c>
      <c r="H46" s="577"/>
      <c r="J46" s="596" t="s">
        <v>405</v>
      </c>
      <c r="N46" s="593"/>
      <c r="O46" s="593"/>
      <c r="P46" s="593"/>
    </row>
    <row r="47" spans="2:16" ht="15" customHeight="1" x14ac:dyDescent="0.3">
      <c r="B47" s="399" t="s">
        <v>361</v>
      </c>
      <c r="C47" s="399" t="s">
        <v>362</v>
      </c>
      <c r="D47" s="400" t="s">
        <v>363</v>
      </c>
      <c r="E47" s="400" t="s">
        <v>364</v>
      </c>
      <c r="F47" s="400" t="s">
        <v>413</v>
      </c>
      <c r="G47" s="401">
        <v>3.6720000000000002</v>
      </c>
      <c r="H47" s="577"/>
      <c r="N47" s="593"/>
      <c r="O47" s="593"/>
      <c r="P47" s="593"/>
    </row>
    <row r="48" spans="2:16" ht="15" customHeight="1" x14ac:dyDescent="0.3">
      <c r="B48" s="399" t="s">
        <v>361</v>
      </c>
      <c r="C48" s="399" t="s">
        <v>362</v>
      </c>
      <c r="D48" s="400" t="s">
        <v>363</v>
      </c>
      <c r="E48" s="400" t="s">
        <v>364</v>
      </c>
      <c r="F48" s="400" t="s">
        <v>412</v>
      </c>
      <c r="G48" s="401">
        <v>7.6580000000000004</v>
      </c>
      <c r="H48" s="577"/>
      <c r="J48" s="1080" t="s">
        <v>408</v>
      </c>
      <c r="K48" s="1081"/>
      <c r="L48" s="1081"/>
      <c r="M48" s="1081"/>
      <c r="N48" s="1081"/>
      <c r="O48" s="1082"/>
      <c r="P48" s="593"/>
    </row>
    <row r="49" spans="2:16" ht="15" customHeight="1" x14ac:dyDescent="0.3">
      <c r="B49" s="399" t="s">
        <v>361</v>
      </c>
      <c r="C49" s="399" t="s">
        <v>362</v>
      </c>
      <c r="D49" s="400" t="s">
        <v>396</v>
      </c>
      <c r="E49" s="400" t="s">
        <v>364</v>
      </c>
      <c r="F49" s="400" t="s">
        <v>414</v>
      </c>
      <c r="G49" s="401">
        <v>1.2709999999999999</v>
      </c>
      <c r="H49" s="577"/>
      <c r="J49" s="1083"/>
      <c r="K49" s="1084"/>
      <c r="L49" s="1084"/>
      <c r="M49" s="1084"/>
      <c r="N49" s="1084"/>
      <c r="O49" s="1085"/>
      <c r="P49" s="593"/>
    </row>
    <row r="50" spans="2:16" ht="15" customHeight="1" x14ac:dyDescent="0.3">
      <c r="B50" s="399" t="s">
        <v>361</v>
      </c>
      <c r="C50" s="399" t="s">
        <v>362</v>
      </c>
      <c r="D50" s="400" t="s">
        <v>396</v>
      </c>
      <c r="E50" s="400" t="s">
        <v>364</v>
      </c>
      <c r="F50" s="400" t="s">
        <v>415</v>
      </c>
      <c r="G50" s="401">
        <v>1.2709999999999999</v>
      </c>
      <c r="H50" s="577"/>
      <c r="J50" s="1083"/>
      <c r="K50" s="1084"/>
      <c r="L50" s="1084"/>
      <c r="M50" s="1084"/>
      <c r="N50" s="1084"/>
      <c r="O50" s="1085"/>
      <c r="P50" s="593"/>
    </row>
    <row r="51" spans="2:16" ht="15" customHeight="1" x14ac:dyDescent="0.3">
      <c r="B51" s="399" t="s">
        <v>361</v>
      </c>
      <c r="C51" s="399" t="s">
        <v>362</v>
      </c>
      <c r="D51" s="400" t="s">
        <v>396</v>
      </c>
      <c r="E51" s="400" t="s">
        <v>364</v>
      </c>
      <c r="F51" s="400" t="s">
        <v>416</v>
      </c>
      <c r="G51" s="401">
        <v>1.2709999999999999</v>
      </c>
      <c r="H51" s="577"/>
      <c r="J51" s="1083"/>
      <c r="K51" s="1084"/>
      <c r="L51" s="1084"/>
      <c r="M51" s="1084"/>
      <c r="N51" s="1084"/>
      <c r="O51" s="1085"/>
      <c r="P51" s="593"/>
    </row>
    <row r="52" spans="2:16" ht="15" customHeight="1" x14ac:dyDescent="0.3">
      <c r="B52" s="399" t="s">
        <v>361</v>
      </c>
      <c r="C52" s="399" t="s">
        <v>362</v>
      </c>
      <c r="D52" s="400" t="s">
        <v>396</v>
      </c>
      <c r="E52" s="400" t="s">
        <v>364</v>
      </c>
      <c r="F52" s="400" t="s">
        <v>417</v>
      </c>
      <c r="G52" s="401">
        <v>1.252</v>
      </c>
      <c r="H52" s="577"/>
      <c r="J52" s="1083"/>
      <c r="K52" s="1084"/>
      <c r="L52" s="1084"/>
      <c r="M52" s="1084"/>
      <c r="N52" s="1084"/>
      <c r="O52" s="1085"/>
      <c r="P52" s="593"/>
    </row>
    <row r="53" spans="2:16" ht="15" customHeight="1" x14ac:dyDescent="0.3">
      <c r="B53" s="399" t="s">
        <v>361</v>
      </c>
      <c r="C53" s="399" t="s">
        <v>362</v>
      </c>
      <c r="D53" s="400" t="s">
        <v>396</v>
      </c>
      <c r="E53" s="400" t="s">
        <v>364</v>
      </c>
      <c r="F53" s="400" t="s">
        <v>418</v>
      </c>
      <c r="G53" s="401">
        <v>1.2490000000000001</v>
      </c>
      <c r="H53" s="577"/>
      <c r="J53" s="1083"/>
      <c r="K53" s="1084"/>
      <c r="L53" s="1084"/>
      <c r="M53" s="1084"/>
      <c r="N53" s="1084"/>
      <c r="O53" s="1085"/>
      <c r="P53" s="593"/>
    </row>
    <row r="54" spans="2:16" ht="15" customHeight="1" x14ac:dyDescent="0.3">
      <c r="B54" s="399" t="s">
        <v>361</v>
      </c>
      <c r="C54" s="399" t="s">
        <v>362</v>
      </c>
      <c r="D54" s="400" t="s">
        <v>396</v>
      </c>
      <c r="E54" s="400" t="s">
        <v>364</v>
      </c>
      <c r="F54" s="400" t="s">
        <v>419</v>
      </c>
      <c r="G54" s="401">
        <v>1.2470000000000001</v>
      </c>
      <c r="H54" s="577"/>
      <c r="J54" s="594"/>
      <c r="K54" s="595"/>
      <c r="L54" s="595"/>
      <c r="M54" s="595"/>
      <c r="N54" s="595"/>
      <c r="O54" s="589"/>
      <c r="P54" s="593"/>
    </row>
    <row r="55" spans="2:16" ht="15" customHeight="1" x14ac:dyDescent="0.3">
      <c r="B55" s="399" t="s">
        <v>361</v>
      </c>
      <c r="C55" s="399" t="s">
        <v>362</v>
      </c>
      <c r="D55" s="400" t="s">
        <v>363</v>
      </c>
      <c r="E55" s="400" t="s">
        <v>364</v>
      </c>
      <c r="F55" s="400" t="s">
        <v>420</v>
      </c>
      <c r="G55" s="401">
        <v>5.9139999999999997</v>
      </c>
      <c r="H55" s="577"/>
      <c r="J55" s="590"/>
      <c r="K55" s="593"/>
      <c r="L55" s="593"/>
      <c r="M55" s="593"/>
      <c r="N55" s="593"/>
      <c r="O55" s="589"/>
      <c r="P55" s="593"/>
    </row>
    <row r="56" spans="2:16" ht="15" customHeight="1" x14ac:dyDescent="0.3">
      <c r="B56" s="399" t="s">
        <v>361</v>
      </c>
      <c r="C56" s="399" t="s">
        <v>362</v>
      </c>
      <c r="D56" s="400" t="s">
        <v>396</v>
      </c>
      <c r="E56" s="400" t="s">
        <v>364</v>
      </c>
      <c r="F56" s="400" t="s">
        <v>421</v>
      </c>
      <c r="G56" s="401">
        <v>1.2290000000000001</v>
      </c>
      <c r="H56" s="577"/>
      <c r="J56" s="590"/>
      <c r="K56" s="593"/>
      <c r="L56" s="593"/>
      <c r="M56" s="593"/>
      <c r="N56" s="593"/>
      <c r="O56" s="589"/>
      <c r="P56" s="593"/>
    </row>
    <row r="57" spans="2:16" ht="15" customHeight="1" x14ac:dyDescent="0.3">
      <c r="B57" s="399" t="s">
        <v>361</v>
      </c>
      <c r="C57" s="399" t="s">
        <v>362</v>
      </c>
      <c r="D57" s="400" t="s">
        <v>396</v>
      </c>
      <c r="E57" s="400" t="s">
        <v>364</v>
      </c>
      <c r="F57" s="400" t="s">
        <v>422</v>
      </c>
      <c r="G57" s="401">
        <v>1.17</v>
      </c>
      <c r="H57" s="577"/>
      <c r="J57" s="590"/>
      <c r="K57" s="593"/>
      <c r="L57" s="593"/>
      <c r="M57" s="593"/>
      <c r="N57" s="593"/>
      <c r="O57" s="589"/>
      <c r="P57" s="593"/>
    </row>
    <row r="58" spans="2:16" ht="15" customHeight="1" x14ac:dyDescent="0.3">
      <c r="B58" s="399" t="s">
        <v>361</v>
      </c>
      <c r="C58" s="399" t="s">
        <v>362</v>
      </c>
      <c r="D58" s="400" t="s">
        <v>396</v>
      </c>
      <c r="E58" s="400" t="s">
        <v>364</v>
      </c>
      <c r="F58" s="400" t="s">
        <v>423</v>
      </c>
      <c r="G58" s="401">
        <v>1.121</v>
      </c>
      <c r="H58" s="577"/>
      <c r="J58" s="590"/>
      <c r="K58" s="593"/>
      <c r="L58" s="593"/>
      <c r="M58" s="593"/>
      <c r="N58" s="593"/>
      <c r="O58" s="589"/>
      <c r="P58" s="593"/>
    </row>
    <row r="59" spans="2:16" ht="15" customHeight="1" x14ac:dyDescent="0.3">
      <c r="B59" s="399" t="s">
        <v>361</v>
      </c>
      <c r="C59" s="399" t="s">
        <v>362</v>
      </c>
      <c r="D59" s="400" t="s">
        <v>396</v>
      </c>
      <c r="E59" s="400" t="s">
        <v>364</v>
      </c>
      <c r="F59" s="400" t="s">
        <v>424</v>
      </c>
      <c r="G59" s="401">
        <v>1.0720000000000001</v>
      </c>
      <c r="H59" s="577"/>
      <c r="J59" s="590"/>
      <c r="K59" s="593"/>
      <c r="L59" s="593"/>
      <c r="M59" s="593"/>
      <c r="N59" s="593"/>
      <c r="O59" s="589"/>
      <c r="P59" s="593"/>
    </row>
    <row r="60" spans="2:16" ht="15" customHeight="1" x14ac:dyDescent="0.3">
      <c r="B60" s="399" t="s">
        <v>361</v>
      </c>
      <c r="C60" s="399" t="s">
        <v>362</v>
      </c>
      <c r="D60" s="400" t="s">
        <v>396</v>
      </c>
      <c r="E60" s="400" t="s">
        <v>364</v>
      </c>
      <c r="F60" s="400" t="s">
        <v>425</v>
      </c>
      <c r="G60" s="401">
        <v>1.0229999999999999</v>
      </c>
      <c r="H60" s="577"/>
      <c r="J60" s="590"/>
      <c r="K60" s="593"/>
      <c r="L60" s="593"/>
      <c r="M60" s="593"/>
      <c r="N60" s="593"/>
      <c r="O60" s="589"/>
      <c r="P60" s="593"/>
    </row>
    <row r="61" spans="2:16" ht="15" customHeight="1" x14ac:dyDescent="0.3">
      <c r="B61" s="399" t="s">
        <v>361</v>
      </c>
      <c r="C61" s="399" t="s">
        <v>362</v>
      </c>
      <c r="D61" s="400" t="s">
        <v>363</v>
      </c>
      <c r="E61" s="400" t="s">
        <v>364</v>
      </c>
      <c r="F61" s="400" t="s">
        <v>426</v>
      </c>
      <c r="G61" s="401">
        <v>5.4619999999999997</v>
      </c>
      <c r="H61" s="577"/>
      <c r="J61" s="590"/>
      <c r="K61" s="593"/>
      <c r="L61" s="593"/>
      <c r="M61" s="593"/>
      <c r="N61" s="593"/>
      <c r="O61" s="589"/>
      <c r="P61" s="593"/>
    </row>
    <row r="62" spans="2:16" ht="15" customHeight="1" x14ac:dyDescent="0.3">
      <c r="B62" s="399" t="s">
        <v>361</v>
      </c>
      <c r="C62" s="399" t="s">
        <v>362</v>
      </c>
      <c r="D62" s="400" t="s">
        <v>396</v>
      </c>
      <c r="E62" s="400" t="s">
        <v>364</v>
      </c>
      <c r="F62" s="400" t="s">
        <v>427</v>
      </c>
      <c r="G62" s="401">
        <v>0.94399999999999995</v>
      </c>
      <c r="H62" s="577"/>
      <c r="J62" s="590"/>
      <c r="K62" s="593"/>
      <c r="L62" s="593"/>
      <c r="M62" s="593"/>
      <c r="N62" s="593"/>
      <c r="O62" s="589"/>
      <c r="P62" s="593"/>
    </row>
    <row r="63" spans="2:16" ht="15" customHeight="1" x14ac:dyDescent="0.3">
      <c r="B63" s="399" t="s">
        <v>361</v>
      </c>
      <c r="C63" s="399" t="s">
        <v>362</v>
      </c>
      <c r="D63" s="400" t="s">
        <v>396</v>
      </c>
      <c r="E63" s="400" t="s">
        <v>364</v>
      </c>
      <c r="F63" s="400" t="s">
        <v>428</v>
      </c>
      <c r="G63" s="401">
        <v>0.86599999999999999</v>
      </c>
      <c r="H63" s="577"/>
      <c r="J63" s="590"/>
      <c r="K63" s="593"/>
      <c r="L63" s="593"/>
      <c r="M63" s="593"/>
      <c r="N63" s="593"/>
      <c r="O63" s="589"/>
      <c r="P63" s="593"/>
    </row>
    <row r="64" spans="2:16" ht="15" customHeight="1" x14ac:dyDescent="0.3">
      <c r="B64" s="399" t="s">
        <v>361</v>
      </c>
      <c r="C64" s="399" t="s">
        <v>362</v>
      </c>
      <c r="D64" s="400" t="s">
        <v>396</v>
      </c>
      <c r="E64" s="400" t="s">
        <v>364</v>
      </c>
      <c r="F64" s="400" t="s">
        <v>429</v>
      </c>
      <c r="G64" s="401">
        <v>0.81699999999999995</v>
      </c>
      <c r="H64" s="577"/>
      <c r="J64" s="590"/>
      <c r="K64" s="593"/>
      <c r="L64" s="593"/>
      <c r="M64" s="593"/>
      <c r="N64" s="593"/>
      <c r="O64" s="589"/>
      <c r="P64" s="593"/>
    </row>
    <row r="65" spans="2:16" ht="15" customHeight="1" x14ac:dyDescent="0.3">
      <c r="B65" s="399" t="s">
        <v>361</v>
      </c>
      <c r="C65" s="399" t="s">
        <v>362</v>
      </c>
      <c r="D65" s="400" t="s">
        <v>396</v>
      </c>
      <c r="E65" s="400" t="s">
        <v>364</v>
      </c>
      <c r="F65" s="400" t="s">
        <v>430</v>
      </c>
      <c r="G65" s="401">
        <v>0.87</v>
      </c>
      <c r="H65" s="577"/>
      <c r="J65" s="590"/>
      <c r="K65" s="593"/>
      <c r="L65" s="593"/>
      <c r="M65" s="593"/>
      <c r="N65" s="593"/>
      <c r="O65" s="589"/>
      <c r="P65" s="593"/>
    </row>
    <row r="66" spans="2:16" ht="15" customHeight="1" x14ac:dyDescent="0.3">
      <c r="B66" s="399" t="s">
        <v>361</v>
      </c>
      <c r="C66" s="399" t="s">
        <v>362</v>
      </c>
      <c r="D66" s="400" t="s">
        <v>396</v>
      </c>
      <c r="E66" s="400" t="s">
        <v>364</v>
      </c>
      <c r="F66" s="400" t="s">
        <v>431</v>
      </c>
      <c r="G66" s="401">
        <v>0.72899999999999998</v>
      </c>
      <c r="H66" s="577"/>
      <c r="J66" s="590"/>
      <c r="K66" s="593"/>
      <c r="L66" s="593"/>
      <c r="M66" s="593"/>
      <c r="N66" s="593"/>
      <c r="O66" s="589"/>
      <c r="P66" s="593"/>
    </row>
    <row r="67" spans="2:16" ht="15" customHeight="1" x14ac:dyDescent="0.3">
      <c r="B67" s="399" t="s">
        <v>361</v>
      </c>
      <c r="C67" s="399" t="s">
        <v>362</v>
      </c>
      <c r="D67" s="400" t="s">
        <v>363</v>
      </c>
      <c r="E67" s="400" t="s">
        <v>364</v>
      </c>
      <c r="F67" s="400" t="s">
        <v>432</v>
      </c>
      <c r="G67" s="401">
        <v>2.91</v>
      </c>
      <c r="H67" s="577"/>
      <c r="J67" s="590"/>
      <c r="K67" s="593"/>
      <c r="L67" s="593"/>
      <c r="M67" s="593"/>
      <c r="N67" s="593"/>
      <c r="O67" s="589"/>
      <c r="P67" s="593"/>
    </row>
    <row r="68" spans="2:16" ht="15" customHeight="1" x14ac:dyDescent="0.3">
      <c r="B68" s="399" t="s">
        <v>361</v>
      </c>
      <c r="C68" s="399" t="s">
        <v>362</v>
      </c>
      <c r="D68" s="400" t="s">
        <v>396</v>
      </c>
      <c r="E68" s="400" t="s">
        <v>364</v>
      </c>
      <c r="F68" s="400" t="s">
        <v>433</v>
      </c>
      <c r="G68" s="401">
        <v>0.56299999999999994</v>
      </c>
      <c r="H68" s="577"/>
      <c r="J68" s="590"/>
      <c r="K68" s="593"/>
      <c r="L68" s="593"/>
      <c r="M68" s="593"/>
      <c r="N68" s="593"/>
      <c r="O68" s="589"/>
      <c r="P68" s="593"/>
    </row>
    <row r="69" spans="2:16" ht="15" customHeight="1" x14ac:dyDescent="0.3">
      <c r="B69" s="399" t="s">
        <v>361</v>
      </c>
      <c r="C69" s="399" t="s">
        <v>362</v>
      </c>
      <c r="D69" s="400" t="s">
        <v>396</v>
      </c>
      <c r="E69" s="400" t="s">
        <v>364</v>
      </c>
      <c r="F69" s="400" t="s">
        <v>434</v>
      </c>
      <c r="G69" s="401">
        <v>0.56899999999999995</v>
      </c>
      <c r="H69" s="577"/>
      <c r="J69" s="590"/>
      <c r="K69" s="593"/>
      <c r="L69" s="593"/>
      <c r="M69" s="593"/>
      <c r="N69" s="593"/>
      <c r="O69" s="589"/>
      <c r="P69" s="593"/>
    </row>
    <row r="70" spans="2:16" ht="15" customHeight="1" x14ac:dyDescent="0.3">
      <c r="B70" s="399" t="s">
        <v>361</v>
      </c>
      <c r="C70" s="399" t="s">
        <v>362</v>
      </c>
      <c r="D70" s="400" t="s">
        <v>396</v>
      </c>
      <c r="E70" s="400" t="s">
        <v>364</v>
      </c>
      <c r="F70" s="400" t="s">
        <v>435</v>
      </c>
      <c r="G70" s="401">
        <v>0.51800000000000002</v>
      </c>
      <c r="H70" s="577"/>
      <c r="J70" s="590"/>
      <c r="K70" s="593"/>
      <c r="L70" s="593"/>
      <c r="M70" s="593"/>
      <c r="N70" s="593"/>
      <c r="O70" s="589"/>
      <c r="P70" s="593"/>
    </row>
    <row r="71" spans="2:16" ht="15" customHeight="1" x14ac:dyDescent="0.3">
      <c r="B71" s="399" t="s">
        <v>361</v>
      </c>
      <c r="C71" s="399" t="s">
        <v>362</v>
      </c>
      <c r="D71" s="400" t="s">
        <v>396</v>
      </c>
      <c r="E71" s="400" t="s">
        <v>364</v>
      </c>
      <c r="F71" s="400" t="s">
        <v>436</v>
      </c>
      <c r="G71" s="401">
        <v>0.56699999999999995</v>
      </c>
      <c r="H71" s="577"/>
      <c r="J71" s="590"/>
      <c r="K71" s="593"/>
      <c r="L71" s="593"/>
      <c r="M71" s="593"/>
      <c r="N71" s="593"/>
      <c r="O71" s="589"/>
      <c r="P71" s="593"/>
    </row>
    <row r="72" spans="2:16" ht="15" customHeight="1" x14ac:dyDescent="0.3">
      <c r="B72" s="399" t="s">
        <v>361</v>
      </c>
      <c r="C72" s="399" t="s">
        <v>362</v>
      </c>
      <c r="D72" s="400" t="s">
        <v>396</v>
      </c>
      <c r="E72" s="400" t="s">
        <v>364</v>
      </c>
      <c r="F72" s="400" t="s">
        <v>437</v>
      </c>
      <c r="G72" s="401">
        <v>0.38100000000000001</v>
      </c>
      <c r="H72" s="577"/>
      <c r="J72" s="590"/>
      <c r="K72" s="593"/>
      <c r="L72" s="593"/>
      <c r="M72" s="593"/>
      <c r="N72" s="593"/>
      <c r="O72" s="589"/>
      <c r="P72" s="593"/>
    </row>
    <row r="73" spans="2:16" ht="15" customHeight="1" x14ac:dyDescent="0.3">
      <c r="B73" s="399" t="s">
        <v>361</v>
      </c>
      <c r="C73" s="399" t="s">
        <v>362</v>
      </c>
      <c r="D73" s="400" t="s">
        <v>363</v>
      </c>
      <c r="E73" s="400" t="s">
        <v>364</v>
      </c>
      <c r="F73" s="400" t="s">
        <v>438</v>
      </c>
      <c r="G73" s="401">
        <v>1.298</v>
      </c>
      <c r="H73" s="577"/>
      <c r="J73" s="590"/>
      <c r="K73" s="593"/>
      <c r="L73" s="593"/>
      <c r="M73" s="593"/>
      <c r="N73" s="593"/>
      <c r="O73" s="589"/>
      <c r="P73" s="593"/>
    </row>
    <row r="74" spans="2:16" ht="15" customHeight="1" x14ac:dyDescent="0.3">
      <c r="B74" s="399" t="s">
        <v>361</v>
      </c>
      <c r="C74" s="399" t="s">
        <v>362</v>
      </c>
      <c r="D74" s="400" t="s">
        <v>396</v>
      </c>
      <c r="E74" s="400" t="s">
        <v>364</v>
      </c>
      <c r="F74" s="400" t="s">
        <v>439</v>
      </c>
      <c r="G74" s="401">
        <v>0.23899999999999999</v>
      </c>
      <c r="H74" s="577"/>
      <c r="J74" s="590"/>
      <c r="K74" s="593"/>
      <c r="L74" s="593"/>
      <c r="M74" s="593"/>
      <c r="N74" s="593"/>
      <c r="O74" s="589"/>
      <c r="P74" s="593"/>
    </row>
    <row r="75" spans="2:16" ht="15" customHeight="1" x14ac:dyDescent="0.3">
      <c r="B75" s="399" t="s">
        <v>361</v>
      </c>
      <c r="C75" s="399" t="s">
        <v>362</v>
      </c>
      <c r="D75" s="400" t="s">
        <v>396</v>
      </c>
      <c r="E75" s="400" t="s">
        <v>364</v>
      </c>
      <c r="F75" s="400" t="s">
        <v>439</v>
      </c>
      <c r="G75" s="401">
        <v>0.28999999999999998</v>
      </c>
      <c r="H75" s="577"/>
      <c r="J75" s="590"/>
      <c r="K75" s="593"/>
      <c r="L75" s="593"/>
      <c r="M75" s="593"/>
      <c r="N75" s="593"/>
      <c r="O75" s="589"/>
      <c r="P75" s="593"/>
    </row>
    <row r="76" spans="2:16" ht="15" customHeight="1" x14ac:dyDescent="0.3">
      <c r="B76" s="399" t="s">
        <v>361</v>
      </c>
      <c r="C76" s="399" t="s">
        <v>362</v>
      </c>
      <c r="D76" s="400" t="s">
        <v>396</v>
      </c>
      <c r="E76" s="400" t="s">
        <v>364</v>
      </c>
      <c r="F76" s="400" t="s">
        <v>440</v>
      </c>
      <c r="G76" s="401">
        <v>0.50700000000000001</v>
      </c>
      <c r="H76" s="577"/>
      <c r="J76" s="590"/>
      <c r="K76" s="593"/>
      <c r="L76" s="593"/>
      <c r="M76" s="593"/>
      <c r="N76" s="593"/>
      <c r="O76" s="589"/>
      <c r="P76" s="593"/>
    </row>
    <row r="77" spans="2:16" x14ac:dyDescent="0.3">
      <c r="B77" s="399" t="s">
        <v>361</v>
      </c>
      <c r="C77" s="399" t="s">
        <v>362</v>
      </c>
      <c r="D77" s="400" t="s">
        <v>394</v>
      </c>
      <c r="E77" s="400" t="s">
        <v>364</v>
      </c>
      <c r="F77" s="400" t="s">
        <v>441</v>
      </c>
      <c r="G77" s="401">
        <f>0.968+1.136</f>
        <v>2.1040000000000001</v>
      </c>
      <c r="H77" s="577"/>
      <c r="J77" s="598"/>
      <c r="O77" s="599"/>
    </row>
    <row r="78" spans="2:16" x14ac:dyDescent="0.3">
      <c r="B78" s="399" t="s">
        <v>361</v>
      </c>
      <c r="C78" s="399" t="s">
        <v>362</v>
      </c>
      <c r="D78" s="400" t="s">
        <v>394</v>
      </c>
      <c r="E78" s="400" t="s">
        <v>364</v>
      </c>
      <c r="F78" s="400" t="s">
        <v>442</v>
      </c>
      <c r="G78" s="401">
        <f>0.97+2.206</f>
        <v>3.1760000000000002</v>
      </c>
      <c r="H78" s="577"/>
      <c r="J78" s="598"/>
      <c r="O78" s="599"/>
    </row>
    <row r="79" spans="2:16" x14ac:dyDescent="0.3">
      <c r="B79" s="399" t="s">
        <v>361</v>
      </c>
      <c r="C79" s="399" t="s">
        <v>362</v>
      </c>
      <c r="D79" s="400" t="s">
        <v>363</v>
      </c>
      <c r="E79" s="400" t="s">
        <v>364</v>
      </c>
      <c r="F79" s="400" t="s">
        <v>443</v>
      </c>
      <c r="G79" s="401">
        <v>11.24</v>
      </c>
      <c r="H79" s="577"/>
      <c r="J79" s="598"/>
      <c r="O79" s="599"/>
    </row>
    <row r="80" spans="2:16" x14ac:dyDescent="0.3">
      <c r="B80" s="399" t="s">
        <v>361</v>
      </c>
      <c r="C80" s="399" t="s">
        <v>362</v>
      </c>
      <c r="D80" s="400" t="s">
        <v>370</v>
      </c>
      <c r="E80" s="400" t="s">
        <v>364</v>
      </c>
      <c r="F80" s="400" t="s">
        <v>444</v>
      </c>
      <c r="G80" s="401">
        <v>6.0060000000000002</v>
      </c>
      <c r="H80" s="577"/>
      <c r="J80" s="598"/>
      <c r="O80" s="599"/>
    </row>
    <row r="81" spans="2:15" x14ac:dyDescent="0.3">
      <c r="B81" s="399" t="s">
        <v>361</v>
      </c>
      <c r="C81" s="399" t="s">
        <v>362</v>
      </c>
      <c r="D81" s="400" t="s">
        <v>370</v>
      </c>
      <c r="E81" s="400" t="s">
        <v>364</v>
      </c>
      <c r="F81" s="400" t="s">
        <v>445</v>
      </c>
      <c r="G81" s="401">
        <v>6.0060000000000002</v>
      </c>
      <c r="H81" s="577"/>
      <c r="J81" s="598"/>
      <c r="O81" s="599"/>
    </row>
    <row r="82" spans="2:15" x14ac:dyDescent="0.3">
      <c r="B82" s="399" t="s">
        <v>361</v>
      </c>
      <c r="C82" s="399" t="s">
        <v>362</v>
      </c>
      <c r="D82" s="400" t="s">
        <v>370</v>
      </c>
      <c r="E82" s="400" t="s">
        <v>364</v>
      </c>
      <c r="F82" s="400" t="s">
        <v>446</v>
      </c>
      <c r="G82" s="401">
        <v>6.0060000000000002</v>
      </c>
      <c r="H82" s="577"/>
      <c r="J82" s="598"/>
      <c r="O82" s="599"/>
    </row>
    <row r="83" spans="2:15" x14ac:dyDescent="0.3">
      <c r="B83" s="399" t="s">
        <v>361</v>
      </c>
      <c r="C83" s="399" t="s">
        <v>362</v>
      </c>
      <c r="D83" s="400" t="s">
        <v>370</v>
      </c>
      <c r="E83" s="400" t="s">
        <v>364</v>
      </c>
      <c r="F83" s="400" t="s">
        <v>447</v>
      </c>
      <c r="G83" s="401">
        <v>6.0060000000000002</v>
      </c>
      <c r="H83" s="577"/>
      <c r="J83" s="598"/>
      <c r="O83" s="599"/>
    </row>
    <row r="84" spans="2:15" x14ac:dyDescent="0.3">
      <c r="B84" s="399" t="s">
        <v>361</v>
      </c>
      <c r="C84" s="399" t="s">
        <v>362</v>
      </c>
      <c r="D84" s="400" t="s">
        <v>370</v>
      </c>
      <c r="E84" s="400" t="s">
        <v>364</v>
      </c>
      <c r="F84" s="400" t="s">
        <v>448</v>
      </c>
      <c r="G84" s="401">
        <v>6.0060000000000002</v>
      </c>
      <c r="H84" s="577"/>
      <c r="J84" s="598"/>
      <c r="O84" s="599"/>
    </row>
    <row r="85" spans="2:15" x14ac:dyDescent="0.3">
      <c r="B85" s="399" t="s">
        <v>361</v>
      </c>
      <c r="C85" s="399" t="s">
        <v>362</v>
      </c>
      <c r="D85" s="400" t="s">
        <v>370</v>
      </c>
      <c r="E85" s="400" t="s">
        <v>364</v>
      </c>
      <c r="F85" s="400" t="s">
        <v>449</v>
      </c>
      <c r="G85" s="401">
        <v>6.6719999999999997</v>
      </c>
      <c r="H85" s="577"/>
      <c r="J85" s="598"/>
      <c r="O85" s="599"/>
    </row>
    <row r="86" spans="2:15" x14ac:dyDescent="0.3">
      <c r="B86" s="399" t="s">
        <v>361</v>
      </c>
      <c r="C86" s="399" t="s">
        <v>362</v>
      </c>
      <c r="D86" s="400" t="s">
        <v>370</v>
      </c>
      <c r="E86" s="400" t="s">
        <v>364</v>
      </c>
      <c r="F86" s="400" t="s">
        <v>450</v>
      </c>
      <c r="G86" s="401">
        <v>6.0060000000000002</v>
      </c>
      <c r="H86" s="577"/>
      <c r="J86" s="598"/>
      <c r="O86" s="599"/>
    </row>
    <row r="87" spans="2:15" x14ac:dyDescent="0.3">
      <c r="B87" s="399" t="s">
        <v>361</v>
      </c>
      <c r="C87" s="399" t="s">
        <v>362</v>
      </c>
      <c r="D87" s="400" t="s">
        <v>370</v>
      </c>
      <c r="E87" s="400" t="s">
        <v>364</v>
      </c>
      <c r="F87" s="400" t="s">
        <v>451</v>
      </c>
      <c r="G87" s="401">
        <v>6.0060000000000002</v>
      </c>
      <c r="H87" s="577"/>
      <c r="J87" s="598"/>
      <c r="O87" s="599"/>
    </row>
    <row r="88" spans="2:15" x14ac:dyDescent="0.3">
      <c r="B88" s="399" t="s">
        <v>361</v>
      </c>
      <c r="C88" s="399" t="s">
        <v>362</v>
      </c>
      <c r="D88" s="400" t="s">
        <v>389</v>
      </c>
      <c r="E88" s="400" t="s">
        <v>364</v>
      </c>
      <c r="F88" s="400" t="s">
        <v>452</v>
      </c>
      <c r="G88" s="401">
        <f>(9.01+5.58+5.9+5.63+1.15)*4.46*0.15</f>
        <v>18.24363</v>
      </c>
      <c r="H88" s="577"/>
      <c r="J88" s="598"/>
      <c r="O88" s="599"/>
    </row>
    <row r="89" spans="2:15" x14ac:dyDescent="0.3">
      <c r="B89" s="399" t="s">
        <v>361</v>
      </c>
      <c r="C89" s="399" t="s">
        <v>362</v>
      </c>
      <c r="D89" s="400" t="s">
        <v>389</v>
      </c>
      <c r="E89" s="400" t="s">
        <v>364</v>
      </c>
      <c r="F89" s="400" t="s">
        <v>453</v>
      </c>
      <c r="G89" s="401">
        <f>3.3*4.46*0.15</f>
        <v>2.2077</v>
      </c>
      <c r="H89" s="577"/>
      <c r="J89" s="598"/>
      <c r="O89" s="599"/>
    </row>
    <row r="90" spans="2:15" x14ac:dyDescent="0.3">
      <c r="B90" s="399" t="s">
        <v>361</v>
      </c>
      <c r="C90" s="399" t="s">
        <v>362</v>
      </c>
      <c r="D90" s="400" t="s">
        <v>389</v>
      </c>
      <c r="E90" s="400" t="s">
        <v>364</v>
      </c>
      <c r="F90" s="400" t="s">
        <v>454</v>
      </c>
      <c r="G90" s="401">
        <f>(1.15+5.115+5.3)*4.46*0.15</f>
        <v>7.7369849999999998</v>
      </c>
      <c r="H90" s="577"/>
      <c r="J90" s="598"/>
      <c r="O90" s="599"/>
    </row>
    <row r="91" spans="2:15" x14ac:dyDescent="0.3">
      <c r="B91" s="399" t="s">
        <v>361</v>
      </c>
      <c r="C91" s="399" t="s">
        <v>362</v>
      </c>
      <c r="D91" s="400" t="s">
        <v>389</v>
      </c>
      <c r="E91" s="400" t="s">
        <v>364</v>
      </c>
      <c r="F91" s="400" t="s">
        <v>455</v>
      </c>
      <c r="G91" s="401">
        <f>(3.4+11)*4.46*0.15</f>
        <v>9.6335999999999995</v>
      </c>
      <c r="H91" s="577"/>
      <c r="J91" s="600"/>
      <c r="K91" s="601"/>
      <c r="L91" s="601"/>
      <c r="M91" s="601"/>
      <c r="N91" s="601"/>
      <c r="O91" s="602"/>
    </row>
    <row r="92" spans="2:15" x14ac:dyDescent="0.3">
      <c r="B92" s="399" t="s">
        <v>361</v>
      </c>
      <c r="C92" s="399" t="s">
        <v>362</v>
      </c>
      <c r="D92" s="400" t="s">
        <v>390</v>
      </c>
      <c r="E92" s="400" t="s">
        <v>364</v>
      </c>
      <c r="F92" s="400" t="s">
        <v>456</v>
      </c>
      <c r="G92" s="401">
        <f>(31.9147)*(3.2508+15.2)/2*0.06</f>
        <v>17.665552402800003</v>
      </c>
      <c r="H92" s="577"/>
    </row>
    <row r="93" spans="2:15" x14ac:dyDescent="0.3">
      <c r="B93" s="399" t="s">
        <v>361</v>
      </c>
      <c r="C93" s="399" t="s">
        <v>362</v>
      </c>
      <c r="D93" s="400" t="s">
        <v>363</v>
      </c>
      <c r="E93" s="400" t="s">
        <v>364</v>
      </c>
      <c r="F93" s="400" t="s">
        <v>457</v>
      </c>
      <c r="G93" s="401">
        <v>19.366</v>
      </c>
      <c r="H93" s="577"/>
    </row>
    <row r="94" spans="2:15" x14ac:dyDescent="0.3">
      <c r="B94" s="399" t="s">
        <v>361</v>
      </c>
      <c r="C94" s="399" t="s">
        <v>362</v>
      </c>
      <c r="D94" s="400" t="s">
        <v>363</v>
      </c>
      <c r="E94" s="400" t="s">
        <v>364</v>
      </c>
      <c r="F94" s="400" t="s">
        <v>458</v>
      </c>
      <c r="G94" s="401">
        <v>2.0009999999999999</v>
      </c>
      <c r="H94" s="577"/>
    </row>
    <row r="95" spans="2:15" x14ac:dyDescent="0.3">
      <c r="B95" s="399" t="s">
        <v>361</v>
      </c>
      <c r="C95" s="399" t="s">
        <v>362</v>
      </c>
      <c r="D95" s="400" t="s">
        <v>363</v>
      </c>
      <c r="E95" s="400" t="s">
        <v>364</v>
      </c>
      <c r="F95" s="400" t="s">
        <v>458</v>
      </c>
      <c r="G95" s="401">
        <v>7.6580000000000004</v>
      </c>
      <c r="H95" s="577"/>
    </row>
    <row r="96" spans="2:15" x14ac:dyDescent="0.3">
      <c r="B96" s="399" t="s">
        <v>361</v>
      </c>
      <c r="C96" s="399" t="s">
        <v>362</v>
      </c>
      <c r="D96" s="400" t="s">
        <v>363</v>
      </c>
      <c r="E96" s="400" t="s">
        <v>364</v>
      </c>
      <c r="F96" s="400" t="s">
        <v>459</v>
      </c>
      <c r="G96" s="401">
        <v>4.7759999999999998</v>
      </c>
      <c r="H96" s="577"/>
    </row>
    <row r="97" spans="2:8" x14ac:dyDescent="0.3">
      <c r="B97" s="399" t="s">
        <v>361</v>
      </c>
      <c r="C97" s="399" t="s">
        <v>362</v>
      </c>
      <c r="D97" s="400" t="s">
        <v>396</v>
      </c>
      <c r="E97" s="400" t="s">
        <v>364</v>
      </c>
      <c r="F97" s="400" t="s">
        <v>460</v>
      </c>
      <c r="G97" s="401">
        <v>1.2529999999999999</v>
      </c>
      <c r="H97" s="577"/>
    </row>
    <row r="98" spans="2:8" x14ac:dyDescent="0.3">
      <c r="B98" s="399" t="s">
        <v>361</v>
      </c>
      <c r="C98" s="399" t="s">
        <v>362</v>
      </c>
      <c r="D98" s="400" t="s">
        <v>396</v>
      </c>
      <c r="E98" s="400" t="s">
        <v>364</v>
      </c>
      <c r="F98" s="400" t="s">
        <v>461</v>
      </c>
      <c r="G98" s="401">
        <v>1.2529999999999999</v>
      </c>
      <c r="H98" s="577"/>
    </row>
    <row r="99" spans="2:8" x14ac:dyDescent="0.3">
      <c r="B99" s="399" t="s">
        <v>361</v>
      </c>
      <c r="C99" s="399" t="s">
        <v>362</v>
      </c>
      <c r="D99" s="400" t="s">
        <v>396</v>
      </c>
      <c r="E99" s="400" t="s">
        <v>364</v>
      </c>
      <c r="F99" s="400" t="s">
        <v>462</v>
      </c>
      <c r="G99" s="401">
        <v>1.25</v>
      </c>
      <c r="H99" s="577"/>
    </row>
    <row r="100" spans="2:8" x14ac:dyDescent="0.3">
      <c r="B100" s="399" t="s">
        <v>361</v>
      </c>
      <c r="C100" s="399" t="s">
        <v>362</v>
      </c>
      <c r="D100" s="400" t="s">
        <v>396</v>
      </c>
      <c r="E100" s="400" t="s">
        <v>364</v>
      </c>
      <c r="F100" s="400" t="s">
        <v>463</v>
      </c>
      <c r="G100" s="401">
        <v>1.2470000000000001</v>
      </c>
      <c r="H100" s="577"/>
    </row>
    <row r="101" spans="2:8" x14ac:dyDescent="0.3">
      <c r="B101" s="399" t="s">
        <v>361</v>
      </c>
      <c r="C101" s="399" t="s">
        <v>362</v>
      </c>
      <c r="D101" s="400" t="s">
        <v>396</v>
      </c>
      <c r="E101" s="400" t="s">
        <v>364</v>
      </c>
      <c r="F101" s="400" t="s">
        <v>464</v>
      </c>
      <c r="G101" s="401">
        <v>1.244</v>
      </c>
      <c r="H101" s="577"/>
    </row>
    <row r="102" spans="2:8" x14ac:dyDescent="0.3">
      <c r="B102" s="399" t="s">
        <v>361</v>
      </c>
      <c r="C102" s="399" t="s">
        <v>362</v>
      </c>
      <c r="D102" s="400" t="s">
        <v>396</v>
      </c>
      <c r="E102" s="400" t="s">
        <v>364</v>
      </c>
      <c r="F102" s="400" t="s">
        <v>465</v>
      </c>
      <c r="G102" s="401">
        <v>1.242</v>
      </c>
      <c r="H102" s="577"/>
    </row>
    <row r="103" spans="2:8" x14ac:dyDescent="0.3">
      <c r="B103" s="399" t="s">
        <v>361</v>
      </c>
      <c r="C103" s="399" t="s">
        <v>362</v>
      </c>
      <c r="D103" s="400" t="s">
        <v>363</v>
      </c>
      <c r="E103" s="400" t="s">
        <v>364</v>
      </c>
      <c r="F103" s="400" t="s">
        <v>466</v>
      </c>
      <c r="G103" s="401">
        <v>6.1269999999999998</v>
      </c>
      <c r="H103" s="577"/>
    </row>
    <row r="104" spans="2:8" x14ac:dyDescent="0.3">
      <c r="B104" s="399" t="s">
        <v>361</v>
      </c>
      <c r="C104" s="399" t="s">
        <v>362</v>
      </c>
      <c r="D104" s="400" t="s">
        <v>396</v>
      </c>
      <c r="E104" s="400" t="s">
        <v>364</v>
      </c>
      <c r="F104" s="400" t="s">
        <v>467</v>
      </c>
      <c r="G104" s="401">
        <v>1.206</v>
      </c>
      <c r="H104" s="577"/>
    </row>
    <row r="105" spans="2:8" x14ac:dyDescent="0.3">
      <c r="B105" s="399" t="s">
        <v>361</v>
      </c>
      <c r="C105" s="399" t="s">
        <v>362</v>
      </c>
      <c r="D105" s="400" t="s">
        <v>396</v>
      </c>
      <c r="E105" s="400" t="s">
        <v>364</v>
      </c>
      <c r="F105" s="400" t="s">
        <v>468</v>
      </c>
      <c r="G105" s="401">
        <v>1.1579999999999999</v>
      </c>
      <c r="H105" s="577"/>
    </row>
    <row r="106" spans="2:8" x14ac:dyDescent="0.3">
      <c r="B106" s="399" t="s">
        <v>361</v>
      </c>
      <c r="C106" s="399" t="s">
        <v>362</v>
      </c>
      <c r="D106" s="400" t="s">
        <v>396</v>
      </c>
      <c r="E106" s="400" t="s">
        <v>364</v>
      </c>
      <c r="F106" s="400" t="s">
        <v>469</v>
      </c>
      <c r="G106" s="401">
        <v>1.1100000000000001</v>
      </c>
      <c r="H106" s="577"/>
    </row>
    <row r="107" spans="2:8" x14ac:dyDescent="0.3">
      <c r="B107" s="399" t="s">
        <v>361</v>
      </c>
      <c r="C107" s="399" t="s">
        <v>362</v>
      </c>
      <c r="D107" s="400" t="s">
        <v>396</v>
      </c>
      <c r="E107" s="400" t="s">
        <v>364</v>
      </c>
      <c r="F107" s="400" t="s">
        <v>470</v>
      </c>
      <c r="G107" s="401">
        <v>1.0620000000000001</v>
      </c>
      <c r="H107" s="577"/>
    </row>
    <row r="108" spans="2:8" x14ac:dyDescent="0.3">
      <c r="B108" s="399" t="s">
        <v>361</v>
      </c>
      <c r="C108" s="399" t="s">
        <v>362</v>
      </c>
      <c r="D108" s="400" t="s">
        <v>396</v>
      </c>
      <c r="E108" s="400" t="s">
        <v>364</v>
      </c>
      <c r="F108" s="400" t="s">
        <v>471</v>
      </c>
      <c r="G108" s="401">
        <v>1.014</v>
      </c>
      <c r="H108" s="577"/>
    </row>
    <row r="109" spans="2:8" x14ac:dyDescent="0.3">
      <c r="B109" s="399" t="s">
        <v>361</v>
      </c>
      <c r="C109" s="399" t="s">
        <v>362</v>
      </c>
      <c r="D109" s="400" t="s">
        <v>363</v>
      </c>
      <c r="E109" s="400" t="s">
        <v>364</v>
      </c>
      <c r="F109" s="400" t="s">
        <v>472</v>
      </c>
      <c r="G109" s="401">
        <v>4.6020000000000003</v>
      </c>
      <c r="H109" s="577"/>
    </row>
    <row r="110" spans="2:8" x14ac:dyDescent="0.3">
      <c r="B110" s="399" t="s">
        <v>361</v>
      </c>
      <c r="C110" s="399" t="s">
        <v>362</v>
      </c>
      <c r="D110" s="400" t="s">
        <v>396</v>
      </c>
      <c r="E110" s="400" t="s">
        <v>364</v>
      </c>
      <c r="F110" s="400" t="s">
        <v>473</v>
      </c>
      <c r="G110" s="401">
        <v>0.90900000000000003</v>
      </c>
      <c r="H110" s="577"/>
    </row>
    <row r="111" spans="2:8" x14ac:dyDescent="0.3">
      <c r="B111" s="399" t="s">
        <v>361</v>
      </c>
      <c r="C111" s="399" t="s">
        <v>362</v>
      </c>
      <c r="D111" s="400" t="s">
        <v>396</v>
      </c>
      <c r="E111" s="400" t="s">
        <v>364</v>
      </c>
      <c r="F111" s="400" t="s">
        <v>474</v>
      </c>
      <c r="G111" s="401">
        <v>0.85899999999999999</v>
      </c>
      <c r="H111" s="577"/>
    </row>
    <row r="112" spans="2:8" x14ac:dyDescent="0.3">
      <c r="B112" s="399" t="s">
        <v>361</v>
      </c>
      <c r="C112" s="399" t="s">
        <v>362</v>
      </c>
      <c r="D112" s="400" t="s">
        <v>396</v>
      </c>
      <c r="E112" s="400" t="s">
        <v>364</v>
      </c>
      <c r="F112" s="400" t="s">
        <v>475</v>
      </c>
      <c r="G112" s="401">
        <v>0.82599999999999996</v>
      </c>
      <c r="H112" s="577"/>
    </row>
    <row r="113" spans="2:8" x14ac:dyDescent="0.3">
      <c r="B113" s="399" t="s">
        <v>361</v>
      </c>
      <c r="C113" s="399" t="s">
        <v>362</v>
      </c>
      <c r="D113" s="400" t="s">
        <v>396</v>
      </c>
      <c r="E113" s="400" t="s">
        <v>364</v>
      </c>
      <c r="F113" s="400" t="s">
        <v>476</v>
      </c>
      <c r="G113" s="401">
        <v>0.77500000000000002</v>
      </c>
      <c r="H113" s="577"/>
    </row>
    <row r="114" spans="2:8" x14ac:dyDescent="0.3">
      <c r="B114" s="399" t="s">
        <v>361</v>
      </c>
      <c r="C114" s="399" t="s">
        <v>362</v>
      </c>
      <c r="D114" s="400" t="s">
        <v>396</v>
      </c>
      <c r="E114" s="400" t="s">
        <v>364</v>
      </c>
      <c r="F114" s="400" t="s">
        <v>477</v>
      </c>
      <c r="G114" s="401">
        <v>0.72499999999999998</v>
      </c>
      <c r="H114" s="577"/>
    </row>
    <row r="115" spans="2:8" x14ac:dyDescent="0.3">
      <c r="B115" s="399" t="s">
        <v>361</v>
      </c>
      <c r="C115" s="399" t="s">
        <v>362</v>
      </c>
      <c r="D115" s="400" t="s">
        <v>363</v>
      </c>
      <c r="E115" s="400" t="s">
        <v>364</v>
      </c>
      <c r="F115" s="400" t="s">
        <v>478</v>
      </c>
      <c r="G115" s="401">
        <v>3.024</v>
      </c>
      <c r="H115" s="577"/>
    </row>
    <row r="116" spans="2:8" x14ac:dyDescent="0.3">
      <c r="B116" s="399" t="s">
        <v>361</v>
      </c>
      <c r="C116" s="399" t="s">
        <v>362</v>
      </c>
      <c r="D116" s="400" t="s">
        <v>396</v>
      </c>
      <c r="E116" s="400" t="s">
        <v>364</v>
      </c>
      <c r="F116" s="400" t="s">
        <v>479</v>
      </c>
      <c r="G116" s="401">
        <v>0.61799999999999999</v>
      </c>
      <c r="H116" s="577"/>
    </row>
    <row r="117" spans="2:8" x14ac:dyDescent="0.3">
      <c r="B117" s="399" t="s">
        <v>361</v>
      </c>
      <c r="C117" s="399" t="s">
        <v>362</v>
      </c>
      <c r="D117" s="400" t="s">
        <v>396</v>
      </c>
      <c r="E117" s="400" t="s">
        <v>364</v>
      </c>
      <c r="F117" s="400" t="s">
        <v>480</v>
      </c>
      <c r="G117" s="401">
        <v>0.56799999999999995</v>
      </c>
      <c r="H117" s="577"/>
    </row>
    <row r="118" spans="2:8" x14ac:dyDescent="0.3">
      <c r="B118" s="399" t="s">
        <v>361</v>
      </c>
      <c r="C118" s="399" t="s">
        <v>362</v>
      </c>
      <c r="D118" s="400" t="s">
        <v>396</v>
      </c>
      <c r="E118" s="400" t="s">
        <v>364</v>
      </c>
      <c r="F118" s="400" t="s">
        <v>481</v>
      </c>
      <c r="G118" s="401">
        <v>0.51800000000000002</v>
      </c>
      <c r="H118" s="577"/>
    </row>
    <row r="119" spans="2:8" x14ac:dyDescent="0.3">
      <c r="B119" s="399" t="s">
        <v>361</v>
      </c>
      <c r="C119" s="399" t="s">
        <v>362</v>
      </c>
      <c r="D119" s="400" t="s">
        <v>396</v>
      </c>
      <c r="E119" s="400" t="s">
        <v>364</v>
      </c>
      <c r="F119" s="400" t="s">
        <v>482</v>
      </c>
      <c r="G119" s="401">
        <v>0.46800000000000003</v>
      </c>
      <c r="H119" s="577"/>
    </row>
    <row r="120" spans="2:8" x14ac:dyDescent="0.3">
      <c r="B120" s="399" t="s">
        <v>361</v>
      </c>
      <c r="C120" s="399" t="s">
        <v>362</v>
      </c>
      <c r="D120" s="400" t="s">
        <v>396</v>
      </c>
      <c r="E120" s="400" t="s">
        <v>364</v>
      </c>
      <c r="F120" s="400" t="s">
        <v>483</v>
      </c>
      <c r="G120" s="401">
        <v>0.41099999999999998</v>
      </c>
      <c r="H120" s="577"/>
    </row>
    <row r="121" spans="2:8" x14ac:dyDescent="0.3">
      <c r="B121" s="399" t="s">
        <v>361</v>
      </c>
      <c r="C121" s="399" t="s">
        <v>362</v>
      </c>
      <c r="D121" s="400" t="s">
        <v>363</v>
      </c>
      <c r="E121" s="400" t="s">
        <v>364</v>
      </c>
      <c r="F121" s="400" t="s">
        <v>484</v>
      </c>
      <c r="G121" s="401">
        <v>1.4</v>
      </c>
      <c r="H121" s="577"/>
    </row>
    <row r="122" spans="2:8" x14ac:dyDescent="0.3">
      <c r="B122" s="399" t="s">
        <v>361</v>
      </c>
      <c r="C122" s="399" t="s">
        <v>362</v>
      </c>
      <c r="D122" s="400" t="s">
        <v>396</v>
      </c>
      <c r="E122" s="400" t="s">
        <v>364</v>
      </c>
      <c r="F122" s="400" t="s">
        <v>485</v>
      </c>
      <c r="G122" s="401">
        <v>0.29599999999999999</v>
      </c>
      <c r="H122" s="577"/>
    </row>
    <row r="123" spans="2:8" x14ac:dyDescent="0.3">
      <c r="B123" s="399" t="s">
        <v>361</v>
      </c>
      <c r="C123" s="399" t="s">
        <v>362</v>
      </c>
      <c r="D123" s="400" t="s">
        <v>396</v>
      </c>
      <c r="E123" s="400" t="s">
        <v>364</v>
      </c>
      <c r="F123" s="400" t="s">
        <v>485</v>
      </c>
      <c r="G123" s="401">
        <v>0.29499999999999998</v>
      </c>
      <c r="H123" s="577"/>
    </row>
    <row r="124" spans="2:8" x14ac:dyDescent="0.3">
      <c r="B124" s="399" t="s">
        <v>361</v>
      </c>
      <c r="C124" s="399" t="s">
        <v>362</v>
      </c>
      <c r="D124" s="400" t="s">
        <v>396</v>
      </c>
      <c r="E124" s="400" t="s">
        <v>364</v>
      </c>
      <c r="F124" s="400" t="s">
        <v>486</v>
      </c>
      <c r="G124" s="401">
        <v>0.34100000000000003</v>
      </c>
      <c r="H124" s="577"/>
    </row>
    <row r="125" spans="2:8" x14ac:dyDescent="0.3">
      <c r="B125" s="399" t="s">
        <v>361</v>
      </c>
      <c r="C125" s="399" t="s">
        <v>362</v>
      </c>
      <c r="D125" s="400" t="s">
        <v>394</v>
      </c>
      <c r="E125" s="400" t="s">
        <v>364</v>
      </c>
      <c r="F125" s="400" t="s">
        <v>487</v>
      </c>
      <c r="G125" s="401">
        <f>0.988+1.082</f>
        <v>2.0700000000000003</v>
      </c>
      <c r="H125" s="577"/>
    </row>
    <row r="126" spans="2:8" x14ac:dyDescent="0.3">
      <c r="B126" s="399" t="s">
        <v>361</v>
      </c>
      <c r="C126" s="399" t="s">
        <v>362</v>
      </c>
      <c r="D126" s="400" t="s">
        <v>394</v>
      </c>
      <c r="E126" s="400" t="s">
        <v>364</v>
      </c>
      <c r="F126" s="400" t="s">
        <v>488</v>
      </c>
      <c r="G126" s="401">
        <f>0.983+2.2</f>
        <v>3.1830000000000003</v>
      </c>
      <c r="H126" s="577"/>
    </row>
    <row r="127" spans="2:8" x14ac:dyDescent="0.3">
      <c r="B127" s="399" t="s">
        <v>361</v>
      </c>
      <c r="C127" s="399" t="s">
        <v>362</v>
      </c>
      <c r="D127" s="400" t="s">
        <v>363</v>
      </c>
      <c r="E127" s="400" t="s">
        <v>364</v>
      </c>
      <c r="F127" s="400" t="s">
        <v>489</v>
      </c>
      <c r="G127" s="401">
        <f>13.449-5.2*1.15*0.5</f>
        <v>10.459</v>
      </c>
      <c r="H127" s="577"/>
    </row>
    <row r="128" spans="2:8" x14ac:dyDescent="0.3">
      <c r="B128" s="399" t="s">
        <v>361</v>
      </c>
      <c r="C128" s="399" t="s">
        <v>362</v>
      </c>
      <c r="D128" s="400" t="s">
        <v>370</v>
      </c>
      <c r="E128" s="400" t="s">
        <v>364</v>
      </c>
      <c r="F128" s="400" t="s">
        <v>490</v>
      </c>
      <c r="G128" s="401">
        <v>6.27</v>
      </c>
      <c r="H128" s="577"/>
    </row>
    <row r="129" spans="2:8" x14ac:dyDescent="0.3">
      <c r="B129" s="399" t="s">
        <v>361</v>
      </c>
      <c r="C129" s="399" t="s">
        <v>362</v>
      </c>
      <c r="D129" s="400" t="s">
        <v>370</v>
      </c>
      <c r="E129" s="400" t="s">
        <v>364</v>
      </c>
      <c r="F129" s="400" t="s">
        <v>491</v>
      </c>
      <c r="G129" s="401">
        <v>6.27</v>
      </c>
      <c r="H129" s="577"/>
    </row>
    <row r="130" spans="2:8" x14ac:dyDescent="0.3">
      <c r="B130" s="399" t="s">
        <v>361</v>
      </c>
      <c r="C130" s="399" t="s">
        <v>362</v>
      </c>
      <c r="D130" s="400" t="s">
        <v>370</v>
      </c>
      <c r="E130" s="400" t="s">
        <v>364</v>
      </c>
      <c r="F130" s="400" t="s">
        <v>492</v>
      </c>
      <c r="G130" s="401">
        <v>6.27</v>
      </c>
      <c r="H130" s="577"/>
    </row>
    <row r="131" spans="2:8" x14ac:dyDescent="0.3">
      <c r="B131" s="399" t="s">
        <v>361</v>
      </c>
      <c r="C131" s="399" t="s">
        <v>362</v>
      </c>
      <c r="D131" s="400" t="s">
        <v>370</v>
      </c>
      <c r="E131" s="400" t="s">
        <v>364</v>
      </c>
      <c r="F131" s="400" t="s">
        <v>493</v>
      </c>
      <c r="G131" s="401">
        <v>6.27</v>
      </c>
      <c r="H131" s="577"/>
    </row>
    <row r="132" spans="2:8" x14ac:dyDescent="0.3">
      <c r="B132" s="399" t="s">
        <v>361</v>
      </c>
      <c r="C132" s="399" t="s">
        <v>362</v>
      </c>
      <c r="D132" s="400" t="s">
        <v>370</v>
      </c>
      <c r="E132" s="400" t="s">
        <v>364</v>
      </c>
      <c r="F132" s="400" t="s">
        <v>494</v>
      </c>
      <c r="G132" s="401">
        <v>6.27</v>
      </c>
      <c r="H132" s="577"/>
    </row>
    <row r="133" spans="2:8" x14ac:dyDescent="0.3">
      <c r="B133" s="399" t="s">
        <v>361</v>
      </c>
      <c r="C133" s="399" t="s">
        <v>362</v>
      </c>
      <c r="D133" s="400" t="s">
        <v>370</v>
      </c>
      <c r="E133" s="400" t="s">
        <v>364</v>
      </c>
      <c r="F133" s="400" t="s">
        <v>495</v>
      </c>
      <c r="G133" s="401">
        <v>6.8970000000000002</v>
      </c>
      <c r="H133" s="577"/>
    </row>
    <row r="134" spans="2:8" x14ac:dyDescent="0.3">
      <c r="B134" s="399" t="s">
        <v>361</v>
      </c>
      <c r="C134" s="399" t="s">
        <v>362</v>
      </c>
      <c r="D134" s="400" t="s">
        <v>370</v>
      </c>
      <c r="E134" s="400" t="s">
        <v>364</v>
      </c>
      <c r="F134" s="400" t="s">
        <v>496</v>
      </c>
      <c r="G134" s="401">
        <v>6.27</v>
      </c>
      <c r="H134" s="577"/>
    </row>
    <row r="135" spans="2:8" x14ac:dyDescent="0.3">
      <c r="B135" s="399" t="s">
        <v>361</v>
      </c>
      <c r="C135" s="399" t="s">
        <v>362</v>
      </c>
      <c r="D135" s="400" t="s">
        <v>370</v>
      </c>
      <c r="E135" s="400" t="s">
        <v>364</v>
      </c>
      <c r="F135" s="400" t="s">
        <v>497</v>
      </c>
      <c r="G135" s="401">
        <v>6.27</v>
      </c>
      <c r="H135" s="577"/>
    </row>
    <row r="136" spans="2:8" x14ac:dyDescent="0.3">
      <c r="B136" s="399" t="s">
        <v>361</v>
      </c>
      <c r="C136" s="399" t="s">
        <v>362</v>
      </c>
      <c r="D136" s="400" t="s">
        <v>389</v>
      </c>
      <c r="E136" s="400" t="s">
        <v>364</v>
      </c>
      <c r="F136" s="400" t="s">
        <v>498</v>
      </c>
      <c r="G136" s="401">
        <f>(9.01+5.58+5.9+5.63+1.15)*4.46*0.15</f>
        <v>18.24363</v>
      </c>
      <c r="H136" s="577"/>
    </row>
    <row r="137" spans="2:8" x14ac:dyDescent="0.3">
      <c r="B137" s="399" t="s">
        <v>361</v>
      </c>
      <c r="C137" s="399" t="s">
        <v>362</v>
      </c>
      <c r="D137" s="400" t="s">
        <v>389</v>
      </c>
      <c r="E137" s="400" t="s">
        <v>364</v>
      </c>
      <c r="F137" s="400" t="s">
        <v>499</v>
      </c>
      <c r="G137" s="401">
        <f>3.3*4.46*0.15</f>
        <v>2.2077</v>
      </c>
      <c r="H137" s="577"/>
    </row>
    <row r="138" spans="2:8" x14ac:dyDescent="0.3">
      <c r="B138" s="399" t="s">
        <v>361</v>
      </c>
      <c r="C138" s="399" t="s">
        <v>362</v>
      </c>
      <c r="D138" s="400" t="s">
        <v>389</v>
      </c>
      <c r="E138" s="400" t="s">
        <v>364</v>
      </c>
      <c r="F138" s="400" t="s">
        <v>500</v>
      </c>
      <c r="G138" s="401">
        <f>(1.15+5.115+5.3)*4.46*0.15</f>
        <v>7.7369849999999998</v>
      </c>
      <c r="H138" s="577"/>
    </row>
    <row r="139" spans="2:8" x14ac:dyDescent="0.3">
      <c r="B139" s="399" t="s">
        <v>361</v>
      </c>
      <c r="C139" s="399" t="s">
        <v>362</v>
      </c>
      <c r="D139" s="400" t="s">
        <v>389</v>
      </c>
      <c r="E139" s="400" t="s">
        <v>364</v>
      </c>
      <c r="F139" s="400" t="s">
        <v>501</v>
      </c>
      <c r="G139" s="401">
        <f>(3.4+11)*4.46*0.15</f>
        <v>9.6335999999999995</v>
      </c>
      <c r="H139" s="577"/>
    </row>
    <row r="140" spans="2:8" x14ac:dyDescent="0.3">
      <c r="B140" s="399" t="s">
        <v>361</v>
      </c>
      <c r="C140" s="399" t="s">
        <v>362</v>
      </c>
      <c r="D140" s="400" t="s">
        <v>390</v>
      </c>
      <c r="E140" s="400" t="s">
        <v>364</v>
      </c>
      <c r="F140" s="400" t="s">
        <v>502</v>
      </c>
      <c r="G140" s="401">
        <f>(31.9147)*(3.2508+15.2)/2*0.06</f>
        <v>17.665552402800003</v>
      </c>
      <c r="H140" s="577"/>
    </row>
    <row r="141" spans="2:8" x14ac:dyDescent="0.3">
      <c r="B141" s="399" t="s">
        <v>361</v>
      </c>
      <c r="C141" s="399" t="s">
        <v>362</v>
      </c>
      <c r="D141" s="400" t="s">
        <v>363</v>
      </c>
      <c r="E141" s="400" t="s">
        <v>364</v>
      </c>
      <c r="F141" s="400" t="s">
        <v>503</v>
      </c>
      <c r="G141" s="401">
        <v>19.366</v>
      </c>
      <c r="H141" s="577"/>
    </row>
    <row r="142" spans="2:8" x14ac:dyDescent="0.3">
      <c r="B142" s="399" t="s">
        <v>361</v>
      </c>
      <c r="C142" s="399" t="s">
        <v>362</v>
      </c>
      <c r="D142" s="400" t="s">
        <v>363</v>
      </c>
      <c r="E142" s="400" t="s">
        <v>364</v>
      </c>
      <c r="F142" s="400" t="s">
        <v>504</v>
      </c>
      <c r="G142" s="401">
        <v>2.0009999999999999</v>
      </c>
      <c r="H142" s="577"/>
    </row>
    <row r="143" spans="2:8" x14ac:dyDescent="0.3">
      <c r="B143" s="399" t="s">
        <v>361</v>
      </c>
      <c r="C143" s="399" t="s">
        <v>362</v>
      </c>
      <c r="D143" s="400" t="s">
        <v>363</v>
      </c>
      <c r="E143" s="400" t="s">
        <v>364</v>
      </c>
      <c r="F143" s="400" t="s">
        <v>504</v>
      </c>
      <c r="G143" s="401">
        <v>7.6580000000000004</v>
      </c>
      <c r="H143" s="577"/>
    </row>
    <row r="144" spans="2:8" x14ac:dyDescent="0.3">
      <c r="B144" s="399" t="s">
        <v>361</v>
      </c>
      <c r="C144" s="399" t="s">
        <v>362</v>
      </c>
      <c r="D144" s="400" t="s">
        <v>363</v>
      </c>
      <c r="E144" s="400" t="s">
        <v>364</v>
      </c>
      <c r="F144" s="400" t="s">
        <v>505</v>
      </c>
      <c r="G144" s="401">
        <v>4.7759999999999998</v>
      </c>
      <c r="H144" s="577"/>
    </row>
    <row r="145" spans="2:8" x14ac:dyDescent="0.3">
      <c r="B145" s="399" t="s">
        <v>361</v>
      </c>
      <c r="C145" s="399" t="s">
        <v>362</v>
      </c>
      <c r="D145" s="400" t="s">
        <v>363</v>
      </c>
      <c r="E145" s="400" t="s">
        <v>364</v>
      </c>
      <c r="F145" s="400" t="s">
        <v>506</v>
      </c>
      <c r="G145" s="401">
        <v>1.2529999999999999</v>
      </c>
      <c r="H145" s="577"/>
    </row>
    <row r="146" spans="2:8" x14ac:dyDescent="0.3">
      <c r="B146" s="399" t="s">
        <v>361</v>
      </c>
      <c r="C146" s="399" t="s">
        <v>362</v>
      </c>
      <c r="D146" s="400" t="s">
        <v>363</v>
      </c>
      <c r="E146" s="400" t="s">
        <v>364</v>
      </c>
      <c r="F146" s="400" t="s">
        <v>507</v>
      </c>
      <c r="G146" s="401">
        <v>1.2529999999999999</v>
      </c>
      <c r="H146" s="577"/>
    </row>
    <row r="147" spans="2:8" x14ac:dyDescent="0.3">
      <c r="B147" s="399" t="s">
        <v>361</v>
      </c>
      <c r="C147" s="399" t="s">
        <v>362</v>
      </c>
      <c r="D147" s="400" t="s">
        <v>363</v>
      </c>
      <c r="E147" s="400" t="s">
        <v>364</v>
      </c>
      <c r="F147" s="400" t="s">
        <v>508</v>
      </c>
      <c r="G147" s="401">
        <v>1.25</v>
      </c>
      <c r="H147" s="577"/>
    </row>
    <row r="148" spans="2:8" x14ac:dyDescent="0.3">
      <c r="B148" s="399" t="s">
        <v>361</v>
      </c>
      <c r="C148" s="399" t="s">
        <v>362</v>
      </c>
      <c r="D148" s="400" t="s">
        <v>363</v>
      </c>
      <c r="E148" s="400" t="s">
        <v>364</v>
      </c>
      <c r="F148" s="400" t="s">
        <v>505</v>
      </c>
      <c r="G148" s="401">
        <v>1.2470000000000001</v>
      </c>
      <c r="H148" s="577"/>
    </row>
    <row r="149" spans="2:8" x14ac:dyDescent="0.3">
      <c r="B149" s="399" t="s">
        <v>361</v>
      </c>
      <c r="C149" s="399" t="s">
        <v>362</v>
      </c>
      <c r="D149" s="400" t="s">
        <v>363</v>
      </c>
      <c r="E149" s="400" t="s">
        <v>364</v>
      </c>
      <c r="F149" s="400" t="s">
        <v>509</v>
      </c>
      <c r="G149" s="401">
        <v>1.244</v>
      </c>
      <c r="H149" s="577"/>
    </row>
    <row r="150" spans="2:8" x14ac:dyDescent="0.3">
      <c r="B150" s="399" t="s">
        <v>361</v>
      </c>
      <c r="C150" s="399" t="s">
        <v>362</v>
      </c>
      <c r="D150" s="400" t="s">
        <v>363</v>
      </c>
      <c r="E150" s="400" t="s">
        <v>364</v>
      </c>
      <c r="F150" s="400" t="s">
        <v>510</v>
      </c>
      <c r="G150" s="401">
        <v>1.242</v>
      </c>
      <c r="H150" s="577"/>
    </row>
    <row r="151" spans="2:8" x14ac:dyDescent="0.3">
      <c r="B151" s="399" t="s">
        <v>361</v>
      </c>
      <c r="C151" s="399" t="s">
        <v>362</v>
      </c>
      <c r="D151" s="400" t="s">
        <v>363</v>
      </c>
      <c r="E151" s="400" t="s">
        <v>364</v>
      </c>
      <c r="F151" s="400" t="s">
        <v>511</v>
      </c>
      <c r="G151" s="401">
        <v>6.1269999999999998</v>
      </c>
      <c r="H151" s="577"/>
    </row>
    <row r="152" spans="2:8" x14ac:dyDescent="0.3">
      <c r="B152" s="399" t="s">
        <v>361</v>
      </c>
      <c r="C152" s="399" t="s">
        <v>362</v>
      </c>
      <c r="D152" s="400" t="s">
        <v>363</v>
      </c>
      <c r="E152" s="400" t="s">
        <v>364</v>
      </c>
      <c r="F152" s="400" t="s">
        <v>512</v>
      </c>
      <c r="G152" s="401">
        <v>1.206</v>
      </c>
      <c r="H152" s="577"/>
    </row>
    <row r="153" spans="2:8" x14ac:dyDescent="0.3">
      <c r="B153" s="399" t="s">
        <v>361</v>
      </c>
      <c r="C153" s="399" t="s">
        <v>362</v>
      </c>
      <c r="D153" s="400" t="s">
        <v>363</v>
      </c>
      <c r="E153" s="400" t="s">
        <v>364</v>
      </c>
      <c r="F153" s="400" t="s">
        <v>513</v>
      </c>
      <c r="G153" s="401">
        <v>1.1579999999999999</v>
      </c>
      <c r="H153" s="577"/>
    </row>
    <row r="154" spans="2:8" x14ac:dyDescent="0.3">
      <c r="B154" s="399" t="s">
        <v>361</v>
      </c>
      <c r="C154" s="399" t="s">
        <v>362</v>
      </c>
      <c r="D154" s="400" t="s">
        <v>363</v>
      </c>
      <c r="E154" s="400" t="s">
        <v>364</v>
      </c>
      <c r="F154" s="400" t="s">
        <v>503</v>
      </c>
      <c r="G154" s="401">
        <v>1.1100000000000001</v>
      </c>
      <c r="H154" s="577"/>
    </row>
    <row r="155" spans="2:8" x14ac:dyDescent="0.3">
      <c r="B155" s="399" t="s">
        <v>361</v>
      </c>
      <c r="C155" s="399" t="s">
        <v>362</v>
      </c>
      <c r="D155" s="400" t="s">
        <v>363</v>
      </c>
      <c r="E155" s="400" t="s">
        <v>364</v>
      </c>
      <c r="F155" s="400" t="s">
        <v>514</v>
      </c>
      <c r="G155" s="401">
        <v>1.0620000000000001</v>
      </c>
      <c r="H155" s="577"/>
    </row>
    <row r="156" spans="2:8" x14ac:dyDescent="0.3">
      <c r="B156" s="399" t="s">
        <v>361</v>
      </c>
      <c r="C156" s="399" t="s">
        <v>362</v>
      </c>
      <c r="D156" s="400" t="s">
        <v>363</v>
      </c>
      <c r="E156" s="400" t="s">
        <v>364</v>
      </c>
      <c r="F156" s="400" t="s">
        <v>515</v>
      </c>
      <c r="G156" s="401">
        <v>1.014</v>
      </c>
      <c r="H156" s="577"/>
    </row>
    <row r="157" spans="2:8" x14ac:dyDescent="0.3">
      <c r="B157" s="399" t="s">
        <v>361</v>
      </c>
      <c r="C157" s="399" t="s">
        <v>362</v>
      </c>
      <c r="D157" s="400" t="s">
        <v>363</v>
      </c>
      <c r="E157" s="400" t="s">
        <v>364</v>
      </c>
      <c r="F157" s="400" t="s">
        <v>516</v>
      </c>
      <c r="G157" s="401">
        <v>4.6020000000000003</v>
      </c>
      <c r="H157" s="577"/>
    </row>
    <row r="158" spans="2:8" x14ac:dyDescent="0.3">
      <c r="B158" s="399" t="s">
        <v>361</v>
      </c>
      <c r="C158" s="399" t="s">
        <v>362</v>
      </c>
      <c r="D158" s="400" t="s">
        <v>363</v>
      </c>
      <c r="E158" s="400" t="s">
        <v>364</v>
      </c>
      <c r="F158" s="400" t="s">
        <v>517</v>
      </c>
      <c r="G158" s="401">
        <v>0.90900000000000003</v>
      </c>
      <c r="H158" s="577"/>
    </row>
    <row r="159" spans="2:8" x14ac:dyDescent="0.3">
      <c r="B159" s="399" t="s">
        <v>361</v>
      </c>
      <c r="C159" s="399" t="s">
        <v>362</v>
      </c>
      <c r="D159" s="400" t="s">
        <v>363</v>
      </c>
      <c r="E159" s="400" t="s">
        <v>364</v>
      </c>
      <c r="F159" s="400" t="s">
        <v>518</v>
      </c>
      <c r="G159" s="401">
        <v>0.85899999999999999</v>
      </c>
      <c r="H159" s="577"/>
    </row>
    <row r="160" spans="2:8" x14ac:dyDescent="0.3">
      <c r="B160" s="399" t="s">
        <v>361</v>
      </c>
      <c r="C160" s="399" t="s">
        <v>362</v>
      </c>
      <c r="D160" s="400" t="s">
        <v>363</v>
      </c>
      <c r="E160" s="400" t="s">
        <v>364</v>
      </c>
      <c r="F160" s="400" t="s">
        <v>519</v>
      </c>
      <c r="G160" s="401">
        <v>0.82599999999999996</v>
      </c>
      <c r="H160" s="577"/>
    </row>
    <row r="161" spans="2:8" x14ac:dyDescent="0.3">
      <c r="B161" s="399" t="s">
        <v>361</v>
      </c>
      <c r="C161" s="399" t="s">
        <v>362</v>
      </c>
      <c r="D161" s="400" t="s">
        <v>363</v>
      </c>
      <c r="E161" s="400" t="s">
        <v>364</v>
      </c>
      <c r="F161" s="400" t="s">
        <v>520</v>
      </c>
      <c r="G161" s="401">
        <v>0.77500000000000002</v>
      </c>
      <c r="H161" s="577"/>
    </row>
    <row r="162" spans="2:8" x14ac:dyDescent="0.3">
      <c r="B162" s="399" t="s">
        <v>361</v>
      </c>
      <c r="C162" s="399" t="s">
        <v>362</v>
      </c>
      <c r="D162" s="400" t="s">
        <v>363</v>
      </c>
      <c r="E162" s="400" t="s">
        <v>364</v>
      </c>
      <c r="F162" s="400" t="s">
        <v>521</v>
      </c>
      <c r="G162" s="401">
        <v>0.72499999999999998</v>
      </c>
      <c r="H162" s="577"/>
    </row>
    <row r="163" spans="2:8" x14ac:dyDescent="0.3">
      <c r="B163" s="399" t="s">
        <v>361</v>
      </c>
      <c r="C163" s="399" t="s">
        <v>362</v>
      </c>
      <c r="D163" s="400" t="s">
        <v>363</v>
      </c>
      <c r="E163" s="400" t="s">
        <v>364</v>
      </c>
      <c r="F163" s="400" t="s">
        <v>522</v>
      </c>
      <c r="G163" s="401">
        <v>3.024</v>
      </c>
      <c r="H163" s="577"/>
    </row>
    <row r="164" spans="2:8" x14ac:dyDescent="0.3">
      <c r="B164" s="399" t="s">
        <v>361</v>
      </c>
      <c r="C164" s="399" t="s">
        <v>362</v>
      </c>
      <c r="D164" s="400" t="s">
        <v>363</v>
      </c>
      <c r="E164" s="400" t="s">
        <v>364</v>
      </c>
      <c r="F164" s="400" t="s">
        <v>523</v>
      </c>
      <c r="G164" s="401">
        <v>0.61799999999999999</v>
      </c>
      <c r="H164" s="577"/>
    </row>
    <row r="165" spans="2:8" x14ac:dyDescent="0.3">
      <c r="B165" s="399" t="s">
        <v>361</v>
      </c>
      <c r="C165" s="399" t="s">
        <v>362</v>
      </c>
      <c r="D165" s="400" t="s">
        <v>363</v>
      </c>
      <c r="E165" s="400" t="s">
        <v>364</v>
      </c>
      <c r="F165" s="400" t="s">
        <v>524</v>
      </c>
      <c r="G165" s="401">
        <v>0.56799999999999995</v>
      </c>
      <c r="H165" s="577"/>
    </row>
    <row r="166" spans="2:8" x14ac:dyDescent="0.3">
      <c r="B166" s="399" t="s">
        <v>361</v>
      </c>
      <c r="C166" s="399" t="s">
        <v>362</v>
      </c>
      <c r="D166" s="400" t="s">
        <v>363</v>
      </c>
      <c r="E166" s="400" t="s">
        <v>364</v>
      </c>
      <c r="F166" s="400" t="s">
        <v>525</v>
      </c>
      <c r="G166" s="401">
        <v>0.51800000000000002</v>
      </c>
      <c r="H166" s="577"/>
    </row>
    <row r="167" spans="2:8" x14ac:dyDescent="0.3">
      <c r="B167" s="399" t="s">
        <v>361</v>
      </c>
      <c r="C167" s="399" t="s">
        <v>362</v>
      </c>
      <c r="D167" s="400" t="s">
        <v>363</v>
      </c>
      <c r="E167" s="400" t="s">
        <v>364</v>
      </c>
      <c r="F167" s="400" t="s">
        <v>526</v>
      </c>
      <c r="G167" s="401">
        <v>0.46800000000000003</v>
      </c>
      <c r="H167" s="577"/>
    </row>
    <row r="168" spans="2:8" x14ac:dyDescent="0.3">
      <c r="B168" s="399" t="s">
        <v>361</v>
      </c>
      <c r="C168" s="399" t="s">
        <v>362</v>
      </c>
      <c r="D168" s="400" t="s">
        <v>363</v>
      </c>
      <c r="E168" s="400" t="s">
        <v>364</v>
      </c>
      <c r="F168" s="400" t="s">
        <v>527</v>
      </c>
      <c r="G168" s="401">
        <v>0.41099999999999998</v>
      </c>
      <c r="H168" s="577"/>
    </row>
    <row r="169" spans="2:8" x14ac:dyDescent="0.3">
      <c r="B169" s="399" t="s">
        <v>361</v>
      </c>
      <c r="C169" s="399" t="s">
        <v>362</v>
      </c>
      <c r="D169" s="400" t="s">
        <v>363</v>
      </c>
      <c r="E169" s="400" t="s">
        <v>364</v>
      </c>
      <c r="F169" s="400" t="s">
        <v>508</v>
      </c>
      <c r="G169" s="401">
        <v>1.4</v>
      </c>
      <c r="H169" s="577"/>
    </row>
    <row r="170" spans="2:8" x14ac:dyDescent="0.3">
      <c r="B170" s="399" t="s">
        <v>361</v>
      </c>
      <c r="C170" s="399" t="s">
        <v>362</v>
      </c>
      <c r="D170" s="400" t="s">
        <v>363</v>
      </c>
      <c r="E170" s="400" t="s">
        <v>364</v>
      </c>
      <c r="F170" s="400" t="s">
        <v>528</v>
      </c>
      <c r="G170" s="401">
        <v>0.29599999999999999</v>
      </c>
      <c r="H170" s="577"/>
    </row>
    <row r="171" spans="2:8" x14ac:dyDescent="0.3">
      <c r="B171" s="399" t="s">
        <v>361</v>
      </c>
      <c r="C171" s="399" t="s">
        <v>362</v>
      </c>
      <c r="D171" s="400" t="s">
        <v>363</v>
      </c>
      <c r="E171" s="400" t="s">
        <v>364</v>
      </c>
      <c r="F171" s="400" t="s">
        <v>528</v>
      </c>
      <c r="G171" s="401">
        <v>0.29499999999999998</v>
      </c>
      <c r="H171" s="577"/>
    </row>
    <row r="172" spans="2:8" x14ac:dyDescent="0.3">
      <c r="B172" s="399" t="s">
        <v>361</v>
      </c>
      <c r="C172" s="399" t="s">
        <v>362</v>
      </c>
      <c r="D172" s="400" t="s">
        <v>363</v>
      </c>
      <c r="E172" s="400" t="s">
        <v>364</v>
      </c>
      <c r="F172" s="400" t="s">
        <v>529</v>
      </c>
      <c r="G172" s="401">
        <v>0.34100000000000003</v>
      </c>
      <c r="H172" s="577"/>
    </row>
    <row r="173" spans="2:8" x14ac:dyDescent="0.3">
      <c r="B173" s="399" t="s">
        <v>361</v>
      </c>
      <c r="C173" s="399" t="s">
        <v>362</v>
      </c>
      <c r="D173" s="400" t="s">
        <v>394</v>
      </c>
      <c r="E173" s="400" t="s">
        <v>364</v>
      </c>
      <c r="F173" s="400" t="s">
        <v>530</v>
      </c>
      <c r="G173" s="401">
        <f>0.988+1.082</f>
        <v>2.0700000000000003</v>
      </c>
      <c r="H173" s="577"/>
    </row>
    <row r="174" spans="2:8" x14ac:dyDescent="0.3">
      <c r="B174" s="399" t="s">
        <v>361</v>
      </c>
      <c r="C174" s="399" t="s">
        <v>362</v>
      </c>
      <c r="D174" s="400" t="s">
        <v>394</v>
      </c>
      <c r="E174" s="400" t="s">
        <v>364</v>
      </c>
      <c r="F174" s="400" t="s">
        <v>531</v>
      </c>
      <c r="G174" s="401">
        <f>0.983+2.2</f>
        <v>3.1830000000000003</v>
      </c>
      <c r="H174" s="577"/>
    </row>
    <row r="175" spans="2:8" x14ac:dyDescent="0.3">
      <c r="B175" s="399" t="s">
        <v>361</v>
      </c>
      <c r="C175" s="399" t="s">
        <v>362</v>
      </c>
      <c r="D175" s="400" t="s">
        <v>363</v>
      </c>
      <c r="E175" s="400" t="s">
        <v>364</v>
      </c>
      <c r="F175" s="400" t="s">
        <v>509</v>
      </c>
      <c r="G175" s="401">
        <f>13.449-5.2*1.15*0.5</f>
        <v>10.459</v>
      </c>
      <c r="H175" s="577"/>
    </row>
    <row r="176" spans="2:8" x14ac:dyDescent="0.3">
      <c r="B176" s="399" t="s">
        <v>361</v>
      </c>
      <c r="C176" s="399" t="s">
        <v>362</v>
      </c>
      <c r="D176" s="400" t="s">
        <v>370</v>
      </c>
      <c r="E176" s="400" t="s">
        <v>364</v>
      </c>
      <c r="F176" s="400" t="s">
        <v>532</v>
      </c>
      <c r="G176" s="401">
        <v>5.3460000000000001</v>
      </c>
      <c r="H176" s="577"/>
    </row>
    <row r="177" spans="2:8" x14ac:dyDescent="0.3">
      <c r="B177" s="399" t="s">
        <v>361</v>
      </c>
      <c r="C177" s="399" t="s">
        <v>362</v>
      </c>
      <c r="D177" s="400" t="s">
        <v>370</v>
      </c>
      <c r="E177" s="400" t="s">
        <v>364</v>
      </c>
      <c r="F177" s="400" t="s">
        <v>533</v>
      </c>
      <c r="G177" s="401">
        <v>5.3289999999999997</v>
      </c>
      <c r="H177" s="577"/>
    </row>
    <row r="178" spans="2:8" x14ac:dyDescent="0.3">
      <c r="B178" s="399" t="s">
        <v>361</v>
      </c>
      <c r="C178" s="399" t="s">
        <v>362</v>
      </c>
      <c r="D178" s="400" t="s">
        <v>370</v>
      </c>
      <c r="E178" s="400" t="s">
        <v>364</v>
      </c>
      <c r="F178" s="400" t="s">
        <v>534</v>
      </c>
      <c r="G178" s="401">
        <v>5.7130000000000001</v>
      </c>
      <c r="H178" s="577"/>
    </row>
    <row r="179" spans="2:8" x14ac:dyDescent="0.3">
      <c r="B179" s="399" t="s">
        <v>361</v>
      </c>
      <c r="C179" s="399" t="s">
        <v>362</v>
      </c>
      <c r="D179" s="400" t="s">
        <v>370</v>
      </c>
      <c r="E179" s="400" t="s">
        <v>364</v>
      </c>
      <c r="F179" s="400" t="s">
        <v>535</v>
      </c>
      <c r="G179" s="401">
        <v>5.726</v>
      </c>
      <c r="H179" s="577"/>
    </row>
    <row r="180" spans="2:8" x14ac:dyDescent="0.3">
      <c r="B180" s="399" t="s">
        <v>361</v>
      </c>
      <c r="C180" s="399" t="s">
        <v>362</v>
      </c>
      <c r="D180" s="400" t="s">
        <v>370</v>
      </c>
      <c r="E180" s="400" t="s">
        <v>364</v>
      </c>
      <c r="F180" s="400" t="s">
        <v>536</v>
      </c>
      <c r="G180" s="401">
        <v>5.9080000000000004</v>
      </c>
      <c r="H180" s="577"/>
    </row>
    <row r="181" spans="2:8" x14ac:dyDescent="0.3">
      <c r="B181" s="399" t="s">
        <v>361</v>
      </c>
      <c r="C181" s="399" t="s">
        <v>362</v>
      </c>
      <c r="D181" s="400" t="s">
        <v>370</v>
      </c>
      <c r="E181" s="400" t="s">
        <v>364</v>
      </c>
      <c r="F181" s="400" t="s">
        <v>537</v>
      </c>
      <c r="G181" s="401">
        <v>5.78</v>
      </c>
      <c r="H181" s="577"/>
    </row>
    <row r="182" spans="2:8" x14ac:dyDescent="0.3">
      <c r="B182" s="399" t="s">
        <v>361</v>
      </c>
      <c r="C182" s="399" t="s">
        <v>362</v>
      </c>
      <c r="D182" s="400" t="s">
        <v>370</v>
      </c>
      <c r="E182" s="400" t="s">
        <v>364</v>
      </c>
      <c r="F182" s="400" t="s">
        <v>538</v>
      </c>
      <c r="G182" s="401">
        <v>5.3170000000000002</v>
      </c>
      <c r="H182" s="577"/>
    </row>
    <row r="183" spans="2:8" x14ac:dyDescent="0.3">
      <c r="B183" s="399" t="s">
        <v>361</v>
      </c>
      <c r="C183" s="399" t="s">
        <v>362</v>
      </c>
      <c r="D183" s="400" t="s">
        <v>370</v>
      </c>
      <c r="E183" s="400" t="s">
        <v>364</v>
      </c>
      <c r="F183" s="400" t="s">
        <v>539</v>
      </c>
      <c r="G183" s="401">
        <v>5.3170000000000002</v>
      </c>
      <c r="H183" s="577"/>
    </row>
    <row r="184" spans="2:8" x14ac:dyDescent="0.3">
      <c r="B184" s="399" t="s">
        <v>361</v>
      </c>
      <c r="C184" s="399" t="s">
        <v>362</v>
      </c>
      <c r="D184" s="400" t="s">
        <v>389</v>
      </c>
      <c r="E184" s="400" t="s">
        <v>364</v>
      </c>
      <c r="F184" s="400" t="s">
        <v>540</v>
      </c>
      <c r="G184" s="401">
        <f>(9.01+5.58+5.9+5.63+1.15)*4*0.15</f>
        <v>16.361999999999998</v>
      </c>
      <c r="H184" s="577"/>
    </row>
    <row r="185" spans="2:8" x14ac:dyDescent="0.3">
      <c r="B185" s="399" t="s">
        <v>361</v>
      </c>
      <c r="C185" s="399" t="s">
        <v>362</v>
      </c>
      <c r="D185" s="400" t="s">
        <v>389</v>
      </c>
      <c r="E185" s="400" t="s">
        <v>364</v>
      </c>
      <c r="F185" s="400" t="s">
        <v>541</v>
      </c>
      <c r="G185" s="401">
        <f>3.3*4*0.15</f>
        <v>1.9799999999999998</v>
      </c>
      <c r="H185" s="577"/>
    </row>
    <row r="186" spans="2:8" x14ac:dyDescent="0.3">
      <c r="B186" s="399" t="s">
        <v>361</v>
      </c>
      <c r="C186" s="399" t="s">
        <v>362</v>
      </c>
      <c r="D186" s="400" t="s">
        <v>389</v>
      </c>
      <c r="E186" s="400" t="s">
        <v>364</v>
      </c>
      <c r="F186" s="400" t="s">
        <v>542</v>
      </c>
      <c r="G186" s="401">
        <f>(1.15+5.115+5.3)*4*0.15</f>
        <v>6.9390000000000009</v>
      </c>
      <c r="H186" s="577"/>
    </row>
    <row r="187" spans="2:8" x14ac:dyDescent="0.3">
      <c r="B187" s="399" t="s">
        <v>361</v>
      </c>
      <c r="C187" s="399" t="s">
        <v>362</v>
      </c>
      <c r="D187" s="400" t="s">
        <v>389</v>
      </c>
      <c r="E187" s="400" t="s">
        <v>364</v>
      </c>
      <c r="F187" s="400" t="s">
        <v>543</v>
      </c>
      <c r="G187" s="401">
        <f>(3.4+11)*4*0.15</f>
        <v>8.64</v>
      </c>
      <c r="H187" s="577"/>
    </row>
    <row r="188" spans="2:8" x14ac:dyDescent="0.3">
      <c r="B188" s="399" t="s">
        <v>361</v>
      </c>
      <c r="C188" s="400" t="s">
        <v>544</v>
      </c>
      <c r="D188" s="400" t="s">
        <v>370</v>
      </c>
      <c r="E188" s="400" t="s">
        <v>364</v>
      </c>
      <c r="F188" s="400" t="s">
        <v>545</v>
      </c>
      <c r="G188" s="401">
        <v>5.984</v>
      </c>
      <c r="H188" s="577"/>
    </row>
    <row r="189" spans="2:8" x14ac:dyDescent="0.3">
      <c r="B189" s="399" t="s">
        <v>361</v>
      </c>
      <c r="C189" s="400" t="s">
        <v>544</v>
      </c>
      <c r="D189" s="400" t="s">
        <v>370</v>
      </c>
      <c r="E189" s="400" t="s">
        <v>364</v>
      </c>
      <c r="F189" s="400" t="s">
        <v>546</v>
      </c>
      <c r="G189" s="401">
        <v>5.984</v>
      </c>
      <c r="H189" s="577"/>
    </row>
    <row r="190" spans="2:8" x14ac:dyDescent="0.3">
      <c r="B190" s="399" t="s">
        <v>361</v>
      </c>
      <c r="C190" s="400" t="s">
        <v>544</v>
      </c>
      <c r="D190" s="400" t="s">
        <v>370</v>
      </c>
      <c r="E190" s="400" t="s">
        <v>364</v>
      </c>
      <c r="F190" s="400" t="s">
        <v>547</v>
      </c>
      <c r="G190" s="401">
        <v>5.984</v>
      </c>
      <c r="H190" s="577"/>
    </row>
    <row r="191" spans="2:8" x14ac:dyDescent="0.3">
      <c r="B191" s="399" t="s">
        <v>361</v>
      </c>
      <c r="C191" s="400" t="s">
        <v>544</v>
      </c>
      <c r="D191" s="400" t="s">
        <v>370</v>
      </c>
      <c r="E191" s="400" t="s">
        <v>364</v>
      </c>
      <c r="F191" s="400" t="s">
        <v>548</v>
      </c>
      <c r="G191" s="401">
        <v>5.984</v>
      </c>
      <c r="H191" s="577"/>
    </row>
    <row r="192" spans="2:8" x14ac:dyDescent="0.3">
      <c r="B192" s="399" t="s">
        <v>361</v>
      </c>
      <c r="C192" s="400" t="s">
        <v>544</v>
      </c>
      <c r="D192" s="400" t="s">
        <v>370</v>
      </c>
      <c r="E192" s="400" t="s">
        <v>364</v>
      </c>
      <c r="F192" s="400" t="s">
        <v>549</v>
      </c>
      <c r="G192" s="401">
        <v>5.984</v>
      </c>
      <c r="H192" s="577"/>
    </row>
    <row r="193" spans="2:8" x14ac:dyDescent="0.3">
      <c r="B193" s="399" t="s">
        <v>361</v>
      </c>
      <c r="C193" s="400" t="s">
        <v>544</v>
      </c>
      <c r="D193" s="400" t="s">
        <v>370</v>
      </c>
      <c r="E193" s="400" t="s">
        <v>364</v>
      </c>
      <c r="F193" s="400" t="s">
        <v>550</v>
      </c>
      <c r="G193" s="401">
        <v>5.984</v>
      </c>
      <c r="H193" s="577"/>
    </row>
    <row r="194" spans="2:8" x14ac:dyDescent="0.3">
      <c r="B194" s="399" t="s">
        <v>361</v>
      </c>
      <c r="C194" s="400" t="s">
        <v>544</v>
      </c>
      <c r="D194" s="400" t="s">
        <v>370</v>
      </c>
      <c r="E194" s="400" t="s">
        <v>364</v>
      </c>
      <c r="F194" s="400" t="s">
        <v>551</v>
      </c>
      <c r="G194" s="401">
        <v>7.181</v>
      </c>
      <c r="H194" s="577"/>
    </row>
    <row r="195" spans="2:8" x14ac:dyDescent="0.3">
      <c r="B195" s="399" t="s">
        <v>361</v>
      </c>
      <c r="C195" s="400" t="s">
        <v>544</v>
      </c>
      <c r="D195" s="400" t="s">
        <v>370</v>
      </c>
      <c r="E195" s="400" t="s">
        <v>364</v>
      </c>
      <c r="F195" s="400" t="s">
        <v>552</v>
      </c>
      <c r="G195" s="401">
        <v>5.984</v>
      </c>
      <c r="H195" s="577"/>
    </row>
    <row r="196" spans="2:8" x14ac:dyDescent="0.3">
      <c r="B196" s="399" t="s">
        <v>361</v>
      </c>
      <c r="C196" s="400" t="s">
        <v>544</v>
      </c>
      <c r="D196" s="400" t="s">
        <v>370</v>
      </c>
      <c r="E196" s="400" t="s">
        <v>364</v>
      </c>
      <c r="F196" s="400" t="s">
        <v>553</v>
      </c>
      <c r="G196" s="401">
        <v>5.9180000000000001</v>
      </c>
      <c r="H196" s="577"/>
    </row>
    <row r="197" spans="2:8" x14ac:dyDescent="0.3">
      <c r="B197" s="399" t="s">
        <v>361</v>
      </c>
      <c r="C197" s="400" t="s">
        <v>544</v>
      </c>
      <c r="D197" s="400" t="s">
        <v>363</v>
      </c>
      <c r="E197" s="400" t="s">
        <v>364</v>
      </c>
      <c r="F197" s="400" t="s">
        <v>366</v>
      </c>
      <c r="G197" s="401">
        <v>8.1639999999999997</v>
      </c>
      <c r="H197" s="577"/>
    </row>
    <row r="198" spans="2:8" x14ac:dyDescent="0.3">
      <c r="B198" s="399" t="s">
        <v>361</v>
      </c>
      <c r="C198" s="400" t="s">
        <v>544</v>
      </c>
      <c r="D198" s="400" t="s">
        <v>363</v>
      </c>
      <c r="E198" s="400" t="s">
        <v>364</v>
      </c>
      <c r="F198" s="400" t="s">
        <v>368</v>
      </c>
      <c r="G198" s="401">
        <v>6.21</v>
      </c>
      <c r="H198" s="577"/>
    </row>
    <row r="199" spans="2:8" x14ac:dyDescent="0.3">
      <c r="B199" s="399" t="s">
        <v>361</v>
      </c>
      <c r="C199" s="400" t="s">
        <v>544</v>
      </c>
      <c r="D199" s="400" t="s">
        <v>363</v>
      </c>
      <c r="E199" s="400" t="s">
        <v>364</v>
      </c>
      <c r="F199" s="400" t="s">
        <v>554</v>
      </c>
      <c r="G199" s="401">
        <v>4.6890000000000001</v>
      </c>
      <c r="H199" s="577"/>
    </row>
    <row r="200" spans="2:8" x14ac:dyDescent="0.3">
      <c r="B200" s="399" t="s">
        <v>361</v>
      </c>
      <c r="C200" s="400" t="s">
        <v>544</v>
      </c>
      <c r="D200" s="400" t="s">
        <v>363</v>
      </c>
      <c r="E200" s="400" t="s">
        <v>364</v>
      </c>
      <c r="F200" s="400" t="s">
        <v>555</v>
      </c>
      <c r="G200" s="401">
        <v>2.9969999999999999</v>
      </c>
      <c r="H200" s="577"/>
    </row>
    <row r="201" spans="2:8" x14ac:dyDescent="0.3">
      <c r="B201" s="399" t="s">
        <v>361</v>
      </c>
      <c r="C201" s="400" t="s">
        <v>544</v>
      </c>
      <c r="D201" s="400" t="s">
        <v>363</v>
      </c>
      <c r="E201" s="400" t="s">
        <v>364</v>
      </c>
      <c r="F201" s="400" t="s">
        <v>556</v>
      </c>
      <c r="G201" s="401">
        <v>1.3839999999999999</v>
      </c>
      <c r="H201" s="577"/>
    </row>
    <row r="202" spans="2:8" x14ac:dyDescent="0.3">
      <c r="B202" s="399" t="s">
        <v>361</v>
      </c>
      <c r="C202" s="400" t="s">
        <v>544</v>
      </c>
      <c r="D202" s="400" t="s">
        <v>396</v>
      </c>
      <c r="E202" s="400" t="s">
        <v>364</v>
      </c>
      <c r="F202" s="400" t="s">
        <v>557</v>
      </c>
      <c r="G202" s="401">
        <v>0.44800000000000001</v>
      </c>
      <c r="H202" s="577"/>
    </row>
    <row r="203" spans="2:8" x14ac:dyDescent="0.3">
      <c r="B203" s="399" t="s">
        <v>361</v>
      </c>
      <c r="C203" s="400" t="s">
        <v>544</v>
      </c>
      <c r="D203" s="400" t="s">
        <v>363</v>
      </c>
      <c r="E203" s="400" t="s">
        <v>364</v>
      </c>
      <c r="F203" s="400" t="s">
        <v>365</v>
      </c>
      <c r="G203" s="401">
        <v>15.651999999999999</v>
      </c>
      <c r="H203" s="577"/>
    </row>
    <row r="204" spans="2:8" x14ac:dyDescent="0.3">
      <c r="B204" s="399" t="s">
        <v>361</v>
      </c>
      <c r="C204" s="400" t="s">
        <v>544</v>
      </c>
      <c r="D204" s="400" t="s">
        <v>363</v>
      </c>
      <c r="E204" s="400" t="s">
        <v>364</v>
      </c>
      <c r="F204" s="400" t="s">
        <v>367</v>
      </c>
      <c r="G204" s="401">
        <v>3.8290000000000002</v>
      </c>
      <c r="H204" s="577"/>
    </row>
    <row r="205" spans="2:8" x14ac:dyDescent="0.3">
      <c r="B205" s="399" t="s">
        <v>361</v>
      </c>
      <c r="C205" s="400" t="s">
        <v>544</v>
      </c>
      <c r="D205" s="400" t="s">
        <v>363</v>
      </c>
      <c r="E205" s="400" t="s">
        <v>364</v>
      </c>
      <c r="F205" s="400" t="s">
        <v>558</v>
      </c>
      <c r="G205" s="401">
        <f>5.027+3.809</f>
        <v>8.8360000000000003</v>
      </c>
      <c r="H205" s="577"/>
    </row>
    <row r="206" spans="2:8" x14ac:dyDescent="0.3">
      <c r="B206" s="399" t="s">
        <v>361</v>
      </c>
      <c r="C206" s="400" t="s">
        <v>544</v>
      </c>
      <c r="D206" s="400" t="s">
        <v>370</v>
      </c>
      <c r="E206" s="400" t="s">
        <v>364</v>
      </c>
      <c r="F206" s="400" t="s">
        <v>371</v>
      </c>
      <c r="G206" s="401">
        <v>5.766</v>
      </c>
      <c r="H206" s="577"/>
    </row>
    <row r="207" spans="2:8" x14ac:dyDescent="0.3">
      <c r="B207" s="399" t="s">
        <v>361</v>
      </c>
      <c r="C207" s="400" t="s">
        <v>544</v>
      </c>
      <c r="D207" s="400" t="s">
        <v>370</v>
      </c>
      <c r="E207" s="400" t="s">
        <v>364</v>
      </c>
      <c r="F207" s="400" t="s">
        <v>372</v>
      </c>
      <c r="G207" s="401">
        <v>5.766</v>
      </c>
      <c r="H207" s="577"/>
    </row>
    <row r="208" spans="2:8" x14ac:dyDescent="0.3">
      <c r="B208" s="399" t="s">
        <v>361</v>
      </c>
      <c r="C208" s="400" t="s">
        <v>544</v>
      </c>
      <c r="D208" s="400" t="s">
        <v>370</v>
      </c>
      <c r="E208" s="400" t="s">
        <v>364</v>
      </c>
      <c r="F208" s="400" t="s">
        <v>374</v>
      </c>
      <c r="G208" s="401">
        <v>5.766</v>
      </c>
      <c r="H208" s="577"/>
    </row>
    <row r="209" spans="2:8" x14ac:dyDescent="0.3">
      <c r="B209" s="399" t="s">
        <v>361</v>
      </c>
      <c r="C209" s="400" t="s">
        <v>544</v>
      </c>
      <c r="D209" s="400" t="s">
        <v>370</v>
      </c>
      <c r="E209" s="400" t="s">
        <v>364</v>
      </c>
      <c r="F209" s="400" t="s">
        <v>375</v>
      </c>
      <c r="G209" s="401">
        <v>5.766</v>
      </c>
      <c r="H209" s="577"/>
    </row>
    <row r="210" spans="2:8" x14ac:dyDescent="0.3">
      <c r="B210" s="399" t="s">
        <v>361</v>
      </c>
      <c r="C210" s="400" t="s">
        <v>544</v>
      </c>
      <c r="D210" s="400" t="s">
        <v>370</v>
      </c>
      <c r="E210" s="400" t="s">
        <v>364</v>
      </c>
      <c r="F210" s="400" t="s">
        <v>377</v>
      </c>
      <c r="G210" s="401">
        <v>5.766</v>
      </c>
      <c r="H210" s="577"/>
    </row>
    <row r="211" spans="2:8" x14ac:dyDescent="0.3">
      <c r="B211" s="399" t="s">
        <v>361</v>
      </c>
      <c r="C211" s="400" t="s">
        <v>544</v>
      </c>
      <c r="D211" s="400" t="s">
        <v>370</v>
      </c>
      <c r="E211" s="400" t="s">
        <v>364</v>
      </c>
      <c r="F211" s="400" t="s">
        <v>378</v>
      </c>
      <c r="G211" s="401">
        <v>5.766</v>
      </c>
      <c r="H211" s="577"/>
    </row>
    <row r="212" spans="2:8" x14ac:dyDescent="0.3">
      <c r="B212" s="399" t="s">
        <v>361</v>
      </c>
      <c r="C212" s="400" t="s">
        <v>544</v>
      </c>
      <c r="D212" s="400" t="s">
        <v>370</v>
      </c>
      <c r="E212" s="400" t="s">
        <v>364</v>
      </c>
      <c r="F212" s="400" t="s">
        <v>379</v>
      </c>
      <c r="G212" s="401">
        <v>5.766</v>
      </c>
      <c r="H212" s="577"/>
    </row>
    <row r="213" spans="2:8" x14ac:dyDescent="0.3">
      <c r="B213" s="399" t="s">
        <v>361</v>
      </c>
      <c r="C213" s="400" t="s">
        <v>544</v>
      </c>
      <c r="D213" s="400" t="s">
        <v>370</v>
      </c>
      <c r="E213" s="400" t="s">
        <v>364</v>
      </c>
      <c r="F213" s="400" t="s">
        <v>380</v>
      </c>
      <c r="G213" s="401">
        <v>6.92</v>
      </c>
      <c r="H213" s="577"/>
    </row>
    <row r="214" spans="2:8" x14ac:dyDescent="0.3">
      <c r="B214" s="399" t="s">
        <v>361</v>
      </c>
      <c r="C214" s="400" t="s">
        <v>544</v>
      </c>
      <c r="D214" s="400" t="s">
        <v>363</v>
      </c>
      <c r="E214" s="400" t="s">
        <v>364</v>
      </c>
      <c r="F214" s="400" t="s">
        <v>384</v>
      </c>
      <c r="G214" s="401">
        <v>8.1639999999999997</v>
      </c>
      <c r="H214" s="577"/>
    </row>
    <row r="215" spans="2:8" x14ac:dyDescent="0.3">
      <c r="B215" s="399" t="s">
        <v>361</v>
      </c>
      <c r="C215" s="400" t="s">
        <v>544</v>
      </c>
      <c r="D215" s="400" t="s">
        <v>363</v>
      </c>
      <c r="E215" s="400" t="s">
        <v>364</v>
      </c>
      <c r="F215" s="400" t="s">
        <v>559</v>
      </c>
      <c r="G215" s="401">
        <v>6.21</v>
      </c>
      <c r="H215" s="577"/>
    </row>
    <row r="216" spans="2:8" x14ac:dyDescent="0.3">
      <c r="B216" s="399" t="s">
        <v>361</v>
      </c>
      <c r="C216" s="400" t="s">
        <v>544</v>
      </c>
      <c r="D216" s="400" t="s">
        <v>363</v>
      </c>
      <c r="E216" s="400" t="s">
        <v>364</v>
      </c>
      <c r="F216" s="400" t="s">
        <v>388</v>
      </c>
      <c r="G216" s="401">
        <v>4.6890000000000001</v>
      </c>
      <c r="H216" s="577"/>
    </row>
    <row r="217" spans="2:8" x14ac:dyDescent="0.3">
      <c r="B217" s="399" t="s">
        <v>361</v>
      </c>
      <c r="C217" s="400" t="s">
        <v>544</v>
      </c>
      <c r="D217" s="400" t="s">
        <v>363</v>
      </c>
      <c r="E217" s="400" t="s">
        <v>364</v>
      </c>
      <c r="F217" s="400" t="s">
        <v>391</v>
      </c>
      <c r="G217" s="401">
        <v>2.9969999999999999</v>
      </c>
      <c r="H217" s="577"/>
    </row>
    <row r="218" spans="2:8" x14ac:dyDescent="0.3">
      <c r="B218" s="399" t="s">
        <v>361</v>
      </c>
      <c r="C218" s="400" t="s">
        <v>544</v>
      </c>
      <c r="D218" s="400" t="s">
        <v>363</v>
      </c>
      <c r="E218" s="400" t="s">
        <v>364</v>
      </c>
      <c r="F218" s="400" t="s">
        <v>393</v>
      </c>
      <c r="G218" s="401">
        <v>1.3839999999999999</v>
      </c>
      <c r="H218" s="577"/>
    </row>
    <row r="219" spans="2:8" x14ac:dyDescent="0.3">
      <c r="B219" s="399" t="s">
        <v>361</v>
      </c>
      <c r="C219" s="400" t="s">
        <v>544</v>
      </c>
      <c r="D219" s="400" t="s">
        <v>396</v>
      </c>
      <c r="E219" s="400" t="s">
        <v>364</v>
      </c>
      <c r="F219" s="400" t="s">
        <v>560</v>
      </c>
      <c r="G219" s="401">
        <v>0.44800000000000001</v>
      </c>
      <c r="H219" s="577"/>
    </row>
    <row r="220" spans="2:8" x14ac:dyDescent="0.3">
      <c r="B220" s="399" t="s">
        <v>361</v>
      </c>
      <c r="C220" s="400" t="s">
        <v>544</v>
      </c>
      <c r="D220" s="400" t="s">
        <v>363</v>
      </c>
      <c r="E220" s="400" t="s">
        <v>364</v>
      </c>
      <c r="F220" s="400" t="s">
        <v>381</v>
      </c>
      <c r="G220" s="401">
        <v>15.651999999999999</v>
      </c>
      <c r="H220" s="577"/>
    </row>
    <row r="221" spans="2:8" x14ac:dyDescent="0.3">
      <c r="B221" s="399" t="s">
        <v>361</v>
      </c>
      <c r="C221" s="400" t="s">
        <v>544</v>
      </c>
      <c r="D221" s="400" t="s">
        <v>363</v>
      </c>
      <c r="E221" s="400" t="s">
        <v>364</v>
      </c>
      <c r="F221" s="400" t="s">
        <v>395</v>
      </c>
      <c r="G221" s="401">
        <v>3.8290000000000002</v>
      </c>
      <c r="H221" s="577"/>
    </row>
    <row r="222" spans="2:8" x14ac:dyDescent="0.3">
      <c r="B222" s="399" t="s">
        <v>361</v>
      </c>
      <c r="C222" s="400" t="s">
        <v>544</v>
      </c>
      <c r="D222" s="400" t="s">
        <v>363</v>
      </c>
      <c r="E222" s="400" t="s">
        <v>364</v>
      </c>
      <c r="F222" s="400" t="s">
        <v>385</v>
      </c>
      <c r="G222" s="401">
        <f>5.027+3.809</f>
        <v>8.8360000000000003</v>
      </c>
      <c r="H222" s="577"/>
    </row>
    <row r="223" spans="2:8" x14ac:dyDescent="0.3">
      <c r="B223" s="399" t="s">
        <v>361</v>
      </c>
      <c r="C223" s="400" t="s">
        <v>544</v>
      </c>
      <c r="D223" s="400" t="s">
        <v>370</v>
      </c>
      <c r="E223" s="400" t="s">
        <v>364</v>
      </c>
      <c r="F223" s="400" t="s">
        <v>400</v>
      </c>
      <c r="G223" s="401">
        <v>5.78</v>
      </c>
      <c r="H223" s="577"/>
    </row>
    <row r="224" spans="2:8" x14ac:dyDescent="0.3">
      <c r="B224" s="399" t="s">
        <v>361</v>
      </c>
      <c r="C224" s="400" t="s">
        <v>544</v>
      </c>
      <c r="D224" s="400" t="s">
        <v>370</v>
      </c>
      <c r="E224" s="400" t="s">
        <v>364</v>
      </c>
      <c r="F224" s="400" t="s">
        <v>401</v>
      </c>
      <c r="G224" s="401">
        <v>5.78</v>
      </c>
      <c r="H224" s="577"/>
    </row>
    <row r="225" spans="2:8" x14ac:dyDescent="0.3">
      <c r="B225" s="399" t="s">
        <v>361</v>
      </c>
      <c r="C225" s="400" t="s">
        <v>544</v>
      </c>
      <c r="D225" s="400" t="s">
        <v>370</v>
      </c>
      <c r="E225" s="400" t="s">
        <v>364</v>
      </c>
      <c r="F225" s="400" t="s">
        <v>402</v>
      </c>
      <c r="G225" s="401">
        <v>5.78</v>
      </c>
      <c r="H225" s="577"/>
    </row>
    <row r="226" spans="2:8" x14ac:dyDescent="0.3">
      <c r="B226" s="399" t="s">
        <v>361</v>
      </c>
      <c r="C226" s="400" t="s">
        <v>544</v>
      </c>
      <c r="D226" s="400" t="s">
        <v>370</v>
      </c>
      <c r="E226" s="400" t="s">
        <v>364</v>
      </c>
      <c r="F226" s="400" t="s">
        <v>403</v>
      </c>
      <c r="G226" s="401">
        <v>5.78</v>
      </c>
      <c r="H226" s="577"/>
    </row>
    <row r="227" spans="2:8" x14ac:dyDescent="0.3">
      <c r="B227" s="399" t="s">
        <v>361</v>
      </c>
      <c r="C227" s="400" t="s">
        <v>544</v>
      </c>
      <c r="D227" s="400" t="s">
        <v>370</v>
      </c>
      <c r="E227" s="400" t="s">
        <v>364</v>
      </c>
      <c r="F227" s="400" t="s">
        <v>404</v>
      </c>
      <c r="G227" s="401">
        <v>5.78</v>
      </c>
      <c r="H227" s="577"/>
    </row>
    <row r="228" spans="2:8" x14ac:dyDescent="0.3">
      <c r="B228" s="399" t="s">
        <v>361</v>
      </c>
      <c r="C228" s="400" t="s">
        <v>544</v>
      </c>
      <c r="D228" s="400" t="s">
        <v>370</v>
      </c>
      <c r="E228" s="400" t="s">
        <v>364</v>
      </c>
      <c r="F228" s="400" t="s">
        <v>406</v>
      </c>
      <c r="G228" s="401">
        <v>5.78</v>
      </c>
      <c r="H228" s="577"/>
    </row>
    <row r="229" spans="2:8" x14ac:dyDescent="0.3">
      <c r="B229" s="399" t="s">
        <v>361</v>
      </c>
      <c r="C229" s="400" t="s">
        <v>544</v>
      </c>
      <c r="D229" s="400" t="s">
        <v>370</v>
      </c>
      <c r="E229" s="400" t="s">
        <v>364</v>
      </c>
      <c r="F229" s="400" t="s">
        <v>407</v>
      </c>
      <c r="G229" s="401">
        <v>5.78</v>
      </c>
      <c r="H229" s="577"/>
    </row>
    <row r="230" spans="2:8" x14ac:dyDescent="0.3">
      <c r="B230" s="399" t="s">
        <v>361</v>
      </c>
      <c r="C230" s="400" t="s">
        <v>544</v>
      </c>
      <c r="D230" s="400" t="s">
        <v>370</v>
      </c>
      <c r="E230" s="400" t="s">
        <v>364</v>
      </c>
      <c r="F230" s="400" t="s">
        <v>409</v>
      </c>
      <c r="G230" s="401">
        <v>6.9359999999999999</v>
      </c>
      <c r="H230" s="577"/>
    </row>
    <row r="231" spans="2:8" x14ac:dyDescent="0.3">
      <c r="B231" s="399" t="s">
        <v>361</v>
      </c>
      <c r="C231" s="400" t="s">
        <v>544</v>
      </c>
      <c r="D231" s="400" t="s">
        <v>389</v>
      </c>
      <c r="E231" s="400" t="s">
        <v>364</v>
      </c>
      <c r="F231" s="400" t="s">
        <v>561</v>
      </c>
      <c r="G231" s="401">
        <f>(9.01+5.58+5.9+5.63+1.15)*4.25*0.15</f>
        <v>17.384625</v>
      </c>
      <c r="H231" s="577"/>
    </row>
    <row r="232" spans="2:8" x14ac:dyDescent="0.3">
      <c r="B232" s="399" t="s">
        <v>361</v>
      </c>
      <c r="C232" s="400" t="s">
        <v>544</v>
      </c>
      <c r="D232" s="400" t="s">
        <v>389</v>
      </c>
      <c r="E232" s="400" t="s">
        <v>364</v>
      </c>
      <c r="F232" s="400" t="s">
        <v>562</v>
      </c>
      <c r="G232" s="401">
        <f>3.3*4.25*0.15</f>
        <v>2.1037499999999998</v>
      </c>
      <c r="H232" s="577"/>
    </row>
    <row r="233" spans="2:8" x14ac:dyDescent="0.3">
      <c r="B233" s="399" t="s">
        <v>361</v>
      </c>
      <c r="C233" s="400" t="s">
        <v>544</v>
      </c>
      <c r="D233" s="400" t="s">
        <v>389</v>
      </c>
      <c r="E233" s="400" t="s">
        <v>364</v>
      </c>
      <c r="F233" s="400" t="s">
        <v>563</v>
      </c>
      <c r="G233" s="401">
        <f>(1.15+5.115+5.3)*4.25*0.15</f>
        <v>7.3726875000000005</v>
      </c>
      <c r="H233" s="577"/>
    </row>
    <row r="234" spans="2:8" x14ac:dyDescent="0.3">
      <c r="B234" s="399" t="s">
        <v>361</v>
      </c>
      <c r="C234" s="400" t="s">
        <v>544</v>
      </c>
      <c r="D234" s="400" t="s">
        <v>389</v>
      </c>
      <c r="E234" s="400" t="s">
        <v>364</v>
      </c>
      <c r="F234" s="400" t="s">
        <v>564</v>
      </c>
      <c r="G234" s="401">
        <f>(3.4+11)*4.26*0.15</f>
        <v>9.2015999999999991</v>
      </c>
      <c r="H234" s="577"/>
    </row>
    <row r="235" spans="2:8" x14ac:dyDescent="0.3">
      <c r="B235" s="399" t="s">
        <v>361</v>
      </c>
      <c r="C235" s="400" t="s">
        <v>544</v>
      </c>
      <c r="D235" s="400" t="s">
        <v>390</v>
      </c>
      <c r="E235" s="400" t="s">
        <v>364</v>
      </c>
      <c r="F235" s="400" t="s">
        <v>565</v>
      </c>
      <c r="G235" s="401">
        <f>(15.32+3.2)/2*32*0.06</f>
        <v>17.779199999999999</v>
      </c>
      <c r="H235" s="577"/>
    </row>
    <row r="236" spans="2:8" x14ac:dyDescent="0.3">
      <c r="B236" s="399" t="s">
        <v>361</v>
      </c>
      <c r="C236" s="400" t="s">
        <v>544</v>
      </c>
      <c r="D236" s="400" t="s">
        <v>363</v>
      </c>
      <c r="E236" s="400" t="s">
        <v>364</v>
      </c>
      <c r="F236" s="400" t="s">
        <v>412</v>
      </c>
      <c r="G236" s="401">
        <v>9.4269999999999996</v>
      </c>
      <c r="H236" s="577"/>
    </row>
    <row r="237" spans="2:8" x14ac:dyDescent="0.3">
      <c r="B237" s="399" t="s">
        <v>361</v>
      </c>
      <c r="C237" s="400" t="s">
        <v>544</v>
      </c>
      <c r="D237" s="400" t="s">
        <v>396</v>
      </c>
      <c r="E237" s="400" t="s">
        <v>364</v>
      </c>
      <c r="F237" s="400" t="s">
        <v>566</v>
      </c>
      <c r="G237" s="401">
        <v>1.2290000000000001</v>
      </c>
      <c r="H237" s="577"/>
    </row>
    <row r="238" spans="2:8" x14ac:dyDescent="0.3">
      <c r="B238" s="399" t="s">
        <v>361</v>
      </c>
      <c r="C238" s="400" t="s">
        <v>544</v>
      </c>
      <c r="D238" s="400" t="s">
        <v>396</v>
      </c>
      <c r="E238" s="400" t="s">
        <v>364</v>
      </c>
      <c r="F238" s="400" t="s">
        <v>567</v>
      </c>
      <c r="G238" s="401">
        <v>1.2270000000000001</v>
      </c>
      <c r="H238" s="577"/>
    </row>
    <row r="239" spans="2:8" x14ac:dyDescent="0.3">
      <c r="B239" s="399" t="s">
        <v>361</v>
      </c>
      <c r="C239" s="400" t="s">
        <v>544</v>
      </c>
      <c r="D239" s="400" t="s">
        <v>396</v>
      </c>
      <c r="E239" s="400" t="s">
        <v>364</v>
      </c>
      <c r="F239" s="400" t="s">
        <v>568</v>
      </c>
      <c r="G239" s="401">
        <v>1.2250000000000001</v>
      </c>
      <c r="H239" s="577"/>
    </row>
    <row r="240" spans="2:8" x14ac:dyDescent="0.3">
      <c r="B240" s="399" t="s">
        <v>361</v>
      </c>
      <c r="C240" s="400" t="s">
        <v>544</v>
      </c>
      <c r="D240" s="400" t="s">
        <v>396</v>
      </c>
      <c r="E240" s="400" t="s">
        <v>364</v>
      </c>
      <c r="F240" s="400" t="s">
        <v>417</v>
      </c>
      <c r="G240" s="401">
        <v>1.2230000000000001</v>
      </c>
      <c r="H240" s="577"/>
    </row>
    <row r="241" spans="2:8" x14ac:dyDescent="0.3">
      <c r="B241" s="399" t="s">
        <v>361</v>
      </c>
      <c r="C241" s="400" t="s">
        <v>544</v>
      </c>
      <c r="D241" s="400" t="s">
        <v>396</v>
      </c>
      <c r="E241" s="400" t="s">
        <v>364</v>
      </c>
      <c r="F241" s="400" t="s">
        <v>418</v>
      </c>
      <c r="G241" s="401">
        <v>1.2210000000000001</v>
      </c>
      <c r="H241" s="577"/>
    </row>
    <row r="242" spans="2:8" x14ac:dyDescent="0.3">
      <c r="B242" s="399" t="s">
        <v>361</v>
      </c>
      <c r="C242" s="400" t="s">
        <v>544</v>
      </c>
      <c r="D242" s="400" t="s">
        <v>396</v>
      </c>
      <c r="E242" s="400" t="s">
        <v>364</v>
      </c>
      <c r="F242" s="400" t="s">
        <v>419</v>
      </c>
      <c r="G242" s="401">
        <v>1.2190000000000001</v>
      </c>
      <c r="H242" s="577"/>
    </row>
    <row r="243" spans="2:8" x14ac:dyDescent="0.3">
      <c r="B243" s="399" t="s">
        <v>361</v>
      </c>
      <c r="C243" s="400" t="s">
        <v>544</v>
      </c>
      <c r="D243" s="400" t="s">
        <v>363</v>
      </c>
      <c r="E243" s="400" t="s">
        <v>364</v>
      </c>
      <c r="F243" s="400" t="s">
        <v>420</v>
      </c>
      <c r="G243" s="401">
        <v>5.931</v>
      </c>
      <c r="H243" s="577"/>
    </row>
    <row r="244" spans="2:8" x14ac:dyDescent="0.3">
      <c r="B244" s="399" t="s">
        <v>361</v>
      </c>
      <c r="C244" s="400" t="s">
        <v>544</v>
      </c>
      <c r="D244" s="400" t="s">
        <v>396</v>
      </c>
      <c r="E244" s="400" t="s">
        <v>364</v>
      </c>
      <c r="F244" s="400" t="s">
        <v>421</v>
      </c>
      <c r="G244" s="401">
        <v>1.1910000000000001</v>
      </c>
      <c r="H244" s="577"/>
    </row>
    <row r="245" spans="2:8" x14ac:dyDescent="0.3">
      <c r="B245" s="399" t="s">
        <v>361</v>
      </c>
      <c r="C245" s="400" t="s">
        <v>544</v>
      </c>
      <c r="D245" s="400" t="s">
        <v>396</v>
      </c>
      <c r="E245" s="400" t="s">
        <v>364</v>
      </c>
      <c r="F245" s="400" t="s">
        <v>422</v>
      </c>
      <c r="G245" s="401">
        <v>1.143</v>
      </c>
      <c r="H245" s="577"/>
    </row>
    <row r="246" spans="2:8" x14ac:dyDescent="0.3">
      <c r="B246" s="399" t="s">
        <v>361</v>
      </c>
      <c r="C246" s="400" t="s">
        <v>544</v>
      </c>
      <c r="D246" s="400" t="s">
        <v>396</v>
      </c>
      <c r="E246" s="400" t="s">
        <v>364</v>
      </c>
      <c r="F246" s="400" t="s">
        <v>423</v>
      </c>
      <c r="G246" s="401">
        <v>1.0940000000000001</v>
      </c>
      <c r="H246" s="577"/>
    </row>
    <row r="247" spans="2:8" x14ac:dyDescent="0.3">
      <c r="B247" s="399" t="s">
        <v>361</v>
      </c>
      <c r="C247" s="400" t="s">
        <v>544</v>
      </c>
      <c r="D247" s="400" t="s">
        <v>396</v>
      </c>
      <c r="E247" s="400" t="s">
        <v>364</v>
      </c>
      <c r="F247" s="400" t="s">
        <v>424</v>
      </c>
      <c r="G247" s="401">
        <v>1.046</v>
      </c>
      <c r="H247" s="577"/>
    </row>
    <row r="248" spans="2:8" x14ac:dyDescent="0.3">
      <c r="B248" s="399" t="s">
        <v>361</v>
      </c>
      <c r="C248" s="400" t="s">
        <v>544</v>
      </c>
      <c r="D248" s="400" t="s">
        <v>396</v>
      </c>
      <c r="E248" s="400" t="s">
        <v>364</v>
      </c>
      <c r="F248" s="400" t="s">
        <v>425</v>
      </c>
      <c r="G248" s="401">
        <v>0.997</v>
      </c>
      <c r="H248" s="577"/>
    </row>
    <row r="249" spans="2:8" x14ac:dyDescent="0.3">
      <c r="B249" s="399" t="s">
        <v>361</v>
      </c>
      <c r="C249" s="400" t="s">
        <v>544</v>
      </c>
      <c r="D249" s="400" t="s">
        <v>363</v>
      </c>
      <c r="E249" s="400" t="s">
        <v>364</v>
      </c>
      <c r="F249" s="400" t="s">
        <v>426</v>
      </c>
      <c r="G249" s="401">
        <v>5.6760000000000002</v>
      </c>
      <c r="H249" s="577"/>
    </row>
    <row r="250" spans="2:8" x14ac:dyDescent="0.3">
      <c r="B250" s="399" t="s">
        <v>361</v>
      </c>
      <c r="C250" s="400" t="s">
        <v>544</v>
      </c>
      <c r="D250" s="400" t="s">
        <v>396</v>
      </c>
      <c r="E250" s="400" t="s">
        <v>364</v>
      </c>
      <c r="F250" s="400" t="s">
        <v>427</v>
      </c>
      <c r="G250" s="401">
        <v>0.877</v>
      </c>
      <c r="H250" s="577"/>
    </row>
    <row r="251" spans="2:8" x14ac:dyDescent="0.3">
      <c r="B251" s="399" t="s">
        <v>361</v>
      </c>
      <c r="C251" s="400" t="s">
        <v>544</v>
      </c>
      <c r="D251" s="400" t="s">
        <v>396</v>
      </c>
      <c r="E251" s="400" t="s">
        <v>364</v>
      </c>
      <c r="F251" s="400" t="s">
        <v>428</v>
      </c>
      <c r="G251" s="401">
        <v>0.84299999999999997</v>
      </c>
      <c r="H251" s="577"/>
    </row>
    <row r="252" spans="2:8" x14ac:dyDescent="0.3">
      <c r="B252" s="399" t="s">
        <v>361</v>
      </c>
      <c r="C252" s="400" t="s">
        <v>544</v>
      </c>
      <c r="D252" s="400" t="s">
        <v>396</v>
      </c>
      <c r="E252" s="400" t="s">
        <v>364</v>
      </c>
      <c r="F252" s="400" t="s">
        <v>429</v>
      </c>
      <c r="G252" s="401">
        <v>0.79200000000000004</v>
      </c>
      <c r="H252" s="577"/>
    </row>
    <row r="253" spans="2:8" x14ac:dyDescent="0.3">
      <c r="B253" s="399" t="s">
        <v>361</v>
      </c>
      <c r="C253" s="400" t="s">
        <v>544</v>
      </c>
      <c r="D253" s="400" t="s">
        <v>396</v>
      </c>
      <c r="E253" s="400" t="s">
        <v>364</v>
      </c>
      <c r="F253" s="400" t="s">
        <v>430</v>
      </c>
      <c r="G253" s="401">
        <v>0.74099999999999999</v>
      </c>
      <c r="H253" s="577"/>
    </row>
    <row r="254" spans="2:8" x14ac:dyDescent="0.3">
      <c r="B254" s="399" t="s">
        <v>361</v>
      </c>
      <c r="C254" s="400" t="s">
        <v>544</v>
      </c>
      <c r="D254" s="400" t="s">
        <v>396</v>
      </c>
      <c r="E254" s="400" t="s">
        <v>364</v>
      </c>
      <c r="F254" s="400" t="s">
        <v>431</v>
      </c>
      <c r="G254" s="401">
        <v>0.69099999999999995</v>
      </c>
      <c r="H254" s="577"/>
    </row>
    <row r="255" spans="2:8" x14ac:dyDescent="0.3">
      <c r="B255" s="399" t="s">
        <v>361</v>
      </c>
      <c r="C255" s="400" t="s">
        <v>544</v>
      </c>
      <c r="D255" s="400" t="s">
        <v>363</v>
      </c>
      <c r="E255" s="400" t="s">
        <v>364</v>
      </c>
      <c r="F255" s="400" t="s">
        <v>432</v>
      </c>
      <c r="G255" s="401">
        <v>2.9060000000000001</v>
      </c>
      <c r="H255" s="577"/>
    </row>
    <row r="256" spans="2:8" x14ac:dyDescent="0.3">
      <c r="B256" s="399" t="s">
        <v>361</v>
      </c>
      <c r="C256" s="400" t="s">
        <v>544</v>
      </c>
      <c r="D256" s="400" t="s">
        <v>396</v>
      </c>
      <c r="E256" s="400" t="s">
        <v>364</v>
      </c>
      <c r="F256" s="400" t="s">
        <v>433</v>
      </c>
      <c r="G256" s="401">
        <v>0.58199999999999996</v>
      </c>
      <c r="H256" s="577"/>
    </row>
    <row r="257" spans="2:8" x14ac:dyDescent="0.3">
      <c r="B257" s="399" t="s">
        <v>361</v>
      </c>
      <c r="C257" s="400" t="s">
        <v>544</v>
      </c>
      <c r="D257" s="400" t="s">
        <v>396</v>
      </c>
      <c r="E257" s="400" t="s">
        <v>364</v>
      </c>
      <c r="F257" s="400" t="s">
        <v>434</v>
      </c>
      <c r="G257" s="401">
        <v>0.53200000000000003</v>
      </c>
      <c r="H257" s="577"/>
    </row>
    <row r="258" spans="2:8" x14ac:dyDescent="0.3">
      <c r="B258" s="399" t="s">
        <v>361</v>
      </c>
      <c r="C258" s="400" t="s">
        <v>544</v>
      </c>
      <c r="D258" s="400" t="s">
        <v>396</v>
      </c>
      <c r="E258" s="400" t="s">
        <v>364</v>
      </c>
      <c r="F258" s="400" t="s">
        <v>435</v>
      </c>
      <c r="G258" s="401">
        <v>0.48099999999999998</v>
      </c>
      <c r="H258" s="577"/>
    </row>
    <row r="259" spans="2:8" x14ac:dyDescent="0.3">
      <c r="B259" s="399" t="s">
        <v>361</v>
      </c>
      <c r="C259" s="400" t="s">
        <v>544</v>
      </c>
      <c r="D259" s="400" t="s">
        <v>396</v>
      </c>
      <c r="E259" s="400" t="s">
        <v>364</v>
      </c>
      <c r="F259" s="400" t="s">
        <v>436</v>
      </c>
      <c r="G259" s="401">
        <v>0.433</v>
      </c>
      <c r="H259" s="577"/>
    </row>
    <row r="260" spans="2:8" x14ac:dyDescent="0.3">
      <c r="B260" s="399" t="s">
        <v>361</v>
      </c>
      <c r="C260" s="400" t="s">
        <v>544</v>
      </c>
      <c r="D260" s="400" t="s">
        <v>396</v>
      </c>
      <c r="E260" s="400" t="s">
        <v>364</v>
      </c>
      <c r="F260" s="400" t="s">
        <v>437</v>
      </c>
      <c r="G260" s="401">
        <v>0.39600000000000002</v>
      </c>
      <c r="H260" s="577"/>
    </row>
    <row r="261" spans="2:8" x14ac:dyDescent="0.3">
      <c r="B261" s="399" t="s">
        <v>361</v>
      </c>
      <c r="C261" s="400" t="s">
        <v>544</v>
      </c>
      <c r="D261" s="400" t="s">
        <v>363</v>
      </c>
      <c r="E261" s="400" t="s">
        <v>364</v>
      </c>
      <c r="F261" s="400" t="s">
        <v>438</v>
      </c>
      <c r="G261" s="401">
        <v>1.3140000000000001</v>
      </c>
      <c r="H261" s="577"/>
    </row>
    <row r="262" spans="2:8" x14ac:dyDescent="0.3">
      <c r="B262" s="399" t="s">
        <v>361</v>
      </c>
      <c r="C262" s="400" t="s">
        <v>544</v>
      </c>
      <c r="D262" s="400" t="s">
        <v>396</v>
      </c>
      <c r="E262" s="400" t="s">
        <v>364</v>
      </c>
      <c r="F262" s="400" t="s">
        <v>439</v>
      </c>
      <c r="G262" s="401">
        <v>0.26600000000000001</v>
      </c>
      <c r="H262" s="577"/>
    </row>
    <row r="263" spans="2:8" x14ac:dyDescent="0.3">
      <c r="B263" s="399" t="s">
        <v>361</v>
      </c>
      <c r="C263" s="400" t="s">
        <v>544</v>
      </c>
      <c r="D263" s="400" t="s">
        <v>396</v>
      </c>
      <c r="E263" s="400" t="s">
        <v>364</v>
      </c>
      <c r="F263" s="400" t="s">
        <v>439</v>
      </c>
      <c r="G263" s="401">
        <v>0.247</v>
      </c>
      <c r="H263" s="577"/>
    </row>
    <row r="264" spans="2:8" x14ac:dyDescent="0.3">
      <c r="B264" s="399" t="s">
        <v>361</v>
      </c>
      <c r="C264" s="400" t="s">
        <v>544</v>
      </c>
      <c r="D264" s="400" t="s">
        <v>396</v>
      </c>
      <c r="E264" s="400" t="s">
        <v>364</v>
      </c>
      <c r="F264" s="400" t="s">
        <v>569</v>
      </c>
      <c r="G264" s="401">
        <v>0.27700000000000002</v>
      </c>
      <c r="H264" s="577"/>
    </row>
    <row r="265" spans="2:8" x14ac:dyDescent="0.3">
      <c r="B265" s="399" t="s">
        <v>361</v>
      </c>
      <c r="C265" s="400" t="s">
        <v>544</v>
      </c>
      <c r="D265" s="400" t="s">
        <v>363</v>
      </c>
      <c r="E265" s="400" t="s">
        <v>364</v>
      </c>
      <c r="F265" s="400" t="s">
        <v>411</v>
      </c>
      <c r="G265" s="401">
        <v>15.566000000000001</v>
      </c>
      <c r="H265" s="577"/>
    </row>
    <row r="266" spans="2:8" x14ac:dyDescent="0.3">
      <c r="B266" s="399" t="s">
        <v>361</v>
      </c>
      <c r="C266" s="400" t="s">
        <v>544</v>
      </c>
      <c r="D266" s="400" t="s">
        <v>363</v>
      </c>
      <c r="E266" s="400" t="s">
        <v>364</v>
      </c>
      <c r="F266" s="400" t="s">
        <v>570</v>
      </c>
      <c r="G266" s="401">
        <v>4.7270000000000003</v>
      </c>
      <c r="H266" s="577"/>
    </row>
    <row r="267" spans="2:8" x14ac:dyDescent="0.3">
      <c r="B267" s="399" t="s">
        <v>361</v>
      </c>
      <c r="C267" s="400" t="s">
        <v>544</v>
      </c>
      <c r="D267" s="400" t="s">
        <v>394</v>
      </c>
      <c r="E267" s="400" t="s">
        <v>364</v>
      </c>
      <c r="F267" s="400" t="s">
        <v>441</v>
      </c>
      <c r="G267" s="401">
        <f>0.365+1.655</f>
        <v>2.02</v>
      </c>
      <c r="H267" s="577"/>
    </row>
    <row r="268" spans="2:8" x14ac:dyDescent="0.3">
      <c r="B268" s="399" t="s">
        <v>361</v>
      </c>
      <c r="C268" s="400" t="s">
        <v>544</v>
      </c>
      <c r="D268" s="400" t="s">
        <v>394</v>
      </c>
      <c r="E268" s="400" t="s">
        <v>364</v>
      </c>
      <c r="F268" s="400" t="s">
        <v>442</v>
      </c>
      <c r="G268" s="401">
        <f>1.45+1.65</f>
        <v>3.0999999999999996</v>
      </c>
      <c r="H268" s="577"/>
    </row>
    <row r="269" spans="2:8" x14ac:dyDescent="0.3">
      <c r="B269" s="399" t="s">
        <v>361</v>
      </c>
      <c r="C269" s="400" t="s">
        <v>544</v>
      </c>
      <c r="D269" s="400" t="s">
        <v>363</v>
      </c>
      <c r="E269" s="400" t="s">
        <v>364</v>
      </c>
      <c r="F269" s="400" t="s">
        <v>443</v>
      </c>
      <c r="G269" s="401">
        <f>5.027+3.809</f>
        <v>8.8360000000000003</v>
      </c>
      <c r="H269" s="577"/>
    </row>
    <row r="270" spans="2:8" x14ac:dyDescent="0.3">
      <c r="B270" s="399" t="s">
        <v>361</v>
      </c>
      <c r="C270" s="400" t="s">
        <v>544</v>
      </c>
      <c r="D270" s="400" t="s">
        <v>370</v>
      </c>
      <c r="E270" s="400" t="s">
        <v>364</v>
      </c>
      <c r="F270" s="400" t="s">
        <v>444</v>
      </c>
      <c r="G270" s="401">
        <v>6.0659999999999998</v>
      </c>
      <c r="H270" s="577"/>
    </row>
    <row r="271" spans="2:8" x14ac:dyDescent="0.3">
      <c r="B271" s="399" t="s">
        <v>361</v>
      </c>
      <c r="C271" s="400" t="s">
        <v>544</v>
      </c>
      <c r="D271" s="400" t="s">
        <v>370</v>
      </c>
      <c r="E271" s="400" t="s">
        <v>364</v>
      </c>
      <c r="F271" s="400" t="s">
        <v>445</v>
      </c>
      <c r="G271" s="401">
        <v>6.0659999999999998</v>
      </c>
      <c r="H271" s="577"/>
    </row>
    <row r="272" spans="2:8" x14ac:dyDescent="0.3">
      <c r="B272" s="399" t="s">
        <v>361</v>
      </c>
      <c r="C272" s="400" t="s">
        <v>544</v>
      </c>
      <c r="D272" s="400" t="s">
        <v>370</v>
      </c>
      <c r="E272" s="400" t="s">
        <v>364</v>
      </c>
      <c r="F272" s="400" t="s">
        <v>446</v>
      </c>
      <c r="G272" s="401">
        <v>6.0659999999999998</v>
      </c>
      <c r="H272" s="577"/>
    </row>
    <row r="273" spans="2:8" x14ac:dyDescent="0.3">
      <c r="B273" s="399" t="s">
        <v>361</v>
      </c>
      <c r="C273" s="400" t="s">
        <v>544</v>
      </c>
      <c r="D273" s="400" t="s">
        <v>370</v>
      </c>
      <c r="E273" s="400" t="s">
        <v>364</v>
      </c>
      <c r="F273" s="400" t="s">
        <v>447</v>
      </c>
      <c r="G273" s="401">
        <v>6.0659999999999998</v>
      </c>
      <c r="H273" s="577"/>
    </row>
    <row r="274" spans="2:8" x14ac:dyDescent="0.3">
      <c r="B274" s="399" t="s">
        <v>361</v>
      </c>
      <c r="C274" s="400" t="s">
        <v>544</v>
      </c>
      <c r="D274" s="400" t="s">
        <v>370</v>
      </c>
      <c r="E274" s="400" t="s">
        <v>364</v>
      </c>
      <c r="F274" s="400" t="s">
        <v>448</v>
      </c>
      <c r="G274" s="401">
        <v>6.0659999999999998</v>
      </c>
      <c r="H274" s="577"/>
    </row>
    <row r="275" spans="2:8" x14ac:dyDescent="0.3">
      <c r="B275" s="399" t="s">
        <v>361</v>
      </c>
      <c r="C275" s="400" t="s">
        <v>544</v>
      </c>
      <c r="D275" s="400" t="s">
        <v>370</v>
      </c>
      <c r="E275" s="400" t="s">
        <v>364</v>
      </c>
      <c r="F275" s="400" t="s">
        <v>449</v>
      </c>
      <c r="G275" s="401">
        <v>6.0659999999999998</v>
      </c>
      <c r="H275" s="577"/>
    </row>
    <row r="276" spans="2:8" x14ac:dyDescent="0.3">
      <c r="B276" s="399" t="s">
        <v>361</v>
      </c>
      <c r="C276" s="400" t="s">
        <v>544</v>
      </c>
      <c r="D276" s="400" t="s">
        <v>370</v>
      </c>
      <c r="E276" s="400" t="s">
        <v>364</v>
      </c>
      <c r="F276" s="400" t="s">
        <v>450</v>
      </c>
      <c r="G276" s="401">
        <v>6.0659999999999998</v>
      </c>
      <c r="H276" s="577"/>
    </row>
    <row r="277" spans="2:8" x14ac:dyDescent="0.3">
      <c r="B277" s="399" t="s">
        <v>361</v>
      </c>
      <c r="C277" s="400" t="s">
        <v>544</v>
      </c>
      <c r="D277" s="400" t="s">
        <v>370</v>
      </c>
      <c r="E277" s="400" t="s">
        <v>364</v>
      </c>
      <c r="F277" s="400" t="s">
        <v>451</v>
      </c>
      <c r="G277" s="401">
        <v>7.2619999999999996</v>
      </c>
      <c r="H277" s="577"/>
    </row>
    <row r="278" spans="2:8" x14ac:dyDescent="0.3">
      <c r="B278" s="399" t="s">
        <v>361</v>
      </c>
      <c r="C278" s="400" t="s">
        <v>544</v>
      </c>
      <c r="D278" s="400" t="s">
        <v>389</v>
      </c>
      <c r="E278" s="400" t="s">
        <v>364</v>
      </c>
      <c r="F278" s="400" t="s">
        <v>571</v>
      </c>
      <c r="G278" s="401">
        <f>(9.01+5.58+5.9+5.63+1.15)*4.46*0.15</f>
        <v>18.24363</v>
      </c>
      <c r="H278" s="577"/>
    </row>
    <row r="279" spans="2:8" x14ac:dyDescent="0.3">
      <c r="B279" s="399" t="s">
        <v>361</v>
      </c>
      <c r="C279" s="400" t="s">
        <v>544</v>
      </c>
      <c r="D279" s="400" t="s">
        <v>389</v>
      </c>
      <c r="E279" s="400" t="s">
        <v>364</v>
      </c>
      <c r="F279" s="400" t="s">
        <v>572</v>
      </c>
      <c r="G279" s="401">
        <f>3.3*4.46*0.15</f>
        <v>2.2077</v>
      </c>
      <c r="H279" s="577"/>
    </row>
    <row r="280" spans="2:8" x14ac:dyDescent="0.3">
      <c r="B280" s="399" t="s">
        <v>361</v>
      </c>
      <c r="C280" s="400" t="s">
        <v>544</v>
      </c>
      <c r="D280" s="400" t="s">
        <v>389</v>
      </c>
      <c r="E280" s="400" t="s">
        <v>364</v>
      </c>
      <c r="F280" s="400" t="s">
        <v>573</v>
      </c>
      <c r="G280" s="401">
        <f>(1.15+5.115+5.3)*4.46*0.15</f>
        <v>7.7369849999999998</v>
      </c>
      <c r="H280" s="577"/>
    </row>
    <row r="281" spans="2:8" x14ac:dyDescent="0.3">
      <c r="B281" s="399" t="s">
        <v>361</v>
      </c>
      <c r="C281" s="400" t="s">
        <v>544</v>
      </c>
      <c r="D281" s="400" t="s">
        <v>389</v>
      </c>
      <c r="E281" s="400" t="s">
        <v>364</v>
      </c>
      <c r="F281" s="400" t="s">
        <v>574</v>
      </c>
      <c r="G281" s="401">
        <f>(3.4+11)*4.46*0.15</f>
        <v>9.6335999999999995</v>
      </c>
      <c r="H281" s="577"/>
    </row>
    <row r="282" spans="2:8" x14ac:dyDescent="0.3">
      <c r="B282" s="399" t="s">
        <v>361</v>
      </c>
      <c r="C282" s="400" t="s">
        <v>544</v>
      </c>
      <c r="D282" s="400" t="s">
        <v>390</v>
      </c>
      <c r="E282" s="400" t="s">
        <v>364</v>
      </c>
      <c r="F282" s="400" t="s">
        <v>575</v>
      </c>
      <c r="G282" s="401">
        <f>(15.32+3.2)/2*32*0.06</f>
        <v>17.779199999999999</v>
      </c>
      <c r="H282" s="577"/>
    </row>
    <row r="283" spans="2:8" x14ac:dyDescent="0.3">
      <c r="B283" s="399" t="s">
        <v>361</v>
      </c>
      <c r="C283" s="400" t="s">
        <v>544</v>
      </c>
      <c r="D283" s="400" t="s">
        <v>363</v>
      </c>
      <c r="E283" s="400" t="s">
        <v>364</v>
      </c>
      <c r="F283" s="400" t="s">
        <v>458</v>
      </c>
      <c r="G283" s="401">
        <v>9.4269999999999996</v>
      </c>
      <c r="H283" s="577"/>
    </row>
    <row r="284" spans="2:8" x14ac:dyDescent="0.3">
      <c r="B284" s="399" t="s">
        <v>361</v>
      </c>
      <c r="C284" s="400" t="s">
        <v>544</v>
      </c>
      <c r="D284" s="400" t="s">
        <v>396</v>
      </c>
      <c r="E284" s="400" t="s">
        <v>364</v>
      </c>
      <c r="F284" s="400" t="s">
        <v>576</v>
      </c>
      <c r="G284" s="401">
        <v>1.2290000000000001</v>
      </c>
      <c r="H284" s="577"/>
    </row>
    <row r="285" spans="2:8" x14ac:dyDescent="0.3">
      <c r="B285" s="399" t="s">
        <v>361</v>
      </c>
      <c r="C285" s="400" t="s">
        <v>544</v>
      </c>
      <c r="D285" s="400" t="s">
        <v>396</v>
      </c>
      <c r="E285" s="400" t="s">
        <v>364</v>
      </c>
      <c r="F285" s="400" t="s">
        <v>577</v>
      </c>
      <c r="G285" s="401">
        <v>1.2270000000000001</v>
      </c>
      <c r="H285" s="577"/>
    </row>
    <row r="286" spans="2:8" x14ac:dyDescent="0.3">
      <c r="B286" s="399" t="s">
        <v>361</v>
      </c>
      <c r="C286" s="400" t="s">
        <v>544</v>
      </c>
      <c r="D286" s="400" t="s">
        <v>396</v>
      </c>
      <c r="E286" s="400" t="s">
        <v>364</v>
      </c>
      <c r="F286" s="400" t="s">
        <v>578</v>
      </c>
      <c r="G286" s="401">
        <v>1.2250000000000001</v>
      </c>
      <c r="H286" s="577"/>
    </row>
    <row r="287" spans="2:8" x14ac:dyDescent="0.3">
      <c r="B287" s="399" t="s">
        <v>361</v>
      </c>
      <c r="C287" s="400" t="s">
        <v>544</v>
      </c>
      <c r="D287" s="400" t="s">
        <v>396</v>
      </c>
      <c r="E287" s="400" t="s">
        <v>364</v>
      </c>
      <c r="F287" s="400" t="s">
        <v>462</v>
      </c>
      <c r="G287" s="401">
        <v>1.2230000000000001</v>
      </c>
      <c r="H287" s="577"/>
    </row>
    <row r="288" spans="2:8" x14ac:dyDescent="0.3">
      <c r="B288" s="399" t="s">
        <v>361</v>
      </c>
      <c r="C288" s="400" t="s">
        <v>544</v>
      </c>
      <c r="D288" s="400" t="s">
        <v>396</v>
      </c>
      <c r="E288" s="400" t="s">
        <v>364</v>
      </c>
      <c r="F288" s="400" t="s">
        <v>463</v>
      </c>
      <c r="G288" s="401">
        <v>1.2210000000000001</v>
      </c>
      <c r="H288" s="577"/>
    </row>
    <row r="289" spans="2:8" x14ac:dyDescent="0.3">
      <c r="B289" s="399" t="s">
        <v>361</v>
      </c>
      <c r="C289" s="400" t="s">
        <v>544</v>
      </c>
      <c r="D289" s="400" t="s">
        <v>396</v>
      </c>
      <c r="E289" s="400" t="s">
        <v>364</v>
      </c>
      <c r="F289" s="400" t="s">
        <v>464</v>
      </c>
      <c r="G289" s="401">
        <v>1.2190000000000001</v>
      </c>
      <c r="H289" s="577"/>
    </row>
    <row r="290" spans="2:8" x14ac:dyDescent="0.3">
      <c r="B290" s="399" t="s">
        <v>361</v>
      </c>
      <c r="C290" s="400" t="s">
        <v>544</v>
      </c>
      <c r="D290" s="400" t="s">
        <v>363</v>
      </c>
      <c r="E290" s="400" t="s">
        <v>364</v>
      </c>
      <c r="F290" s="400" t="s">
        <v>466</v>
      </c>
      <c r="G290" s="401">
        <v>5.931</v>
      </c>
      <c r="H290" s="577"/>
    </row>
    <row r="291" spans="2:8" x14ac:dyDescent="0.3">
      <c r="B291" s="399" t="s">
        <v>361</v>
      </c>
      <c r="C291" s="400" t="s">
        <v>544</v>
      </c>
      <c r="D291" s="400" t="s">
        <v>396</v>
      </c>
      <c r="E291" s="400" t="s">
        <v>364</v>
      </c>
      <c r="F291" s="400" t="s">
        <v>467</v>
      </c>
      <c r="G291" s="401">
        <v>1.1910000000000001</v>
      </c>
      <c r="H291" s="577"/>
    </row>
    <row r="292" spans="2:8" x14ac:dyDescent="0.3">
      <c r="B292" s="399" t="s">
        <v>361</v>
      </c>
      <c r="C292" s="400" t="s">
        <v>544</v>
      </c>
      <c r="D292" s="400" t="s">
        <v>396</v>
      </c>
      <c r="E292" s="400" t="s">
        <v>364</v>
      </c>
      <c r="F292" s="400" t="s">
        <v>468</v>
      </c>
      <c r="G292" s="401">
        <v>1.143</v>
      </c>
      <c r="H292" s="577"/>
    </row>
    <row r="293" spans="2:8" x14ac:dyDescent="0.3">
      <c r="B293" s="399" t="s">
        <v>361</v>
      </c>
      <c r="C293" s="400" t="s">
        <v>544</v>
      </c>
      <c r="D293" s="400" t="s">
        <v>396</v>
      </c>
      <c r="E293" s="400" t="s">
        <v>364</v>
      </c>
      <c r="F293" s="400" t="s">
        <v>469</v>
      </c>
      <c r="G293" s="401">
        <v>1.0940000000000001</v>
      </c>
      <c r="H293" s="577"/>
    </row>
    <row r="294" spans="2:8" x14ac:dyDescent="0.3">
      <c r="B294" s="399" t="s">
        <v>361</v>
      </c>
      <c r="C294" s="400" t="s">
        <v>544</v>
      </c>
      <c r="D294" s="400" t="s">
        <v>396</v>
      </c>
      <c r="E294" s="400" t="s">
        <v>364</v>
      </c>
      <c r="F294" s="400" t="s">
        <v>470</v>
      </c>
      <c r="G294" s="401">
        <v>1.046</v>
      </c>
      <c r="H294" s="577"/>
    </row>
    <row r="295" spans="2:8" x14ac:dyDescent="0.3">
      <c r="B295" s="399" t="s">
        <v>361</v>
      </c>
      <c r="C295" s="400" t="s">
        <v>544</v>
      </c>
      <c r="D295" s="400" t="s">
        <v>396</v>
      </c>
      <c r="E295" s="400" t="s">
        <v>364</v>
      </c>
      <c r="F295" s="400" t="s">
        <v>471</v>
      </c>
      <c r="G295" s="401">
        <v>0.997</v>
      </c>
      <c r="H295" s="577"/>
    </row>
    <row r="296" spans="2:8" x14ac:dyDescent="0.3">
      <c r="B296" s="399" t="s">
        <v>361</v>
      </c>
      <c r="C296" s="400" t="s">
        <v>544</v>
      </c>
      <c r="D296" s="400" t="s">
        <v>363</v>
      </c>
      <c r="E296" s="400" t="s">
        <v>364</v>
      </c>
      <c r="F296" s="400" t="s">
        <v>472</v>
      </c>
      <c r="G296" s="401">
        <v>5.6760000000000002</v>
      </c>
      <c r="H296" s="577"/>
    </row>
    <row r="297" spans="2:8" x14ac:dyDescent="0.3">
      <c r="B297" s="399" t="s">
        <v>361</v>
      </c>
      <c r="C297" s="400" t="s">
        <v>544</v>
      </c>
      <c r="D297" s="400" t="s">
        <v>396</v>
      </c>
      <c r="E297" s="400" t="s">
        <v>364</v>
      </c>
      <c r="F297" s="400" t="s">
        <v>473</v>
      </c>
      <c r="G297" s="401">
        <v>0.877</v>
      </c>
      <c r="H297" s="577"/>
    </row>
    <row r="298" spans="2:8" x14ac:dyDescent="0.3">
      <c r="B298" s="399" t="s">
        <v>361</v>
      </c>
      <c r="C298" s="400" t="s">
        <v>544</v>
      </c>
      <c r="D298" s="400" t="s">
        <v>396</v>
      </c>
      <c r="E298" s="400" t="s">
        <v>364</v>
      </c>
      <c r="F298" s="400" t="s">
        <v>474</v>
      </c>
      <c r="G298" s="401">
        <v>0.84299999999999997</v>
      </c>
      <c r="H298" s="577"/>
    </row>
    <row r="299" spans="2:8" x14ac:dyDescent="0.3">
      <c r="B299" s="399" t="s">
        <v>361</v>
      </c>
      <c r="C299" s="400" t="s">
        <v>544</v>
      </c>
      <c r="D299" s="400" t="s">
        <v>396</v>
      </c>
      <c r="E299" s="400" t="s">
        <v>364</v>
      </c>
      <c r="F299" s="400" t="s">
        <v>475</v>
      </c>
      <c r="G299" s="401">
        <v>0.79200000000000004</v>
      </c>
      <c r="H299" s="577"/>
    </row>
    <row r="300" spans="2:8" x14ac:dyDescent="0.3">
      <c r="B300" s="399" t="s">
        <v>361</v>
      </c>
      <c r="C300" s="400" t="s">
        <v>544</v>
      </c>
      <c r="D300" s="400" t="s">
        <v>396</v>
      </c>
      <c r="E300" s="400" t="s">
        <v>364</v>
      </c>
      <c r="F300" s="400" t="s">
        <v>476</v>
      </c>
      <c r="G300" s="401">
        <v>0.74099999999999999</v>
      </c>
      <c r="H300" s="577"/>
    </row>
    <row r="301" spans="2:8" x14ac:dyDescent="0.3">
      <c r="B301" s="399" t="s">
        <v>361</v>
      </c>
      <c r="C301" s="400" t="s">
        <v>544</v>
      </c>
      <c r="D301" s="400" t="s">
        <v>396</v>
      </c>
      <c r="E301" s="400" t="s">
        <v>364</v>
      </c>
      <c r="F301" s="400" t="s">
        <v>477</v>
      </c>
      <c r="G301" s="401">
        <v>0.69099999999999995</v>
      </c>
      <c r="H301" s="577"/>
    </row>
    <row r="302" spans="2:8" x14ac:dyDescent="0.3">
      <c r="B302" s="399" t="s">
        <v>361</v>
      </c>
      <c r="C302" s="400" t="s">
        <v>544</v>
      </c>
      <c r="D302" s="400" t="s">
        <v>363</v>
      </c>
      <c r="E302" s="400" t="s">
        <v>364</v>
      </c>
      <c r="F302" s="400" t="s">
        <v>478</v>
      </c>
      <c r="G302" s="401">
        <v>2.9060000000000001</v>
      </c>
      <c r="H302" s="577"/>
    </row>
    <row r="303" spans="2:8" x14ac:dyDescent="0.3">
      <c r="B303" s="399" t="s">
        <v>361</v>
      </c>
      <c r="C303" s="400" t="s">
        <v>544</v>
      </c>
      <c r="D303" s="400" t="s">
        <v>396</v>
      </c>
      <c r="E303" s="400" t="s">
        <v>364</v>
      </c>
      <c r="F303" s="400" t="s">
        <v>479</v>
      </c>
      <c r="G303" s="401">
        <v>0.58199999999999996</v>
      </c>
      <c r="H303" s="577"/>
    </row>
    <row r="304" spans="2:8" x14ac:dyDescent="0.3">
      <c r="B304" s="399" t="s">
        <v>361</v>
      </c>
      <c r="C304" s="400" t="s">
        <v>544</v>
      </c>
      <c r="D304" s="400" t="s">
        <v>396</v>
      </c>
      <c r="E304" s="400" t="s">
        <v>364</v>
      </c>
      <c r="F304" s="400" t="s">
        <v>480</v>
      </c>
      <c r="G304" s="401">
        <v>0.53200000000000003</v>
      </c>
      <c r="H304" s="577"/>
    </row>
    <row r="305" spans="2:8" x14ac:dyDescent="0.3">
      <c r="B305" s="399" t="s">
        <v>361</v>
      </c>
      <c r="C305" s="400" t="s">
        <v>544</v>
      </c>
      <c r="D305" s="400" t="s">
        <v>396</v>
      </c>
      <c r="E305" s="400" t="s">
        <v>364</v>
      </c>
      <c r="F305" s="400" t="s">
        <v>481</v>
      </c>
      <c r="G305" s="401">
        <v>0.48099999999999998</v>
      </c>
      <c r="H305" s="577"/>
    </row>
    <row r="306" spans="2:8" x14ac:dyDescent="0.3">
      <c r="B306" s="399" t="s">
        <v>361</v>
      </c>
      <c r="C306" s="400" t="s">
        <v>544</v>
      </c>
      <c r="D306" s="400" t="s">
        <v>396</v>
      </c>
      <c r="E306" s="400" t="s">
        <v>364</v>
      </c>
      <c r="F306" s="400" t="s">
        <v>482</v>
      </c>
      <c r="G306" s="401">
        <v>0.433</v>
      </c>
      <c r="H306" s="577"/>
    </row>
    <row r="307" spans="2:8" x14ac:dyDescent="0.3">
      <c r="B307" s="399" t="s">
        <v>361</v>
      </c>
      <c r="C307" s="400" t="s">
        <v>544</v>
      </c>
      <c r="D307" s="400" t="s">
        <v>396</v>
      </c>
      <c r="E307" s="400" t="s">
        <v>364</v>
      </c>
      <c r="F307" s="400" t="s">
        <v>483</v>
      </c>
      <c r="G307" s="401">
        <v>0.39600000000000002</v>
      </c>
      <c r="H307" s="577"/>
    </row>
    <row r="308" spans="2:8" x14ac:dyDescent="0.3">
      <c r="B308" s="399" t="s">
        <v>361</v>
      </c>
      <c r="C308" s="400" t="s">
        <v>544</v>
      </c>
      <c r="D308" s="400" t="s">
        <v>363</v>
      </c>
      <c r="E308" s="400" t="s">
        <v>364</v>
      </c>
      <c r="F308" s="400" t="s">
        <v>484</v>
      </c>
      <c r="G308" s="401">
        <v>1.3140000000000001</v>
      </c>
      <c r="H308" s="577"/>
    </row>
    <row r="309" spans="2:8" x14ac:dyDescent="0.3">
      <c r="B309" s="399" t="s">
        <v>361</v>
      </c>
      <c r="C309" s="400" t="s">
        <v>544</v>
      </c>
      <c r="D309" s="400" t="s">
        <v>396</v>
      </c>
      <c r="E309" s="400" t="s">
        <v>364</v>
      </c>
      <c r="F309" s="400" t="s">
        <v>485</v>
      </c>
      <c r="G309" s="401">
        <v>0.26600000000000001</v>
      </c>
      <c r="H309" s="577"/>
    </row>
    <row r="310" spans="2:8" x14ac:dyDescent="0.3">
      <c r="B310" s="399" t="s">
        <v>361</v>
      </c>
      <c r="C310" s="400" t="s">
        <v>544</v>
      </c>
      <c r="D310" s="400" t="s">
        <v>396</v>
      </c>
      <c r="E310" s="400" t="s">
        <v>364</v>
      </c>
      <c r="F310" s="400" t="s">
        <v>485</v>
      </c>
      <c r="G310" s="401">
        <v>0.247</v>
      </c>
      <c r="H310" s="577"/>
    </row>
    <row r="311" spans="2:8" x14ac:dyDescent="0.3">
      <c r="B311" s="399" t="s">
        <v>361</v>
      </c>
      <c r="C311" s="400" t="s">
        <v>544</v>
      </c>
      <c r="D311" s="400" t="s">
        <v>396</v>
      </c>
      <c r="E311" s="400" t="s">
        <v>364</v>
      </c>
      <c r="F311" s="400" t="s">
        <v>486</v>
      </c>
      <c r="G311" s="401">
        <v>0.27700000000000002</v>
      </c>
      <c r="H311" s="577"/>
    </row>
    <row r="312" spans="2:8" x14ac:dyDescent="0.3">
      <c r="B312" s="399" t="s">
        <v>361</v>
      </c>
      <c r="C312" s="400" t="s">
        <v>544</v>
      </c>
      <c r="D312" s="400" t="s">
        <v>363</v>
      </c>
      <c r="E312" s="400" t="s">
        <v>364</v>
      </c>
      <c r="F312" s="400" t="s">
        <v>457</v>
      </c>
      <c r="G312" s="401">
        <v>15.566000000000001</v>
      </c>
      <c r="H312" s="577"/>
    </row>
    <row r="313" spans="2:8" x14ac:dyDescent="0.3">
      <c r="B313" s="399" t="s">
        <v>361</v>
      </c>
      <c r="C313" s="400" t="s">
        <v>544</v>
      </c>
      <c r="D313" s="400" t="s">
        <v>363</v>
      </c>
      <c r="E313" s="400" t="s">
        <v>364</v>
      </c>
      <c r="F313" s="400" t="s">
        <v>459</v>
      </c>
      <c r="G313" s="401">
        <v>4.7270000000000003</v>
      </c>
      <c r="H313" s="577"/>
    </row>
    <row r="314" spans="2:8" x14ac:dyDescent="0.3">
      <c r="B314" s="399" t="s">
        <v>361</v>
      </c>
      <c r="C314" s="400" t="s">
        <v>544</v>
      </c>
      <c r="D314" s="400" t="s">
        <v>394</v>
      </c>
      <c r="E314" s="400" t="s">
        <v>364</v>
      </c>
      <c r="F314" s="400" t="s">
        <v>487</v>
      </c>
      <c r="G314" s="401">
        <f>0.365+1.655</f>
        <v>2.02</v>
      </c>
      <c r="H314" s="577"/>
    </row>
    <row r="315" spans="2:8" x14ac:dyDescent="0.3">
      <c r="B315" s="399" t="s">
        <v>361</v>
      </c>
      <c r="C315" s="400" t="s">
        <v>544</v>
      </c>
      <c r="D315" s="400" t="s">
        <v>394</v>
      </c>
      <c r="E315" s="400" t="s">
        <v>364</v>
      </c>
      <c r="F315" s="400" t="s">
        <v>488</v>
      </c>
      <c r="G315" s="401">
        <f>1.45+1.65</f>
        <v>3.0999999999999996</v>
      </c>
      <c r="H315" s="577"/>
    </row>
    <row r="316" spans="2:8" x14ac:dyDescent="0.3">
      <c r="B316" s="399" t="s">
        <v>361</v>
      </c>
      <c r="C316" s="400" t="s">
        <v>544</v>
      </c>
      <c r="D316" s="400" t="s">
        <v>363</v>
      </c>
      <c r="E316" s="400" t="s">
        <v>364</v>
      </c>
      <c r="F316" s="400" t="s">
        <v>489</v>
      </c>
      <c r="G316" s="401">
        <f>5.027+3.809</f>
        <v>8.8360000000000003</v>
      </c>
      <c r="H316" s="577"/>
    </row>
    <row r="317" spans="2:8" x14ac:dyDescent="0.3">
      <c r="B317" s="399" t="s">
        <v>361</v>
      </c>
      <c r="C317" s="400" t="s">
        <v>544</v>
      </c>
      <c r="D317" s="400" t="s">
        <v>370</v>
      </c>
      <c r="E317" s="400" t="s">
        <v>364</v>
      </c>
      <c r="F317" s="400" t="s">
        <v>490</v>
      </c>
      <c r="G317" s="401">
        <v>6.27</v>
      </c>
      <c r="H317" s="577"/>
    </row>
    <row r="318" spans="2:8" x14ac:dyDescent="0.3">
      <c r="B318" s="399" t="s">
        <v>361</v>
      </c>
      <c r="C318" s="400" t="s">
        <v>544</v>
      </c>
      <c r="D318" s="400" t="s">
        <v>370</v>
      </c>
      <c r="E318" s="400" t="s">
        <v>364</v>
      </c>
      <c r="F318" s="400" t="s">
        <v>491</v>
      </c>
      <c r="G318" s="401">
        <v>6.27</v>
      </c>
      <c r="H318" s="577"/>
    </row>
    <row r="319" spans="2:8" x14ac:dyDescent="0.3">
      <c r="B319" s="399" t="s">
        <v>361</v>
      </c>
      <c r="C319" s="400" t="s">
        <v>544</v>
      </c>
      <c r="D319" s="400" t="s">
        <v>370</v>
      </c>
      <c r="E319" s="400" t="s">
        <v>364</v>
      </c>
      <c r="F319" s="400" t="s">
        <v>492</v>
      </c>
      <c r="G319" s="401">
        <v>6.27</v>
      </c>
      <c r="H319" s="577"/>
    </row>
    <row r="320" spans="2:8" x14ac:dyDescent="0.3">
      <c r="B320" s="399" t="s">
        <v>361</v>
      </c>
      <c r="C320" s="400" t="s">
        <v>544</v>
      </c>
      <c r="D320" s="400" t="s">
        <v>370</v>
      </c>
      <c r="E320" s="400" t="s">
        <v>364</v>
      </c>
      <c r="F320" s="400" t="s">
        <v>493</v>
      </c>
      <c r="G320" s="401">
        <v>6.27</v>
      </c>
      <c r="H320" s="577"/>
    </row>
    <row r="321" spans="2:8" x14ac:dyDescent="0.3">
      <c r="B321" s="399" t="s">
        <v>361</v>
      </c>
      <c r="C321" s="400" t="s">
        <v>544</v>
      </c>
      <c r="D321" s="400" t="s">
        <v>370</v>
      </c>
      <c r="E321" s="400" t="s">
        <v>364</v>
      </c>
      <c r="F321" s="400" t="s">
        <v>494</v>
      </c>
      <c r="G321" s="401">
        <v>6.27</v>
      </c>
      <c r="H321" s="577"/>
    </row>
    <row r="322" spans="2:8" x14ac:dyDescent="0.3">
      <c r="B322" s="399" t="s">
        <v>361</v>
      </c>
      <c r="C322" s="400" t="s">
        <v>544</v>
      </c>
      <c r="D322" s="400" t="s">
        <v>370</v>
      </c>
      <c r="E322" s="400" t="s">
        <v>364</v>
      </c>
      <c r="F322" s="400" t="s">
        <v>495</v>
      </c>
      <c r="G322" s="401">
        <v>6.27</v>
      </c>
      <c r="H322" s="577"/>
    </row>
    <row r="323" spans="2:8" x14ac:dyDescent="0.3">
      <c r="B323" s="399" t="s">
        <v>361</v>
      </c>
      <c r="C323" s="400" t="s">
        <v>544</v>
      </c>
      <c r="D323" s="400" t="s">
        <v>370</v>
      </c>
      <c r="E323" s="400" t="s">
        <v>364</v>
      </c>
      <c r="F323" s="400" t="s">
        <v>496</v>
      </c>
      <c r="G323" s="401">
        <v>6.27</v>
      </c>
      <c r="H323" s="577"/>
    </row>
    <row r="324" spans="2:8" x14ac:dyDescent="0.3">
      <c r="B324" s="399" t="s">
        <v>361</v>
      </c>
      <c r="C324" s="400" t="s">
        <v>544</v>
      </c>
      <c r="D324" s="400" t="s">
        <v>370</v>
      </c>
      <c r="E324" s="400" t="s">
        <v>364</v>
      </c>
      <c r="F324" s="400" t="s">
        <v>497</v>
      </c>
      <c r="G324" s="401">
        <v>7.524</v>
      </c>
      <c r="H324" s="577"/>
    </row>
    <row r="325" spans="2:8" x14ac:dyDescent="0.3">
      <c r="B325" s="399" t="s">
        <v>361</v>
      </c>
      <c r="C325" s="400" t="s">
        <v>544</v>
      </c>
      <c r="D325" s="400" t="s">
        <v>389</v>
      </c>
      <c r="E325" s="400" t="s">
        <v>364</v>
      </c>
      <c r="F325" s="400" t="s">
        <v>579</v>
      </c>
      <c r="G325" s="401">
        <f>(9.01+5.58+5.9+5.63+1.15)*4.46*0.15</f>
        <v>18.24363</v>
      </c>
      <c r="H325" s="577"/>
    </row>
    <row r="326" spans="2:8" x14ac:dyDescent="0.3">
      <c r="B326" s="399" t="s">
        <v>361</v>
      </c>
      <c r="C326" s="400" t="s">
        <v>544</v>
      </c>
      <c r="D326" s="400" t="s">
        <v>389</v>
      </c>
      <c r="E326" s="400" t="s">
        <v>364</v>
      </c>
      <c r="F326" s="400" t="s">
        <v>580</v>
      </c>
      <c r="G326" s="401">
        <f>3.3*4.46*0.15</f>
        <v>2.2077</v>
      </c>
      <c r="H326" s="577"/>
    </row>
    <row r="327" spans="2:8" x14ac:dyDescent="0.3">
      <c r="B327" s="399" t="s">
        <v>361</v>
      </c>
      <c r="C327" s="400" t="s">
        <v>544</v>
      </c>
      <c r="D327" s="400" t="s">
        <v>389</v>
      </c>
      <c r="E327" s="400" t="s">
        <v>364</v>
      </c>
      <c r="F327" s="400" t="s">
        <v>581</v>
      </c>
      <c r="G327" s="401">
        <f>(1.15+5.115+5.3)*4.46*0.15</f>
        <v>7.7369849999999998</v>
      </c>
      <c r="H327" s="577"/>
    </row>
    <row r="328" spans="2:8" x14ac:dyDescent="0.3">
      <c r="B328" s="399" t="s">
        <v>361</v>
      </c>
      <c r="C328" s="400" t="s">
        <v>544</v>
      </c>
      <c r="D328" s="400" t="s">
        <v>389</v>
      </c>
      <c r="E328" s="400" t="s">
        <v>364</v>
      </c>
      <c r="F328" s="400" t="s">
        <v>582</v>
      </c>
      <c r="G328" s="401">
        <f>(3.4+11)*4.46*0.15</f>
        <v>9.6335999999999995</v>
      </c>
      <c r="H328" s="577"/>
    </row>
    <row r="329" spans="2:8" x14ac:dyDescent="0.3">
      <c r="B329" s="399" t="s">
        <v>361</v>
      </c>
      <c r="C329" s="400" t="s">
        <v>544</v>
      </c>
      <c r="D329" s="400" t="s">
        <v>390</v>
      </c>
      <c r="E329" s="400" t="s">
        <v>364</v>
      </c>
      <c r="F329" s="400" t="s">
        <v>583</v>
      </c>
      <c r="G329" s="401">
        <f>(15.32+3.2)/2*32*0.06</f>
        <v>17.779199999999999</v>
      </c>
      <c r="H329" s="577"/>
    </row>
    <row r="330" spans="2:8" x14ac:dyDescent="0.3">
      <c r="B330" s="399" t="s">
        <v>361</v>
      </c>
      <c r="C330" s="400" t="s">
        <v>544</v>
      </c>
      <c r="D330" s="400" t="s">
        <v>363</v>
      </c>
      <c r="E330" s="400" t="s">
        <v>364</v>
      </c>
      <c r="F330" s="400" t="s">
        <v>504</v>
      </c>
      <c r="G330" s="401">
        <v>9.4269999999999996</v>
      </c>
      <c r="H330" s="577"/>
    </row>
    <row r="331" spans="2:8" x14ac:dyDescent="0.3">
      <c r="B331" s="399" t="s">
        <v>361</v>
      </c>
      <c r="C331" s="400" t="s">
        <v>544</v>
      </c>
      <c r="D331" s="400" t="s">
        <v>396</v>
      </c>
      <c r="E331" s="400" t="s">
        <v>364</v>
      </c>
      <c r="F331" s="400" t="s">
        <v>584</v>
      </c>
      <c r="G331" s="401">
        <v>1.2290000000000001</v>
      </c>
      <c r="H331" s="577"/>
    </row>
    <row r="332" spans="2:8" x14ac:dyDescent="0.3">
      <c r="B332" s="399" t="s">
        <v>361</v>
      </c>
      <c r="C332" s="400" t="s">
        <v>544</v>
      </c>
      <c r="D332" s="400" t="s">
        <v>396</v>
      </c>
      <c r="E332" s="400" t="s">
        <v>364</v>
      </c>
      <c r="F332" s="400" t="s">
        <v>585</v>
      </c>
      <c r="G332" s="401">
        <v>1.2270000000000001</v>
      </c>
      <c r="H332" s="577"/>
    </row>
    <row r="333" spans="2:8" x14ac:dyDescent="0.3">
      <c r="B333" s="399" t="s">
        <v>361</v>
      </c>
      <c r="C333" s="400" t="s">
        <v>544</v>
      </c>
      <c r="D333" s="400" t="s">
        <v>396</v>
      </c>
      <c r="E333" s="400" t="s">
        <v>364</v>
      </c>
      <c r="F333" s="400" t="s">
        <v>586</v>
      </c>
      <c r="G333" s="401">
        <v>1.2250000000000001</v>
      </c>
      <c r="H333" s="577"/>
    </row>
    <row r="334" spans="2:8" x14ac:dyDescent="0.3">
      <c r="B334" s="399" t="s">
        <v>361</v>
      </c>
      <c r="C334" s="400" t="s">
        <v>544</v>
      </c>
      <c r="D334" s="400" t="s">
        <v>396</v>
      </c>
      <c r="E334" s="400" t="s">
        <v>364</v>
      </c>
      <c r="F334" s="400" t="s">
        <v>587</v>
      </c>
      <c r="G334" s="401">
        <v>1.2230000000000001</v>
      </c>
      <c r="H334" s="577"/>
    </row>
    <row r="335" spans="2:8" x14ac:dyDescent="0.3">
      <c r="B335" s="399" t="s">
        <v>361</v>
      </c>
      <c r="C335" s="400" t="s">
        <v>544</v>
      </c>
      <c r="D335" s="400" t="s">
        <v>396</v>
      </c>
      <c r="E335" s="400" t="s">
        <v>364</v>
      </c>
      <c r="F335" s="400" t="s">
        <v>588</v>
      </c>
      <c r="G335" s="401">
        <v>1.2210000000000001</v>
      </c>
      <c r="H335" s="577"/>
    </row>
    <row r="336" spans="2:8" x14ac:dyDescent="0.3">
      <c r="B336" s="399" t="s">
        <v>361</v>
      </c>
      <c r="C336" s="400" t="s">
        <v>544</v>
      </c>
      <c r="D336" s="400" t="s">
        <v>396</v>
      </c>
      <c r="E336" s="400" t="s">
        <v>364</v>
      </c>
      <c r="F336" s="400" t="s">
        <v>589</v>
      </c>
      <c r="G336" s="401">
        <v>1.2190000000000001</v>
      </c>
      <c r="H336" s="577"/>
    </row>
    <row r="337" spans="2:8" x14ac:dyDescent="0.3">
      <c r="B337" s="399" t="s">
        <v>361</v>
      </c>
      <c r="C337" s="400" t="s">
        <v>544</v>
      </c>
      <c r="D337" s="400" t="s">
        <v>363</v>
      </c>
      <c r="E337" s="400" t="s">
        <v>364</v>
      </c>
      <c r="F337" s="400" t="s">
        <v>511</v>
      </c>
      <c r="G337" s="401">
        <v>5.931</v>
      </c>
      <c r="H337" s="577"/>
    </row>
    <row r="338" spans="2:8" x14ac:dyDescent="0.3">
      <c r="B338" s="399" t="s">
        <v>361</v>
      </c>
      <c r="C338" s="400" t="s">
        <v>544</v>
      </c>
      <c r="D338" s="400" t="s">
        <v>396</v>
      </c>
      <c r="E338" s="400" t="s">
        <v>364</v>
      </c>
      <c r="F338" s="400" t="s">
        <v>590</v>
      </c>
      <c r="G338" s="401">
        <v>1.1910000000000001</v>
      </c>
      <c r="H338" s="577"/>
    </row>
    <row r="339" spans="2:8" x14ac:dyDescent="0.3">
      <c r="B339" s="399" t="s">
        <v>361</v>
      </c>
      <c r="C339" s="400" t="s">
        <v>544</v>
      </c>
      <c r="D339" s="400" t="s">
        <v>396</v>
      </c>
      <c r="E339" s="400" t="s">
        <v>364</v>
      </c>
      <c r="F339" s="400" t="s">
        <v>591</v>
      </c>
      <c r="G339" s="401">
        <v>1.143</v>
      </c>
      <c r="H339" s="577"/>
    </row>
    <row r="340" spans="2:8" x14ac:dyDescent="0.3">
      <c r="B340" s="399" t="s">
        <v>361</v>
      </c>
      <c r="C340" s="400" t="s">
        <v>544</v>
      </c>
      <c r="D340" s="400" t="s">
        <v>396</v>
      </c>
      <c r="E340" s="400" t="s">
        <v>364</v>
      </c>
      <c r="F340" s="400" t="s">
        <v>592</v>
      </c>
      <c r="G340" s="401">
        <v>1.0940000000000001</v>
      </c>
      <c r="H340" s="577"/>
    </row>
    <row r="341" spans="2:8" x14ac:dyDescent="0.3">
      <c r="B341" s="399" t="s">
        <v>361</v>
      </c>
      <c r="C341" s="400" t="s">
        <v>544</v>
      </c>
      <c r="D341" s="400" t="s">
        <v>396</v>
      </c>
      <c r="E341" s="400" t="s">
        <v>364</v>
      </c>
      <c r="F341" s="400" t="s">
        <v>593</v>
      </c>
      <c r="G341" s="401">
        <v>1.046</v>
      </c>
      <c r="H341" s="577"/>
    </row>
    <row r="342" spans="2:8" x14ac:dyDescent="0.3">
      <c r="B342" s="399" t="s">
        <v>361</v>
      </c>
      <c r="C342" s="400" t="s">
        <v>544</v>
      </c>
      <c r="D342" s="400" t="s">
        <v>396</v>
      </c>
      <c r="E342" s="400" t="s">
        <v>364</v>
      </c>
      <c r="F342" s="400" t="s">
        <v>594</v>
      </c>
      <c r="G342" s="401">
        <v>0.997</v>
      </c>
      <c r="H342" s="577"/>
    </row>
    <row r="343" spans="2:8" x14ac:dyDescent="0.3">
      <c r="B343" s="399" t="s">
        <v>361</v>
      </c>
      <c r="C343" s="400" t="s">
        <v>544</v>
      </c>
      <c r="D343" s="400" t="s">
        <v>363</v>
      </c>
      <c r="E343" s="400" t="s">
        <v>364</v>
      </c>
      <c r="F343" s="400" t="s">
        <v>516</v>
      </c>
      <c r="G343" s="401">
        <v>5.6760000000000002</v>
      </c>
      <c r="H343" s="577"/>
    </row>
    <row r="344" spans="2:8" x14ac:dyDescent="0.3">
      <c r="B344" s="399" t="s">
        <v>361</v>
      </c>
      <c r="C344" s="400" t="s">
        <v>544</v>
      </c>
      <c r="D344" s="400" t="s">
        <v>396</v>
      </c>
      <c r="E344" s="400" t="s">
        <v>364</v>
      </c>
      <c r="F344" s="400" t="s">
        <v>595</v>
      </c>
      <c r="G344" s="401">
        <v>0.877</v>
      </c>
      <c r="H344" s="577"/>
    </row>
    <row r="345" spans="2:8" x14ac:dyDescent="0.3">
      <c r="B345" s="399" t="s">
        <v>361</v>
      </c>
      <c r="C345" s="400" t="s">
        <v>544</v>
      </c>
      <c r="D345" s="400" t="s">
        <v>396</v>
      </c>
      <c r="E345" s="400" t="s">
        <v>364</v>
      </c>
      <c r="F345" s="400" t="s">
        <v>596</v>
      </c>
      <c r="G345" s="401">
        <v>0.84299999999999997</v>
      </c>
      <c r="H345" s="577"/>
    </row>
    <row r="346" spans="2:8" x14ac:dyDescent="0.3">
      <c r="B346" s="399" t="s">
        <v>361</v>
      </c>
      <c r="C346" s="400" t="s">
        <v>544</v>
      </c>
      <c r="D346" s="400" t="s">
        <v>396</v>
      </c>
      <c r="E346" s="400" t="s">
        <v>364</v>
      </c>
      <c r="F346" s="400" t="s">
        <v>597</v>
      </c>
      <c r="G346" s="401">
        <v>0.79200000000000004</v>
      </c>
      <c r="H346" s="577"/>
    </row>
    <row r="347" spans="2:8" x14ac:dyDescent="0.3">
      <c r="B347" s="399" t="s">
        <v>361</v>
      </c>
      <c r="C347" s="400" t="s">
        <v>544</v>
      </c>
      <c r="D347" s="400" t="s">
        <v>396</v>
      </c>
      <c r="E347" s="400" t="s">
        <v>364</v>
      </c>
      <c r="F347" s="400" t="s">
        <v>598</v>
      </c>
      <c r="G347" s="401">
        <v>0.74099999999999999</v>
      </c>
      <c r="H347" s="577"/>
    </row>
    <row r="348" spans="2:8" x14ac:dyDescent="0.3">
      <c r="B348" s="399" t="s">
        <v>361</v>
      </c>
      <c r="C348" s="400" t="s">
        <v>544</v>
      </c>
      <c r="D348" s="400" t="s">
        <v>396</v>
      </c>
      <c r="E348" s="400" t="s">
        <v>364</v>
      </c>
      <c r="F348" s="400" t="s">
        <v>599</v>
      </c>
      <c r="G348" s="401">
        <v>0.69099999999999995</v>
      </c>
      <c r="H348" s="577"/>
    </row>
    <row r="349" spans="2:8" x14ac:dyDescent="0.3">
      <c r="B349" s="399" t="s">
        <v>361</v>
      </c>
      <c r="C349" s="400" t="s">
        <v>544</v>
      </c>
      <c r="D349" s="400" t="s">
        <v>363</v>
      </c>
      <c r="E349" s="400" t="s">
        <v>364</v>
      </c>
      <c r="F349" s="400" t="s">
        <v>522</v>
      </c>
      <c r="G349" s="401">
        <v>2.9060000000000001</v>
      </c>
      <c r="H349" s="577"/>
    </row>
    <row r="350" spans="2:8" x14ac:dyDescent="0.3">
      <c r="B350" s="399" t="s">
        <v>361</v>
      </c>
      <c r="C350" s="400" t="s">
        <v>544</v>
      </c>
      <c r="D350" s="400" t="s">
        <v>396</v>
      </c>
      <c r="E350" s="400" t="s">
        <v>364</v>
      </c>
      <c r="F350" s="400" t="s">
        <v>600</v>
      </c>
      <c r="G350" s="401">
        <v>0.58199999999999996</v>
      </c>
      <c r="H350" s="577"/>
    </row>
    <row r="351" spans="2:8" x14ac:dyDescent="0.3">
      <c r="B351" s="399" t="s">
        <v>361</v>
      </c>
      <c r="C351" s="400" t="s">
        <v>544</v>
      </c>
      <c r="D351" s="400" t="s">
        <v>396</v>
      </c>
      <c r="E351" s="400" t="s">
        <v>364</v>
      </c>
      <c r="F351" s="400" t="s">
        <v>601</v>
      </c>
      <c r="G351" s="401">
        <v>0.53200000000000003</v>
      </c>
      <c r="H351" s="577"/>
    </row>
    <row r="352" spans="2:8" x14ac:dyDescent="0.3">
      <c r="B352" s="399" t="s">
        <v>361</v>
      </c>
      <c r="C352" s="400" t="s">
        <v>544</v>
      </c>
      <c r="D352" s="400" t="s">
        <v>396</v>
      </c>
      <c r="E352" s="400" t="s">
        <v>364</v>
      </c>
      <c r="F352" s="400" t="s">
        <v>602</v>
      </c>
      <c r="G352" s="401">
        <v>0.48099999999999998</v>
      </c>
      <c r="H352" s="577"/>
    </row>
    <row r="353" spans="2:15" x14ac:dyDescent="0.3">
      <c r="B353" s="399" t="s">
        <v>361</v>
      </c>
      <c r="C353" s="400" t="s">
        <v>544</v>
      </c>
      <c r="D353" s="400" t="s">
        <v>396</v>
      </c>
      <c r="E353" s="400" t="s">
        <v>364</v>
      </c>
      <c r="F353" s="400" t="s">
        <v>603</v>
      </c>
      <c r="G353" s="401">
        <v>0.433</v>
      </c>
      <c r="H353" s="577"/>
    </row>
    <row r="354" spans="2:15" x14ac:dyDescent="0.3">
      <c r="B354" s="399" t="s">
        <v>361</v>
      </c>
      <c r="C354" s="400" t="s">
        <v>544</v>
      </c>
      <c r="D354" s="400" t="s">
        <v>396</v>
      </c>
      <c r="E354" s="400" t="s">
        <v>364</v>
      </c>
      <c r="F354" s="400" t="s">
        <v>604</v>
      </c>
      <c r="G354" s="401">
        <v>0.39600000000000002</v>
      </c>
      <c r="H354" s="577"/>
    </row>
    <row r="355" spans="2:15" x14ac:dyDescent="0.3">
      <c r="B355" s="399" t="s">
        <v>361</v>
      </c>
      <c r="C355" s="400" t="s">
        <v>544</v>
      </c>
      <c r="D355" s="400" t="s">
        <v>363</v>
      </c>
      <c r="E355" s="400" t="s">
        <v>364</v>
      </c>
      <c r="F355" s="400" t="s">
        <v>508</v>
      </c>
      <c r="G355" s="401">
        <v>1.3140000000000001</v>
      </c>
      <c r="H355" s="577"/>
    </row>
    <row r="356" spans="2:15" x14ac:dyDescent="0.3">
      <c r="B356" s="399" t="s">
        <v>361</v>
      </c>
      <c r="C356" s="400" t="s">
        <v>544</v>
      </c>
      <c r="D356" s="400" t="s">
        <v>396</v>
      </c>
      <c r="E356" s="400" t="s">
        <v>364</v>
      </c>
      <c r="F356" s="400" t="s">
        <v>605</v>
      </c>
      <c r="G356" s="401">
        <v>0.26600000000000001</v>
      </c>
      <c r="H356" s="577"/>
    </row>
    <row r="357" spans="2:15" x14ac:dyDescent="0.3">
      <c r="B357" s="399" t="s">
        <v>361</v>
      </c>
      <c r="C357" s="400" t="s">
        <v>544</v>
      </c>
      <c r="D357" s="400" t="s">
        <v>396</v>
      </c>
      <c r="E357" s="400" t="s">
        <v>364</v>
      </c>
      <c r="F357" s="400" t="s">
        <v>605</v>
      </c>
      <c r="G357" s="401">
        <v>0.247</v>
      </c>
      <c r="H357" s="577"/>
    </row>
    <row r="358" spans="2:15" x14ac:dyDescent="0.3">
      <c r="B358" s="399" t="s">
        <v>361</v>
      </c>
      <c r="C358" s="400" t="s">
        <v>544</v>
      </c>
      <c r="D358" s="400" t="s">
        <v>396</v>
      </c>
      <c r="E358" s="400" t="s">
        <v>364</v>
      </c>
      <c r="F358" s="400" t="s">
        <v>606</v>
      </c>
      <c r="G358" s="401">
        <v>0.27700000000000002</v>
      </c>
      <c r="H358" s="577"/>
    </row>
    <row r="359" spans="2:15" x14ac:dyDescent="0.3">
      <c r="B359" s="399" t="s">
        <v>361</v>
      </c>
      <c r="C359" s="400" t="s">
        <v>544</v>
      </c>
      <c r="D359" s="400" t="s">
        <v>363</v>
      </c>
      <c r="E359" s="400" t="s">
        <v>364</v>
      </c>
      <c r="F359" s="400" t="s">
        <v>503</v>
      </c>
      <c r="G359" s="401">
        <v>15.566000000000001</v>
      </c>
      <c r="H359" s="577"/>
    </row>
    <row r="360" spans="2:15" x14ac:dyDescent="0.3">
      <c r="B360" s="399" t="s">
        <v>361</v>
      </c>
      <c r="C360" s="400" t="s">
        <v>544</v>
      </c>
      <c r="D360" s="400" t="s">
        <v>363</v>
      </c>
      <c r="E360" s="400" t="s">
        <v>364</v>
      </c>
      <c r="F360" s="400" t="s">
        <v>505</v>
      </c>
      <c r="G360" s="401">
        <v>4.7270000000000003</v>
      </c>
      <c r="H360" s="577"/>
    </row>
    <row r="361" spans="2:15" x14ac:dyDescent="0.3">
      <c r="B361" s="399" t="s">
        <v>361</v>
      </c>
      <c r="C361" s="400" t="s">
        <v>544</v>
      </c>
      <c r="D361" s="400" t="s">
        <v>394</v>
      </c>
      <c r="E361" s="400" t="s">
        <v>364</v>
      </c>
      <c r="F361" s="400" t="s">
        <v>530</v>
      </c>
      <c r="G361" s="401">
        <f>0.365+1.655</f>
        <v>2.02</v>
      </c>
      <c r="H361" s="577"/>
    </row>
    <row r="362" spans="2:15" x14ac:dyDescent="0.3">
      <c r="B362" s="399" t="s">
        <v>361</v>
      </c>
      <c r="C362" s="400" t="s">
        <v>544</v>
      </c>
      <c r="D362" s="400" t="s">
        <v>394</v>
      </c>
      <c r="E362" s="400" t="s">
        <v>364</v>
      </c>
      <c r="F362" s="400" t="s">
        <v>531</v>
      </c>
      <c r="G362" s="401">
        <f>1.45+1.65</f>
        <v>3.0999999999999996</v>
      </c>
      <c r="H362" s="577"/>
    </row>
    <row r="363" spans="2:15" x14ac:dyDescent="0.3">
      <c r="B363" s="399" t="s">
        <v>361</v>
      </c>
      <c r="C363" s="400" t="s">
        <v>544</v>
      </c>
      <c r="D363" s="400" t="s">
        <v>363</v>
      </c>
      <c r="E363" s="400" t="s">
        <v>364</v>
      </c>
      <c r="F363" s="400" t="s">
        <v>509</v>
      </c>
      <c r="G363" s="401">
        <f>5.027+3.809</f>
        <v>8.8360000000000003</v>
      </c>
      <c r="H363" s="577"/>
    </row>
    <row r="364" spans="2:15" x14ac:dyDescent="0.3">
      <c r="B364" s="399" t="s">
        <v>361</v>
      </c>
      <c r="C364" s="400" t="s">
        <v>544</v>
      </c>
      <c r="D364" s="400" t="s">
        <v>370</v>
      </c>
      <c r="E364" s="400" t="s">
        <v>364</v>
      </c>
      <c r="F364" s="400" t="s">
        <v>532</v>
      </c>
      <c r="G364" s="401">
        <v>5.399</v>
      </c>
      <c r="H364" s="577"/>
    </row>
    <row r="365" spans="2:15" x14ac:dyDescent="0.3">
      <c r="B365" s="399" t="s">
        <v>361</v>
      </c>
      <c r="C365" s="400" t="s">
        <v>544</v>
      </c>
      <c r="D365" s="400" t="s">
        <v>370</v>
      </c>
      <c r="E365" s="400" t="s">
        <v>364</v>
      </c>
      <c r="F365" s="400" t="s">
        <v>533</v>
      </c>
      <c r="G365" s="401">
        <v>5.399</v>
      </c>
      <c r="H365" s="577"/>
    </row>
    <row r="366" spans="2:15" x14ac:dyDescent="0.3">
      <c r="B366" s="399" t="s">
        <v>361</v>
      </c>
      <c r="C366" s="400" t="s">
        <v>544</v>
      </c>
      <c r="D366" s="400" t="s">
        <v>370</v>
      </c>
      <c r="E366" s="400" t="s">
        <v>364</v>
      </c>
      <c r="F366" s="400" t="s">
        <v>534</v>
      </c>
      <c r="G366" s="401">
        <v>5.399</v>
      </c>
      <c r="H366" s="577"/>
      <c r="O366" s="394" t="s">
        <v>607</v>
      </c>
    </row>
    <row r="367" spans="2:15" x14ac:dyDescent="0.3">
      <c r="B367" s="399" t="s">
        <v>361</v>
      </c>
      <c r="C367" s="400" t="s">
        <v>544</v>
      </c>
      <c r="D367" s="400" t="s">
        <v>370</v>
      </c>
      <c r="E367" s="400" t="s">
        <v>364</v>
      </c>
      <c r="F367" s="400" t="s">
        <v>535</v>
      </c>
      <c r="G367" s="401">
        <v>5.399</v>
      </c>
      <c r="H367" s="577"/>
    </row>
    <row r="368" spans="2:15" x14ac:dyDescent="0.3">
      <c r="B368" s="399" t="s">
        <v>361</v>
      </c>
      <c r="C368" s="400" t="s">
        <v>544</v>
      </c>
      <c r="D368" s="400" t="s">
        <v>370</v>
      </c>
      <c r="E368" s="400" t="s">
        <v>364</v>
      </c>
      <c r="F368" s="400" t="s">
        <v>536</v>
      </c>
      <c r="G368" s="401">
        <v>5.399</v>
      </c>
      <c r="H368" s="577"/>
    </row>
    <row r="369" spans="2:8" x14ac:dyDescent="0.3">
      <c r="B369" s="399" t="s">
        <v>361</v>
      </c>
      <c r="C369" s="400" t="s">
        <v>544</v>
      </c>
      <c r="D369" s="400" t="s">
        <v>370</v>
      </c>
      <c r="E369" s="400" t="s">
        <v>364</v>
      </c>
      <c r="F369" s="400" t="s">
        <v>537</v>
      </c>
      <c r="G369" s="401">
        <v>5.399</v>
      </c>
      <c r="H369" s="577"/>
    </row>
    <row r="370" spans="2:8" x14ac:dyDescent="0.3">
      <c r="B370" s="399" t="s">
        <v>361</v>
      </c>
      <c r="C370" s="400" t="s">
        <v>544</v>
      </c>
      <c r="D370" s="400" t="s">
        <v>370</v>
      </c>
      <c r="E370" s="400" t="s">
        <v>364</v>
      </c>
      <c r="F370" s="400" t="s">
        <v>538</v>
      </c>
      <c r="G370" s="401">
        <v>5.399</v>
      </c>
      <c r="H370" s="577"/>
    </row>
    <row r="371" spans="2:8" x14ac:dyDescent="0.3">
      <c r="B371" s="399" t="s">
        <v>361</v>
      </c>
      <c r="C371" s="400" t="s">
        <v>544</v>
      </c>
      <c r="D371" s="400" t="s">
        <v>370</v>
      </c>
      <c r="E371" s="400" t="s">
        <v>364</v>
      </c>
      <c r="F371" s="400" t="s">
        <v>539</v>
      </c>
      <c r="G371" s="401">
        <v>6.3810000000000002</v>
      </c>
      <c r="H371" s="577"/>
    </row>
    <row r="372" spans="2:8" x14ac:dyDescent="0.3">
      <c r="B372" s="399" t="s">
        <v>361</v>
      </c>
      <c r="C372" s="400" t="s">
        <v>544</v>
      </c>
      <c r="D372" s="400" t="s">
        <v>389</v>
      </c>
      <c r="E372" s="400" t="s">
        <v>364</v>
      </c>
      <c r="F372" s="400" t="s">
        <v>608</v>
      </c>
      <c r="G372" s="401">
        <f>(9.01+5.58+5.9+5.63+1.15)*4*0.15</f>
        <v>16.361999999999998</v>
      </c>
      <c r="H372" s="577"/>
    </row>
    <row r="373" spans="2:8" x14ac:dyDescent="0.3">
      <c r="B373" s="399" t="s">
        <v>361</v>
      </c>
      <c r="C373" s="400" t="s">
        <v>544</v>
      </c>
      <c r="D373" s="400" t="s">
        <v>389</v>
      </c>
      <c r="E373" s="400" t="s">
        <v>364</v>
      </c>
      <c r="F373" s="400" t="s">
        <v>609</v>
      </c>
      <c r="G373" s="401">
        <f>3.3*4*0.15</f>
        <v>1.9799999999999998</v>
      </c>
      <c r="H373" s="577"/>
    </row>
    <row r="374" spans="2:8" x14ac:dyDescent="0.3">
      <c r="B374" s="399" t="s">
        <v>361</v>
      </c>
      <c r="C374" s="400" t="s">
        <v>544</v>
      </c>
      <c r="D374" s="400" t="s">
        <v>389</v>
      </c>
      <c r="E374" s="400" t="s">
        <v>364</v>
      </c>
      <c r="F374" s="400" t="s">
        <v>610</v>
      </c>
      <c r="G374" s="401">
        <f>(1.15+5.115+5.3)*4*0.15</f>
        <v>6.9390000000000009</v>
      </c>
      <c r="H374" s="577"/>
    </row>
    <row r="375" spans="2:8" x14ac:dyDescent="0.3">
      <c r="B375" s="399" t="s">
        <v>361</v>
      </c>
      <c r="C375" s="400" t="s">
        <v>544</v>
      </c>
      <c r="D375" s="400" t="s">
        <v>389</v>
      </c>
      <c r="E375" s="400" t="s">
        <v>364</v>
      </c>
      <c r="F375" s="400" t="s">
        <v>611</v>
      </c>
      <c r="G375" s="401">
        <f>(3.4+11)*4*0.15</f>
        <v>8.64</v>
      </c>
      <c r="H375" s="577"/>
    </row>
    <row r="376" spans="2:8" x14ac:dyDescent="0.3">
      <c r="B376" s="399" t="s">
        <v>361</v>
      </c>
      <c r="C376" s="399" t="s">
        <v>369</v>
      </c>
      <c r="D376" s="400" t="s">
        <v>370</v>
      </c>
      <c r="E376" s="400" t="s">
        <v>364</v>
      </c>
      <c r="F376" s="400" t="s">
        <v>612</v>
      </c>
      <c r="G376" s="401">
        <v>2.992</v>
      </c>
      <c r="H376" s="577"/>
    </row>
    <row r="377" spans="2:8" x14ac:dyDescent="0.3">
      <c r="B377" s="399" t="s">
        <v>361</v>
      </c>
      <c r="C377" s="399" t="s">
        <v>369</v>
      </c>
      <c r="D377" s="400" t="s">
        <v>370</v>
      </c>
      <c r="E377" s="400" t="s">
        <v>364</v>
      </c>
      <c r="F377" s="400" t="s">
        <v>613</v>
      </c>
      <c r="G377" s="401">
        <v>2.992</v>
      </c>
      <c r="H377" s="577"/>
    </row>
    <row r="378" spans="2:8" x14ac:dyDescent="0.3">
      <c r="B378" s="399" t="s">
        <v>361</v>
      </c>
      <c r="C378" s="399" t="s">
        <v>369</v>
      </c>
      <c r="D378" s="400" t="s">
        <v>370</v>
      </c>
      <c r="E378" s="400" t="s">
        <v>364</v>
      </c>
      <c r="F378" s="400" t="s">
        <v>614</v>
      </c>
      <c r="G378" s="401">
        <f>1.716+2.288</f>
        <v>4.0039999999999996</v>
      </c>
      <c r="H378" s="577"/>
    </row>
    <row r="379" spans="2:8" x14ac:dyDescent="0.3">
      <c r="B379" s="399" t="s">
        <v>361</v>
      </c>
      <c r="C379" s="399" t="s">
        <v>369</v>
      </c>
      <c r="D379" s="400" t="s">
        <v>370</v>
      </c>
      <c r="E379" s="400" t="s">
        <v>364</v>
      </c>
      <c r="F379" s="400" t="s">
        <v>615</v>
      </c>
      <c r="G379" s="401">
        <v>2.2879999999999998</v>
      </c>
      <c r="H379" s="577"/>
    </row>
    <row r="380" spans="2:8" x14ac:dyDescent="0.3">
      <c r="B380" s="399" t="s">
        <v>361</v>
      </c>
      <c r="C380" s="399" t="s">
        <v>369</v>
      </c>
      <c r="D380" s="400" t="s">
        <v>370</v>
      </c>
      <c r="E380" s="400" t="s">
        <v>364</v>
      </c>
      <c r="F380" s="400" t="s">
        <v>616</v>
      </c>
      <c r="G380" s="401">
        <v>2.992</v>
      </c>
      <c r="H380" s="577"/>
    </row>
    <row r="381" spans="2:8" x14ac:dyDescent="0.3">
      <c r="B381" s="399" t="s">
        <v>361</v>
      </c>
      <c r="C381" s="399" t="s">
        <v>369</v>
      </c>
      <c r="D381" s="400" t="s">
        <v>370</v>
      </c>
      <c r="E381" s="400" t="s">
        <v>364</v>
      </c>
      <c r="F381" s="400" t="s">
        <v>617</v>
      </c>
      <c r="G381" s="401">
        <v>2.992</v>
      </c>
      <c r="H381" s="577"/>
    </row>
    <row r="382" spans="2:8" x14ac:dyDescent="0.3">
      <c r="B382" s="399" t="s">
        <v>361</v>
      </c>
      <c r="C382" s="399" t="s">
        <v>369</v>
      </c>
      <c r="D382" s="400" t="s">
        <v>370</v>
      </c>
      <c r="E382" s="400" t="s">
        <v>364</v>
      </c>
      <c r="F382" s="400" t="s">
        <v>618</v>
      </c>
      <c r="G382" s="401">
        <v>2.992</v>
      </c>
      <c r="H382" s="577"/>
    </row>
    <row r="383" spans="2:8" x14ac:dyDescent="0.3">
      <c r="B383" s="399" t="s">
        <v>361</v>
      </c>
      <c r="C383" s="399" t="s">
        <v>369</v>
      </c>
      <c r="D383" s="400" t="s">
        <v>370</v>
      </c>
      <c r="E383" s="400" t="s">
        <v>364</v>
      </c>
      <c r="F383" s="400" t="s">
        <v>619</v>
      </c>
      <c r="G383" s="401">
        <v>2.992</v>
      </c>
      <c r="H383" s="577"/>
    </row>
    <row r="384" spans="2:8" x14ac:dyDescent="0.3">
      <c r="B384" s="399" t="s">
        <v>361</v>
      </c>
      <c r="C384" s="399" t="s">
        <v>369</v>
      </c>
      <c r="D384" s="400" t="s">
        <v>370</v>
      </c>
      <c r="E384" s="400" t="s">
        <v>364</v>
      </c>
      <c r="F384" s="400" t="s">
        <v>620</v>
      </c>
      <c r="G384" s="401">
        <v>2.2879999999999998</v>
      </c>
      <c r="H384" s="577"/>
    </row>
    <row r="385" spans="2:8" x14ac:dyDescent="0.3">
      <c r="B385" s="399" t="s">
        <v>361</v>
      </c>
      <c r="C385" s="399" t="s">
        <v>369</v>
      </c>
      <c r="D385" s="400" t="s">
        <v>370</v>
      </c>
      <c r="E385" s="400" t="s">
        <v>364</v>
      </c>
      <c r="F385" s="400" t="s">
        <v>621</v>
      </c>
      <c r="G385" s="401">
        <f>1.716+2.288</f>
        <v>4.0039999999999996</v>
      </c>
      <c r="H385" s="577"/>
    </row>
    <row r="386" spans="2:8" x14ac:dyDescent="0.3">
      <c r="B386" s="399" t="s">
        <v>361</v>
      </c>
      <c r="C386" s="399" t="s">
        <v>369</v>
      </c>
      <c r="D386" s="400" t="s">
        <v>370</v>
      </c>
      <c r="E386" s="400" t="s">
        <v>364</v>
      </c>
      <c r="F386" s="400" t="s">
        <v>622</v>
      </c>
      <c r="G386" s="401">
        <v>2.992</v>
      </c>
      <c r="H386" s="577"/>
    </row>
    <row r="387" spans="2:8" x14ac:dyDescent="0.3">
      <c r="B387" s="399" t="s">
        <v>361</v>
      </c>
      <c r="C387" s="399" t="s">
        <v>369</v>
      </c>
      <c r="D387" s="400" t="s">
        <v>370</v>
      </c>
      <c r="E387" s="400" t="s">
        <v>364</v>
      </c>
      <c r="F387" s="400" t="s">
        <v>623</v>
      </c>
      <c r="G387" s="401">
        <v>3.2160000000000002</v>
      </c>
      <c r="H387" s="577"/>
    </row>
    <row r="388" spans="2:8" x14ac:dyDescent="0.3">
      <c r="B388" s="399" t="s">
        <v>361</v>
      </c>
      <c r="C388" s="399" t="s">
        <v>369</v>
      </c>
      <c r="D388" s="400" t="s">
        <v>390</v>
      </c>
      <c r="E388" s="400" t="s">
        <v>364</v>
      </c>
      <c r="F388" s="400" t="s">
        <v>624</v>
      </c>
      <c r="G388" s="411">
        <v>30.98</v>
      </c>
      <c r="H388" s="591"/>
    </row>
    <row r="389" spans="2:8" x14ac:dyDescent="0.3">
      <c r="B389" s="399" t="s">
        <v>361</v>
      </c>
      <c r="C389" s="399" t="s">
        <v>369</v>
      </c>
      <c r="D389" s="400" t="s">
        <v>363</v>
      </c>
      <c r="E389" s="400" t="s">
        <v>364</v>
      </c>
      <c r="F389" s="400" t="s">
        <v>625</v>
      </c>
      <c r="G389" s="401">
        <v>72.728999999999999</v>
      </c>
      <c r="H389" s="577"/>
    </row>
    <row r="390" spans="2:8" x14ac:dyDescent="0.3">
      <c r="B390" s="399" t="s">
        <v>361</v>
      </c>
      <c r="C390" s="399" t="s">
        <v>369</v>
      </c>
      <c r="D390" s="400" t="s">
        <v>396</v>
      </c>
      <c r="E390" s="400" t="s">
        <v>364</v>
      </c>
      <c r="F390" s="400" t="s">
        <v>626</v>
      </c>
      <c r="G390" s="401">
        <v>13.21</v>
      </c>
      <c r="H390" s="577"/>
    </row>
    <row r="391" spans="2:8" x14ac:dyDescent="0.3">
      <c r="B391" s="399" t="s">
        <v>361</v>
      </c>
      <c r="C391" s="399" t="s">
        <v>369</v>
      </c>
      <c r="D391" s="400" t="s">
        <v>396</v>
      </c>
      <c r="E391" s="400" t="s">
        <v>364</v>
      </c>
      <c r="F391" s="400" t="s">
        <v>627</v>
      </c>
      <c r="G391" s="401">
        <v>13.209</v>
      </c>
      <c r="H391" s="577"/>
    </row>
    <row r="392" spans="2:8" x14ac:dyDescent="0.3">
      <c r="B392" s="399" t="s">
        <v>361</v>
      </c>
      <c r="C392" s="399" t="s">
        <v>369</v>
      </c>
      <c r="D392" s="400" t="s">
        <v>363</v>
      </c>
      <c r="E392" s="400" t="s">
        <v>364</v>
      </c>
      <c r="F392" s="400" t="s">
        <v>628</v>
      </c>
      <c r="G392" s="401">
        <v>70.504000000000005</v>
      </c>
      <c r="H392" s="577"/>
    </row>
    <row r="393" spans="2:8" x14ac:dyDescent="0.3">
      <c r="B393" s="399" t="s">
        <v>361</v>
      </c>
      <c r="C393" s="399" t="s">
        <v>369</v>
      </c>
      <c r="D393" s="400" t="s">
        <v>363</v>
      </c>
      <c r="E393" s="400" t="s">
        <v>364</v>
      </c>
      <c r="F393" s="400" t="s">
        <v>629</v>
      </c>
      <c r="G393" s="401">
        <v>3.097</v>
      </c>
      <c r="H393" s="577"/>
    </row>
    <row r="394" spans="2:8" x14ac:dyDescent="0.3">
      <c r="B394" s="399" t="s">
        <v>361</v>
      </c>
      <c r="C394" s="399" t="s">
        <v>369</v>
      </c>
      <c r="D394" s="400" t="s">
        <v>363</v>
      </c>
      <c r="E394" s="400" t="s">
        <v>364</v>
      </c>
      <c r="F394" s="400" t="s">
        <v>630</v>
      </c>
      <c r="G394" s="401">
        <v>7.234</v>
      </c>
      <c r="H394" s="577"/>
    </row>
    <row r="395" spans="2:8" x14ac:dyDescent="0.3">
      <c r="B395" s="399" t="s">
        <v>361</v>
      </c>
      <c r="C395" s="399" t="s">
        <v>369</v>
      </c>
      <c r="D395" s="400" t="s">
        <v>363</v>
      </c>
      <c r="E395" s="400" t="s">
        <v>364</v>
      </c>
      <c r="F395" s="400" t="s">
        <v>631</v>
      </c>
      <c r="G395" s="401">
        <v>2.7909999999999999</v>
      </c>
      <c r="H395" s="577"/>
    </row>
    <row r="396" spans="2:8" x14ac:dyDescent="0.3">
      <c r="B396" s="399" t="s">
        <v>361</v>
      </c>
      <c r="C396" s="399" t="s">
        <v>369</v>
      </c>
      <c r="D396" s="400" t="s">
        <v>363</v>
      </c>
      <c r="E396" s="400" t="s">
        <v>364</v>
      </c>
      <c r="F396" s="400" t="s">
        <v>632</v>
      </c>
      <c r="G396" s="401">
        <v>4.1550000000000002</v>
      </c>
      <c r="H396" s="577"/>
    </row>
    <row r="397" spans="2:8" x14ac:dyDescent="0.3">
      <c r="B397" s="399" t="s">
        <v>361</v>
      </c>
      <c r="C397" s="399" t="s">
        <v>369</v>
      </c>
      <c r="D397" s="400" t="s">
        <v>396</v>
      </c>
      <c r="E397" s="400" t="s">
        <v>364</v>
      </c>
      <c r="F397" s="400" t="s">
        <v>633</v>
      </c>
      <c r="G397" s="401">
        <f>0.362*33</f>
        <v>11.946</v>
      </c>
      <c r="H397" s="577"/>
    </row>
    <row r="398" spans="2:8" x14ac:dyDescent="0.3">
      <c r="B398" s="399" t="s">
        <v>361</v>
      </c>
      <c r="C398" s="399" t="s">
        <v>369</v>
      </c>
      <c r="D398" s="400" t="s">
        <v>363</v>
      </c>
      <c r="E398" s="400" t="s">
        <v>364</v>
      </c>
      <c r="F398" s="400" t="s">
        <v>634</v>
      </c>
      <c r="G398" s="401">
        <v>4.3730000000000002</v>
      </c>
      <c r="H398" s="577"/>
    </row>
    <row r="399" spans="2:8" x14ac:dyDescent="0.3">
      <c r="B399" s="399" t="s">
        <v>361</v>
      </c>
      <c r="C399" s="399" t="s">
        <v>369</v>
      </c>
      <c r="D399" s="400" t="s">
        <v>363</v>
      </c>
      <c r="E399" s="400" t="s">
        <v>364</v>
      </c>
      <c r="F399" s="400" t="s">
        <v>635</v>
      </c>
      <c r="G399" s="401">
        <v>2.266</v>
      </c>
      <c r="H399" s="577"/>
    </row>
    <row r="400" spans="2:8" x14ac:dyDescent="0.3">
      <c r="B400" s="399" t="s">
        <v>361</v>
      </c>
      <c r="C400" s="399" t="s">
        <v>369</v>
      </c>
      <c r="D400" s="400" t="s">
        <v>363</v>
      </c>
      <c r="E400" s="400" t="s">
        <v>364</v>
      </c>
      <c r="F400" s="400" t="s">
        <v>636</v>
      </c>
      <c r="G400" s="401">
        <v>2.266</v>
      </c>
      <c r="H400" s="577"/>
    </row>
    <row r="401" spans="2:8" x14ac:dyDescent="0.3">
      <c r="B401" s="399" t="s">
        <v>361</v>
      </c>
      <c r="C401" s="399" t="s">
        <v>369</v>
      </c>
      <c r="D401" s="400" t="s">
        <v>363</v>
      </c>
      <c r="E401" s="400" t="s">
        <v>364</v>
      </c>
      <c r="F401" s="400" t="s">
        <v>637</v>
      </c>
      <c r="G401" s="401">
        <v>4.2610000000000001</v>
      </c>
      <c r="H401" s="577"/>
    </row>
    <row r="402" spans="2:8" x14ac:dyDescent="0.3">
      <c r="B402" s="399" t="s">
        <v>361</v>
      </c>
      <c r="C402" s="399" t="s">
        <v>369</v>
      </c>
      <c r="D402" s="400" t="s">
        <v>363</v>
      </c>
      <c r="E402" s="400" t="s">
        <v>364</v>
      </c>
      <c r="F402" s="400" t="s">
        <v>638</v>
      </c>
      <c r="G402" s="401">
        <f>3.097*2</f>
        <v>6.194</v>
      </c>
      <c r="H402" s="577"/>
    </row>
    <row r="403" spans="2:8" x14ac:dyDescent="0.3">
      <c r="B403" s="399" t="s">
        <v>361</v>
      </c>
      <c r="C403" s="399" t="s">
        <v>369</v>
      </c>
      <c r="D403" s="400" t="s">
        <v>363</v>
      </c>
      <c r="E403" s="400" t="s">
        <v>364</v>
      </c>
      <c r="F403" s="400" t="s">
        <v>639</v>
      </c>
      <c r="G403" s="401">
        <f>7.234*2</f>
        <v>14.468</v>
      </c>
      <c r="H403" s="577"/>
    </row>
    <row r="404" spans="2:8" x14ac:dyDescent="0.3">
      <c r="B404" s="399" t="s">
        <v>361</v>
      </c>
      <c r="C404" s="399" t="s">
        <v>369</v>
      </c>
      <c r="D404" s="400" t="s">
        <v>363</v>
      </c>
      <c r="E404" s="400" t="s">
        <v>364</v>
      </c>
      <c r="F404" s="400" t="s">
        <v>640</v>
      </c>
      <c r="G404" s="401">
        <f>2.791*2</f>
        <v>5.5819999999999999</v>
      </c>
      <c r="H404" s="577"/>
    </row>
    <row r="405" spans="2:8" x14ac:dyDescent="0.3">
      <c r="B405" s="399" t="s">
        <v>361</v>
      </c>
      <c r="C405" s="399" t="s">
        <v>369</v>
      </c>
      <c r="D405" s="400" t="s">
        <v>363</v>
      </c>
      <c r="E405" s="400" t="s">
        <v>364</v>
      </c>
      <c r="F405" s="400" t="s">
        <v>641</v>
      </c>
      <c r="G405" s="401">
        <f>4.155*2</f>
        <v>8.31</v>
      </c>
      <c r="H405" s="577"/>
    </row>
    <row r="406" spans="2:8" x14ac:dyDescent="0.3">
      <c r="B406" s="399" t="s">
        <v>361</v>
      </c>
      <c r="C406" s="399" t="s">
        <v>369</v>
      </c>
      <c r="D406" s="400" t="s">
        <v>363</v>
      </c>
      <c r="E406" s="400" t="s">
        <v>364</v>
      </c>
      <c r="F406" s="400" t="s">
        <v>642</v>
      </c>
      <c r="G406" s="401">
        <v>4.1029999999999998</v>
      </c>
      <c r="H406" s="577"/>
    </row>
    <row r="407" spans="2:8" x14ac:dyDescent="0.3">
      <c r="B407" s="399" t="s">
        <v>361</v>
      </c>
      <c r="C407" s="399" t="s">
        <v>369</v>
      </c>
      <c r="D407" s="400" t="s">
        <v>363</v>
      </c>
      <c r="E407" s="400" t="s">
        <v>364</v>
      </c>
      <c r="F407" s="400" t="s">
        <v>643</v>
      </c>
      <c r="G407" s="401">
        <v>2.23</v>
      </c>
      <c r="H407" s="577"/>
    </row>
    <row r="408" spans="2:8" x14ac:dyDescent="0.3">
      <c r="B408" s="399" t="s">
        <v>361</v>
      </c>
      <c r="C408" s="399" t="s">
        <v>369</v>
      </c>
      <c r="D408" s="400" t="s">
        <v>363</v>
      </c>
      <c r="E408" s="400" t="s">
        <v>364</v>
      </c>
      <c r="F408" s="400" t="s">
        <v>644</v>
      </c>
      <c r="G408" s="401">
        <v>2.2629999999999999</v>
      </c>
      <c r="H408" s="577"/>
    </row>
    <row r="409" spans="2:8" x14ac:dyDescent="0.3">
      <c r="B409" s="399" t="s">
        <v>361</v>
      </c>
      <c r="C409" s="399" t="s">
        <v>369</v>
      </c>
      <c r="D409" s="400" t="s">
        <v>363</v>
      </c>
      <c r="E409" s="400" t="s">
        <v>364</v>
      </c>
      <c r="F409" s="400" t="s">
        <v>645</v>
      </c>
      <c r="G409" s="401">
        <v>4.1520000000000001</v>
      </c>
      <c r="H409" s="577"/>
    </row>
    <row r="410" spans="2:8" x14ac:dyDescent="0.3">
      <c r="B410" s="399" t="s">
        <v>361</v>
      </c>
      <c r="C410" s="399" t="s">
        <v>369</v>
      </c>
      <c r="D410" s="400" t="s">
        <v>363</v>
      </c>
      <c r="E410" s="400" t="s">
        <v>364</v>
      </c>
      <c r="F410" s="400" t="s">
        <v>646</v>
      </c>
      <c r="G410" s="401">
        <v>3.097</v>
      </c>
      <c r="H410" s="577"/>
    </row>
    <row r="411" spans="2:8" x14ac:dyDescent="0.3">
      <c r="B411" s="399" t="s">
        <v>361</v>
      </c>
      <c r="C411" s="399" t="s">
        <v>369</v>
      </c>
      <c r="D411" s="400" t="s">
        <v>363</v>
      </c>
      <c r="E411" s="400" t="s">
        <v>364</v>
      </c>
      <c r="F411" s="400" t="s">
        <v>647</v>
      </c>
      <c r="G411" s="401">
        <v>7.234</v>
      </c>
      <c r="H411" s="577"/>
    </row>
    <row r="412" spans="2:8" x14ac:dyDescent="0.3">
      <c r="B412" s="399" t="s">
        <v>361</v>
      </c>
      <c r="C412" s="399" t="s">
        <v>369</v>
      </c>
      <c r="D412" s="400" t="s">
        <v>363</v>
      </c>
      <c r="E412" s="400" t="s">
        <v>364</v>
      </c>
      <c r="F412" s="400" t="s">
        <v>648</v>
      </c>
      <c r="G412" s="401">
        <v>2.7909999999999999</v>
      </c>
      <c r="H412" s="577"/>
    </row>
    <row r="413" spans="2:8" x14ac:dyDescent="0.3">
      <c r="B413" s="399" t="s">
        <v>361</v>
      </c>
      <c r="C413" s="399" t="s">
        <v>369</v>
      </c>
      <c r="D413" s="400" t="s">
        <v>363</v>
      </c>
      <c r="E413" s="400" t="s">
        <v>364</v>
      </c>
      <c r="F413" s="400" t="s">
        <v>649</v>
      </c>
      <c r="G413" s="401">
        <v>4.1550000000000002</v>
      </c>
      <c r="H413" s="577"/>
    </row>
    <row r="414" spans="2:8" x14ac:dyDescent="0.3">
      <c r="B414" s="399" t="s">
        <v>361</v>
      </c>
      <c r="C414" s="399" t="s">
        <v>369</v>
      </c>
      <c r="D414" s="400" t="s">
        <v>363</v>
      </c>
      <c r="E414" s="400" t="s">
        <v>364</v>
      </c>
      <c r="F414" s="400" t="s">
        <v>650</v>
      </c>
      <c r="G414" s="401">
        <v>3.097</v>
      </c>
      <c r="H414" s="577"/>
    </row>
    <row r="415" spans="2:8" x14ac:dyDescent="0.3">
      <c r="B415" s="399" t="s">
        <v>361</v>
      </c>
      <c r="C415" s="399" t="s">
        <v>369</v>
      </c>
      <c r="D415" s="400" t="s">
        <v>363</v>
      </c>
      <c r="E415" s="400" t="s">
        <v>364</v>
      </c>
      <c r="F415" s="400" t="s">
        <v>651</v>
      </c>
      <c r="G415" s="401">
        <v>7.234</v>
      </c>
      <c r="H415" s="577"/>
    </row>
    <row r="416" spans="2:8" x14ac:dyDescent="0.3">
      <c r="B416" s="399" t="s">
        <v>361</v>
      </c>
      <c r="C416" s="399" t="s">
        <v>369</v>
      </c>
      <c r="D416" s="400" t="s">
        <v>363</v>
      </c>
      <c r="E416" s="400" t="s">
        <v>364</v>
      </c>
      <c r="F416" s="400" t="s">
        <v>652</v>
      </c>
      <c r="G416" s="401">
        <v>2.7909999999999999</v>
      </c>
      <c r="H416" s="577"/>
    </row>
    <row r="417" spans="2:8" x14ac:dyDescent="0.3">
      <c r="B417" s="399" t="s">
        <v>361</v>
      </c>
      <c r="C417" s="399" t="s">
        <v>369</v>
      </c>
      <c r="D417" s="400" t="s">
        <v>363</v>
      </c>
      <c r="E417" s="400" t="s">
        <v>364</v>
      </c>
      <c r="F417" s="400" t="s">
        <v>653</v>
      </c>
      <c r="G417" s="401">
        <v>4.1550000000000002</v>
      </c>
      <c r="H417" s="577"/>
    </row>
    <row r="418" spans="2:8" x14ac:dyDescent="0.3">
      <c r="B418" s="399" t="s">
        <v>361</v>
      </c>
      <c r="C418" s="399" t="s">
        <v>369</v>
      </c>
      <c r="D418" s="400" t="s">
        <v>363</v>
      </c>
      <c r="E418" s="400" t="s">
        <v>364</v>
      </c>
      <c r="F418" s="400" t="s">
        <v>654</v>
      </c>
      <c r="G418" s="401">
        <v>4.4009999999999998</v>
      </c>
      <c r="H418" s="577"/>
    </row>
    <row r="419" spans="2:8" x14ac:dyDescent="0.3">
      <c r="B419" s="399" t="s">
        <v>361</v>
      </c>
      <c r="C419" s="399" t="s">
        <v>369</v>
      </c>
      <c r="D419" s="400" t="s">
        <v>363</v>
      </c>
      <c r="E419" s="400" t="s">
        <v>364</v>
      </c>
      <c r="F419" s="400" t="s">
        <v>655</v>
      </c>
      <c r="G419" s="401">
        <v>2.254</v>
      </c>
      <c r="H419" s="577"/>
    </row>
    <row r="420" spans="2:8" x14ac:dyDescent="0.3">
      <c r="B420" s="399" t="s">
        <v>361</v>
      </c>
      <c r="C420" s="399" t="s">
        <v>369</v>
      </c>
      <c r="D420" s="400" t="s">
        <v>363</v>
      </c>
      <c r="E420" s="400" t="s">
        <v>364</v>
      </c>
      <c r="F420" s="400" t="s">
        <v>656</v>
      </c>
      <c r="G420" s="401">
        <v>2.23</v>
      </c>
      <c r="H420" s="577"/>
    </row>
    <row r="421" spans="2:8" x14ac:dyDescent="0.3">
      <c r="B421" s="399" t="s">
        <v>361</v>
      </c>
      <c r="C421" s="399" t="s">
        <v>369</v>
      </c>
      <c r="D421" s="400" t="s">
        <v>363</v>
      </c>
      <c r="E421" s="400" t="s">
        <v>364</v>
      </c>
      <c r="F421" s="400" t="s">
        <v>657</v>
      </c>
      <c r="G421" s="401">
        <v>4.2</v>
      </c>
      <c r="H421" s="577"/>
    </row>
    <row r="422" spans="2:8" x14ac:dyDescent="0.3">
      <c r="B422" s="399" t="s">
        <v>361</v>
      </c>
      <c r="C422" s="399" t="s">
        <v>369</v>
      </c>
      <c r="D422" s="400" t="s">
        <v>363</v>
      </c>
      <c r="E422" s="400" t="s">
        <v>364</v>
      </c>
      <c r="F422" s="400" t="s">
        <v>658</v>
      </c>
      <c r="G422" s="401">
        <v>3.097</v>
      </c>
      <c r="H422" s="577"/>
    </row>
    <row r="423" spans="2:8" x14ac:dyDescent="0.3">
      <c r="B423" s="399" t="s">
        <v>361</v>
      </c>
      <c r="C423" s="399" t="s">
        <v>369</v>
      </c>
      <c r="D423" s="400" t="s">
        <v>363</v>
      </c>
      <c r="E423" s="400" t="s">
        <v>364</v>
      </c>
      <c r="F423" s="400" t="s">
        <v>659</v>
      </c>
      <c r="G423" s="401">
        <v>7.234</v>
      </c>
      <c r="H423" s="577"/>
    </row>
    <row r="424" spans="2:8" x14ac:dyDescent="0.3">
      <c r="B424" s="399" t="s">
        <v>361</v>
      </c>
      <c r="C424" s="399" t="s">
        <v>369</v>
      </c>
      <c r="D424" s="400" t="s">
        <v>363</v>
      </c>
      <c r="E424" s="400" t="s">
        <v>364</v>
      </c>
      <c r="F424" s="400" t="s">
        <v>660</v>
      </c>
      <c r="G424" s="401">
        <v>2.7909999999999999</v>
      </c>
      <c r="H424" s="577"/>
    </row>
    <row r="425" spans="2:8" x14ac:dyDescent="0.3">
      <c r="B425" s="399" t="s">
        <v>361</v>
      </c>
      <c r="C425" s="399" t="s">
        <v>369</v>
      </c>
      <c r="D425" s="400" t="s">
        <v>363</v>
      </c>
      <c r="E425" s="400" t="s">
        <v>364</v>
      </c>
      <c r="F425" s="400" t="s">
        <v>661</v>
      </c>
      <c r="G425" s="401">
        <v>4.1550000000000002</v>
      </c>
      <c r="H425" s="577"/>
    </row>
    <row r="426" spans="2:8" x14ac:dyDescent="0.3">
      <c r="B426" s="399" t="s">
        <v>361</v>
      </c>
      <c r="C426" s="399" t="s">
        <v>369</v>
      </c>
      <c r="D426" s="400" t="s">
        <v>363</v>
      </c>
      <c r="E426" s="400" t="s">
        <v>364</v>
      </c>
      <c r="F426" s="400" t="s">
        <v>662</v>
      </c>
      <c r="G426" s="401">
        <v>3.097</v>
      </c>
      <c r="H426" s="577"/>
    </row>
    <row r="427" spans="2:8" x14ac:dyDescent="0.3">
      <c r="B427" s="399" t="s">
        <v>361</v>
      </c>
      <c r="C427" s="399" t="s">
        <v>369</v>
      </c>
      <c r="D427" s="400" t="s">
        <v>363</v>
      </c>
      <c r="E427" s="400" t="s">
        <v>364</v>
      </c>
      <c r="F427" s="400" t="s">
        <v>663</v>
      </c>
      <c r="G427" s="401">
        <v>7.234</v>
      </c>
      <c r="H427" s="577"/>
    </row>
    <row r="428" spans="2:8" x14ac:dyDescent="0.3">
      <c r="B428" s="399" t="s">
        <v>361</v>
      </c>
      <c r="C428" s="399" t="s">
        <v>369</v>
      </c>
      <c r="D428" s="400" t="s">
        <v>363</v>
      </c>
      <c r="E428" s="400" t="s">
        <v>364</v>
      </c>
      <c r="F428" s="400" t="s">
        <v>664</v>
      </c>
      <c r="G428" s="401">
        <v>2.7909999999999999</v>
      </c>
      <c r="H428" s="577"/>
    </row>
    <row r="429" spans="2:8" x14ac:dyDescent="0.3">
      <c r="B429" s="399" t="s">
        <v>361</v>
      </c>
      <c r="C429" s="399" t="s">
        <v>369</v>
      </c>
      <c r="D429" s="400" t="s">
        <v>363</v>
      </c>
      <c r="E429" s="400" t="s">
        <v>364</v>
      </c>
      <c r="F429" s="400" t="s">
        <v>665</v>
      </c>
      <c r="G429" s="401">
        <v>4.1550000000000002</v>
      </c>
      <c r="H429" s="577"/>
    </row>
    <row r="430" spans="2:8" x14ac:dyDescent="0.3">
      <c r="B430" s="399" t="s">
        <v>361</v>
      </c>
      <c r="C430" s="399" t="s">
        <v>369</v>
      </c>
      <c r="D430" s="400" t="s">
        <v>363</v>
      </c>
      <c r="E430" s="400" t="s">
        <v>364</v>
      </c>
      <c r="F430" s="400" t="s">
        <v>666</v>
      </c>
      <c r="G430" s="401">
        <v>4.298</v>
      </c>
      <c r="H430" s="577"/>
    </row>
    <row r="431" spans="2:8" x14ac:dyDescent="0.3">
      <c r="B431" s="399" t="s">
        <v>361</v>
      </c>
      <c r="C431" s="399" t="s">
        <v>369</v>
      </c>
      <c r="D431" s="400" t="s">
        <v>363</v>
      </c>
      <c r="E431" s="400" t="s">
        <v>364</v>
      </c>
      <c r="F431" s="400" t="s">
        <v>667</v>
      </c>
      <c r="G431" s="401">
        <v>2.169</v>
      </c>
      <c r="H431" s="577"/>
    </row>
    <row r="432" spans="2:8" x14ac:dyDescent="0.3">
      <c r="B432" s="399" t="s">
        <v>361</v>
      </c>
      <c r="C432" s="399" t="s">
        <v>369</v>
      </c>
      <c r="D432" s="400" t="s">
        <v>363</v>
      </c>
      <c r="E432" s="400" t="s">
        <v>364</v>
      </c>
      <c r="F432" s="400" t="s">
        <v>668</v>
      </c>
      <c r="G432" s="401">
        <v>2.202</v>
      </c>
      <c r="H432" s="577"/>
    </row>
    <row r="433" spans="2:8" x14ac:dyDescent="0.3">
      <c r="B433" s="399" t="s">
        <v>361</v>
      </c>
      <c r="C433" s="399" t="s">
        <v>369</v>
      </c>
      <c r="D433" s="400" t="s">
        <v>363</v>
      </c>
      <c r="E433" s="400" t="s">
        <v>364</v>
      </c>
      <c r="F433" s="400" t="s">
        <v>669</v>
      </c>
      <c r="G433" s="401">
        <v>4.1660000000000004</v>
      </c>
      <c r="H433" s="577"/>
    </row>
    <row r="434" spans="2:8" x14ac:dyDescent="0.3">
      <c r="B434" s="399" t="s">
        <v>361</v>
      </c>
      <c r="C434" s="399" t="s">
        <v>369</v>
      </c>
      <c r="D434" s="400" t="s">
        <v>363</v>
      </c>
      <c r="E434" s="400" t="s">
        <v>364</v>
      </c>
      <c r="F434" s="400" t="s">
        <v>670</v>
      </c>
      <c r="G434" s="401">
        <v>3.097</v>
      </c>
      <c r="H434" s="577"/>
    </row>
    <row r="435" spans="2:8" x14ac:dyDescent="0.3">
      <c r="B435" s="399" t="s">
        <v>361</v>
      </c>
      <c r="C435" s="399" t="s">
        <v>369</v>
      </c>
      <c r="D435" s="400" t="s">
        <v>363</v>
      </c>
      <c r="E435" s="400" t="s">
        <v>364</v>
      </c>
      <c r="F435" s="400" t="s">
        <v>671</v>
      </c>
      <c r="G435" s="401">
        <v>7.234</v>
      </c>
      <c r="H435" s="577"/>
    </row>
    <row r="436" spans="2:8" x14ac:dyDescent="0.3">
      <c r="B436" s="399" t="s">
        <v>361</v>
      </c>
      <c r="C436" s="399" t="s">
        <v>369</v>
      </c>
      <c r="D436" s="400" t="s">
        <v>363</v>
      </c>
      <c r="E436" s="400" t="s">
        <v>364</v>
      </c>
      <c r="F436" s="400" t="s">
        <v>672</v>
      </c>
      <c r="G436" s="401">
        <v>2.7909999999999999</v>
      </c>
      <c r="H436" s="577"/>
    </row>
    <row r="437" spans="2:8" x14ac:dyDescent="0.3">
      <c r="B437" s="399" t="s">
        <v>361</v>
      </c>
      <c r="C437" s="399" t="s">
        <v>369</v>
      </c>
      <c r="D437" s="400" t="s">
        <v>363</v>
      </c>
      <c r="E437" s="400" t="s">
        <v>364</v>
      </c>
      <c r="F437" s="400" t="s">
        <v>673</v>
      </c>
      <c r="G437" s="401">
        <v>4.1550000000000002</v>
      </c>
      <c r="H437" s="577"/>
    </row>
    <row r="438" spans="2:8" x14ac:dyDescent="0.3">
      <c r="B438" s="399" t="s">
        <v>361</v>
      </c>
      <c r="C438" s="399" t="s">
        <v>369</v>
      </c>
      <c r="D438" s="400" t="s">
        <v>363</v>
      </c>
      <c r="E438" s="400" t="s">
        <v>364</v>
      </c>
      <c r="F438" s="400" t="s">
        <v>674</v>
      </c>
      <c r="G438" s="401">
        <v>3.097</v>
      </c>
      <c r="H438" s="577"/>
    </row>
    <row r="439" spans="2:8" x14ac:dyDescent="0.3">
      <c r="B439" s="399" t="s">
        <v>361</v>
      </c>
      <c r="C439" s="399" t="s">
        <v>369</v>
      </c>
      <c r="D439" s="400" t="s">
        <v>363</v>
      </c>
      <c r="E439" s="400" t="s">
        <v>364</v>
      </c>
      <c r="F439" s="400" t="s">
        <v>675</v>
      </c>
      <c r="G439" s="401">
        <v>7.234</v>
      </c>
      <c r="H439" s="577"/>
    </row>
    <row r="440" spans="2:8" x14ac:dyDescent="0.3">
      <c r="B440" s="399" t="s">
        <v>361</v>
      </c>
      <c r="C440" s="399" t="s">
        <v>369</v>
      </c>
      <c r="D440" s="400" t="s">
        <v>363</v>
      </c>
      <c r="E440" s="400" t="s">
        <v>364</v>
      </c>
      <c r="F440" s="400" t="s">
        <v>676</v>
      </c>
      <c r="G440" s="401">
        <v>2.7909999999999999</v>
      </c>
      <c r="H440" s="577"/>
    </row>
    <row r="441" spans="2:8" x14ac:dyDescent="0.3">
      <c r="B441" s="399" t="s">
        <v>361</v>
      </c>
      <c r="C441" s="399" t="s">
        <v>369</v>
      </c>
      <c r="D441" s="400" t="s">
        <v>363</v>
      </c>
      <c r="E441" s="400" t="s">
        <v>364</v>
      </c>
      <c r="F441" s="400" t="s">
        <v>677</v>
      </c>
      <c r="G441" s="401">
        <v>4.1550000000000002</v>
      </c>
      <c r="H441" s="577"/>
    </row>
    <row r="442" spans="2:8" x14ac:dyDescent="0.3">
      <c r="B442" s="399" t="s">
        <v>361</v>
      </c>
      <c r="C442" s="399" t="s">
        <v>369</v>
      </c>
      <c r="D442" s="400" t="s">
        <v>363</v>
      </c>
      <c r="E442" s="400" t="s">
        <v>364</v>
      </c>
      <c r="F442" s="400" t="s">
        <v>678</v>
      </c>
      <c r="G442" s="401">
        <v>4.3170000000000002</v>
      </c>
      <c r="H442" s="577"/>
    </row>
    <row r="443" spans="2:8" x14ac:dyDescent="0.3">
      <c r="B443" s="399" t="s">
        <v>361</v>
      </c>
      <c r="C443" s="399" t="s">
        <v>369</v>
      </c>
      <c r="D443" s="400" t="s">
        <v>363</v>
      </c>
      <c r="E443" s="400" t="s">
        <v>364</v>
      </c>
      <c r="F443" s="400" t="s">
        <v>679</v>
      </c>
      <c r="G443" s="401">
        <v>2.2519999999999998</v>
      </c>
      <c r="H443" s="577"/>
    </row>
    <row r="444" spans="2:8" x14ac:dyDescent="0.3">
      <c r="B444" s="399" t="s">
        <v>361</v>
      </c>
      <c r="C444" s="399" t="s">
        <v>369</v>
      </c>
      <c r="D444" s="400" t="s">
        <v>363</v>
      </c>
      <c r="E444" s="400" t="s">
        <v>364</v>
      </c>
      <c r="F444" s="400" t="s">
        <v>680</v>
      </c>
      <c r="G444" s="401">
        <v>2.238</v>
      </c>
      <c r="H444" s="577"/>
    </row>
    <row r="445" spans="2:8" x14ac:dyDescent="0.3">
      <c r="B445" s="399" t="s">
        <v>361</v>
      </c>
      <c r="C445" s="399" t="s">
        <v>369</v>
      </c>
      <c r="D445" s="400" t="s">
        <v>363</v>
      </c>
      <c r="E445" s="400" t="s">
        <v>364</v>
      </c>
      <c r="F445" s="400" t="s">
        <v>681</v>
      </c>
      <c r="G445" s="401">
        <v>4.0830000000000002</v>
      </c>
      <c r="H445" s="577"/>
    </row>
    <row r="446" spans="2:8" x14ac:dyDescent="0.3">
      <c r="B446" s="399" t="s">
        <v>361</v>
      </c>
      <c r="C446" s="399" t="s">
        <v>369</v>
      </c>
      <c r="D446" s="400" t="s">
        <v>363</v>
      </c>
      <c r="E446" s="400" t="s">
        <v>364</v>
      </c>
      <c r="F446" s="400" t="s">
        <v>682</v>
      </c>
      <c r="G446" s="401">
        <f>3.097*2</f>
        <v>6.194</v>
      </c>
      <c r="H446" s="577"/>
    </row>
    <row r="447" spans="2:8" x14ac:dyDescent="0.3">
      <c r="B447" s="399" t="s">
        <v>361</v>
      </c>
      <c r="C447" s="399" t="s">
        <v>369</v>
      </c>
      <c r="D447" s="400" t="s">
        <v>363</v>
      </c>
      <c r="E447" s="400" t="s">
        <v>364</v>
      </c>
      <c r="F447" s="400" t="s">
        <v>683</v>
      </c>
      <c r="G447" s="401">
        <f>7.234*2</f>
        <v>14.468</v>
      </c>
      <c r="H447" s="577"/>
    </row>
    <row r="448" spans="2:8" x14ac:dyDescent="0.3">
      <c r="B448" s="399" t="s">
        <v>361</v>
      </c>
      <c r="C448" s="399" t="s">
        <v>369</v>
      </c>
      <c r="D448" s="400" t="s">
        <v>363</v>
      </c>
      <c r="E448" s="400" t="s">
        <v>364</v>
      </c>
      <c r="F448" s="400" t="s">
        <v>684</v>
      </c>
      <c r="G448" s="401">
        <f>2.791*2</f>
        <v>5.5819999999999999</v>
      </c>
      <c r="H448" s="577"/>
    </row>
    <row r="449" spans="2:8" x14ac:dyDescent="0.3">
      <c r="B449" s="399" t="s">
        <v>361</v>
      </c>
      <c r="C449" s="399" t="s">
        <v>369</v>
      </c>
      <c r="D449" s="400" t="s">
        <v>363</v>
      </c>
      <c r="E449" s="400" t="s">
        <v>364</v>
      </c>
      <c r="F449" s="400" t="s">
        <v>685</v>
      </c>
      <c r="G449" s="401">
        <f>4.155*2</f>
        <v>8.31</v>
      </c>
      <c r="H449" s="577"/>
    </row>
    <row r="450" spans="2:8" x14ac:dyDescent="0.3">
      <c r="B450" s="399" t="s">
        <v>361</v>
      </c>
      <c r="C450" s="399" t="s">
        <v>369</v>
      </c>
      <c r="D450" s="400" t="s">
        <v>363</v>
      </c>
      <c r="E450" s="400" t="s">
        <v>364</v>
      </c>
      <c r="F450" s="400" t="s">
        <v>686</v>
      </c>
      <c r="G450" s="401">
        <v>3.097</v>
      </c>
      <c r="H450" s="577"/>
    </row>
    <row r="451" spans="2:8" x14ac:dyDescent="0.3">
      <c r="B451" s="399" t="s">
        <v>361</v>
      </c>
      <c r="C451" s="399" t="s">
        <v>369</v>
      </c>
      <c r="D451" s="400" t="s">
        <v>363</v>
      </c>
      <c r="E451" s="400" t="s">
        <v>364</v>
      </c>
      <c r="F451" s="400" t="s">
        <v>687</v>
      </c>
      <c r="G451" s="401">
        <v>7.234</v>
      </c>
      <c r="H451" s="577"/>
    </row>
    <row r="452" spans="2:8" x14ac:dyDescent="0.3">
      <c r="B452" s="399" t="s">
        <v>361</v>
      </c>
      <c r="C452" s="399" t="s">
        <v>369</v>
      </c>
      <c r="D452" s="400" t="s">
        <v>363</v>
      </c>
      <c r="E452" s="400" t="s">
        <v>364</v>
      </c>
      <c r="F452" s="400" t="s">
        <v>688</v>
      </c>
      <c r="G452" s="401">
        <v>2.7909999999999999</v>
      </c>
      <c r="H452" s="577"/>
    </row>
    <row r="453" spans="2:8" x14ac:dyDescent="0.3">
      <c r="B453" s="399" t="s">
        <v>361</v>
      </c>
      <c r="C453" s="399" t="s">
        <v>369</v>
      </c>
      <c r="D453" s="400" t="s">
        <v>363</v>
      </c>
      <c r="E453" s="400" t="s">
        <v>364</v>
      </c>
      <c r="F453" s="400" t="s">
        <v>689</v>
      </c>
      <c r="G453" s="401">
        <v>4.1550000000000002</v>
      </c>
      <c r="H453" s="577"/>
    </row>
    <row r="454" spans="2:8" x14ac:dyDescent="0.3">
      <c r="B454" s="399" t="s">
        <v>361</v>
      </c>
      <c r="C454" s="399" t="s">
        <v>369</v>
      </c>
      <c r="D454" s="400" t="s">
        <v>363</v>
      </c>
      <c r="E454" s="400" t="s">
        <v>364</v>
      </c>
      <c r="F454" s="400" t="s">
        <v>690</v>
      </c>
      <c r="G454" s="401">
        <v>4.5339999999999998</v>
      </c>
      <c r="H454" s="577"/>
    </row>
    <row r="455" spans="2:8" x14ac:dyDescent="0.3">
      <c r="B455" s="399" t="s">
        <v>361</v>
      </c>
      <c r="C455" s="399" t="s">
        <v>369</v>
      </c>
      <c r="D455" s="400" t="s">
        <v>363</v>
      </c>
      <c r="E455" s="400" t="s">
        <v>364</v>
      </c>
      <c r="F455" s="400" t="s">
        <v>691</v>
      </c>
      <c r="G455" s="401">
        <v>2.2570000000000001</v>
      </c>
      <c r="H455" s="577"/>
    </row>
    <row r="456" spans="2:8" x14ac:dyDescent="0.3">
      <c r="B456" s="399" t="s">
        <v>361</v>
      </c>
      <c r="C456" s="399" t="s">
        <v>369</v>
      </c>
      <c r="D456" s="400" t="s">
        <v>363</v>
      </c>
      <c r="E456" s="400" t="s">
        <v>364</v>
      </c>
      <c r="F456" s="400" t="s">
        <v>692</v>
      </c>
      <c r="G456" s="401">
        <v>2.2589999999999999</v>
      </c>
      <c r="H456" s="577"/>
    </row>
    <row r="457" spans="2:8" x14ac:dyDescent="0.3">
      <c r="B457" s="399" t="s">
        <v>361</v>
      </c>
      <c r="C457" s="399" t="s">
        <v>369</v>
      </c>
      <c r="D457" s="400" t="s">
        <v>363</v>
      </c>
      <c r="E457" s="400" t="s">
        <v>364</v>
      </c>
      <c r="F457" s="400" t="s">
        <v>693</v>
      </c>
      <c r="G457" s="401">
        <v>4.3680000000000003</v>
      </c>
      <c r="H457" s="577"/>
    </row>
    <row r="458" spans="2:8" x14ac:dyDescent="0.3">
      <c r="B458" s="399" t="s">
        <v>361</v>
      </c>
      <c r="C458" s="399" t="s">
        <v>369</v>
      </c>
      <c r="D458" s="400" t="s">
        <v>363</v>
      </c>
      <c r="E458" s="400" t="s">
        <v>364</v>
      </c>
      <c r="F458" s="400" t="s">
        <v>694</v>
      </c>
      <c r="G458" s="401">
        <v>3.097</v>
      </c>
      <c r="H458" s="577"/>
    </row>
    <row r="459" spans="2:8" x14ac:dyDescent="0.3">
      <c r="B459" s="399" t="s">
        <v>361</v>
      </c>
      <c r="C459" s="399" t="s">
        <v>369</v>
      </c>
      <c r="D459" s="400" t="s">
        <v>363</v>
      </c>
      <c r="E459" s="400" t="s">
        <v>364</v>
      </c>
      <c r="F459" s="400" t="s">
        <v>695</v>
      </c>
      <c r="G459" s="401">
        <v>7.234</v>
      </c>
      <c r="H459" s="577"/>
    </row>
    <row r="460" spans="2:8" x14ac:dyDescent="0.3">
      <c r="B460" s="399" t="s">
        <v>361</v>
      </c>
      <c r="C460" s="399" t="s">
        <v>369</v>
      </c>
      <c r="D460" s="400" t="s">
        <v>363</v>
      </c>
      <c r="E460" s="400" t="s">
        <v>364</v>
      </c>
      <c r="F460" s="400" t="s">
        <v>696</v>
      </c>
      <c r="G460" s="401">
        <v>2.7909999999999999</v>
      </c>
      <c r="H460" s="577"/>
    </row>
    <row r="461" spans="2:8" x14ac:dyDescent="0.3">
      <c r="B461" s="399" t="s">
        <v>361</v>
      </c>
      <c r="C461" s="399" t="s">
        <v>369</v>
      </c>
      <c r="D461" s="400" t="s">
        <v>363</v>
      </c>
      <c r="E461" s="400" t="s">
        <v>364</v>
      </c>
      <c r="F461" s="400" t="s">
        <v>697</v>
      </c>
      <c r="G461" s="401">
        <v>4.1550000000000002</v>
      </c>
      <c r="H461" s="577"/>
    </row>
    <row r="462" spans="2:8" x14ac:dyDescent="0.3">
      <c r="B462" s="399" t="s">
        <v>361</v>
      </c>
      <c r="C462" s="399" t="s">
        <v>369</v>
      </c>
      <c r="D462" s="400" t="s">
        <v>370</v>
      </c>
      <c r="E462" s="400" t="s">
        <v>364</v>
      </c>
      <c r="F462" s="400" t="s">
        <v>612</v>
      </c>
      <c r="G462" s="401">
        <v>5.984</v>
      </c>
      <c r="H462" s="577"/>
    </row>
    <row r="463" spans="2:8" x14ac:dyDescent="0.3">
      <c r="B463" s="399" t="s">
        <v>361</v>
      </c>
      <c r="C463" s="399" t="s">
        <v>369</v>
      </c>
      <c r="D463" s="400" t="s">
        <v>370</v>
      </c>
      <c r="E463" s="400" t="s">
        <v>364</v>
      </c>
      <c r="F463" s="400" t="s">
        <v>613</v>
      </c>
      <c r="G463" s="401">
        <v>5.984</v>
      </c>
      <c r="H463" s="577"/>
    </row>
    <row r="464" spans="2:8" x14ac:dyDescent="0.3">
      <c r="B464" s="399" t="s">
        <v>361</v>
      </c>
      <c r="C464" s="399" t="s">
        <v>369</v>
      </c>
      <c r="D464" s="400" t="s">
        <v>370</v>
      </c>
      <c r="E464" s="400" t="s">
        <v>364</v>
      </c>
      <c r="F464" s="400" t="s">
        <v>614</v>
      </c>
      <c r="G464" s="401">
        <f>3.432+4.576</f>
        <v>8.0079999999999991</v>
      </c>
      <c r="H464" s="577"/>
    </row>
    <row r="465" spans="2:8" x14ac:dyDescent="0.3">
      <c r="B465" s="399" t="s">
        <v>361</v>
      </c>
      <c r="C465" s="399" t="s">
        <v>369</v>
      </c>
      <c r="D465" s="400" t="s">
        <v>370</v>
      </c>
      <c r="E465" s="400" t="s">
        <v>364</v>
      </c>
      <c r="F465" s="400" t="s">
        <v>615</v>
      </c>
      <c r="G465" s="401">
        <v>4.5759999999999996</v>
      </c>
      <c r="H465" s="577"/>
    </row>
    <row r="466" spans="2:8" x14ac:dyDescent="0.3">
      <c r="B466" s="399" t="s">
        <v>361</v>
      </c>
      <c r="C466" s="399" t="s">
        <v>369</v>
      </c>
      <c r="D466" s="400" t="s">
        <v>370</v>
      </c>
      <c r="E466" s="400" t="s">
        <v>364</v>
      </c>
      <c r="F466" s="400" t="s">
        <v>616</v>
      </c>
      <c r="G466" s="401">
        <v>5.984</v>
      </c>
      <c r="H466" s="577"/>
    </row>
    <row r="467" spans="2:8" x14ac:dyDescent="0.3">
      <c r="B467" s="399" t="s">
        <v>361</v>
      </c>
      <c r="C467" s="399" t="s">
        <v>369</v>
      </c>
      <c r="D467" s="400" t="s">
        <v>370</v>
      </c>
      <c r="E467" s="400" t="s">
        <v>364</v>
      </c>
      <c r="F467" s="400" t="s">
        <v>617</v>
      </c>
      <c r="G467" s="401">
        <v>5.984</v>
      </c>
      <c r="H467" s="577"/>
    </row>
    <row r="468" spans="2:8" x14ac:dyDescent="0.3">
      <c r="B468" s="399" t="s">
        <v>361</v>
      </c>
      <c r="C468" s="399" t="s">
        <v>369</v>
      </c>
      <c r="D468" s="400" t="s">
        <v>370</v>
      </c>
      <c r="E468" s="400" t="s">
        <v>364</v>
      </c>
      <c r="F468" s="400" t="s">
        <v>618</v>
      </c>
      <c r="G468" s="401">
        <v>5.984</v>
      </c>
      <c r="H468" s="577"/>
    </row>
    <row r="469" spans="2:8" x14ac:dyDescent="0.3">
      <c r="B469" s="399" t="s">
        <v>361</v>
      </c>
      <c r="C469" s="399" t="s">
        <v>369</v>
      </c>
      <c r="D469" s="400" t="s">
        <v>370</v>
      </c>
      <c r="E469" s="400" t="s">
        <v>364</v>
      </c>
      <c r="F469" s="400" t="s">
        <v>619</v>
      </c>
      <c r="G469" s="401">
        <v>5.984</v>
      </c>
      <c r="H469" s="577"/>
    </row>
    <row r="470" spans="2:8" x14ac:dyDescent="0.3">
      <c r="B470" s="399" t="s">
        <v>361</v>
      </c>
      <c r="C470" s="399" t="s">
        <v>369</v>
      </c>
      <c r="D470" s="400" t="s">
        <v>370</v>
      </c>
      <c r="E470" s="400" t="s">
        <v>364</v>
      </c>
      <c r="F470" s="400" t="s">
        <v>620</v>
      </c>
      <c r="G470" s="401">
        <v>4.5759999999999996</v>
      </c>
      <c r="H470" s="577"/>
    </row>
    <row r="471" spans="2:8" x14ac:dyDescent="0.3">
      <c r="B471" s="399" t="s">
        <v>361</v>
      </c>
      <c r="C471" s="399" t="s">
        <v>369</v>
      </c>
      <c r="D471" s="400" t="s">
        <v>370</v>
      </c>
      <c r="E471" s="400" t="s">
        <v>364</v>
      </c>
      <c r="F471" s="400" t="s">
        <v>621</v>
      </c>
      <c r="G471" s="401">
        <f>3.432+4.576</f>
        <v>8.0079999999999991</v>
      </c>
      <c r="H471" s="577"/>
    </row>
    <row r="472" spans="2:8" x14ac:dyDescent="0.3">
      <c r="B472" s="399" t="s">
        <v>361</v>
      </c>
      <c r="C472" s="399" t="s">
        <v>369</v>
      </c>
      <c r="D472" s="400" t="s">
        <v>370</v>
      </c>
      <c r="E472" s="400" t="s">
        <v>364</v>
      </c>
      <c r="F472" s="400" t="s">
        <v>622</v>
      </c>
      <c r="G472" s="401">
        <v>5.984</v>
      </c>
      <c r="H472" s="577"/>
    </row>
    <row r="473" spans="2:8" x14ac:dyDescent="0.3">
      <c r="B473" s="399" t="s">
        <v>361</v>
      </c>
      <c r="C473" s="399" t="s">
        <v>369</v>
      </c>
      <c r="D473" s="400" t="s">
        <v>370</v>
      </c>
      <c r="E473" s="400" t="s">
        <v>364</v>
      </c>
      <c r="F473" s="400" t="s">
        <v>623</v>
      </c>
      <c r="G473" s="401">
        <v>6.4329999999999998</v>
      </c>
      <c r="H473" s="577"/>
    </row>
    <row r="474" spans="2:8" x14ac:dyDescent="0.3">
      <c r="B474" s="399" t="s">
        <v>361</v>
      </c>
      <c r="C474" s="399" t="s">
        <v>369</v>
      </c>
      <c r="D474" s="400" t="s">
        <v>370</v>
      </c>
      <c r="E474" s="400" t="s">
        <v>364</v>
      </c>
      <c r="F474" s="400" t="s">
        <v>698</v>
      </c>
      <c r="G474" s="401">
        <v>6.4329999999999998</v>
      </c>
      <c r="H474" s="577"/>
    </row>
    <row r="475" spans="2:8" x14ac:dyDescent="0.3">
      <c r="B475" s="399" t="s">
        <v>361</v>
      </c>
      <c r="C475" s="399" t="s">
        <v>369</v>
      </c>
      <c r="D475" s="400" t="s">
        <v>370</v>
      </c>
      <c r="E475" s="400" t="s">
        <v>364</v>
      </c>
      <c r="F475" s="400" t="s">
        <v>699</v>
      </c>
      <c r="G475" s="401">
        <v>2.72</v>
      </c>
      <c r="H475" s="577"/>
    </row>
    <row r="476" spans="2:8" x14ac:dyDescent="0.3">
      <c r="B476" s="399" t="s">
        <v>361</v>
      </c>
      <c r="C476" s="399" t="s">
        <v>369</v>
      </c>
      <c r="D476" s="400" t="s">
        <v>370</v>
      </c>
      <c r="E476" s="400" t="s">
        <v>364</v>
      </c>
      <c r="F476" s="400" t="s">
        <v>700</v>
      </c>
      <c r="G476" s="401">
        <f>2.08+1.56</f>
        <v>3.64</v>
      </c>
      <c r="H476" s="577"/>
    </row>
    <row r="477" spans="2:8" x14ac:dyDescent="0.3">
      <c r="B477" s="399" t="s">
        <v>361</v>
      </c>
      <c r="C477" s="399" t="s">
        <v>369</v>
      </c>
      <c r="D477" s="400" t="s">
        <v>370</v>
      </c>
      <c r="E477" s="400" t="s">
        <v>364</v>
      </c>
      <c r="F477" s="400" t="s">
        <v>701</v>
      </c>
      <c r="G477" s="401">
        <v>2.907</v>
      </c>
      <c r="H477" s="577"/>
    </row>
    <row r="478" spans="2:8" x14ac:dyDescent="0.3">
      <c r="B478" s="399" t="s">
        <v>361</v>
      </c>
      <c r="C478" s="399" t="s">
        <v>369</v>
      </c>
      <c r="D478" s="400" t="s">
        <v>370</v>
      </c>
      <c r="E478" s="400" t="s">
        <v>364</v>
      </c>
      <c r="F478" s="400" t="s">
        <v>702</v>
      </c>
      <c r="G478" s="401">
        <v>2.38</v>
      </c>
      <c r="H478" s="577"/>
    </row>
    <row r="479" spans="2:8" x14ac:dyDescent="0.3">
      <c r="B479" s="399" t="s">
        <v>361</v>
      </c>
      <c r="C479" s="399" t="s">
        <v>369</v>
      </c>
      <c r="D479" s="400" t="s">
        <v>370</v>
      </c>
      <c r="E479" s="400" t="s">
        <v>364</v>
      </c>
      <c r="F479" s="400" t="s">
        <v>703</v>
      </c>
      <c r="G479" s="401">
        <v>2.3180000000000001</v>
      </c>
      <c r="H479" s="577"/>
    </row>
    <row r="480" spans="2:8" x14ac:dyDescent="0.3">
      <c r="B480" s="399" t="s">
        <v>361</v>
      </c>
      <c r="C480" s="399" t="s">
        <v>369</v>
      </c>
      <c r="D480" s="400" t="s">
        <v>370</v>
      </c>
      <c r="E480" s="400" t="s">
        <v>364</v>
      </c>
      <c r="F480" s="400" t="s">
        <v>704</v>
      </c>
      <c r="G480" s="401">
        <v>2.2850000000000001</v>
      </c>
      <c r="H480" s="577"/>
    </row>
    <row r="481" spans="2:8" x14ac:dyDescent="0.3">
      <c r="B481" s="399" t="s">
        <v>361</v>
      </c>
      <c r="C481" s="399" t="s">
        <v>369</v>
      </c>
      <c r="D481" s="400" t="s">
        <v>370</v>
      </c>
      <c r="E481" s="400" t="s">
        <v>364</v>
      </c>
      <c r="F481" s="400" t="s">
        <v>705</v>
      </c>
      <c r="G481" s="401">
        <v>2.6880000000000002</v>
      </c>
      <c r="H481" s="577"/>
    </row>
    <row r="482" spans="2:8" x14ac:dyDescent="0.3">
      <c r="B482" s="399" t="s">
        <v>361</v>
      </c>
      <c r="C482" s="399" t="s">
        <v>369</v>
      </c>
      <c r="D482" s="400" t="s">
        <v>370</v>
      </c>
      <c r="E482" s="400" t="s">
        <v>364</v>
      </c>
      <c r="F482" s="400" t="s">
        <v>706</v>
      </c>
      <c r="G482" s="401">
        <v>2.72</v>
      </c>
      <c r="H482" s="577"/>
    </row>
    <row r="483" spans="2:8" x14ac:dyDescent="0.3">
      <c r="B483" s="399" t="s">
        <v>361</v>
      </c>
      <c r="C483" s="399" t="s">
        <v>369</v>
      </c>
      <c r="D483" s="400" t="s">
        <v>370</v>
      </c>
      <c r="E483" s="400" t="s">
        <v>364</v>
      </c>
      <c r="F483" s="400" t="s">
        <v>707</v>
      </c>
      <c r="G483" s="401">
        <f>2.08+2.012</f>
        <v>4.0920000000000005</v>
      </c>
      <c r="H483" s="577"/>
    </row>
    <row r="484" spans="2:8" x14ac:dyDescent="0.3">
      <c r="B484" s="399" t="s">
        <v>361</v>
      </c>
      <c r="C484" s="399" t="s">
        <v>369</v>
      </c>
      <c r="D484" s="400" t="s">
        <v>370</v>
      </c>
      <c r="E484" s="400" t="s">
        <v>364</v>
      </c>
      <c r="F484" s="400" t="s">
        <v>708</v>
      </c>
      <c r="G484" s="401">
        <v>2.72</v>
      </c>
      <c r="H484" s="577"/>
    </row>
    <row r="485" spans="2:8" x14ac:dyDescent="0.3">
      <c r="B485" s="399" t="s">
        <v>361</v>
      </c>
      <c r="C485" s="399" t="s">
        <v>369</v>
      </c>
      <c r="D485" s="400" t="s">
        <v>370</v>
      </c>
      <c r="E485" s="400" t="s">
        <v>364</v>
      </c>
      <c r="F485" s="400" t="s">
        <v>709</v>
      </c>
      <c r="G485" s="401">
        <v>2.72</v>
      </c>
      <c r="H485" s="577"/>
    </row>
    <row r="486" spans="2:8" x14ac:dyDescent="0.3">
      <c r="B486" s="399" t="s">
        <v>361</v>
      </c>
      <c r="C486" s="399" t="s">
        <v>710</v>
      </c>
      <c r="D486" s="400" t="s">
        <v>363</v>
      </c>
      <c r="E486" s="400" t="s">
        <v>364</v>
      </c>
      <c r="F486" s="400" t="s">
        <v>711</v>
      </c>
      <c r="G486" s="401">
        <f>1.365+1.392+1.32+1.392+1.392+1.392+1.392+1.392+1.392+1.392+1.392+1.392+0.382+0.363+0.363+0.363+0.364+0.382+0.382+0.382+0.345+0.345+1.803+12.348+1.358+1.358+1.358+1.358+1.358+1.358+1.357+1.358+1.358+12.37</f>
        <v>59.017999999999972</v>
      </c>
      <c r="H486" s="577"/>
    </row>
    <row r="487" spans="2:8" x14ac:dyDescent="0.3">
      <c r="B487" s="399" t="s">
        <v>361</v>
      </c>
      <c r="C487" s="399" t="s">
        <v>710</v>
      </c>
      <c r="D487" s="400" t="s">
        <v>389</v>
      </c>
      <c r="E487" s="400" t="s">
        <v>364</v>
      </c>
      <c r="F487" s="400" t="s">
        <v>712</v>
      </c>
      <c r="G487" s="401">
        <f>1.531+0.728+1.531+0.22*5*5.5</f>
        <v>9.84</v>
      </c>
      <c r="H487" s="577"/>
    </row>
    <row r="488" spans="2:8" x14ac:dyDescent="0.3">
      <c r="B488" s="399" t="s">
        <v>361</v>
      </c>
      <c r="C488" s="399" t="s">
        <v>710</v>
      </c>
      <c r="D488" s="400" t="s">
        <v>363</v>
      </c>
      <c r="E488" s="400" t="s">
        <v>364</v>
      </c>
      <c r="F488" s="400" t="s">
        <v>713</v>
      </c>
      <c r="G488" s="401">
        <f>1.377+1.404+1.331+1.404+1.404+1.404+1.404+1.404+1.404+1.404+1.404+1.404+1.37+1.37+1.37+1.37+1.37+1.37+1.37+1.37+1.37+1.37+1.369+1.37+1.37</f>
        <v>34.557000000000002</v>
      </c>
      <c r="H488" s="577"/>
    </row>
    <row r="489" spans="2:8" x14ac:dyDescent="0.3">
      <c r="B489" s="399" t="s">
        <v>361</v>
      </c>
      <c r="C489" s="399" t="s">
        <v>710</v>
      </c>
      <c r="D489" s="400" t="s">
        <v>363</v>
      </c>
      <c r="E489" s="400" t="s">
        <v>364</v>
      </c>
      <c r="F489" s="400" t="s">
        <v>714</v>
      </c>
      <c r="G489" s="401">
        <f>1.366+1.393+1.32+1.393+1.393+1.393+1.393+1.393+1.393+1.393+1.393+1.393+0.389+0.389+0.389+0.391+0.382+0.382+0.382+0.382+0.326+1.796+1.359+1.359+1.359+1.359+1.359+1.359+1.358+1.359+1.359</f>
        <v>34.054000000000016</v>
      </c>
      <c r="H489" s="577"/>
    </row>
    <row r="490" spans="2:8" x14ac:dyDescent="0.3">
      <c r="B490" s="399" t="s">
        <v>361</v>
      </c>
      <c r="C490" s="399" t="s">
        <v>710</v>
      </c>
      <c r="D490" s="400" t="s">
        <v>389</v>
      </c>
      <c r="E490" s="400" t="s">
        <v>364</v>
      </c>
      <c r="F490" s="400" t="s">
        <v>715</v>
      </c>
      <c r="G490" s="401">
        <f>1.531+0.728+1.531+0.22*5*5.5</f>
        <v>9.84</v>
      </c>
      <c r="H490" s="577"/>
    </row>
    <row r="491" spans="2:8" x14ac:dyDescent="0.3">
      <c r="B491" s="399" t="s">
        <v>361</v>
      </c>
      <c r="C491" s="399" t="s">
        <v>710</v>
      </c>
      <c r="D491" s="400" t="s">
        <v>363</v>
      </c>
      <c r="E491" s="400" t="s">
        <v>364</v>
      </c>
      <c r="F491" s="400" t="s">
        <v>716</v>
      </c>
      <c r="G491" s="401">
        <f>1.404+1.331+1.404+1.404+1.404+1.404+1.404+1.404+1.404+1.404+1.37+1.37+1.37+1.37+1.37+1.37+1.37+1.37+1.37+1.37+1.369+1.37+1.37</f>
        <v>31.77600000000001</v>
      </c>
      <c r="H491" s="577"/>
    </row>
    <row r="492" spans="2:8" x14ac:dyDescent="0.3">
      <c r="B492" s="399" t="s">
        <v>361</v>
      </c>
      <c r="C492" s="399" t="s">
        <v>710</v>
      </c>
      <c r="D492" s="400" t="s">
        <v>363</v>
      </c>
      <c r="E492" s="400" t="s">
        <v>364</v>
      </c>
      <c r="F492" s="400" t="s">
        <v>717</v>
      </c>
      <c r="G492" s="401">
        <f>1.366+1.393+1.32+1.393+1.393+1.393+1.393+1.393+1.393+1.393+1.393+1.393+0.38+0.38+0.38+0.381+0.381+0.381+0.381+0.381+0.326+1.817+1.359+1.359+1.359+1.359+1.359+1.359+1.358+1.359+1.359</f>
        <v>34.034000000000013</v>
      </c>
      <c r="H492" s="577"/>
    </row>
    <row r="493" spans="2:8" x14ac:dyDescent="0.3">
      <c r="B493" s="399" t="s">
        <v>361</v>
      </c>
      <c r="C493" s="399" t="s">
        <v>710</v>
      </c>
      <c r="D493" s="400" t="s">
        <v>389</v>
      </c>
      <c r="E493" s="400" t="s">
        <v>364</v>
      </c>
      <c r="F493" s="400" t="s">
        <v>718</v>
      </c>
      <c r="G493" s="401">
        <f>1.531+0.728+1.531+0.22*5*5.5</f>
        <v>9.84</v>
      </c>
      <c r="H493" s="577"/>
    </row>
    <row r="494" spans="2:8" x14ac:dyDescent="0.3">
      <c r="B494" s="399" t="s">
        <v>361</v>
      </c>
      <c r="C494" s="399" t="s">
        <v>710</v>
      </c>
      <c r="D494" s="400" t="s">
        <v>363</v>
      </c>
      <c r="E494" s="400" t="s">
        <v>364</v>
      </c>
      <c r="F494" s="400" t="s">
        <v>719</v>
      </c>
      <c r="G494" s="401">
        <f>1.377+1.404+1.331+1.404+1.404+1.404+1.404+1.404+1.404+1.404+1.404+1.404+1.37+1.37+1.37+1.37+1.37+1.37+1.37+1.37+1.37+1.37+1.37+1.37+1.37</f>
        <v>34.558000000000007</v>
      </c>
      <c r="H494" s="577"/>
    </row>
    <row r="495" spans="2:8" x14ac:dyDescent="0.3">
      <c r="B495" s="399" t="s">
        <v>361</v>
      </c>
      <c r="C495" s="399" t="s">
        <v>710</v>
      </c>
      <c r="D495" s="400" t="s">
        <v>363</v>
      </c>
      <c r="E495" s="400" t="s">
        <v>364</v>
      </c>
      <c r="F495" s="400" t="s">
        <v>720</v>
      </c>
      <c r="G495" s="401">
        <f>1.404+1.331+1.404+1.404+1.404+1.404+1.404+1.404+1.404+1.404+1.37+1.37+1.37+1.37+1.37+1.37+1.37+1.37+1.37+1.37+1.369+1.37+1.37</f>
        <v>31.77600000000001</v>
      </c>
      <c r="H495" s="577"/>
    </row>
    <row r="496" spans="2:8" x14ac:dyDescent="0.3">
      <c r="B496" s="399" t="s">
        <v>361</v>
      </c>
      <c r="C496" s="399" t="s">
        <v>710</v>
      </c>
      <c r="D496" s="400" t="s">
        <v>389</v>
      </c>
      <c r="E496" s="400" t="s">
        <v>364</v>
      </c>
      <c r="F496" s="400" t="s">
        <v>721</v>
      </c>
      <c r="G496" s="401">
        <f>1.531+0.728+1.531+0.22*5*5.5</f>
        <v>9.84</v>
      </c>
      <c r="H496" s="577"/>
    </row>
    <row r="497" spans="2:8" x14ac:dyDescent="0.3">
      <c r="B497" s="399" t="s">
        <v>361</v>
      </c>
      <c r="C497" s="399" t="s">
        <v>710</v>
      </c>
      <c r="D497" s="400" t="s">
        <v>363</v>
      </c>
      <c r="E497" s="400" t="s">
        <v>364</v>
      </c>
      <c r="F497" s="400" t="s">
        <v>722</v>
      </c>
      <c r="G497" s="401">
        <f>1.404+1.404*3+1.37*13</f>
        <v>23.426000000000002</v>
      </c>
      <c r="H497" s="577"/>
    </row>
    <row r="498" spans="2:8" x14ac:dyDescent="0.3">
      <c r="B498" s="399" t="s">
        <v>361</v>
      </c>
      <c r="C498" s="399" t="s">
        <v>710</v>
      </c>
      <c r="D498" s="400" t="s">
        <v>363</v>
      </c>
      <c r="E498" s="400" t="s">
        <v>364</v>
      </c>
      <c r="F498" s="400" t="s">
        <v>723</v>
      </c>
      <c r="G498" s="401">
        <f>1.404+1.331+1.404+1.404+1.404+1.404+1.404+1.404+1.404+1.404+1.37+1.37+1.37+1.37+1.37+1.37+1.37+1.37+1.37+1.37+1.369+1.37+1.37</f>
        <v>31.77600000000001</v>
      </c>
      <c r="H498" s="577"/>
    </row>
    <row r="499" spans="2:8" x14ac:dyDescent="0.3">
      <c r="B499" s="399" t="s">
        <v>361</v>
      </c>
      <c r="C499" s="399" t="s">
        <v>710</v>
      </c>
      <c r="D499" s="400" t="s">
        <v>389</v>
      </c>
      <c r="E499" s="400" t="s">
        <v>364</v>
      </c>
      <c r="F499" s="400" t="s">
        <v>724</v>
      </c>
      <c r="G499" s="401">
        <f>1.531+0.728+1.531+0.22*5*5.5</f>
        <v>9.84</v>
      </c>
      <c r="H499" s="577"/>
    </row>
    <row r="500" spans="2:8" x14ac:dyDescent="0.3">
      <c r="B500" s="399" t="s">
        <v>361</v>
      </c>
      <c r="C500" s="399" t="s">
        <v>710</v>
      </c>
      <c r="D500" s="400" t="s">
        <v>363</v>
      </c>
      <c r="E500" s="400" t="s">
        <v>364</v>
      </c>
      <c r="F500" s="400" t="s">
        <v>725</v>
      </c>
      <c r="G500" s="401">
        <f>1.377+1.404+1.331+1.404+1.404+1.404+1.404+1.404+1.404+1.404+1.404+1.404+1.37+1.37+1.37+1.37+1.37+1.37+1.37+1.37+1.37+1.37+1.37+1.37+1.37</f>
        <v>34.558000000000007</v>
      </c>
      <c r="H500" s="577"/>
    </row>
    <row r="501" spans="2:8" x14ac:dyDescent="0.3">
      <c r="B501" s="399" t="s">
        <v>361</v>
      </c>
      <c r="C501" s="399" t="s">
        <v>710</v>
      </c>
      <c r="D501" s="400" t="s">
        <v>363</v>
      </c>
      <c r="E501" s="400" t="s">
        <v>364</v>
      </c>
      <c r="F501" s="400" t="s">
        <v>726</v>
      </c>
      <c r="G501" s="401">
        <f>1.404+1.331+1.404+1.404+1.404+1.404+1.404+1.404+1.404+1.404+1.37+1.37+1.37+1.37+1.37+1.37+1.37+1.37+1.37+1.37+1.369+1.37+1.37</f>
        <v>31.77600000000001</v>
      </c>
      <c r="H501" s="577"/>
    </row>
    <row r="502" spans="2:8" x14ac:dyDescent="0.3">
      <c r="B502" s="399" t="s">
        <v>361</v>
      </c>
      <c r="C502" s="399" t="s">
        <v>710</v>
      </c>
      <c r="D502" s="400" t="s">
        <v>389</v>
      </c>
      <c r="E502" s="400" t="s">
        <v>364</v>
      </c>
      <c r="F502" s="400" t="s">
        <v>727</v>
      </c>
      <c r="G502" s="401">
        <f>1.531+0.728+1.531+0.22*5*5.5</f>
        <v>9.84</v>
      </c>
      <c r="H502" s="577"/>
    </row>
    <row r="503" spans="2:8" x14ac:dyDescent="0.3">
      <c r="B503" s="399" t="s">
        <v>361</v>
      </c>
      <c r="C503" s="399" t="s">
        <v>710</v>
      </c>
      <c r="D503" s="400" t="s">
        <v>387</v>
      </c>
      <c r="E503" s="400" t="s">
        <v>364</v>
      </c>
      <c r="F503" s="400" t="s">
        <v>728</v>
      </c>
      <c r="G503" s="401">
        <f>0.033+0.063*28+0.072+0.09+0.093*17</f>
        <v>3.54</v>
      </c>
      <c r="H503" s="577"/>
    </row>
    <row r="504" spans="2:8" x14ac:dyDescent="0.3">
      <c r="B504" s="399" t="s">
        <v>361</v>
      </c>
      <c r="C504" s="399" t="s">
        <v>710</v>
      </c>
      <c r="D504" s="400" t="s">
        <v>363</v>
      </c>
      <c r="E504" s="400" t="s">
        <v>364</v>
      </c>
      <c r="F504" s="400" t="s">
        <v>729</v>
      </c>
      <c r="G504" s="401">
        <v>5.6749999999999998</v>
      </c>
      <c r="H504" s="577"/>
    </row>
    <row r="505" spans="2:8" x14ac:dyDescent="0.3">
      <c r="B505" s="399" t="s">
        <v>361</v>
      </c>
      <c r="C505" s="399" t="s">
        <v>710</v>
      </c>
      <c r="D505" s="400" t="s">
        <v>363</v>
      </c>
      <c r="E505" s="400" t="s">
        <v>364</v>
      </c>
      <c r="F505" s="400" t="s">
        <v>730</v>
      </c>
      <c r="G505" s="401">
        <v>5.24</v>
      </c>
      <c r="H505" s="577"/>
    </row>
    <row r="506" spans="2:8" x14ac:dyDescent="0.3">
      <c r="B506" s="399" t="s">
        <v>361</v>
      </c>
      <c r="C506" s="399" t="s">
        <v>710</v>
      </c>
      <c r="D506" s="400" t="s">
        <v>363</v>
      </c>
      <c r="E506" s="400" t="s">
        <v>364</v>
      </c>
      <c r="F506" s="400" t="s">
        <v>731</v>
      </c>
      <c r="G506" s="401">
        <v>0.78900000000000003</v>
      </c>
      <c r="H506" s="577"/>
    </row>
    <row r="507" spans="2:8" x14ac:dyDescent="0.3">
      <c r="B507" s="399" t="s">
        <v>361</v>
      </c>
      <c r="C507" s="399" t="s">
        <v>710</v>
      </c>
      <c r="D507" s="400" t="s">
        <v>387</v>
      </c>
      <c r="E507" s="400" t="s">
        <v>364</v>
      </c>
      <c r="F507" s="400" t="s">
        <v>732</v>
      </c>
      <c r="G507" s="401">
        <f>0.134+0.063*28+0.119+0.132+0.141*22</f>
        <v>5.2510000000000003</v>
      </c>
      <c r="H507" s="577"/>
    </row>
    <row r="508" spans="2:8" x14ac:dyDescent="0.3">
      <c r="B508" s="399" t="s">
        <v>361</v>
      </c>
      <c r="C508" s="399" t="s">
        <v>710</v>
      </c>
      <c r="D508" s="400" t="s">
        <v>363</v>
      </c>
      <c r="E508" s="400" t="s">
        <v>364</v>
      </c>
      <c r="F508" s="400" t="s">
        <v>733</v>
      </c>
      <c r="G508" s="401">
        <v>5.6749999999999998</v>
      </c>
      <c r="H508" s="577"/>
    </row>
    <row r="509" spans="2:8" x14ac:dyDescent="0.3">
      <c r="B509" s="399" t="s">
        <v>361</v>
      </c>
      <c r="C509" s="399" t="s">
        <v>710</v>
      </c>
      <c r="D509" s="400" t="s">
        <v>363</v>
      </c>
      <c r="E509" s="400" t="s">
        <v>364</v>
      </c>
      <c r="F509" s="400" t="s">
        <v>734</v>
      </c>
      <c r="G509" s="401">
        <v>5.24</v>
      </c>
      <c r="H509" s="577"/>
    </row>
    <row r="510" spans="2:8" x14ac:dyDescent="0.3">
      <c r="B510" s="399" t="s">
        <v>361</v>
      </c>
      <c r="C510" s="399" t="s">
        <v>710</v>
      </c>
      <c r="D510" s="400" t="s">
        <v>363</v>
      </c>
      <c r="E510" s="400" t="s">
        <v>364</v>
      </c>
      <c r="F510" s="400" t="s">
        <v>735</v>
      </c>
      <c r="G510" s="401">
        <v>0.78900000000000003</v>
      </c>
      <c r="H510" s="577"/>
    </row>
    <row r="511" spans="2:8" x14ac:dyDescent="0.3">
      <c r="B511" s="399" t="s">
        <v>361</v>
      </c>
      <c r="C511" s="399" t="s">
        <v>710</v>
      </c>
      <c r="D511" s="400" t="s">
        <v>387</v>
      </c>
      <c r="E511" s="400" t="s">
        <v>364</v>
      </c>
      <c r="F511" s="400" t="s">
        <v>736</v>
      </c>
      <c r="G511" s="401">
        <f>0.123+0.063*28+0.108+0.122+0.141*22</f>
        <v>5.2189999999999994</v>
      </c>
      <c r="H511" s="577"/>
    </row>
    <row r="512" spans="2:8" x14ac:dyDescent="0.3">
      <c r="B512" s="399" t="s">
        <v>361</v>
      </c>
      <c r="C512" s="399" t="s">
        <v>710</v>
      </c>
      <c r="D512" s="400" t="s">
        <v>363</v>
      </c>
      <c r="E512" s="400" t="s">
        <v>364</v>
      </c>
      <c r="F512" s="400" t="s">
        <v>737</v>
      </c>
      <c r="G512" s="401">
        <v>5.6749999999999998</v>
      </c>
      <c r="H512" s="577"/>
    </row>
    <row r="513" spans="2:8" x14ac:dyDescent="0.3">
      <c r="B513" s="399" t="s">
        <v>361</v>
      </c>
      <c r="C513" s="399" t="s">
        <v>710</v>
      </c>
      <c r="D513" s="400" t="s">
        <v>363</v>
      </c>
      <c r="E513" s="400" t="s">
        <v>364</v>
      </c>
      <c r="F513" s="400" t="s">
        <v>738</v>
      </c>
      <c r="G513" s="401">
        <v>5.24</v>
      </c>
      <c r="H513" s="577"/>
    </row>
    <row r="514" spans="2:8" x14ac:dyDescent="0.3">
      <c r="B514" s="399" t="s">
        <v>361</v>
      </c>
      <c r="C514" s="399" t="s">
        <v>710</v>
      </c>
      <c r="D514" s="400" t="s">
        <v>363</v>
      </c>
      <c r="E514" s="400" t="s">
        <v>364</v>
      </c>
      <c r="F514" s="400" t="s">
        <v>739</v>
      </c>
      <c r="G514" s="401">
        <v>0.78900000000000003</v>
      </c>
      <c r="H514" s="577"/>
    </row>
    <row r="515" spans="2:8" x14ac:dyDescent="0.3">
      <c r="B515" s="399" t="s">
        <v>361</v>
      </c>
      <c r="C515" s="399" t="s">
        <v>710</v>
      </c>
      <c r="D515" s="400" t="s">
        <v>387</v>
      </c>
      <c r="E515" s="400" t="s">
        <v>364</v>
      </c>
      <c r="F515" s="400" t="s">
        <v>740</v>
      </c>
      <c r="G515" s="401">
        <f>0.123+0.063*28+0.108+0.122+0.141*22</f>
        <v>5.2189999999999994</v>
      </c>
      <c r="H515" s="577"/>
    </row>
    <row r="516" spans="2:8" x14ac:dyDescent="0.3">
      <c r="B516" s="399" t="s">
        <v>361</v>
      </c>
      <c r="C516" s="399" t="s">
        <v>710</v>
      </c>
      <c r="D516" s="400" t="s">
        <v>363</v>
      </c>
      <c r="E516" s="400" t="s">
        <v>364</v>
      </c>
      <c r="F516" s="400" t="s">
        <v>741</v>
      </c>
      <c r="G516" s="401">
        <v>5.6749999999999998</v>
      </c>
      <c r="H516" s="577"/>
    </row>
    <row r="517" spans="2:8" x14ac:dyDescent="0.3">
      <c r="B517" s="399" t="s">
        <v>361</v>
      </c>
      <c r="C517" s="399" t="s">
        <v>710</v>
      </c>
      <c r="D517" s="400" t="s">
        <v>363</v>
      </c>
      <c r="E517" s="400" t="s">
        <v>364</v>
      </c>
      <c r="F517" s="400" t="s">
        <v>742</v>
      </c>
      <c r="G517" s="401">
        <v>5.24</v>
      </c>
      <c r="H517" s="577"/>
    </row>
    <row r="518" spans="2:8" x14ac:dyDescent="0.3">
      <c r="B518" s="399" t="s">
        <v>361</v>
      </c>
      <c r="C518" s="399" t="s">
        <v>710</v>
      </c>
      <c r="D518" s="400" t="s">
        <v>363</v>
      </c>
      <c r="E518" s="400" t="s">
        <v>364</v>
      </c>
      <c r="F518" s="400" t="s">
        <v>743</v>
      </c>
      <c r="G518" s="401">
        <v>0.78900000000000003</v>
      </c>
      <c r="H518" s="577"/>
    </row>
    <row r="519" spans="2:8" x14ac:dyDescent="0.3">
      <c r="B519" s="399" t="s">
        <v>361</v>
      </c>
      <c r="C519" s="399" t="s">
        <v>710</v>
      </c>
      <c r="D519" s="400" t="s">
        <v>387</v>
      </c>
      <c r="E519" s="400" t="s">
        <v>364</v>
      </c>
      <c r="F519" s="400" t="s">
        <v>744</v>
      </c>
      <c r="G519" s="401">
        <f>0.123+0.063*28+0.108+0.122+0.141*22</f>
        <v>5.2189999999999994</v>
      </c>
      <c r="H519" s="577"/>
    </row>
    <row r="520" spans="2:8" x14ac:dyDescent="0.3">
      <c r="B520" s="399" t="s">
        <v>361</v>
      </c>
      <c r="C520" s="399" t="s">
        <v>710</v>
      </c>
      <c r="D520" s="400" t="s">
        <v>363</v>
      </c>
      <c r="E520" s="400" t="s">
        <v>364</v>
      </c>
      <c r="F520" s="400" t="s">
        <v>745</v>
      </c>
      <c r="G520" s="401">
        <v>5.6749999999999998</v>
      </c>
      <c r="H520" s="577"/>
    </row>
    <row r="521" spans="2:8" x14ac:dyDescent="0.3">
      <c r="B521" s="399" t="s">
        <v>361</v>
      </c>
      <c r="C521" s="399" t="s">
        <v>710</v>
      </c>
      <c r="D521" s="400" t="s">
        <v>363</v>
      </c>
      <c r="E521" s="400" t="s">
        <v>364</v>
      </c>
      <c r="F521" s="400" t="s">
        <v>746</v>
      </c>
      <c r="G521" s="401">
        <v>5.24</v>
      </c>
      <c r="H521" s="577"/>
    </row>
    <row r="522" spans="2:8" x14ac:dyDescent="0.3">
      <c r="B522" s="399" t="s">
        <v>361</v>
      </c>
      <c r="C522" s="399" t="s">
        <v>710</v>
      </c>
      <c r="D522" s="400" t="s">
        <v>363</v>
      </c>
      <c r="E522" s="400" t="s">
        <v>364</v>
      </c>
      <c r="F522" s="400" t="s">
        <v>747</v>
      </c>
      <c r="G522" s="401">
        <v>0.78900000000000003</v>
      </c>
      <c r="H522" s="577"/>
    </row>
    <row r="523" spans="2:8" x14ac:dyDescent="0.3">
      <c r="B523" s="399" t="s">
        <v>361</v>
      </c>
      <c r="C523" s="399" t="s">
        <v>710</v>
      </c>
      <c r="D523" s="400" t="s">
        <v>387</v>
      </c>
      <c r="E523" s="400" t="s">
        <v>364</v>
      </c>
      <c r="F523" s="400" t="s">
        <v>748</v>
      </c>
      <c r="G523" s="401">
        <f>0.123+0.063*28+0.108+0.122+0.141*22</f>
        <v>5.2189999999999994</v>
      </c>
      <c r="H523" s="577"/>
    </row>
    <row r="524" spans="2:8" x14ac:dyDescent="0.3">
      <c r="B524" s="399" t="s">
        <v>361</v>
      </c>
      <c r="C524" s="399" t="s">
        <v>710</v>
      </c>
      <c r="D524" s="400" t="s">
        <v>363</v>
      </c>
      <c r="E524" s="400" t="s">
        <v>364</v>
      </c>
      <c r="F524" s="400" t="s">
        <v>749</v>
      </c>
      <c r="G524" s="401">
        <v>5.6749999999999998</v>
      </c>
      <c r="H524" s="577"/>
    </row>
    <row r="525" spans="2:8" x14ac:dyDescent="0.3">
      <c r="B525" s="399" t="s">
        <v>361</v>
      </c>
      <c r="C525" s="399" t="s">
        <v>710</v>
      </c>
      <c r="D525" s="400" t="s">
        <v>363</v>
      </c>
      <c r="E525" s="400" t="s">
        <v>364</v>
      </c>
      <c r="F525" s="400" t="s">
        <v>750</v>
      </c>
      <c r="G525" s="401">
        <v>5.24</v>
      </c>
      <c r="H525" s="577"/>
    </row>
    <row r="526" spans="2:8" x14ac:dyDescent="0.3">
      <c r="B526" s="399" t="s">
        <v>361</v>
      </c>
      <c r="C526" s="399" t="s">
        <v>710</v>
      </c>
      <c r="D526" s="400" t="s">
        <v>363</v>
      </c>
      <c r="E526" s="400" t="s">
        <v>364</v>
      </c>
      <c r="F526" s="400" t="s">
        <v>751</v>
      </c>
      <c r="G526" s="401">
        <v>0.78900000000000003</v>
      </c>
      <c r="H526" s="577"/>
    </row>
    <row r="527" spans="2:8" x14ac:dyDescent="0.3">
      <c r="B527" s="399" t="s">
        <v>361</v>
      </c>
      <c r="C527" s="399" t="s">
        <v>710</v>
      </c>
      <c r="D527" s="400" t="s">
        <v>387</v>
      </c>
      <c r="E527" s="400" t="s">
        <v>364</v>
      </c>
      <c r="F527" s="400" t="s">
        <v>752</v>
      </c>
      <c r="G527" s="401">
        <f>0.123+0.063*28+0.108+0.122+0.141*22</f>
        <v>5.2189999999999994</v>
      </c>
      <c r="H527" s="577"/>
    </row>
    <row r="528" spans="2:8" x14ac:dyDescent="0.3">
      <c r="B528" s="399" t="s">
        <v>361</v>
      </c>
      <c r="C528" s="399" t="s">
        <v>710</v>
      </c>
      <c r="D528" s="400" t="s">
        <v>363</v>
      </c>
      <c r="E528" s="400" t="s">
        <v>364</v>
      </c>
      <c r="F528" s="400" t="s">
        <v>753</v>
      </c>
      <c r="G528" s="401">
        <v>5.6749999999999998</v>
      </c>
      <c r="H528" s="577"/>
    </row>
    <row r="529" spans="2:8" x14ac:dyDescent="0.3">
      <c r="B529" s="399" t="s">
        <v>361</v>
      </c>
      <c r="C529" s="399" t="s">
        <v>710</v>
      </c>
      <c r="D529" s="400" t="s">
        <v>363</v>
      </c>
      <c r="E529" s="400" t="s">
        <v>364</v>
      </c>
      <c r="F529" s="400" t="s">
        <v>754</v>
      </c>
      <c r="G529" s="401">
        <v>5.24</v>
      </c>
      <c r="H529" s="577"/>
    </row>
    <row r="530" spans="2:8" x14ac:dyDescent="0.3">
      <c r="B530" s="399" t="s">
        <v>361</v>
      </c>
      <c r="C530" s="399" t="s">
        <v>710</v>
      </c>
      <c r="D530" s="400" t="s">
        <v>363</v>
      </c>
      <c r="E530" s="400" t="s">
        <v>364</v>
      </c>
      <c r="F530" s="400" t="s">
        <v>755</v>
      </c>
      <c r="G530" s="401">
        <v>0.78900000000000003</v>
      </c>
      <c r="H530" s="577"/>
    </row>
    <row r="531" spans="2:8" x14ac:dyDescent="0.3">
      <c r="B531" s="399" t="s">
        <v>361</v>
      </c>
      <c r="C531" s="399" t="s">
        <v>710</v>
      </c>
      <c r="D531" s="400" t="s">
        <v>387</v>
      </c>
      <c r="E531" s="400" t="s">
        <v>364</v>
      </c>
      <c r="F531" s="400" t="s">
        <v>756</v>
      </c>
      <c r="G531" s="401">
        <f>0.123+0.063*28+0.108+0.122+0.141*22</f>
        <v>5.2189999999999994</v>
      </c>
      <c r="H531" s="577"/>
    </row>
    <row r="532" spans="2:8" x14ac:dyDescent="0.3">
      <c r="B532" s="399" t="s">
        <v>361</v>
      </c>
      <c r="C532" s="399" t="s">
        <v>710</v>
      </c>
      <c r="D532" s="400" t="s">
        <v>363</v>
      </c>
      <c r="E532" s="400" t="s">
        <v>364</v>
      </c>
      <c r="F532" s="400" t="s">
        <v>757</v>
      </c>
      <c r="G532" s="401">
        <v>5.6749999999999998</v>
      </c>
      <c r="H532" s="577"/>
    </row>
    <row r="533" spans="2:8" x14ac:dyDescent="0.3">
      <c r="B533" s="399" t="s">
        <v>361</v>
      </c>
      <c r="C533" s="399" t="s">
        <v>710</v>
      </c>
      <c r="D533" s="400" t="s">
        <v>363</v>
      </c>
      <c r="E533" s="400" t="s">
        <v>364</v>
      </c>
      <c r="F533" s="400" t="s">
        <v>758</v>
      </c>
      <c r="G533" s="401">
        <v>5.24</v>
      </c>
      <c r="H533" s="577"/>
    </row>
    <row r="534" spans="2:8" x14ac:dyDescent="0.3">
      <c r="B534" s="399" t="s">
        <v>361</v>
      </c>
      <c r="C534" s="399" t="s">
        <v>710</v>
      </c>
      <c r="D534" s="400" t="s">
        <v>363</v>
      </c>
      <c r="E534" s="400" t="s">
        <v>364</v>
      </c>
      <c r="F534" s="400" t="s">
        <v>759</v>
      </c>
      <c r="G534" s="401">
        <v>0.78900000000000003</v>
      </c>
      <c r="H534" s="577"/>
    </row>
    <row r="535" spans="2:8" x14ac:dyDescent="0.3">
      <c r="B535" s="399" t="s">
        <v>361</v>
      </c>
      <c r="C535" s="399" t="s">
        <v>710</v>
      </c>
      <c r="D535" s="400" t="s">
        <v>387</v>
      </c>
      <c r="E535" s="400" t="s">
        <v>364</v>
      </c>
      <c r="F535" s="400" t="s">
        <v>760</v>
      </c>
      <c r="G535" s="401">
        <f>0.123+0.063*28+0.108+0.122+0.141*22</f>
        <v>5.2189999999999994</v>
      </c>
      <c r="H535" s="577"/>
    </row>
    <row r="536" spans="2:8" x14ac:dyDescent="0.3">
      <c r="B536" s="399" t="s">
        <v>361</v>
      </c>
      <c r="C536" s="399" t="s">
        <v>710</v>
      </c>
      <c r="D536" s="400" t="s">
        <v>363</v>
      </c>
      <c r="E536" s="400" t="s">
        <v>364</v>
      </c>
      <c r="F536" s="400" t="s">
        <v>761</v>
      </c>
      <c r="G536" s="401">
        <v>5.6749999999999998</v>
      </c>
      <c r="H536" s="577"/>
    </row>
    <row r="537" spans="2:8" x14ac:dyDescent="0.3">
      <c r="B537" s="399" t="s">
        <v>361</v>
      </c>
      <c r="C537" s="399" t="s">
        <v>710</v>
      </c>
      <c r="D537" s="400" t="s">
        <v>363</v>
      </c>
      <c r="E537" s="400" t="s">
        <v>364</v>
      </c>
      <c r="F537" s="400" t="s">
        <v>762</v>
      </c>
      <c r="G537" s="401">
        <v>5.24</v>
      </c>
      <c r="H537" s="577"/>
    </row>
    <row r="538" spans="2:8" x14ac:dyDescent="0.3">
      <c r="B538" s="399" t="s">
        <v>361</v>
      </c>
      <c r="C538" s="399" t="s">
        <v>710</v>
      </c>
      <c r="D538" s="400" t="s">
        <v>363</v>
      </c>
      <c r="E538" s="400" t="s">
        <v>364</v>
      </c>
      <c r="F538" s="400" t="s">
        <v>763</v>
      </c>
      <c r="G538" s="401">
        <v>0.78900000000000003</v>
      </c>
      <c r="H538" s="577"/>
    </row>
    <row r="539" spans="2:8" x14ac:dyDescent="0.3">
      <c r="B539" s="399" t="s">
        <v>361</v>
      </c>
      <c r="C539" s="399" t="s">
        <v>710</v>
      </c>
      <c r="D539" s="400" t="s">
        <v>387</v>
      </c>
      <c r="E539" s="400" t="s">
        <v>364</v>
      </c>
      <c r="F539" s="400" t="s">
        <v>764</v>
      </c>
      <c r="G539" s="401">
        <f>0.123+0.063*28+0.108+0.122+0.141*22</f>
        <v>5.2189999999999994</v>
      </c>
      <c r="H539" s="577"/>
    </row>
    <row r="540" spans="2:8" x14ac:dyDescent="0.3">
      <c r="B540" s="399" t="s">
        <v>361</v>
      </c>
      <c r="C540" s="399" t="s">
        <v>710</v>
      </c>
      <c r="D540" s="400" t="s">
        <v>363</v>
      </c>
      <c r="E540" s="400" t="s">
        <v>364</v>
      </c>
      <c r="F540" s="400" t="s">
        <v>765</v>
      </c>
      <c r="G540" s="401">
        <v>5.6749999999999998</v>
      </c>
      <c r="H540" s="577"/>
    </row>
    <row r="541" spans="2:8" x14ac:dyDescent="0.3">
      <c r="B541" s="399" t="s">
        <v>361</v>
      </c>
      <c r="C541" s="399" t="s">
        <v>710</v>
      </c>
      <c r="D541" s="400" t="s">
        <v>363</v>
      </c>
      <c r="E541" s="400" t="s">
        <v>364</v>
      </c>
      <c r="F541" s="400" t="s">
        <v>766</v>
      </c>
      <c r="G541" s="401">
        <v>5.24</v>
      </c>
      <c r="H541" s="577"/>
    </row>
    <row r="542" spans="2:8" x14ac:dyDescent="0.3">
      <c r="B542" s="399" t="s">
        <v>361</v>
      </c>
      <c r="C542" s="399" t="s">
        <v>710</v>
      </c>
      <c r="D542" s="400" t="s">
        <v>363</v>
      </c>
      <c r="E542" s="400" t="s">
        <v>364</v>
      </c>
      <c r="F542" s="400" t="s">
        <v>767</v>
      </c>
      <c r="G542" s="401">
        <v>0.78900000000000003</v>
      </c>
      <c r="H542" s="577"/>
    </row>
    <row r="543" spans="2:8" x14ac:dyDescent="0.3">
      <c r="B543" s="399" t="s">
        <v>361</v>
      </c>
      <c r="C543" s="399" t="s">
        <v>710</v>
      </c>
      <c r="D543" s="400" t="s">
        <v>387</v>
      </c>
      <c r="E543" s="400" t="s">
        <v>364</v>
      </c>
      <c r="F543" s="400" t="s">
        <v>768</v>
      </c>
      <c r="G543" s="401">
        <f>0.123+0.063*28+0.108+0.122+0.141*22</f>
        <v>5.2189999999999994</v>
      </c>
      <c r="H543" s="577"/>
    </row>
    <row r="544" spans="2:8" x14ac:dyDescent="0.3">
      <c r="B544" s="399" t="s">
        <v>361</v>
      </c>
      <c r="C544" s="399" t="s">
        <v>710</v>
      </c>
      <c r="D544" s="400" t="s">
        <v>363</v>
      </c>
      <c r="E544" s="400" t="s">
        <v>364</v>
      </c>
      <c r="F544" s="400" t="s">
        <v>769</v>
      </c>
      <c r="G544" s="401">
        <v>5.6749999999999998</v>
      </c>
      <c r="H544" s="577"/>
    </row>
    <row r="545" spans="2:8" x14ac:dyDescent="0.3">
      <c r="B545" s="399" t="s">
        <v>361</v>
      </c>
      <c r="C545" s="399" t="s">
        <v>710</v>
      </c>
      <c r="D545" s="400" t="s">
        <v>363</v>
      </c>
      <c r="E545" s="400" t="s">
        <v>364</v>
      </c>
      <c r="F545" s="400" t="s">
        <v>770</v>
      </c>
      <c r="G545" s="401">
        <v>5.24</v>
      </c>
      <c r="H545" s="577"/>
    </row>
    <row r="546" spans="2:8" x14ac:dyDescent="0.3">
      <c r="B546" s="399" t="s">
        <v>361</v>
      </c>
      <c r="C546" s="399" t="s">
        <v>710</v>
      </c>
      <c r="D546" s="400" t="s">
        <v>363</v>
      </c>
      <c r="E546" s="400" t="s">
        <v>364</v>
      </c>
      <c r="F546" s="400" t="s">
        <v>771</v>
      </c>
      <c r="G546" s="401">
        <v>0.78900000000000003</v>
      </c>
      <c r="H546" s="577"/>
    </row>
    <row r="547" spans="2:8" x14ac:dyDescent="0.3">
      <c r="B547" s="399" t="s">
        <v>361</v>
      </c>
      <c r="C547" s="399" t="s">
        <v>710</v>
      </c>
      <c r="D547" s="400" t="s">
        <v>387</v>
      </c>
      <c r="E547" s="400" t="s">
        <v>364</v>
      </c>
      <c r="F547" s="400" t="s">
        <v>772</v>
      </c>
      <c r="G547" s="401">
        <f>0.123+0.063*28+0.108+0.122+0.141*22</f>
        <v>5.2189999999999994</v>
      </c>
      <c r="H547" s="577"/>
    </row>
    <row r="548" spans="2:8" x14ac:dyDescent="0.3">
      <c r="B548" s="399" t="s">
        <v>361</v>
      </c>
      <c r="C548" s="399" t="s">
        <v>710</v>
      </c>
      <c r="D548" s="400" t="s">
        <v>363</v>
      </c>
      <c r="E548" s="400" t="s">
        <v>364</v>
      </c>
      <c r="F548" s="400" t="s">
        <v>773</v>
      </c>
      <c r="G548" s="401">
        <v>5.6749999999999998</v>
      </c>
      <c r="H548" s="577"/>
    </row>
    <row r="549" spans="2:8" x14ac:dyDescent="0.3">
      <c r="B549" s="399" t="s">
        <v>361</v>
      </c>
      <c r="C549" s="399" t="s">
        <v>710</v>
      </c>
      <c r="D549" s="400" t="s">
        <v>363</v>
      </c>
      <c r="E549" s="400" t="s">
        <v>364</v>
      </c>
      <c r="F549" s="400" t="s">
        <v>774</v>
      </c>
      <c r="G549" s="401">
        <v>5.24</v>
      </c>
      <c r="H549" s="577"/>
    </row>
    <row r="550" spans="2:8" x14ac:dyDescent="0.3">
      <c r="B550" s="399" t="s">
        <v>361</v>
      </c>
      <c r="C550" s="399" t="s">
        <v>710</v>
      </c>
      <c r="D550" s="400" t="s">
        <v>363</v>
      </c>
      <c r="E550" s="400" t="s">
        <v>364</v>
      </c>
      <c r="F550" s="400" t="s">
        <v>775</v>
      </c>
      <c r="G550" s="401">
        <v>0.78900000000000003</v>
      </c>
      <c r="H550" s="577"/>
    </row>
    <row r="551" spans="2:8" x14ac:dyDescent="0.3">
      <c r="B551" s="399" t="s">
        <v>361</v>
      </c>
      <c r="C551" s="399" t="s">
        <v>776</v>
      </c>
      <c r="D551" s="400" t="s">
        <v>390</v>
      </c>
      <c r="E551" s="400" t="s">
        <v>364</v>
      </c>
      <c r="F551" s="400" t="s">
        <v>777</v>
      </c>
      <c r="G551" s="401">
        <f>47.61*2+33.346*2+2.057+2.337+53.292+53.55+15.364</f>
        <v>288.51199999999994</v>
      </c>
      <c r="H551" s="577"/>
    </row>
    <row r="552" spans="2:8" x14ac:dyDescent="0.3">
      <c r="B552" s="399" t="s">
        <v>361</v>
      </c>
      <c r="C552" s="399" t="s">
        <v>776</v>
      </c>
      <c r="D552" s="400" t="s">
        <v>363</v>
      </c>
      <c r="E552" s="400" t="s">
        <v>364</v>
      </c>
      <c r="F552" s="400" t="s">
        <v>778</v>
      </c>
      <c r="G552" s="401">
        <v>5.2030000000000003</v>
      </c>
      <c r="H552" s="577"/>
    </row>
    <row r="553" spans="2:8" x14ac:dyDescent="0.3">
      <c r="B553" s="399" t="s">
        <v>361</v>
      </c>
      <c r="C553" s="399" t="s">
        <v>776</v>
      </c>
      <c r="D553" s="400" t="s">
        <v>389</v>
      </c>
      <c r="E553" s="400" t="s">
        <v>364</v>
      </c>
      <c r="F553" s="400" t="s">
        <v>779</v>
      </c>
      <c r="G553" s="401">
        <f>2.565+3.945+4.803</f>
        <v>11.312999999999999</v>
      </c>
      <c r="H553" s="577"/>
    </row>
    <row r="554" spans="2:8" x14ac:dyDescent="0.3">
      <c r="B554" s="399" t="s">
        <v>361</v>
      </c>
      <c r="C554" s="399" t="s">
        <v>776</v>
      </c>
      <c r="D554" s="400" t="s">
        <v>363</v>
      </c>
      <c r="E554" s="400" t="s">
        <v>364</v>
      </c>
      <c r="F554" s="400" t="s">
        <v>780</v>
      </c>
      <c r="G554" s="401">
        <v>0.47399999999999998</v>
      </c>
      <c r="H554" s="577"/>
    </row>
    <row r="555" spans="2:8" x14ac:dyDescent="0.3">
      <c r="B555" s="399" t="s">
        <v>361</v>
      </c>
      <c r="C555" s="399" t="s">
        <v>776</v>
      </c>
      <c r="D555" s="400" t="s">
        <v>363</v>
      </c>
      <c r="E555" s="400" t="s">
        <v>364</v>
      </c>
      <c r="F555" s="400" t="s">
        <v>781</v>
      </c>
      <c r="G555" s="401">
        <f>0.702+0.2</f>
        <v>0.90199999999999991</v>
      </c>
      <c r="H555" s="577"/>
    </row>
    <row r="556" spans="2:8" x14ac:dyDescent="0.3">
      <c r="B556" s="399" t="s">
        <v>361</v>
      </c>
      <c r="C556" s="399" t="s">
        <v>776</v>
      </c>
      <c r="D556" s="400" t="s">
        <v>396</v>
      </c>
      <c r="E556" s="400" t="s">
        <v>364</v>
      </c>
      <c r="F556" s="400" t="s">
        <v>782</v>
      </c>
      <c r="G556" s="401">
        <f>0.097+0.114+0.113+0.112+0.112*5+0.459</f>
        <v>1.4550000000000001</v>
      </c>
      <c r="H556" s="577"/>
    </row>
    <row r="557" spans="2:8" x14ac:dyDescent="0.3">
      <c r="B557" s="399" t="s">
        <v>361</v>
      </c>
      <c r="C557" s="399" t="s">
        <v>776</v>
      </c>
      <c r="D557" s="400" t="s">
        <v>363</v>
      </c>
      <c r="E557" s="400" t="s">
        <v>364</v>
      </c>
      <c r="F557" s="400" t="s">
        <v>783</v>
      </c>
      <c r="G557" s="401">
        <v>2.323</v>
      </c>
      <c r="H557" s="577"/>
    </row>
    <row r="558" spans="2:8" x14ac:dyDescent="0.3">
      <c r="B558" s="399" t="s">
        <v>361</v>
      </c>
      <c r="C558" s="399" t="s">
        <v>776</v>
      </c>
      <c r="D558" s="400" t="s">
        <v>363</v>
      </c>
      <c r="E558" s="400" t="s">
        <v>364</v>
      </c>
      <c r="F558" s="400" t="s">
        <v>784</v>
      </c>
      <c r="G558" s="401">
        <v>3.1269999999999998</v>
      </c>
      <c r="H558" s="577"/>
    </row>
    <row r="559" spans="2:8" x14ac:dyDescent="0.3">
      <c r="B559" s="399" t="s">
        <v>361</v>
      </c>
      <c r="C559" s="399" t="s">
        <v>776</v>
      </c>
      <c r="D559" s="400" t="s">
        <v>396</v>
      </c>
      <c r="E559" s="400" t="s">
        <v>364</v>
      </c>
      <c r="F559" s="400" t="s">
        <v>785</v>
      </c>
      <c r="G559" s="401">
        <f>1.797+0.084+0.182+0.282+0.362+0.456+0.554+0.644+0.625+0.576</f>
        <v>5.5620000000000003</v>
      </c>
      <c r="H559" s="577"/>
    </row>
    <row r="560" spans="2:8" x14ac:dyDescent="0.3">
      <c r="B560" s="399" t="s">
        <v>361</v>
      </c>
      <c r="C560" s="399" t="s">
        <v>776</v>
      </c>
      <c r="D560" s="400" t="s">
        <v>363</v>
      </c>
      <c r="E560" s="400" t="s">
        <v>364</v>
      </c>
      <c r="F560" s="400" t="s">
        <v>786</v>
      </c>
      <c r="G560" s="401">
        <v>5.8890000000000002</v>
      </c>
      <c r="H560" s="577"/>
    </row>
    <row r="561" spans="2:8" x14ac:dyDescent="0.3">
      <c r="B561" s="399" t="s">
        <v>361</v>
      </c>
      <c r="C561" s="399" t="s">
        <v>776</v>
      </c>
      <c r="D561" s="400" t="s">
        <v>396</v>
      </c>
      <c r="E561" s="400" t="s">
        <v>364</v>
      </c>
      <c r="F561" s="400" t="s">
        <v>787</v>
      </c>
      <c r="G561" s="401">
        <f>3.72</f>
        <v>3.72</v>
      </c>
      <c r="H561" s="577"/>
    </row>
    <row r="562" spans="2:8" x14ac:dyDescent="0.3">
      <c r="B562" s="399" t="s">
        <v>361</v>
      </c>
      <c r="C562" s="399" t="s">
        <v>776</v>
      </c>
      <c r="D562" s="400" t="s">
        <v>363</v>
      </c>
      <c r="E562" s="400" t="s">
        <v>364</v>
      </c>
      <c r="F562" s="400" t="s">
        <v>788</v>
      </c>
      <c r="G562" s="401">
        <v>7.625</v>
      </c>
      <c r="H562" s="577"/>
    </row>
    <row r="563" spans="2:8" x14ac:dyDescent="0.3">
      <c r="B563" s="399" t="s">
        <v>361</v>
      </c>
      <c r="C563" s="399" t="s">
        <v>776</v>
      </c>
      <c r="D563" s="400" t="s">
        <v>396</v>
      </c>
      <c r="E563" s="400" t="s">
        <v>364</v>
      </c>
      <c r="F563" s="400" t="s">
        <v>789</v>
      </c>
      <c r="G563" s="401">
        <v>0.42599999999999999</v>
      </c>
      <c r="H563" s="577"/>
    </row>
    <row r="564" spans="2:8" x14ac:dyDescent="0.3">
      <c r="B564" s="399" t="s">
        <v>361</v>
      </c>
      <c r="C564" s="399" t="s">
        <v>776</v>
      </c>
      <c r="D564" s="400" t="s">
        <v>363</v>
      </c>
      <c r="E564" s="400" t="s">
        <v>364</v>
      </c>
      <c r="F564" s="400" t="s">
        <v>790</v>
      </c>
      <c r="G564" s="401">
        <v>0.33</v>
      </c>
      <c r="H564" s="577"/>
    </row>
    <row r="565" spans="2:8" x14ac:dyDescent="0.3">
      <c r="B565" s="399" t="s">
        <v>361</v>
      </c>
      <c r="C565" s="399" t="s">
        <v>776</v>
      </c>
      <c r="D565" s="400" t="s">
        <v>363</v>
      </c>
      <c r="E565" s="400" t="s">
        <v>364</v>
      </c>
      <c r="F565" s="400" t="s">
        <v>791</v>
      </c>
      <c r="G565" s="401">
        <f>1.498+1.552+4.04+3.605</f>
        <v>10.695</v>
      </c>
      <c r="H565" s="577"/>
    </row>
    <row r="566" spans="2:8" x14ac:dyDescent="0.3">
      <c r="B566" s="399" t="s">
        <v>361</v>
      </c>
      <c r="C566" s="399" t="s">
        <v>776</v>
      </c>
      <c r="D566" s="400" t="s">
        <v>396</v>
      </c>
      <c r="E566" s="400" t="s">
        <v>364</v>
      </c>
      <c r="F566" s="400" t="s">
        <v>792</v>
      </c>
      <c r="G566" s="401">
        <f>0.132*4+0.65*4+0.489+0.133*11+0.644*5+0.625*7+0.059+0.135*12+0.275+0.625+0.612*5+0.63*5+0.135+0.577+1.646+0.0701+0.137*11+0.606*11+0.54+0.136*12+0.43+0.611+0.605*10+0.134*12+0.537+0.607*2+0.331*9+3.226+0.319+0.618+0.141</f>
        <v>51.970099999999988</v>
      </c>
      <c r="H566" s="577"/>
    </row>
    <row r="567" spans="2:8" x14ac:dyDescent="0.3">
      <c r="B567" s="399" t="s">
        <v>361</v>
      </c>
      <c r="C567" s="399" t="s">
        <v>776</v>
      </c>
      <c r="D567" s="400" t="s">
        <v>363</v>
      </c>
      <c r="E567" s="400" t="s">
        <v>364</v>
      </c>
      <c r="F567" s="400" t="s">
        <v>793</v>
      </c>
      <c r="G567" s="401">
        <f>1.016+10.848+2.687+2.208+8.655+1.028+2.173</f>
        <v>28.615000000000002</v>
      </c>
      <c r="H567" s="577"/>
    </row>
    <row r="568" spans="2:8" x14ac:dyDescent="0.3">
      <c r="B568" s="399" t="s">
        <v>361</v>
      </c>
      <c r="C568" s="399" t="s">
        <v>776</v>
      </c>
      <c r="D568" s="400" t="s">
        <v>363</v>
      </c>
      <c r="E568" s="400" t="s">
        <v>364</v>
      </c>
      <c r="F568" s="400" t="s">
        <v>794</v>
      </c>
      <c r="G568" s="401">
        <f>6.603+29.507+3.519</f>
        <v>39.628999999999998</v>
      </c>
      <c r="H568" s="577"/>
    </row>
    <row r="569" spans="2:8" x14ac:dyDescent="0.3">
      <c r="B569" s="399" t="s">
        <v>361</v>
      </c>
      <c r="C569" s="399" t="s">
        <v>776</v>
      </c>
      <c r="D569" s="400" t="s">
        <v>363</v>
      </c>
      <c r="E569" s="400" t="s">
        <v>364</v>
      </c>
      <c r="F569" s="400" t="s">
        <v>795</v>
      </c>
      <c r="G569" s="401">
        <f>2.44+7.002+3.065+2.33+8.369+4.219+4.135+1.527+2.037+2.995</f>
        <v>38.119</v>
      </c>
      <c r="H569" s="577"/>
    </row>
    <row r="570" spans="2:8" x14ac:dyDescent="0.3">
      <c r="B570" s="399" t="s">
        <v>361</v>
      </c>
      <c r="C570" s="399" t="s">
        <v>776</v>
      </c>
      <c r="D570" s="400" t="s">
        <v>363</v>
      </c>
      <c r="E570" s="400" t="s">
        <v>364</v>
      </c>
      <c r="F570" s="400" t="s">
        <v>796</v>
      </c>
      <c r="G570" s="401">
        <f>22.441+1.153+10.948+11.886+11.899+7.96</f>
        <v>66.286999999999992</v>
      </c>
      <c r="H570" s="577"/>
    </row>
    <row r="571" spans="2:8" x14ac:dyDescent="0.3">
      <c r="B571" s="399" t="s">
        <v>361</v>
      </c>
      <c r="C571" s="399" t="s">
        <v>776</v>
      </c>
      <c r="D571" s="400" t="s">
        <v>363</v>
      </c>
      <c r="E571" s="400" t="s">
        <v>364</v>
      </c>
      <c r="F571" s="400" t="s">
        <v>797</v>
      </c>
      <c r="G571" s="401">
        <f>1.758+3.783+4.131+6.252</f>
        <v>15.923999999999999</v>
      </c>
      <c r="H571" s="577"/>
    </row>
    <row r="572" spans="2:8" x14ac:dyDescent="0.3">
      <c r="B572" s="399" t="s">
        <v>361</v>
      </c>
      <c r="C572" s="399" t="s">
        <v>776</v>
      </c>
      <c r="D572" s="400" t="s">
        <v>396</v>
      </c>
      <c r="E572" s="400" t="s">
        <v>364</v>
      </c>
      <c r="F572" s="400" t="s">
        <v>798</v>
      </c>
      <c r="G572" s="401">
        <f>0.324+1.899+0.303+0.559+1.704+2.539+0.632+2.175+0.134*11+0.649*12+0.047+0.134*12+0.37+0.649*12+0.132*12+0.633+0.648*11+0.288+0.135*12+0.648*12+0.136*4+0.648*4+0.622+0.133*9+0.648*4+0.595+0.44+0.278+0.123+0.135+0.135+0.086+0.117</f>
        <v>57.694999999999972</v>
      </c>
      <c r="H572" s="577"/>
    </row>
    <row r="573" spans="2:8" x14ac:dyDescent="0.3">
      <c r="B573" s="399" t="s">
        <v>361</v>
      </c>
      <c r="C573" s="399" t="s">
        <v>776</v>
      </c>
      <c r="D573" s="400" t="s">
        <v>363</v>
      </c>
      <c r="E573" s="400" t="s">
        <v>364</v>
      </c>
      <c r="F573" s="400" t="s">
        <v>799</v>
      </c>
      <c r="G573" s="401">
        <f>1.328+1.791+7.459+1.267+1.747+7.431+1.274+1.803+7.351+1.302+1.834+7.383+1.311+1.75+1.425+6.025+1.277+1.75+7.387+1.207+1.874+7.44+1.276+1.703+7.413+1.321+1.711+7.454+1.31+1.615+7.43+1.524+7.387+0.737+1.16+4.989</f>
        <v>120.44599999999997</v>
      </c>
      <c r="H573" s="577"/>
    </row>
    <row r="574" spans="2:8" x14ac:dyDescent="0.3">
      <c r="B574" s="399" t="s">
        <v>361</v>
      </c>
      <c r="C574" s="399" t="s">
        <v>776</v>
      </c>
      <c r="D574" s="400" t="s">
        <v>387</v>
      </c>
      <c r="E574" s="400" t="s">
        <v>364</v>
      </c>
      <c r="F574" s="400" t="s">
        <v>800</v>
      </c>
      <c r="G574" s="401">
        <f>2.0779*8.8+1.131+1.112+0.921*3.1433*2+5</f>
        <v>31.318478599999999</v>
      </c>
      <c r="H574" s="577"/>
    </row>
    <row r="575" spans="2:8" x14ac:dyDescent="0.3">
      <c r="B575" s="399" t="s">
        <v>361</v>
      </c>
      <c r="C575" s="399" t="s">
        <v>776</v>
      </c>
      <c r="D575" s="400" t="s">
        <v>392</v>
      </c>
      <c r="E575" s="400" t="s">
        <v>364</v>
      </c>
      <c r="F575" s="400" t="s">
        <v>801</v>
      </c>
      <c r="G575" s="401">
        <f>4.451*2+1.04*2+4.789*2+2.4817*43*0.06*2+6.609*2</f>
        <v>46.583572000000004</v>
      </c>
      <c r="H575" s="577"/>
    </row>
    <row r="576" spans="2:8" x14ac:dyDescent="0.3">
      <c r="B576" s="399" t="s">
        <v>361</v>
      </c>
      <c r="C576" s="399" t="s">
        <v>776</v>
      </c>
      <c r="D576" s="400" t="s">
        <v>390</v>
      </c>
      <c r="E576" s="400" t="s">
        <v>364</v>
      </c>
      <c r="F576" s="400" t="s">
        <v>802</v>
      </c>
      <c r="G576" s="401">
        <f>118.81*2</f>
        <v>237.62</v>
      </c>
      <c r="H576" s="577"/>
    </row>
    <row r="577" spans="2:8" x14ac:dyDescent="0.3">
      <c r="B577" s="399" t="s">
        <v>361</v>
      </c>
      <c r="C577" s="399" t="s">
        <v>776</v>
      </c>
      <c r="D577" s="400" t="s">
        <v>389</v>
      </c>
      <c r="E577" s="400" t="s">
        <v>364</v>
      </c>
      <c r="F577" s="400" t="s">
        <v>803</v>
      </c>
      <c r="G577" s="401">
        <f>45+2.585+3.68+4.434</f>
        <v>55.698999999999998</v>
      </c>
      <c r="H577" s="577"/>
    </row>
    <row r="578" spans="2:8" x14ac:dyDescent="0.3">
      <c r="B578" s="399" t="s">
        <v>361</v>
      </c>
      <c r="C578" s="399" t="s">
        <v>776</v>
      </c>
      <c r="D578" s="400" t="s">
        <v>370</v>
      </c>
      <c r="E578" s="400" t="s">
        <v>364</v>
      </c>
      <c r="F578" s="400" t="s">
        <v>804</v>
      </c>
      <c r="G578" s="401">
        <f>0.584+0.659+0.778+0.159+0.755+0.736+1.499+0.584+0.585+0.891+0.539+0.755+0.755+1.576+0.727+0.716+0.78+0.585+0.659+0.0716+0.684+1.34+0.585+0.78+0.949+0.872+1.596+0.584+0.742+0.965+0.944+1.435+0.585+0.744+0.987+0.897+1.419+0.744+0.925+0.755+1.435+0.585*7+0.824+0.681+0.971+0.775+0.778+0.709+0.761+0.659+0.659+0.716+0.716+0.911+0.778+0.793+0.749+0.755+0.75+0.703+0.755+1.635+1.306+0.419+1.467+1.378+1.866</f>
        <v>60.9696</v>
      </c>
      <c r="H578" s="577"/>
    </row>
    <row r="579" spans="2:8" x14ac:dyDescent="0.3">
      <c r="B579" s="399" t="s">
        <v>361</v>
      </c>
      <c r="C579" s="399" t="s">
        <v>369</v>
      </c>
      <c r="D579" s="400" t="s">
        <v>390</v>
      </c>
      <c r="E579" s="400" t="s">
        <v>364</v>
      </c>
      <c r="F579" s="400" t="s">
        <v>805</v>
      </c>
      <c r="G579" s="401">
        <v>284.904</v>
      </c>
      <c r="H579" s="577"/>
    </row>
    <row r="580" spans="2:8" x14ac:dyDescent="0.3">
      <c r="B580" s="399" t="s">
        <v>361</v>
      </c>
      <c r="C580" s="399" t="s">
        <v>369</v>
      </c>
      <c r="D580" s="400" t="s">
        <v>390</v>
      </c>
      <c r="E580" s="400" t="s">
        <v>364</v>
      </c>
      <c r="F580" s="400" t="s">
        <v>806</v>
      </c>
      <c r="G580" s="401">
        <f>(133*10-5.8*11)*0.06</f>
        <v>75.971999999999994</v>
      </c>
      <c r="H580" s="577"/>
    </row>
    <row r="581" spans="2:8" x14ac:dyDescent="0.3">
      <c r="B581" s="399" t="s">
        <v>361</v>
      </c>
      <c r="C581" s="399" t="s">
        <v>369</v>
      </c>
      <c r="D581" s="400" t="s">
        <v>363</v>
      </c>
      <c r="E581" s="400" t="s">
        <v>364</v>
      </c>
      <c r="F581" s="400" t="s">
        <v>807</v>
      </c>
      <c r="G581" s="401">
        <v>32.737000000000002</v>
      </c>
      <c r="H581" s="577"/>
    </row>
    <row r="582" spans="2:8" x14ac:dyDescent="0.3">
      <c r="B582" s="399" t="s">
        <v>361</v>
      </c>
      <c r="C582" s="399" t="s">
        <v>369</v>
      </c>
      <c r="D582" s="400" t="s">
        <v>363</v>
      </c>
      <c r="E582" s="400" t="s">
        <v>364</v>
      </c>
      <c r="F582" s="400" t="s">
        <v>808</v>
      </c>
      <c r="G582" s="401">
        <v>4.5810000000000004</v>
      </c>
      <c r="H582" s="577"/>
    </row>
    <row r="583" spans="2:8" x14ac:dyDescent="0.3">
      <c r="B583" s="399" t="s">
        <v>361</v>
      </c>
      <c r="C583" s="399" t="s">
        <v>369</v>
      </c>
      <c r="D583" s="400" t="s">
        <v>363</v>
      </c>
      <c r="E583" s="400" t="s">
        <v>364</v>
      </c>
      <c r="F583" s="394" t="s">
        <v>809</v>
      </c>
      <c r="G583" s="401">
        <v>33.651000000000003</v>
      </c>
      <c r="H583" s="577"/>
    </row>
    <row r="584" spans="2:8" x14ac:dyDescent="0.3">
      <c r="B584" s="399" t="s">
        <v>361</v>
      </c>
      <c r="C584" s="399" t="s">
        <v>369</v>
      </c>
      <c r="D584" s="400" t="s">
        <v>396</v>
      </c>
      <c r="E584" s="400" t="s">
        <v>364</v>
      </c>
      <c r="F584" s="400" t="s">
        <v>810</v>
      </c>
      <c r="G584" s="401">
        <f>6.714+7.14+4.574+0.583+0.625+0.619*16+0.52+0.624+0.619*16+0.611+0.527+0.624+0.619*3+0.563+1.004+0.62*7+0.569+1.004+0.62*4+0.214+0.138+0.62+0.62*17+0.597+0.536+0.621*17+0.542+0.621*0.621*18+0.535+0.621*17+0.584+0.61+0.209*17+0.62+0.525+1.974+0.62*17+0.514+0.551+0.62*17+0.594+0.619*17+0.439</f>
        <v>137.51153799999994</v>
      </c>
      <c r="H584" s="577"/>
    </row>
    <row r="585" spans="2:8" x14ac:dyDescent="0.3">
      <c r="B585" s="399" t="s">
        <v>361</v>
      </c>
      <c r="C585" s="399" t="s">
        <v>369</v>
      </c>
      <c r="D585" s="400" t="s">
        <v>363</v>
      </c>
      <c r="E585" s="400" t="s">
        <v>364</v>
      </c>
      <c r="F585" s="400" t="s">
        <v>811</v>
      </c>
      <c r="G585" s="401">
        <f>1.96*2</f>
        <v>3.92</v>
      </c>
      <c r="H585" s="577"/>
    </row>
    <row r="586" spans="2:8" x14ac:dyDescent="0.3">
      <c r="B586" s="399" t="s">
        <v>361</v>
      </c>
      <c r="C586" s="399" t="s">
        <v>369</v>
      </c>
      <c r="D586" s="400" t="s">
        <v>363</v>
      </c>
      <c r="E586" s="400" t="s">
        <v>364</v>
      </c>
      <c r="F586" s="400" t="s">
        <v>812</v>
      </c>
      <c r="G586" s="401">
        <v>2.0030000000000001</v>
      </c>
      <c r="H586" s="577"/>
    </row>
    <row r="587" spans="2:8" x14ac:dyDescent="0.3">
      <c r="B587" s="399" t="s">
        <v>361</v>
      </c>
      <c r="C587" s="399" t="s">
        <v>369</v>
      </c>
      <c r="D587" s="400" t="s">
        <v>363</v>
      </c>
      <c r="E587" s="400" t="s">
        <v>364</v>
      </c>
      <c r="F587" s="400" t="s">
        <v>813</v>
      </c>
      <c r="G587" s="401">
        <v>3.242</v>
      </c>
      <c r="H587" s="577"/>
    </row>
    <row r="588" spans="2:8" x14ac:dyDescent="0.3">
      <c r="B588" s="399" t="s">
        <v>361</v>
      </c>
      <c r="C588" s="399" t="s">
        <v>369</v>
      </c>
      <c r="D588" s="400" t="s">
        <v>363</v>
      </c>
      <c r="E588" s="400" t="s">
        <v>364</v>
      </c>
      <c r="F588" s="400" t="s">
        <v>814</v>
      </c>
      <c r="G588" s="401">
        <v>3.3380000000000001</v>
      </c>
      <c r="H588" s="577"/>
    </row>
    <row r="589" spans="2:8" x14ac:dyDescent="0.3">
      <c r="B589" s="399" t="s">
        <v>361</v>
      </c>
      <c r="C589" s="399" t="s">
        <v>369</v>
      </c>
      <c r="D589" s="400" t="s">
        <v>363</v>
      </c>
      <c r="E589" s="400" t="s">
        <v>364</v>
      </c>
      <c r="F589" s="400" t="s">
        <v>815</v>
      </c>
      <c r="G589" s="401">
        <v>1.9730000000000001</v>
      </c>
      <c r="H589" s="577"/>
    </row>
    <row r="590" spans="2:8" x14ac:dyDescent="0.3">
      <c r="B590" s="399" t="s">
        <v>361</v>
      </c>
      <c r="C590" s="399" t="s">
        <v>369</v>
      </c>
      <c r="D590" s="400" t="s">
        <v>370</v>
      </c>
      <c r="E590" s="400" t="s">
        <v>364</v>
      </c>
      <c r="F590" s="400" t="s">
        <v>816</v>
      </c>
      <c r="G590" s="401">
        <f>1.523+0.425+0.484+1.739+0.114+0.071+0.12+0.078+2.294+0.121+0.119+2.433+0.145+0.096+2.185+0.084+1.37+0.083+0.141+0.143+1.821+0.124+0.119+2.449+0.993+1.389+1.536+1.009+0.991+2.531+0.127+0.709+1.096+1.655+2.386</f>
        <v>32.702999999999996</v>
      </c>
      <c r="H590" s="577"/>
    </row>
    <row r="591" spans="2:8" x14ac:dyDescent="0.3">
      <c r="B591" s="399" t="s">
        <v>361</v>
      </c>
      <c r="C591" s="399" t="s">
        <v>369</v>
      </c>
      <c r="D591" s="400" t="s">
        <v>370</v>
      </c>
      <c r="E591" s="400" t="s">
        <v>364</v>
      </c>
      <c r="F591" s="400" t="s">
        <v>817</v>
      </c>
      <c r="G591" s="401">
        <f>1.955+2.014+2.381*2+1.955+1.759+1.955+1.955+1.992+3.716+1.929+2.175</f>
        <v>26.167000000000002</v>
      </c>
      <c r="H591" s="577"/>
    </row>
    <row r="592" spans="2:8" x14ac:dyDescent="0.3">
      <c r="B592" s="399" t="s">
        <v>361</v>
      </c>
      <c r="C592" s="399" t="s">
        <v>369</v>
      </c>
      <c r="D592" s="400" t="s">
        <v>370</v>
      </c>
      <c r="E592" s="400" t="s">
        <v>364</v>
      </c>
      <c r="F592" s="400" t="s">
        <v>818</v>
      </c>
      <c r="G592" s="401">
        <f>6.111+6.199+5.766*4+4.266+3.307+4.41*2+5.766+4.41+5.766+5.699+4.844+5.766+4.915+5.766+5.766+5.046+4.41+6.163+3.307*2+4.41*2+5.766*2+0.126</f>
        <v>143.17600000000004</v>
      </c>
      <c r="H592" s="577"/>
    </row>
    <row r="593" spans="2:8" x14ac:dyDescent="0.3">
      <c r="B593" s="399" t="s">
        <v>361</v>
      </c>
      <c r="C593" s="399" t="s">
        <v>369</v>
      </c>
      <c r="D593" s="400" t="s">
        <v>363</v>
      </c>
      <c r="E593" s="400" t="s">
        <v>364</v>
      </c>
      <c r="F593" s="400" t="s">
        <v>819</v>
      </c>
      <c r="G593" s="401">
        <f>4.895+12.395+3.564+4.025+4.027+4.189+6.212+6.266+6.264+6.433+3.86+3.682+4.184+3.637+3.556+2.279+3.466+4.408+3.519+3.569+6.574+6.431+6.935+6.448+6.247+6.222+6.799+13.061+3.563*2</f>
        <v>160.273</v>
      </c>
      <c r="H593" s="577"/>
    </row>
    <row r="594" spans="2:8" x14ac:dyDescent="0.3">
      <c r="B594" s="399" t="s">
        <v>361</v>
      </c>
      <c r="C594" s="399" t="s">
        <v>369</v>
      </c>
      <c r="D594" s="400" t="s">
        <v>396</v>
      </c>
      <c r="E594" s="400" t="s">
        <v>364</v>
      </c>
      <c r="F594" s="400" t="s">
        <v>820</v>
      </c>
      <c r="G594" s="401">
        <f>1.186+1.335*4+1.255*2+0.533*3+0.489+0.699+1.275+0.078+0.133+0.955+0.825+0.957+1.136+1.241+0.486*2+0.503+0.489+0.56*5+2.519+2.68*5+11.25+0.971*2+5.15+5.167+3.78+5.042+6.295+6.165+1.207*2+0.473+0.466*3+1.262+0.957+0.959+1.275+0.456+0.422+1.328*4+1.272*2+0.528*3+0.981*2+1.272*2+0.523*3+0.514*3+0.511+0.108+0.439+0.509+1.054+0.961*3+0.071*4</f>
        <v>116.358</v>
      </c>
      <c r="H594" s="577"/>
    </row>
    <row r="595" spans="2:8" x14ac:dyDescent="0.3">
      <c r="B595" s="399" t="s">
        <v>361</v>
      </c>
      <c r="C595" s="399" t="s">
        <v>369</v>
      </c>
      <c r="D595" s="400" t="s">
        <v>390</v>
      </c>
      <c r="E595" s="400" t="s">
        <v>364</v>
      </c>
      <c r="F595" s="400" t="s">
        <v>821</v>
      </c>
      <c r="G595" s="401">
        <v>72.05</v>
      </c>
      <c r="H595" s="577"/>
    </row>
    <row r="596" spans="2:8" x14ac:dyDescent="0.3">
      <c r="B596" s="399" t="s">
        <v>361</v>
      </c>
      <c r="C596" s="399" t="s">
        <v>369</v>
      </c>
      <c r="D596" s="400" t="s">
        <v>389</v>
      </c>
      <c r="E596" s="400" t="s">
        <v>364</v>
      </c>
      <c r="F596" s="400" t="s">
        <v>822</v>
      </c>
      <c r="G596" s="401">
        <f>(9.45+11.2+11.15+11.25+11.3+10.9+10.8)*4.25*0.12</f>
        <v>38.785499999999999</v>
      </c>
      <c r="H596" s="577"/>
    </row>
    <row r="597" spans="2:8" x14ac:dyDescent="0.3">
      <c r="B597" s="399" t="s">
        <v>361</v>
      </c>
      <c r="C597" s="399" t="s">
        <v>369</v>
      </c>
      <c r="D597" s="400" t="s">
        <v>390</v>
      </c>
      <c r="E597" s="400" t="s">
        <v>364</v>
      </c>
      <c r="F597" s="400" t="s">
        <v>823</v>
      </c>
      <c r="G597" s="401">
        <f>4.51+28.537+3.915</f>
        <v>36.961999999999996</v>
      </c>
      <c r="H597" s="577"/>
    </row>
    <row r="598" spans="2:8" x14ac:dyDescent="0.3">
      <c r="B598" s="399" t="s">
        <v>361</v>
      </c>
      <c r="C598" s="399" t="s">
        <v>369</v>
      </c>
      <c r="D598" s="400" t="s">
        <v>363</v>
      </c>
      <c r="E598" s="400" t="s">
        <v>364</v>
      </c>
      <c r="F598" s="400" t="s">
        <v>824</v>
      </c>
      <c r="G598" s="401">
        <f>6.791*2+3.519*2+6.259+4.118+4.089+25.62+19.293+1.474+3.937+6.24+4.025+4.027+6.248+19.301+25.719+0.699+0.057+0.089+0.697+0.934*2+0.787+0.543*6+0.579*2+1.328*3+2.616+2.566+2.599+6.257+5.585+0.672*3+1.356*3+5.524</f>
        <v>194.79800000000003</v>
      </c>
      <c r="H598" s="577"/>
    </row>
    <row r="599" spans="2:8" x14ac:dyDescent="0.3">
      <c r="B599" s="399" t="s">
        <v>361</v>
      </c>
      <c r="C599" s="399" t="s">
        <v>369</v>
      </c>
      <c r="D599" s="400" t="s">
        <v>387</v>
      </c>
      <c r="E599" s="400" t="s">
        <v>364</v>
      </c>
      <c r="F599" s="400" t="s">
        <v>825</v>
      </c>
      <c r="G599" s="401">
        <f>(2.966+5.318+3.144)*2</f>
        <v>22.855999999999998</v>
      </c>
      <c r="H599" s="577"/>
    </row>
    <row r="600" spans="2:8" x14ac:dyDescent="0.3">
      <c r="B600" s="399" t="s">
        <v>361</v>
      </c>
      <c r="C600" s="399" t="s">
        <v>369</v>
      </c>
      <c r="D600" s="400" t="s">
        <v>396</v>
      </c>
      <c r="E600" s="400" t="s">
        <v>364</v>
      </c>
      <c r="F600" s="400" t="s">
        <v>826</v>
      </c>
      <c r="G600" s="401">
        <f>0.944+0.944+0.579*6+0.719+0.126+3.848+2.532*2+1.161+1.253+1.298+1.315+0.67*3+1.29*2+1.238+0.945+0.445+0.058+0.012+0.101+1.316*1.344+1.346+1.348+1.35+1.358+1.367+1.366+0.694+0.567+0.605+0.603+0.312*3+0.734</f>
        <v>41.577703999999997</v>
      </c>
      <c r="H600" s="577"/>
    </row>
    <row r="601" spans="2:8" x14ac:dyDescent="0.3">
      <c r="B601" s="399" t="s">
        <v>361</v>
      </c>
      <c r="C601" s="399" t="s">
        <v>369</v>
      </c>
      <c r="D601" s="400" t="s">
        <v>389</v>
      </c>
      <c r="E601" s="400" t="s">
        <v>364</v>
      </c>
      <c r="F601" s="400" t="s">
        <v>827</v>
      </c>
      <c r="G601" s="401">
        <f>(11.9+10.9+11.3+11.2+11.15+11.25+11.31+10.9)*4.25*0.12</f>
        <v>45.854100000000003</v>
      </c>
      <c r="H601" s="577"/>
    </row>
    <row r="602" spans="2:8" x14ac:dyDescent="0.3">
      <c r="B602" s="399" t="s">
        <v>361</v>
      </c>
      <c r="C602" s="399" t="s">
        <v>369</v>
      </c>
      <c r="D602" s="400" t="s">
        <v>370</v>
      </c>
      <c r="E602" s="400" t="s">
        <v>364</v>
      </c>
      <c r="F602" s="400" t="s">
        <v>828</v>
      </c>
      <c r="G602" s="401">
        <f>5.78*4+4.276+3.315+4.42*2+1.598+5.78+4.42+5.712+5.78+1.624+1.624+4.855+5.78+1.624+4.927+5.78*2+5.058+1.624*2+6.177+4.42+4.42*2+3.315*2+5.78*2+6.214*2</f>
        <v>153.19600000000003</v>
      </c>
      <c r="H602" s="577"/>
    </row>
    <row r="603" spans="2:8" x14ac:dyDescent="0.3">
      <c r="B603" s="399" t="s">
        <v>361</v>
      </c>
      <c r="C603" s="399" t="s">
        <v>369</v>
      </c>
      <c r="D603" s="400" t="s">
        <v>363</v>
      </c>
      <c r="E603" s="400" t="s">
        <v>364</v>
      </c>
      <c r="F603" s="400" t="s">
        <v>829</v>
      </c>
      <c r="G603" s="401">
        <f>5.868*2+11.84+5.577+5.68+5.037+15.173+6.918+6.514+6.656+6.564+6.531+6.398+6.652+6.527+7.878+7.26+5.973+7.284+6.011+7.54+4.932+6.271+7.476+29.754+1.243+1.237+0.455+1.231+0.937+1.234+1.235+1.236+0.271+1.238+0.962+0.877+1.245+1.248+1.221+1.221+1.614*2+6.48+3.874+1.308+1.314+0.285+6.397+6.232+6.824+7.189+6.795+7.868+1.043+2.641+4.839+11.668+6.075+1.637+6.042+5.964+1.255*2+6.975</f>
        <v>322.46099999999996</v>
      </c>
      <c r="H603" s="577"/>
    </row>
    <row r="604" spans="2:8" x14ac:dyDescent="0.3">
      <c r="B604" s="399" t="s">
        <v>361</v>
      </c>
      <c r="C604" s="399" t="s">
        <v>369</v>
      </c>
      <c r="D604" s="400" t="s">
        <v>396</v>
      </c>
      <c r="E604" s="400" t="s">
        <v>364</v>
      </c>
      <c r="F604" s="400" t="s">
        <v>830</v>
      </c>
      <c r="G604" s="401">
        <f>6.174+0.769+4.963+1.428*7+1.361+1.217+0.766+0.599*6+1.355*8+1.35*2+0.549+1.257+0.083+0.603*3+0.554+0.31*2+1.343+1.346*6+1.332*7+1.199*2+1.36*8+1.267+1.263+1.208+0.287+0.276+0.976*3+0.585*4+0.328*2+0.294+0.297+0.967+0.967+1.218+1.348*7+1.362*2+0.559*6+1.218+1.274+1.39*8</f>
        <v>122.367</v>
      </c>
      <c r="H604" s="577"/>
    </row>
    <row r="605" spans="2:8" x14ac:dyDescent="0.3">
      <c r="B605" s="399" t="s">
        <v>361</v>
      </c>
      <c r="C605" s="399" t="s">
        <v>369</v>
      </c>
      <c r="D605" s="400" t="s">
        <v>387</v>
      </c>
      <c r="E605" s="400" t="s">
        <v>364</v>
      </c>
      <c r="F605" s="400" t="s">
        <v>831</v>
      </c>
      <c r="G605" s="401">
        <f>(2.966+5.318+3.144)*4</f>
        <v>45.711999999999996</v>
      </c>
      <c r="H605" s="577"/>
    </row>
    <row r="606" spans="2:8" x14ac:dyDescent="0.3">
      <c r="B606" s="399" t="s">
        <v>361</v>
      </c>
      <c r="C606" s="399" t="s">
        <v>369</v>
      </c>
      <c r="D606" s="400" t="s">
        <v>370</v>
      </c>
      <c r="E606" s="400" t="s">
        <v>364</v>
      </c>
      <c r="F606" s="400" t="s">
        <v>832</v>
      </c>
      <c r="G606" s="401">
        <f>6.066*4+2.404+2.055*2+4.488+3.479+4.638*3+6.066*2+5.994+6.066+5.095+3.255+2.451+2.048+1.792+5.17+6.066+5.307+6.066+4.638+6.483+4.638+3.479+4.638+3.479+2.155+1.952+1.955+2.19+6.066+6.066+1.933+6.571+6.521</f>
        <v>176.86500000000004</v>
      </c>
      <c r="H606" s="577"/>
    </row>
    <row r="607" spans="2:8" x14ac:dyDescent="0.3">
      <c r="B607" s="399" t="s">
        <v>361</v>
      </c>
      <c r="C607" s="399" t="s">
        <v>369</v>
      </c>
      <c r="D607" s="400" t="s">
        <v>390</v>
      </c>
      <c r="E607" s="400" t="s">
        <v>364</v>
      </c>
      <c r="F607" s="400" t="s">
        <v>833</v>
      </c>
      <c r="G607" s="401">
        <f>(12.7*134.3-6.36*6.5-6.8*6.5-8*6.2-11*8-8.2*6.4)*0.06</f>
        <v>85.799400000000006</v>
      </c>
      <c r="H607" s="577"/>
    </row>
    <row r="608" spans="2:8" x14ac:dyDescent="0.3">
      <c r="B608" s="399" t="s">
        <v>361</v>
      </c>
      <c r="C608" s="399" t="s">
        <v>369</v>
      </c>
      <c r="D608" s="400" t="s">
        <v>390</v>
      </c>
      <c r="E608" s="400" t="s">
        <v>364</v>
      </c>
      <c r="F608" s="400" t="s">
        <v>834</v>
      </c>
      <c r="G608" s="401">
        <f>(12.7*134.3-6.36*6.5-6.8*6.5-8*6.2-11*8-8.2*6.4+3*84)*0.06</f>
        <v>100.91940000000001</v>
      </c>
      <c r="H608" s="577"/>
    </row>
    <row r="609" spans="2:8" x14ac:dyDescent="0.3">
      <c r="B609" s="399" t="s">
        <v>361</v>
      </c>
      <c r="C609" s="399" t="s">
        <v>369</v>
      </c>
      <c r="D609" s="400" t="s">
        <v>363</v>
      </c>
      <c r="E609" s="400" t="s">
        <v>364</v>
      </c>
      <c r="F609" s="400" t="s">
        <v>835</v>
      </c>
      <c r="G609" s="401">
        <f>4.743*2+3.304+2.343+5.243+6.792+6.595+7.173+6.863+6.785+44.874+5.02+13.021+6.247+6.429+6.731+6.729+1.667+0.522+6.403+1.697+4.894+4.862+5.261+6.431+4.805+4.839+6.69+6.838+19.301+6.83+5.133+4.822+5.244+5.73+5.988+4.871+3.029+6.889+6.213+5.055+4.824+7.18+6.789+5.09</f>
        <v>301.53199999999998</v>
      </c>
      <c r="H609" s="577"/>
    </row>
    <row r="610" spans="2:8" x14ac:dyDescent="0.3">
      <c r="B610" s="399" t="s">
        <v>361</v>
      </c>
      <c r="C610" s="399" t="s">
        <v>369</v>
      </c>
      <c r="D610" s="400" t="s">
        <v>396</v>
      </c>
      <c r="E610" s="400" t="s">
        <v>364</v>
      </c>
      <c r="F610" s="400" t="s">
        <v>836</v>
      </c>
      <c r="G610" s="401">
        <f>1.217+1.219+0.955+1.231+0.14+0.413+0.875+0.065+0.387+1.232+1.23+0.388+1.228+1.41*6+1.351*2+0.743+0.724+0.574*6+1.314*8+8.816*2+9.37+0.398*6+0.955+1.228+0.904+0.159+0.431+1.195+1.196+0.952+0.951+1.345+1.346+0.76+0.556+0.557*2+0.28*3+1.36*2+1.289*1.361*5+0.243*2+1.328*6+0.401*6+1.195*2+0.255+0.881+0.949+0.932+1.391*7+0.265+1.317+1.281+0.584*3+0.559+0.327*2+0.237+0.956+0.964+0.228+1.226+1.229+1.435*2+0.596*10+1.365+1.368+1.387+1.393+1.399+1.406+1.412</f>
        <v>147.21064500000003</v>
      </c>
      <c r="H610" s="577"/>
    </row>
    <row r="611" spans="2:8" x14ac:dyDescent="0.3">
      <c r="B611" s="399" t="s">
        <v>361</v>
      </c>
      <c r="C611" s="399" t="s">
        <v>369</v>
      </c>
      <c r="D611" s="400" t="s">
        <v>387</v>
      </c>
      <c r="E611" s="400" t="s">
        <v>364</v>
      </c>
      <c r="F611" s="400" t="s">
        <v>837</v>
      </c>
      <c r="G611" s="401">
        <f>(2.966+5.318+3.144)*4</f>
        <v>45.711999999999996</v>
      </c>
      <c r="H611" s="577"/>
    </row>
    <row r="612" spans="2:8" x14ac:dyDescent="0.3">
      <c r="B612" s="399" t="s">
        <v>361</v>
      </c>
      <c r="C612" s="399" t="s">
        <v>369</v>
      </c>
      <c r="D612" s="400" t="s">
        <v>370</v>
      </c>
      <c r="E612" s="400" t="s">
        <v>364</v>
      </c>
      <c r="F612" s="400" t="s">
        <v>838</v>
      </c>
      <c r="G612" s="401">
        <f>6.27*4+2.485+2.305*2+3.651+2.749+2.298+4.639+3.596+4.794*2+6.27+4.794+6.196+6.27+5.266+6.27+2.1+2.417+2.19+2.305+5.344+6.27+5.486+6.27+6.701+4.794+4.794+3.596*2+4.794+2.582+6.27*2+6.74*2+2.279</f>
        <v>185.3</v>
      </c>
      <c r="H612" s="577"/>
    </row>
    <row r="613" spans="2:8" x14ac:dyDescent="0.3">
      <c r="B613" s="399" t="s">
        <v>361</v>
      </c>
      <c r="C613" s="399" t="s">
        <v>369</v>
      </c>
      <c r="D613" s="400" t="s">
        <v>390</v>
      </c>
      <c r="E613" s="400" t="s">
        <v>364</v>
      </c>
      <c r="F613" s="400" t="s">
        <v>839</v>
      </c>
      <c r="G613" s="401">
        <f>(12.7*134.3-6.36*6.5-6.8*6.5-8*6.2-11*8-8.2*6.4)*0.06</f>
        <v>85.799400000000006</v>
      </c>
      <c r="H613" s="577"/>
    </row>
    <row r="614" spans="2:8" x14ac:dyDescent="0.3">
      <c r="B614" s="399" t="s">
        <v>361</v>
      </c>
      <c r="C614" s="399" t="s">
        <v>369</v>
      </c>
      <c r="D614" s="400" t="s">
        <v>363</v>
      </c>
      <c r="E614" s="400" t="s">
        <v>364</v>
      </c>
      <c r="F614" s="400" t="s">
        <v>840</v>
      </c>
      <c r="G614" s="401">
        <f>5.508*2+32.435+6.792+6.259+33.709+3.24+5.521+44.924+5.224+3.204+3.557+4.387+4.354+4.528+14.052+3.223+5.804+5.242+5.644+32.23+5.059+1.294</f>
        <v>241.69800000000001</v>
      </c>
      <c r="H614" s="577"/>
    </row>
    <row r="615" spans="2:8" x14ac:dyDescent="0.3">
      <c r="B615" s="399" t="s">
        <v>361</v>
      </c>
      <c r="C615" s="399" t="s">
        <v>369</v>
      </c>
      <c r="D615" s="400" t="s">
        <v>396</v>
      </c>
      <c r="E615" s="400" t="s">
        <v>364</v>
      </c>
      <c r="F615" s="400" t="s">
        <v>841</v>
      </c>
      <c r="G615" s="401">
        <f>6.797+2.772+2.753+2.75+1.326+9.319+9.481+9.486+1.201*3+0.4+1.206+1.173*2+0.472+0.325+0.593*5+1.363+1.378*5+6.746+5.291*2+4.047+4.039+4.043+1.227+0.306*3+0.326*6+0.948*5+0.33*12+0.155*2+0.946*5+0.922+0.857+0.859+0.852+0.853+0.137+1.254+1.265+0.346*3+1.389+1.406*5+2.703+2.7+2.698+1.305+0.728*5+1.285*2</f>
        <v>143.62399999999997</v>
      </c>
      <c r="H615" s="577"/>
    </row>
    <row r="616" spans="2:8" x14ac:dyDescent="0.3">
      <c r="B616" s="399" t="s">
        <v>361</v>
      </c>
      <c r="C616" s="399" t="s">
        <v>369</v>
      </c>
      <c r="D616" s="400" t="s">
        <v>387</v>
      </c>
      <c r="E616" s="400" t="s">
        <v>364</v>
      </c>
      <c r="F616" s="400" t="s">
        <v>842</v>
      </c>
      <c r="G616" s="401">
        <f>(2.966+5.318+3.144)*4</f>
        <v>45.711999999999996</v>
      </c>
      <c r="H616" s="577"/>
    </row>
    <row r="617" spans="2:8" x14ac:dyDescent="0.3">
      <c r="B617" s="399" t="s">
        <v>361</v>
      </c>
      <c r="C617" s="399" t="s">
        <v>369</v>
      </c>
      <c r="D617" s="400" t="s">
        <v>370</v>
      </c>
      <c r="E617" s="400" t="s">
        <v>364</v>
      </c>
      <c r="F617" s="400" t="s">
        <v>843</v>
      </c>
      <c r="G617" s="401">
        <f>2.107+5.317*4+1.955*2+4.066+3.934+4.066+3.05+3.097+5.317+4.066+2.331+5.255+5.317+1.949+4.467+5.317+1.705+4.532+5.317+2.05+4.653+5.317+1.857+5.683+4.066+1.955+4.066+3.05+4.066+3.055+2.189+5.317+5.317+1.933+5.716+5.716</f>
        <v>157.07700000000003</v>
      </c>
      <c r="H617" s="577"/>
    </row>
    <row r="618" spans="2:8" x14ac:dyDescent="0.3">
      <c r="B618" s="399" t="s">
        <v>361</v>
      </c>
      <c r="C618" s="399" t="s">
        <v>369</v>
      </c>
      <c r="D618" s="400" t="s">
        <v>390</v>
      </c>
      <c r="E618" s="400" t="s">
        <v>364</v>
      </c>
      <c r="F618" s="400" t="s">
        <v>844</v>
      </c>
      <c r="G618" s="401">
        <f>28.241+70.205+81.989+45.327+5.335+4.497+7.491+7.548+7.768+7.809+7.694+7.9+7.951+7.501+7.446+8.252</f>
        <v>312.95400000000001</v>
      </c>
      <c r="H618" s="577"/>
    </row>
    <row r="619" spans="2:8" x14ac:dyDescent="0.3">
      <c r="B619" s="399" t="s">
        <v>361</v>
      </c>
      <c r="C619" s="399" t="s">
        <v>845</v>
      </c>
      <c r="D619" s="400" t="s">
        <v>386</v>
      </c>
      <c r="E619" s="400" t="s">
        <v>364</v>
      </c>
      <c r="F619" s="400" t="s">
        <v>386</v>
      </c>
      <c r="G619" s="401">
        <f>(4748-1800)*0.5</f>
        <v>1474</v>
      </c>
      <c r="H619" s="577"/>
    </row>
    <row r="620" spans="2:8" x14ac:dyDescent="0.3">
      <c r="B620" s="399" t="s">
        <v>361</v>
      </c>
      <c r="C620" s="399" t="s">
        <v>846</v>
      </c>
      <c r="D620" s="400" t="s">
        <v>386</v>
      </c>
      <c r="E620" s="400" t="s">
        <v>364</v>
      </c>
      <c r="F620" s="400" t="s">
        <v>386</v>
      </c>
      <c r="G620" s="401">
        <f>1800*0.5+1980*0.3</f>
        <v>1494</v>
      </c>
      <c r="H620" s="577"/>
    </row>
    <row r="625" spans="2:6" ht="17.399999999999999" x14ac:dyDescent="0.3">
      <c r="B625" s="759"/>
      <c r="C625" s="759"/>
      <c r="D625" s="759"/>
      <c r="E625" s="759"/>
      <c r="F625" s="759"/>
    </row>
    <row r="626" spans="2:6" ht="17.399999999999999" x14ac:dyDescent="0.3">
      <c r="B626" s="1078" t="s">
        <v>1005</v>
      </c>
      <c r="C626" s="1078"/>
      <c r="D626" s="1078"/>
      <c r="E626" s="1078"/>
      <c r="F626" s="1078"/>
    </row>
    <row r="627" spans="2:6" ht="17.399999999999999" x14ac:dyDescent="0.3">
      <c r="B627" s="1079" t="s">
        <v>1010</v>
      </c>
      <c r="C627" s="1079"/>
      <c r="D627" s="1079"/>
      <c r="E627" s="1079"/>
      <c r="F627" s="1079"/>
    </row>
    <row r="628" spans="2:6" ht="17.399999999999999" x14ac:dyDescent="0.3">
      <c r="B628" s="1079" t="s">
        <v>1006</v>
      </c>
      <c r="C628" s="1079"/>
      <c r="D628" s="1079"/>
      <c r="E628" s="1079"/>
      <c r="F628" s="1079"/>
    </row>
  </sheetData>
  <mergeCells count="17">
    <mergeCell ref="J19:K19"/>
    <mergeCell ref="J20:K20"/>
    <mergeCell ref="J21:K21"/>
    <mergeCell ref="B3:G4"/>
    <mergeCell ref="J3:P4"/>
    <mergeCell ref="J16:K16"/>
    <mergeCell ref="J17:K17"/>
    <mergeCell ref="J18:K18"/>
    <mergeCell ref="B626:F626"/>
    <mergeCell ref="B627:F627"/>
    <mergeCell ref="B628:F628"/>
    <mergeCell ref="J48:O53"/>
    <mergeCell ref="J22:K22"/>
    <mergeCell ref="J23:K23"/>
    <mergeCell ref="J24:K24"/>
    <mergeCell ref="J25:K25"/>
    <mergeCell ref="J26:K26"/>
  </mergeCells>
  <pageMargins left="0.70866141732283472" right="0.70866141732283472" top="1.299212598425197" bottom="0.74803149606299213" header="0.31496062992125984" footer="0.31496062992125984"/>
  <pageSetup paperSize="9" scale="41" orientation="portrait" r:id="rId2"/>
  <rowBreaks count="2" manualBreakCount="2">
    <brk id="522" max="15482" man="1"/>
    <brk id="634" max="15482" man="1"/>
  </rowBreaks>
  <colBreaks count="1" manualBreakCount="1">
    <brk id="7" max="1128" man="1"/>
  </colBreak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993"/>
  <sheetViews>
    <sheetView view="pageBreakPreview" zoomScale="60" zoomScaleNormal="100" workbookViewId="0">
      <selection activeCell="U58" sqref="U58"/>
    </sheetView>
  </sheetViews>
  <sheetFormatPr baseColWidth="10" defaultColWidth="14.44140625" defaultRowHeight="15.75" customHeight="1" x14ac:dyDescent="0.3"/>
  <cols>
    <col min="1" max="1" width="3" customWidth="1"/>
    <col min="2" max="2" width="7.109375" customWidth="1"/>
    <col min="3" max="3" width="28.6640625" customWidth="1"/>
    <col min="4" max="4" width="21.109375" bestFit="1" customWidth="1"/>
    <col min="5" max="5" width="11" customWidth="1"/>
    <col min="6" max="6" width="17.6640625" customWidth="1"/>
    <col min="7" max="7" width="23.5546875" customWidth="1"/>
    <col min="8" max="8" width="12" customWidth="1"/>
    <col min="9" max="9" width="26.109375" bestFit="1" customWidth="1"/>
    <col min="10" max="10" width="23" bestFit="1" customWidth="1"/>
    <col min="11" max="11" width="15.109375" customWidth="1"/>
    <col min="12" max="12" width="15" hidden="1" customWidth="1"/>
    <col min="13" max="13" width="10.109375" hidden="1" customWidth="1"/>
    <col min="14" max="14" width="11.6640625" hidden="1" customWidth="1"/>
    <col min="15" max="15" width="7.88671875" hidden="1" customWidth="1"/>
    <col min="16" max="16" width="9.33203125" hidden="1" customWidth="1"/>
    <col min="17" max="17" width="5.44140625" hidden="1" customWidth="1"/>
    <col min="18" max="18" width="9.6640625" hidden="1" customWidth="1"/>
    <col min="19" max="19" width="5.109375" hidden="1" customWidth="1"/>
    <col min="20" max="20" width="11.44140625" hidden="1" customWidth="1"/>
    <col min="21" max="21" width="19" customWidth="1"/>
    <col min="22" max="22" width="16.109375" customWidth="1"/>
    <col min="23" max="27" width="11.44140625" customWidth="1"/>
  </cols>
  <sheetData>
    <row r="1" spans="1:27" ht="13.65" customHeight="1" x14ac:dyDescent="0.3">
      <c r="A1" s="49"/>
      <c r="B1" s="1100" t="s">
        <v>1002</v>
      </c>
      <c r="C1" s="1101"/>
      <c r="D1" s="1101"/>
      <c r="E1" s="1101"/>
      <c r="F1" s="1101"/>
      <c r="G1" s="1101"/>
      <c r="H1" s="1101"/>
      <c r="I1" s="1102"/>
      <c r="J1" s="50"/>
      <c r="K1" s="51"/>
      <c r="L1" s="51"/>
      <c r="M1" s="51"/>
      <c r="N1" s="51"/>
      <c r="O1" s="51"/>
      <c r="P1" s="51"/>
      <c r="Q1" s="51"/>
      <c r="R1" s="51"/>
      <c r="S1" s="51"/>
      <c r="T1" s="51"/>
      <c r="U1" s="51"/>
      <c r="V1" s="51"/>
      <c r="W1" s="51"/>
      <c r="X1" s="51"/>
      <c r="Y1" s="51"/>
      <c r="Z1" s="51"/>
      <c r="AA1" s="51"/>
    </row>
    <row r="2" spans="1:27" ht="13.65" customHeight="1" x14ac:dyDescent="0.3">
      <c r="A2" s="49"/>
      <c r="B2" s="1103"/>
      <c r="C2" s="1104"/>
      <c r="D2" s="1104"/>
      <c r="E2" s="1104"/>
      <c r="F2" s="1104"/>
      <c r="G2" s="1104"/>
      <c r="H2" s="1104"/>
      <c r="I2" s="1105"/>
      <c r="J2" s="50"/>
      <c r="K2" s="51"/>
      <c r="L2" s="51"/>
      <c r="M2" s="51"/>
      <c r="N2" s="51"/>
      <c r="O2" s="51"/>
      <c r="P2" s="51"/>
      <c r="Q2" s="51"/>
      <c r="R2" s="51"/>
      <c r="S2" s="51"/>
      <c r="T2" s="51"/>
      <c r="U2" s="51"/>
      <c r="V2" s="51"/>
      <c r="W2" s="51"/>
      <c r="X2" s="51"/>
      <c r="Y2" s="51"/>
      <c r="Z2" s="51"/>
      <c r="AA2" s="51"/>
    </row>
    <row r="3" spans="1:27" ht="55.95" customHeight="1" thickBot="1" x14ac:dyDescent="0.35">
      <c r="A3" s="49"/>
      <c r="B3" s="1106"/>
      <c r="C3" s="1107"/>
      <c r="D3" s="1107"/>
      <c r="E3" s="1107"/>
      <c r="F3" s="1107"/>
      <c r="G3" s="1107"/>
      <c r="H3" s="1107"/>
      <c r="I3" s="1108"/>
      <c r="J3" s="50"/>
      <c r="K3" s="51"/>
      <c r="L3" s="51"/>
      <c r="M3" s="51"/>
      <c r="N3" s="51"/>
      <c r="O3" s="51"/>
      <c r="P3" s="51"/>
      <c r="Q3" s="51"/>
      <c r="R3" s="51"/>
      <c r="S3" s="51"/>
      <c r="T3" s="51"/>
      <c r="U3" s="51"/>
      <c r="V3" s="51"/>
      <c r="W3" s="51"/>
      <c r="X3" s="51"/>
      <c r="Y3" s="51"/>
      <c r="Z3" s="51"/>
      <c r="AA3" s="51"/>
    </row>
    <row r="4" spans="1:27" ht="20.100000000000001" customHeight="1" x14ac:dyDescent="0.35">
      <c r="A4" s="52"/>
      <c r="B4" s="1092" t="s">
        <v>892</v>
      </c>
      <c r="C4" s="1093"/>
      <c r="D4" s="1093"/>
      <c r="E4" s="1093"/>
      <c r="F4" s="1093"/>
      <c r="G4" s="1093"/>
      <c r="H4" s="1093"/>
      <c r="I4" s="1094"/>
      <c r="J4" s="51"/>
      <c r="K4" s="51"/>
      <c r="L4" s="51"/>
      <c r="M4" s="51"/>
      <c r="N4" s="51"/>
      <c r="O4" s="51"/>
      <c r="P4" s="51"/>
      <c r="Q4" s="51"/>
      <c r="R4" s="51"/>
      <c r="S4" s="51"/>
      <c r="T4" s="51"/>
      <c r="U4" s="51"/>
      <c r="V4" s="51"/>
      <c r="W4" s="51"/>
      <c r="X4" s="51"/>
      <c r="Y4" s="51"/>
      <c r="Z4" s="51"/>
      <c r="AA4" s="51"/>
    </row>
    <row r="5" spans="1:27" ht="13.65" customHeight="1" x14ac:dyDescent="0.3">
      <c r="A5" s="20"/>
      <c r="B5" s="1095"/>
      <c r="C5" s="1096"/>
      <c r="D5" s="1096"/>
      <c r="E5" s="1096"/>
      <c r="F5" s="1096"/>
      <c r="G5" s="1096"/>
      <c r="H5" s="1096"/>
      <c r="I5" s="1097"/>
      <c r="J5" s="51"/>
      <c r="K5" s="51"/>
      <c r="L5" s="53"/>
      <c r="M5" s="51"/>
      <c r="N5" s="51"/>
      <c r="O5" s="51"/>
      <c r="P5" s="51"/>
      <c r="Q5" s="51"/>
      <c r="R5" s="51"/>
      <c r="S5" s="51"/>
      <c r="T5" s="51"/>
      <c r="U5" s="51"/>
      <c r="V5" s="51"/>
      <c r="W5" s="51"/>
      <c r="X5" s="51"/>
      <c r="Y5" s="51"/>
      <c r="Z5" s="51"/>
      <c r="AA5" s="51"/>
    </row>
    <row r="6" spans="1:27" ht="13.65" customHeight="1" x14ac:dyDescent="0.3">
      <c r="A6" s="52"/>
      <c r="B6" s="1098" t="s">
        <v>32</v>
      </c>
      <c r="C6" s="1097"/>
      <c r="D6" s="573">
        <f>+PPTO_OBRA_GENERAL!H36</f>
        <v>5147276441</v>
      </c>
      <c r="E6" s="1098" t="s">
        <v>33</v>
      </c>
      <c r="F6" s="1097"/>
      <c r="G6" s="72">
        <v>4</v>
      </c>
      <c r="H6" s="55" t="s">
        <v>34</v>
      </c>
      <c r="I6" s="56"/>
      <c r="J6" s="51"/>
      <c r="K6" s="51"/>
      <c r="L6" s="51"/>
      <c r="M6" s="51"/>
      <c r="N6" s="51"/>
      <c r="O6" s="51"/>
      <c r="P6" s="51"/>
      <c r="Q6" s="51"/>
      <c r="R6" s="51"/>
      <c r="S6" s="51"/>
      <c r="T6" s="51"/>
      <c r="U6" s="51"/>
      <c r="V6" s="51"/>
      <c r="W6" s="51"/>
      <c r="X6" s="51"/>
      <c r="Y6" s="51"/>
      <c r="Z6" s="51"/>
      <c r="AA6" s="51"/>
    </row>
    <row r="7" spans="1:27" ht="13.65" customHeight="1" x14ac:dyDescent="0.3">
      <c r="A7" s="52"/>
      <c r="B7" s="1098" t="s">
        <v>895</v>
      </c>
      <c r="C7" s="1046"/>
      <c r="D7" s="574">
        <f>+PPTO_OBRA_GENERAL!H40</f>
        <v>6485568316</v>
      </c>
      <c r="E7" s="1115"/>
      <c r="F7" s="1115"/>
      <c r="G7" s="1115"/>
      <c r="H7" s="1115"/>
      <c r="I7" s="1115"/>
      <c r="J7" s="97"/>
      <c r="K7" s="97"/>
      <c r="L7" s="97"/>
      <c r="M7" s="97"/>
      <c r="N7" s="97"/>
      <c r="O7" s="97"/>
      <c r="P7" s="97"/>
      <c r="Q7" s="97"/>
      <c r="R7" s="97"/>
      <c r="S7" s="97"/>
      <c r="T7" s="97"/>
      <c r="U7" s="97"/>
      <c r="V7" s="97"/>
      <c r="W7" s="97"/>
      <c r="X7" s="97"/>
      <c r="Y7" s="97"/>
      <c r="Z7" s="97"/>
      <c r="AA7" s="97"/>
    </row>
    <row r="8" spans="1:27" ht="13.65" customHeight="1" x14ac:dyDescent="0.3">
      <c r="A8" s="49"/>
      <c r="B8" s="57"/>
      <c r="C8" s="51"/>
      <c r="D8" s="51"/>
      <c r="E8" s="51"/>
      <c r="F8" s="51"/>
      <c r="G8" s="58"/>
      <c r="H8" s="51"/>
      <c r="I8" s="58"/>
      <c r="J8" s="51"/>
      <c r="K8" s="51"/>
      <c r="L8" s="51"/>
      <c r="M8" s="51"/>
      <c r="N8" s="51"/>
      <c r="O8" s="51"/>
      <c r="P8" s="51"/>
      <c r="Q8" s="51"/>
      <c r="R8" s="51"/>
      <c r="S8" s="51"/>
      <c r="T8" s="51"/>
      <c r="U8" s="51"/>
      <c r="V8" s="51"/>
      <c r="W8" s="51"/>
      <c r="X8" s="51"/>
      <c r="Y8" s="51"/>
      <c r="Z8" s="51"/>
      <c r="AA8" s="51"/>
    </row>
    <row r="9" spans="1:27" ht="13.65" customHeight="1" x14ac:dyDescent="0.3">
      <c r="A9" s="49"/>
      <c r="B9" s="59" t="s">
        <v>35</v>
      </c>
      <c r="C9" s="1098" t="s">
        <v>36</v>
      </c>
      <c r="D9" s="1096"/>
      <c r="E9" s="1097"/>
      <c r="F9" s="60"/>
      <c r="G9" s="61" t="s">
        <v>37</v>
      </c>
      <c r="H9" s="62"/>
      <c r="I9" s="63" t="s">
        <v>21</v>
      </c>
      <c r="J9" s="51"/>
      <c r="K9" s="51"/>
      <c r="L9" s="51"/>
      <c r="M9" s="51"/>
      <c r="N9" s="51"/>
      <c r="O9" s="51"/>
      <c r="P9" s="51"/>
      <c r="Q9" s="51"/>
      <c r="R9" s="51"/>
      <c r="S9" s="51"/>
      <c r="T9" s="51"/>
      <c r="U9" s="51"/>
      <c r="V9" s="51"/>
      <c r="W9" s="51"/>
      <c r="X9" s="51"/>
      <c r="Y9" s="51"/>
      <c r="Z9" s="51"/>
      <c r="AA9" s="51"/>
    </row>
    <row r="10" spans="1:27" ht="13.65" customHeight="1" x14ac:dyDescent="0.3">
      <c r="A10" s="49"/>
      <c r="B10" s="64">
        <v>1</v>
      </c>
      <c r="C10" s="65" t="s">
        <v>38</v>
      </c>
      <c r="D10" s="66"/>
      <c r="E10" s="67">
        <f>SUM(E11:E18)</f>
        <v>3.0007294492617669E-2</v>
      </c>
      <c r="F10" s="68" t="s">
        <v>39</v>
      </c>
      <c r="G10" s="69" t="s">
        <v>40</v>
      </c>
      <c r="H10" s="68" t="s">
        <v>41</v>
      </c>
      <c r="I10" s="70">
        <f>SUM(I11:I19)</f>
        <v>169586208</v>
      </c>
      <c r="J10" s="71"/>
      <c r="K10" s="71"/>
      <c r="L10" s="51"/>
      <c r="M10" s="51"/>
      <c r="N10" s="51"/>
      <c r="O10" s="51"/>
      <c r="P10" s="51"/>
      <c r="Q10" s="51"/>
      <c r="R10" s="51"/>
      <c r="S10" s="51"/>
      <c r="T10" s="51"/>
      <c r="U10" s="51"/>
      <c r="V10" s="51"/>
      <c r="W10" s="51"/>
      <c r="X10" s="51"/>
      <c r="Y10" s="51"/>
      <c r="Z10" s="51"/>
      <c r="AA10" s="51"/>
    </row>
    <row r="11" spans="1:27" ht="13.65" customHeight="1" x14ac:dyDescent="0.3">
      <c r="A11" s="49"/>
      <c r="B11" s="72">
        <v>1</v>
      </c>
      <c r="C11" s="73" t="s">
        <v>42</v>
      </c>
      <c r="D11" s="74"/>
      <c r="E11" s="75">
        <f>+I11/$D$6</f>
        <v>3.4447149289994778E-3</v>
      </c>
      <c r="F11" s="54">
        <v>4500000</v>
      </c>
      <c r="G11" s="54">
        <f>+F11*'[14]FACTOR PRESTACIONAL'!$E$39</f>
        <v>8865450</v>
      </c>
      <c r="H11" s="76">
        <v>0.5</v>
      </c>
      <c r="I11" s="77">
        <f t="shared" ref="I11:I19" si="0">+G11*$G$6*H11</f>
        <v>17730900</v>
      </c>
      <c r="J11" s="51"/>
      <c r="K11" s="51"/>
      <c r="L11" s="51"/>
      <c r="M11" s="51"/>
      <c r="N11" s="51"/>
      <c r="O11" s="51"/>
      <c r="P11" s="51"/>
      <c r="Q11" s="51"/>
      <c r="R11" s="51"/>
      <c r="S11" s="51"/>
      <c r="T11" s="51"/>
      <c r="U11" s="51"/>
      <c r="V11" s="51"/>
      <c r="W11" s="51"/>
      <c r="X11" s="51"/>
      <c r="Y11" s="51"/>
      <c r="Z11" s="51"/>
      <c r="AA11" s="51"/>
    </row>
    <row r="12" spans="1:27" ht="13.65" customHeight="1" x14ac:dyDescent="0.3">
      <c r="A12" s="49"/>
      <c r="B12" s="72">
        <v>2</v>
      </c>
      <c r="C12" s="73" t="s">
        <v>43</v>
      </c>
      <c r="D12" s="78"/>
      <c r="E12" s="75">
        <f t="shared" ref="E12:E19" si="1">+I12/$D$6</f>
        <v>6.1239376515546274E-3</v>
      </c>
      <c r="F12" s="54">
        <v>4000000</v>
      </c>
      <c r="G12" s="54">
        <f>+F12*'[14]FACTOR PRESTACIONAL'!$E$39</f>
        <v>7880400</v>
      </c>
      <c r="H12" s="76">
        <v>1</v>
      </c>
      <c r="I12" s="77">
        <f t="shared" si="0"/>
        <v>31521600</v>
      </c>
      <c r="J12" s="51"/>
      <c r="K12" s="51"/>
      <c r="L12" s="51"/>
      <c r="M12" s="51"/>
      <c r="N12" s="51"/>
      <c r="O12" s="51"/>
      <c r="P12" s="51"/>
      <c r="Q12" s="51"/>
      <c r="R12" s="51"/>
      <c r="S12" s="51"/>
      <c r="T12" s="51"/>
      <c r="U12" s="51"/>
      <c r="V12" s="51"/>
      <c r="W12" s="51"/>
      <c r="X12" s="51"/>
      <c r="Y12" s="51"/>
      <c r="Z12" s="51"/>
      <c r="AA12" s="51"/>
    </row>
    <row r="13" spans="1:27" ht="13.65" customHeight="1" x14ac:dyDescent="0.3">
      <c r="A13" s="49"/>
      <c r="B13" s="72">
        <v>3</v>
      </c>
      <c r="C13" s="73" t="s">
        <v>129</v>
      </c>
      <c r="D13" s="78"/>
      <c r="E13" s="75">
        <f t="shared" si="1"/>
        <v>3.6743625909327763E-3</v>
      </c>
      <c r="F13" s="54">
        <v>4000000</v>
      </c>
      <c r="G13" s="54">
        <f>+F13*'[14]FACTOR PRESTACIONAL'!$E$39</f>
        <v>7880400</v>
      </c>
      <c r="H13" s="76">
        <v>0.6</v>
      </c>
      <c r="I13" s="77">
        <f t="shared" si="0"/>
        <v>18912960</v>
      </c>
      <c r="J13" s="153"/>
      <c r="K13" s="51"/>
      <c r="L13" s="51"/>
      <c r="M13" s="51"/>
      <c r="N13" s="51"/>
      <c r="O13" s="51"/>
      <c r="P13" s="51"/>
      <c r="Q13" s="51"/>
      <c r="R13" s="51"/>
      <c r="S13" s="51"/>
      <c r="T13" s="51"/>
      <c r="U13" s="51"/>
      <c r="V13" s="51"/>
      <c r="W13" s="51"/>
      <c r="X13" s="51"/>
      <c r="Y13" s="51"/>
      <c r="Z13" s="51"/>
      <c r="AA13" s="51"/>
    </row>
    <row r="14" spans="1:27" ht="13.65" customHeight="1" x14ac:dyDescent="0.3">
      <c r="A14" s="49"/>
      <c r="B14" s="72">
        <v>8</v>
      </c>
      <c r="C14" s="79" t="s">
        <v>44</v>
      </c>
      <c r="D14" s="80"/>
      <c r="E14" s="75">
        <f t="shared" si="1"/>
        <v>3.0619688257773137E-3</v>
      </c>
      <c r="F14" s="54">
        <v>4000000</v>
      </c>
      <c r="G14" s="54">
        <f>+F14*'[14]FACTOR PRESTACIONAL'!$E$39</f>
        <v>7880400</v>
      </c>
      <c r="H14" s="76">
        <v>0.5</v>
      </c>
      <c r="I14" s="77">
        <f t="shared" si="0"/>
        <v>15760800</v>
      </c>
      <c r="J14" s="51"/>
      <c r="K14" s="51"/>
      <c r="L14" s="51"/>
      <c r="M14" s="51"/>
      <c r="N14" s="51"/>
      <c r="O14" s="51"/>
      <c r="P14" s="51"/>
      <c r="Q14" s="51"/>
      <c r="R14" s="51"/>
      <c r="S14" s="51"/>
      <c r="T14" s="51"/>
      <c r="U14" s="51"/>
      <c r="V14" s="51"/>
      <c r="W14" s="51"/>
      <c r="X14" s="51"/>
      <c r="Y14" s="51"/>
      <c r="Z14" s="51"/>
      <c r="AA14" s="51"/>
    </row>
    <row r="15" spans="1:27" ht="13.65" customHeight="1" x14ac:dyDescent="0.3">
      <c r="A15" s="49"/>
      <c r="B15" s="72">
        <v>9</v>
      </c>
      <c r="C15" s="73" t="s">
        <v>45</v>
      </c>
      <c r="D15" s="78"/>
      <c r="E15" s="75">
        <f t="shared" si="1"/>
        <v>3.0619688257773137E-3</v>
      </c>
      <c r="F15" s="54">
        <v>2000000</v>
      </c>
      <c r="G15" s="54">
        <f>+F15*'[14]FACTOR PRESTACIONAL'!$E$39</f>
        <v>3940200</v>
      </c>
      <c r="H15" s="76">
        <v>1</v>
      </c>
      <c r="I15" s="77">
        <f t="shared" si="0"/>
        <v>15760800</v>
      </c>
      <c r="J15" s="51"/>
      <c r="K15" s="51"/>
      <c r="L15" s="51"/>
      <c r="M15" s="51"/>
      <c r="N15" s="51"/>
      <c r="O15" s="51"/>
      <c r="P15" s="51"/>
      <c r="Q15" s="51"/>
      <c r="R15" s="51"/>
      <c r="S15" s="51"/>
      <c r="T15" s="51"/>
      <c r="U15" s="51"/>
      <c r="V15" s="51"/>
      <c r="W15" s="51"/>
      <c r="X15" s="51"/>
      <c r="Y15" s="51"/>
      <c r="Z15" s="51"/>
      <c r="AA15" s="51"/>
    </row>
    <row r="16" spans="1:27" ht="13.65" customHeight="1" x14ac:dyDescent="0.3">
      <c r="A16" s="49"/>
      <c r="B16" s="72">
        <v>10</v>
      </c>
      <c r="C16" s="73" t="s">
        <v>46</v>
      </c>
      <c r="D16" s="78"/>
      <c r="E16" s="75">
        <f t="shared" si="1"/>
        <v>4.5929532386659701E-3</v>
      </c>
      <c r="F16" s="54">
        <v>3000000</v>
      </c>
      <c r="G16" s="54">
        <f>+F16*'[14]FACTOR PRESTACIONAL'!$E$39</f>
        <v>5910300</v>
      </c>
      <c r="H16" s="76">
        <v>1</v>
      </c>
      <c r="I16" s="77">
        <f t="shared" si="0"/>
        <v>23641200</v>
      </c>
      <c r="J16" s="51"/>
      <c r="K16" s="51"/>
      <c r="L16" s="51"/>
      <c r="M16" s="51"/>
      <c r="N16" s="51"/>
      <c r="O16" s="51"/>
      <c r="P16" s="51"/>
      <c r="Q16" s="51"/>
      <c r="R16" s="51"/>
      <c r="S16" s="51"/>
      <c r="T16" s="51"/>
      <c r="U16" s="51"/>
      <c r="V16" s="51"/>
      <c r="W16" s="51"/>
      <c r="X16" s="51"/>
      <c r="Y16" s="51"/>
      <c r="Z16" s="51"/>
      <c r="AA16" s="51"/>
    </row>
    <row r="17" spans="1:27" ht="13.65" customHeight="1" x14ac:dyDescent="0.3">
      <c r="A17" s="49"/>
      <c r="B17" s="72">
        <v>13</v>
      </c>
      <c r="C17" s="73" t="s">
        <v>847</v>
      </c>
      <c r="D17" s="74"/>
      <c r="E17" s="75">
        <f t="shared" si="1"/>
        <v>4.8991501212437014E-3</v>
      </c>
      <c r="F17" s="54">
        <v>3200000</v>
      </c>
      <c r="G17" s="54">
        <f>+F17*'[14]FACTOR PRESTACIONAL'!$E$39</f>
        <v>6304320</v>
      </c>
      <c r="H17" s="76">
        <v>1</v>
      </c>
      <c r="I17" s="77">
        <f t="shared" si="0"/>
        <v>25217280</v>
      </c>
      <c r="J17" s="51"/>
      <c r="K17" s="51"/>
      <c r="L17" s="51"/>
      <c r="M17" s="51"/>
      <c r="N17" s="51"/>
      <c r="O17" s="51"/>
      <c r="P17" s="51"/>
      <c r="Q17" s="51"/>
      <c r="R17" s="51"/>
      <c r="S17" s="51"/>
      <c r="T17" s="51"/>
      <c r="U17" s="51"/>
      <c r="V17" s="51"/>
      <c r="W17" s="51"/>
      <c r="X17" s="51"/>
      <c r="Y17" s="51"/>
      <c r="Z17" s="51"/>
      <c r="AA17" s="51"/>
    </row>
    <row r="18" spans="1:27" ht="13.65" customHeight="1" x14ac:dyDescent="0.3">
      <c r="A18" s="49"/>
      <c r="B18" s="414">
        <v>14</v>
      </c>
      <c r="C18" s="415" t="s">
        <v>848</v>
      </c>
      <c r="D18" s="416"/>
      <c r="E18" s="417">
        <f t="shared" si="1"/>
        <v>1.1482383096664925E-3</v>
      </c>
      <c r="F18" s="418">
        <v>3000000</v>
      </c>
      <c r="G18" s="418">
        <f>+F18*'[14]FACTOR PRESTACIONAL'!$E$39</f>
        <v>5910300</v>
      </c>
      <c r="H18" s="419">
        <v>0.25</v>
      </c>
      <c r="I18" s="420">
        <f t="shared" si="0"/>
        <v>5910300</v>
      </c>
      <c r="J18" s="51"/>
      <c r="K18" s="51"/>
      <c r="L18" s="51"/>
      <c r="M18" s="51"/>
      <c r="N18" s="51"/>
      <c r="O18" s="51"/>
      <c r="P18" s="51"/>
      <c r="Q18" s="51"/>
      <c r="R18" s="51"/>
      <c r="S18" s="51"/>
      <c r="T18" s="51"/>
      <c r="U18" s="51"/>
      <c r="V18" s="51"/>
      <c r="W18" s="51"/>
      <c r="X18" s="51"/>
      <c r="Y18" s="51"/>
      <c r="Z18" s="51"/>
      <c r="AA18" s="51"/>
    </row>
    <row r="19" spans="1:27" ht="13.65" customHeight="1" x14ac:dyDescent="0.3">
      <c r="A19" s="49"/>
      <c r="B19" s="72">
        <v>15</v>
      </c>
      <c r="C19" s="73" t="s">
        <v>289</v>
      </c>
      <c r="D19" s="78"/>
      <c r="E19" s="75">
        <f t="shared" si="1"/>
        <v>2.9394900727462213E-3</v>
      </c>
      <c r="F19" s="54">
        <v>3200000</v>
      </c>
      <c r="G19" s="54">
        <f>+F19*'[14]FACTOR PRESTACIONAL'!$E$39</f>
        <v>6304320</v>
      </c>
      <c r="H19" s="76">
        <f>+H13</f>
        <v>0.6</v>
      </c>
      <c r="I19" s="77">
        <f t="shared" si="0"/>
        <v>15130368</v>
      </c>
      <c r="J19" s="51"/>
      <c r="K19" s="51"/>
      <c r="L19" s="51"/>
      <c r="M19" s="51"/>
      <c r="N19" s="51"/>
      <c r="O19" s="51"/>
      <c r="P19" s="51"/>
      <c r="Q19" s="51"/>
      <c r="R19" s="51"/>
      <c r="S19" s="51"/>
      <c r="T19" s="51"/>
      <c r="U19" s="51"/>
      <c r="V19" s="51"/>
      <c r="W19" s="51"/>
      <c r="X19" s="51"/>
      <c r="Y19" s="51"/>
      <c r="Z19" s="51"/>
      <c r="AA19" s="51"/>
    </row>
    <row r="20" spans="1:27" ht="13.65" customHeight="1" x14ac:dyDescent="0.3">
      <c r="A20" s="49"/>
      <c r="B20" s="64">
        <v>2</v>
      </c>
      <c r="C20" s="65" t="s">
        <v>47</v>
      </c>
      <c r="D20" s="66"/>
      <c r="E20" s="67">
        <f>SUM(E22:E34)</f>
        <v>1.2465715555687987E-2</v>
      </c>
      <c r="F20" s="67" t="s">
        <v>48</v>
      </c>
      <c r="G20" s="69"/>
      <c r="H20" s="68" t="s">
        <v>49</v>
      </c>
      <c r="I20" s="70">
        <f>+SUM(I22:I35)</f>
        <v>64164484</v>
      </c>
      <c r="J20" s="71"/>
      <c r="K20" s="71"/>
      <c r="L20" s="51"/>
      <c r="M20" s="51"/>
      <c r="N20" s="51"/>
      <c r="O20" s="51"/>
      <c r="P20" s="51"/>
      <c r="Q20" s="51"/>
      <c r="R20" s="51"/>
      <c r="S20" s="51"/>
      <c r="T20" s="51"/>
      <c r="U20" s="51"/>
      <c r="V20" s="51"/>
      <c r="W20" s="51"/>
      <c r="X20" s="51"/>
      <c r="Y20" s="51"/>
      <c r="Z20" s="51"/>
      <c r="AA20" s="51"/>
    </row>
    <row r="21" spans="1:27" ht="13.65" customHeight="1" x14ac:dyDescent="0.3">
      <c r="A21" s="49"/>
      <c r="B21" s="81"/>
      <c r="C21" s="82" t="s">
        <v>50</v>
      </c>
      <c r="D21" s="83"/>
      <c r="E21" s="84"/>
      <c r="F21" s="83"/>
      <c r="G21" s="85"/>
      <c r="H21" s="83"/>
      <c r="I21" s="86"/>
      <c r="J21" s="51"/>
      <c r="K21" s="51"/>
      <c r="L21" s="51"/>
      <c r="M21" s="51"/>
      <c r="N21" s="51"/>
      <c r="O21" s="51"/>
      <c r="P21" s="51"/>
      <c r="Q21" s="51"/>
      <c r="R21" s="51"/>
      <c r="S21" s="51"/>
      <c r="T21" s="51"/>
      <c r="U21" s="51"/>
      <c r="V21" s="51"/>
      <c r="W21" s="51"/>
      <c r="X21" s="51"/>
      <c r="Y21" s="51"/>
      <c r="Z21" s="51"/>
      <c r="AA21" s="51"/>
    </row>
    <row r="22" spans="1:27" ht="13.65" customHeight="1" x14ac:dyDescent="0.3">
      <c r="A22" s="49"/>
      <c r="B22" s="72">
        <v>1</v>
      </c>
      <c r="C22" s="1099" t="s">
        <v>51</v>
      </c>
      <c r="D22" s="1097"/>
      <c r="E22" s="75">
        <f t="shared" ref="E22:E31" si="2">+I22/$D$6</f>
        <v>1.3210870016297227E-3</v>
      </c>
      <c r="F22" s="87" t="s">
        <v>26</v>
      </c>
      <c r="G22" s="54">
        <v>1700000</v>
      </c>
      <c r="H22" s="88">
        <f t="shared" ref="H22:H27" si="3">$G$6</f>
        <v>4</v>
      </c>
      <c r="I22" s="77">
        <f>ROUND(G22*H22,0)</f>
        <v>6800000</v>
      </c>
      <c r="J22" s="51"/>
      <c r="K22" s="51"/>
      <c r="L22" s="51"/>
      <c r="M22" s="51"/>
      <c r="N22" s="51"/>
      <c r="O22" s="51"/>
      <c r="P22" s="51"/>
      <c r="Q22" s="51"/>
      <c r="R22" s="51"/>
      <c r="S22" s="51"/>
      <c r="T22" s="51"/>
      <c r="U22" s="51"/>
      <c r="V22" s="51"/>
      <c r="W22" s="51"/>
      <c r="X22" s="51"/>
      <c r="Y22" s="51"/>
      <c r="Z22" s="51"/>
      <c r="AA22" s="51"/>
    </row>
    <row r="23" spans="1:27" ht="13.65" customHeight="1" x14ac:dyDescent="0.3">
      <c r="A23" s="49"/>
      <c r="B23" s="72">
        <v>2</v>
      </c>
      <c r="C23" s="1099" t="s">
        <v>52</v>
      </c>
      <c r="D23" s="1097"/>
      <c r="E23" s="75">
        <f t="shared" si="2"/>
        <v>3.8855500047933018E-4</v>
      </c>
      <c r="F23" s="87" t="s">
        <v>26</v>
      </c>
      <c r="G23" s="54">
        <v>500000</v>
      </c>
      <c r="H23" s="88">
        <f t="shared" si="3"/>
        <v>4</v>
      </c>
      <c r="I23" s="77">
        <f t="shared" ref="I23:I31" si="4">ROUND(G23*H23,0)</f>
        <v>2000000</v>
      </c>
      <c r="J23" s="51"/>
      <c r="K23" s="51"/>
      <c r="L23" s="51"/>
      <c r="M23" s="51"/>
      <c r="N23" s="51"/>
      <c r="O23" s="51"/>
      <c r="P23" s="51"/>
      <c r="Q23" s="51"/>
      <c r="R23" s="51"/>
      <c r="S23" s="51"/>
      <c r="T23" s="51"/>
      <c r="U23" s="51"/>
      <c r="V23" s="51"/>
      <c r="W23" s="51"/>
      <c r="X23" s="51"/>
      <c r="Y23" s="51"/>
      <c r="Z23" s="51"/>
      <c r="AA23" s="51"/>
    </row>
    <row r="24" spans="1:27" ht="13.65" customHeight="1" x14ac:dyDescent="0.3">
      <c r="A24" s="49"/>
      <c r="B24" s="72">
        <v>3</v>
      </c>
      <c r="C24" s="1099" t="s">
        <v>53</v>
      </c>
      <c r="D24" s="1097"/>
      <c r="E24" s="75">
        <f t="shared" si="2"/>
        <v>1.7396547674560772E-3</v>
      </c>
      <c r="F24" s="87" t="s">
        <v>26</v>
      </c>
      <c r="G24" s="54">
        <v>2238621</v>
      </c>
      <c r="H24" s="88">
        <f t="shared" si="3"/>
        <v>4</v>
      </c>
      <c r="I24" s="77">
        <f t="shared" si="4"/>
        <v>8954484</v>
      </c>
      <c r="J24" s="51"/>
      <c r="K24" s="51"/>
      <c r="L24" s="51"/>
      <c r="M24" s="51"/>
      <c r="N24" s="51"/>
      <c r="O24" s="51"/>
      <c r="P24" s="51"/>
      <c r="Q24" s="51"/>
      <c r="R24" s="51"/>
      <c r="S24" s="51"/>
      <c r="T24" s="51"/>
      <c r="U24" s="51"/>
      <c r="V24" s="51"/>
      <c r="W24" s="51"/>
      <c r="X24" s="51"/>
      <c r="Y24" s="51"/>
      <c r="Z24" s="51"/>
      <c r="AA24" s="51"/>
    </row>
    <row r="25" spans="1:27" ht="13.65" hidden="1" customHeight="1" x14ac:dyDescent="0.3">
      <c r="A25" s="49"/>
      <c r="B25" s="72">
        <v>4</v>
      </c>
      <c r="C25" s="1099" t="s">
        <v>54</v>
      </c>
      <c r="D25" s="1097"/>
      <c r="E25" s="75">
        <f t="shared" si="2"/>
        <v>1.1656650014379905E-3</v>
      </c>
      <c r="F25" s="87" t="s">
        <v>26</v>
      </c>
      <c r="G25" s="54">
        <v>1500000</v>
      </c>
      <c r="H25" s="88">
        <f t="shared" si="3"/>
        <v>4</v>
      </c>
      <c r="I25" s="77">
        <f t="shared" si="4"/>
        <v>6000000</v>
      </c>
      <c r="J25" s="51"/>
      <c r="K25" s="51"/>
      <c r="L25" s="51"/>
      <c r="M25" s="51"/>
      <c r="N25" s="51"/>
      <c r="O25" s="51"/>
      <c r="P25" s="51"/>
      <c r="Q25" s="51"/>
      <c r="R25" s="51"/>
      <c r="S25" s="51"/>
      <c r="T25" s="51"/>
      <c r="U25" s="51"/>
      <c r="V25" s="51"/>
      <c r="W25" s="51"/>
      <c r="X25" s="51"/>
      <c r="Y25" s="51"/>
      <c r="Z25" s="51"/>
      <c r="AA25" s="51"/>
    </row>
    <row r="26" spans="1:27" ht="13.65" customHeight="1" x14ac:dyDescent="0.3">
      <c r="A26" s="49"/>
      <c r="B26" s="72">
        <v>5</v>
      </c>
      <c r="C26" s="1099" t="s">
        <v>55</v>
      </c>
      <c r="D26" s="1097"/>
      <c r="E26" s="75">
        <f t="shared" si="2"/>
        <v>4.4217559054547774E-3</v>
      </c>
      <c r="F26" s="87" t="s">
        <v>26</v>
      </c>
      <c r="G26" s="54">
        <v>5690000</v>
      </c>
      <c r="H26" s="88">
        <f t="shared" si="3"/>
        <v>4</v>
      </c>
      <c r="I26" s="77">
        <f t="shared" si="4"/>
        <v>22760000</v>
      </c>
      <c r="J26" s="51"/>
      <c r="K26" s="51"/>
      <c r="L26" s="51"/>
      <c r="M26" s="51"/>
      <c r="N26" s="51"/>
      <c r="O26" s="51"/>
      <c r="P26" s="51"/>
      <c r="Q26" s="51"/>
      <c r="R26" s="51"/>
      <c r="S26" s="51"/>
      <c r="T26" s="51"/>
      <c r="U26" s="51"/>
      <c r="V26" s="51"/>
      <c r="W26" s="51"/>
      <c r="X26" s="51"/>
      <c r="Y26" s="51"/>
      <c r="Z26" s="51"/>
      <c r="AA26" s="51"/>
    </row>
    <row r="27" spans="1:27" ht="13.65" customHeight="1" x14ac:dyDescent="0.3">
      <c r="A27" s="49"/>
      <c r="B27" s="72">
        <v>6</v>
      </c>
      <c r="C27" s="1099" t="s">
        <v>56</v>
      </c>
      <c r="D27" s="1097"/>
      <c r="E27" s="75">
        <f t="shared" si="2"/>
        <v>1.9427750023966509E-4</v>
      </c>
      <c r="F27" s="87" t="s">
        <v>26</v>
      </c>
      <c r="G27" s="54">
        <v>250000</v>
      </c>
      <c r="H27" s="88">
        <f t="shared" si="3"/>
        <v>4</v>
      </c>
      <c r="I27" s="77">
        <f t="shared" si="4"/>
        <v>1000000</v>
      </c>
      <c r="J27" s="51"/>
      <c r="K27" s="51"/>
      <c r="L27" s="51"/>
      <c r="M27" s="51"/>
      <c r="N27" s="51"/>
      <c r="O27" s="51"/>
      <c r="P27" s="51"/>
      <c r="Q27" s="51"/>
      <c r="R27" s="51"/>
      <c r="S27" s="51"/>
      <c r="T27" s="51"/>
      <c r="U27" s="51"/>
      <c r="V27" s="51"/>
      <c r="W27" s="51"/>
      <c r="X27" s="51"/>
      <c r="Y27" s="51"/>
      <c r="Z27" s="51"/>
      <c r="AA27" s="51"/>
    </row>
    <row r="28" spans="1:27" ht="13.65" customHeight="1" x14ac:dyDescent="0.3">
      <c r="A28" s="49"/>
      <c r="B28" s="72">
        <v>7</v>
      </c>
      <c r="C28" s="1099" t="s">
        <v>57</v>
      </c>
      <c r="D28" s="1097"/>
      <c r="E28" s="75">
        <f t="shared" si="2"/>
        <v>1.4570812517974882E-4</v>
      </c>
      <c r="F28" s="87" t="s">
        <v>26</v>
      </c>
      <c r="G28" s="54">
        <v>250000</v>
      </c>
      <c r="H28" s="88">
        <v>3</v>
      </c>
      <c r="I28" s="77">
        <f t="shared" si="4"/>
        <v>750000</v>
      </c>
      <c r="J28" s="51"/>
      <c r="K28" s="51"/>
      <c r="L28" s="51"/>
      <c r="M28" s="51"/>
      <c r="N28" s="51"/>
      <c r="O28" s="51"/>
      <c r="P28" s="51"/>
      <c r="Q28" s="51"/>
      <c r="R28" s="51"/>
      <c r="S28" s="51"/>
      <c r="T28" s="51"/>
      <c r="U28" s="51"/>
      <c r="V28" s="51"/>
      <c r="W28" s="51"/>
      <c r="X28" s="51"/>
      <c r="Y28" s="51"/>
      <c r="Z28" s="51"/>
      <c r="AA28" s="51"/>
    </row>
    <row r="29" spans="1:27" ht="13.65" hidden="1" customHeight="1" x14ac:dyDescent="0.3">
      <c r="A29" s="49"/>
      <c r="B29" s="72">
        <v>8</v>
      </c>
      <c r="C29" s="1099" t="s">
        <v>58</v>
      </c>
      <c r="D29" s="1097"/>
      <c r="E29" s="75">
        <f t="shared" si="2"/>
        <v>0</v>
      </c>
      <c r="F29" s="87" t="s">
        <v>26</v>
      </c>
      <c r="G29" s="54">
        <v>2000000</v>
      </c>
      <c r="H29" s="88"/>
      <c r="I29" s="77">
        <f t="shared" si="4"/>
        <v>0</v>
      </c>
      <c r="J29" s="51"/>
      <c r="K29" s="51"/>
      <c r="L29" s="51"/>
      <c r="M29" s="51"/>
      <c r="N29" s="51"/>
      <c r="O29" s="51"/>
      <c r="P29" s="51"/>
      <c r="Q29" s="51"/>
      <c r="R29" s="51"/>
      <c r="S29" s="51"/>
      <c r="T29" s="51"/>
      <c r="U29" s="51"/>
      <c r="V29" s="51"/>
      <c r="W29" s="51"/>
      <c r="X29" s="51"/>
      <c r="Y29" s="51"/>
      <c r="Z29" s="51"/>
      <c r="AA29" s="51"/>
    </row>
    <row r="30" spans="1:27" ht="13.65" hidden="1" customHeight="1" x14ac:dyDescent="0.3">
      <c r="A30" s="49"/>
      <c r="B30" s="72"/>
      <c r="C30" s="1099"/>
      <c r="D30" s="1097"/>
      <c r="E30" s="75"/>
      <c r="F30" s="87"/>
      <c r="G30" s="54"/>
      <c r="H30" s="88"/>
      <c r="I30" s="77">
        <f t="shared" si="4"/>
        <v>0</v>
      </c>
      <c r="J30" s="51"/>
      <c r="K30" s="51"/>
      <c r="L30" s="51"/>
      <c r="M30" s="51"/>
      <c r="N30" s="51"/>
      <c r="O30" s="51"/>
      <c r="P30" s="51"/>
      <c r="Q30" s="51"/>
      <c r="R30" s="51"/>
      <c r="S30" s="51"/>
      <c r="T30" s="51"/>
      <c r="U30" s="51"/>
      <c r="V30" s="51"/>
      <c r="W30" s="51"/>
      <c r="X30" s="51"/>
      <c r="Y30" s="51"/>
      <c r="Z30" s="51"/>
      <c r="AA30" s="51"/>
    </row>
    <row r="31" spans="1:27" ht="32.25" customHeight="1" x14ac:dyDescent="0.3">
      <c r="A31" s="49"/>
      <c r="B31" s="72">
        <v>8</v>
      </c>
      <c r="C31" s="1110" t="s">
        <v>859</v>
      </c>
      <c r="D31" s="1111"/>
      <c r="E31" s="75">
        <f t="shared" si="2"/>
        <v>2.2147635027321821E-3</v>
      </c>
      <c r="F31" s="87" t="s">
        <v>26</v>
      </c>
      <c r="G31" s="54">
        <v>3800000</v>
      </c>
      <c r="H31" s="88">
        <v>3</v>
      </c>
      <c r="I31" s="77">
        <f t="shared" si="4"/>
        <v>11400000</v>
      </c>
      <c r="J31" s="51"/>
      <c r="K31" s="51"/>
      <c r="L31" s="51"/>
      <c r="M31" s="51"/>
      <c r="N31" s="51"/>
      <c r="O31" s="51"/>
      <c r="P31" s="51"/>
      <c r="Q31" s="51"/>
      <c r="R31" s="51"/>
      <c r="S31" s="51"/>
      <c r="T31" s="51"/>
      <c r="U31" s="51"/>
      <c r="V31" s="51"/>
      <c r="W31" s="51"/>
      <c r="X31" s="51"/>
      <c r="Y31" s="51"/>
      <c r="Z31" s="51"/>
      <c r="AA31" s="51"/>
    </row>
    <row r="32" spans="1:27" ht="13.65" customHeight="1" x14ac:dyDescent="0.3">
      <c r="A32" s="49"/>
      <c r="B32" s="64"/>
      <c r="C32" s="65" t="s">
        <v>59</v>
      </c>
      <c r="D32" s="66"/>
      <c r="E32" s="67"/>
      <c r="F32" s="67"/>
      <c r="G32" s="69"/>
      <c r="H32" s="68" t="s">
        <v>19</v>
      </c>
      <c r="I32" s="70"/>
      <c r="J32" s="51"/>
      <c r="K32" s="51"/>
      <c r="L32" s="51"/>
      <c r="M32" s="51"/>
      <c r="N32" s="51"/>
      <c r="O32" s="51"/>
      <c r="P32" s="51"/>
      <c r="Q32" s="51"/>
      <c r="R32" s="51"/>
      <c r="S32" s="51"/>
      <c r="T32" s="51"/>
      <c r="U32" s="51"/>
      <c r="V32" s="51"/>
      <c r="W32" s="51"/>
      <c r="X32" s="51"/>
      <c r="Y32" s="51"/>
      <c r="Z32" s="51"/>
      <c r="AA32" s="51"/>
    </row>
    <row r="33" spans="1:27" ht="13.65" customHeight="1" x14ac:dyDescent="0.3">
      <c r="A33" s="49"/>
      <c r="B33" s="72">
        <v>3</v>
      </c>
      <c r="C33" s="1099" t="s">
        <v>60</v>
      </c>
      <c r="D33" s="1097"/>
      <c r="E33" s="75">
        <f>+I33/$D$6</f>
        <v>2.9141625035949764E-4</v>
      </c>
      <c r="F33" s="87" t="s">
        <v>48</v>
      </c>
      <c r="G33" s="54">
        <v>1500000</v>
      </c>
      <c r="H33" s="89">
        <v>1</v>
      </c>
      <c r="I33" s="77">
        <f>+G33*H33</f>
        <v>1500000</v>
      </c>
      <c r="J33" s="51"/>
      <c r="K33" s="51"/>
      <c r="L33" s="51"/>
      <c r="M33" s="51"/>
      <c r="N33" s="51"/>
      <c r="O33" s="51"/>
      <c r="P33" s="51"/>
      <c r="Q33" s="51"/>
      <c r="R33" s="51"/>
      <c r="S33" s="51"/>
      <c r="T33" s="51"/>
      <c r="U33" s="51"/>
      <c r="V33" s="51"/>
      <c r="W33" s="51"/>
      <c r="X33" s="51"/>
      <c r="Y33" s="51"/>
      <c r="Z33" s="51"/>
      <c r="AA33" s="51"/>
    </row>
    <row r="34" spans="1:27" ht="13.65" customHeight="1" x14ac:dyDescent="0.3">
      <c r="A34" s="49"/>
      <c r="B34" s="72">
        <v>4</v>
      </c>
      <c r="C34" s="1099" t="s">
        <v>61</v>
      </c>
      <c r="D34" s="1097"/>
      <c r="E34" s="75">
        <f>+I34/$D$6</f>
        <v>5.8283250071899527E-4</v>
      </c>
      <c r="F34" s="87" t="s">
        <v>48</v>
      </c>
      <c r="G34" s="54">
        <v>3000000</v>
      </c>
      <c r="H34" s="89">
        <v>1</v>
      </c>
      <c r="I34" s="77">
        <f>+G34*H34</f>
        <v>3000000</v>
      </c>
      <c r="J34" s="51"/>
      <c r="K34" s="51"/>
      <c r="L34" s="51"/>
      <c r="M34" s="51"/>
      <c r="N34" s="51"/>
      <c r="O34" s="51"/>
      <c r="P34" s="51"/>
      <c r="Q34" s="51"/>
      <c r="R34" s="51"/>
      <c r="S34" s="51"/>
      <c r="T34" s="51"/>
      <c r="U34" s="51"/>
      <c r="V34" s="51"/>
      <c r="W34" s="51"/>
      <c r="X34" s="51"/>
      <c r="Y34" s="51"/>
      <c r="Z34" s="51"/>
      <c r="AA34" s="51"/>
    </row>
    <row r="35" spans="1:27" ht="13.65" hidden="1" customHeight="1" x14ac:dyDescent="0.3">
      <c r="A35" s="49"/>
      <c r="B35" s="72">
        <v>5</v>
      </c>
      <c r="C35" s="1112" t="s">
        <v>62</v>
      </c>
      <c r="D35" s="1097"/>
      <c r="E35" s="75">
        <f>+I35/$D$6</f>
        <v>0</v>
      </c>
      <c r="F35" s="90" t="s">
        <v>48</v>
      </c>
      <c r="G35" s="54">
        <v>14000000</v>
      </c>
      <c r="H35" s="89"/>
      <c r="I35" s="77">
        <f>+G35*H35</f>
        <v>0</v>
      </c>
      <c r="J35" s="91"/>
      <c r="K35" s="91"/>
      <c r="L35" s="91"/>
      <c r="M35" s="91"/>
      <c r="N35" s="91"/>
      <c r="O35" s="91"/>
      <c r="P35" s="91"/>
      <c r="Q35" s="91"/>
      <c r="R35" s="91"/>
      <c r="S35" s="91"/>
      <c r="T35" s="91"/>
      <c r="U35" s="91"/>
      <c r="V35" s="91"/>
      <c r="W35" s="91"/>
      <c r="X35" s="91"/>
      <c r="Y35" s="91"/>
      <c r="Z35" s="91"/>
      <c r="AA35" s="91"/>
    </row>
    <row r="36" spans="1:27" ht="13.65" customHeight="1" x14ac:dyDescent="0.3">
      <c r="A36" s="49"/>
      <c r="B36" s="64"/>
      <c r="C36" s="65" t="s">
        <v>63</v>
      </c>
      <c r="D36" s="66"/>
      <c r="E36" s="67"/>
      <c r="F36" s="67"/>
      <c r="G36" s="69"/>
      <c r="H36" s="68"/>
      <c r="I36" s="70">
        <f>+I20+I10</f>
        <v>233750692</v>
      </c>
      <c r="J36" s="71"/>
      <c r="K36" s="71"/>
      <c r="L36" s="51"/>
      <c r="M36" s="51"/>
      <c r="N36" s="51"/>
      <c r="O36" s="51"/>
      <c r="P36" s="51"/>
      <c r="Q36" s="51"/>
      <c r="R36" s="51"/>
      <c r="S36" s="51"/>
      <c r="T36" s="51"/>
      <c r="U36" s="51"/>
      <c r="V36" s="51"/>
      <c r="W36" s="51"/>
      <c r="X36" s="51"/>
      <c r="Y36" s="51"/>
      <c r="Z36" s="51"/>
      <c r="AA36" s="51"/>
    </row>
    <row r="37" spans="1:27" ht="13.65" customHeight="1" x14ac:dyDescent="0.3">
      <c r="A37" s="49"/>
      <c r="B37" s="72"/>
      <c r="C37" s="73"/>
      <c r="D37" s="78"/>
      <c r="E37" s="78"/>
      <c r="F37" s="78"/>
      <c r="G37" s="92"/>
      <c r="H37" s="78"/>
      <c r="I37" s="93"/>
      <c r="J37" s="51"/>
      <c r="K37" s="51"/>
      <c r="L37" s="51"/>
      <c r="M37" s="51"/>
      <c r="N37" s="51"/>
      <c r="O37" s="51"/>
      <c r="P37" s="51"/>
      <c r="Q37" s="51"/>
      <c r="R37" s="51"/>
      <c r="S37" s="51"/>
      <c r="T37" s="51"/>
      <c r="U37" s="51"/>
      <c r="V37" s="51"/>
      <c r="W37" s="51"/>
      <c r="X37" s="51"/>
      <c r="Y37" s="51"/>
      <c r="Z37" s="51"/>
      <c r="AA37" s="51"/>
    </row>
    <row r="38" spans="1:27" ht="13.65" customHeight="1" x14ac:dyDescent="0.3">
      <c r="A38" s="49"/>
      <c r="B38" s="64"/>
      <c r="C38" s="1113"/>
      <c r="D38" s="1096"/>
      <c r="E38" s="1114"/>
      <c r="F38" s="67"/>
      <c r="G38" s="69" t="s">
        <v>64</v>
      </c>
      <c r="H38" s="94"/>
      <c r="I38" s="70"/>
      <c r="J38" s="51"/>
      <c r="K38" s="51"/>
      <c r="L38" s="51"/>
      <c r="M38" s="51"/>
      <c r="N38" s="51"/>
      <c r="O38" s="51"/>
      <c r="P38" s="51"/>
      <c r="Q38" s="51"/>
      <c r="R38" s="51"/>
      <c r="S38" s="51"/>
      <c r="T38" s="51"/>
      <c r="U38" s="51"/>
      <c r="V38" s="51"/>
      <c r="W38" s="51"/>
      <c r="X38" s="51"/>
      <c r="Y38" s="51"/>
      <c r="Z38" s="51"/>
      <c r="AA38" s="51"/>
    </row>
    <row r="39" spans="1:27" ht="13.65" customHeight="1" x14ac:dyDescent="0.3">
      <c r="A39" s="49"/>
      <c r="B39" s="64">
        <v>3</v>
      </c>
      <c r="C39" s="1113" t="s">
        <v>65</v>
      </c>
      <c r="D39" s="1096"/>
      <c r="E39" s="1114"/>
      <c r="F39" s="67"/>
      <c r="G39" s="67">
        <f>+SUM(G40:G53)</f>
        <v>0.13062500000000002</v>
      </c>
      <c r="H39" s="94"/>
      <c r="I39" s="70">
        <f>SUM(I40:I53)</f>
        <v>847177361</v>
      </c>
      <c r="J39" s="71"/>
      <c r="K39" s="71"/>
      <c r="L39" s="51"/>
      <c r="M39" s="51"/>
      <c r="N39" s="51"/>
      <c r="O39" s="51"/>
      <c r="P39" s="51"/>
      <c r="Q39" s="51"/>
      <c r="R39" s="51"/>
      <c r="S39" s="51"/>
      <c r="T39" s="51"/>
      <c r="U39" s="51"/>
      <c r="V39" s="51"/>
      <c r="W39" s="51"/>
      <c r="X39" s="51"/>
      <c r="Y39" s="51"/>
      <c r="Z39" s="51"/>
      <c r="AA39" s="51"/>
    </row>
    <row r="40" spans="1:27" ht="16.5" customHeight="1" x14ac:dyDescent="0.3">
      <c r="A40" s="49"/>
      <c r="B40" s="72">
        <f t="shared" ref="B40:B47" si="5">+B39+0.01</f>
        <v>3.01</v>
      </c>
      <c r="C40" s="95" t="s">
        <v>66</v>
      </c>
      <c r="D40" s="78"/>
      <c r="E40" s="78"/>
      <c r="F40" s="78"/>
      <c r="G40" s="75">
        <v>5.0000000000000001E-3</v>
      </c>
      <c r="H40" s="96"/>
      <c r="I40" s="77">
        <f t="shared" ref="I40:I47" si="6">ROUND(G40*$D$7,0)</f>
        <v>32427842</v>
      </c>
      <c r="J40" s="51"/>
      <c r="K40" s="51"/>
      <c r="L40" s="51"/>
      <c r="M40" s="51"/>
      <c r="N40" s="51"/>
      <c r="O40" s="51"/>
      <c r="P40" s="51"/>
      <c r="Q40" s="51"/>
      <c r="R40" s="51"/>
      <c r="S40" s="51"/>
      <c r="T40" s="51"/>
      <c r="V40" s="421"/>
      <c r="W40" s="51"/>
      <c r="X40" s="51"/>
      <c r="Y40" s="51"/>
      <c r="Z40" s="51"/>
      <c r="AA40" s="51"/>
    </row>
    <row r="41" spans="1:27" ht="16.5" customHeight="1" x14ac:dyDescent="0.3">
      <c r="A41" s="49"/>
      <c r="B41" s="72">
        <f t="shared" si="5"/>
        <v>3.0199999999999996</v>
      </c>
      <c r="C41" s="95" t="s">
        <v>854</v>
      </c>
      <c r="D41" s="78"/>
      <c r="E41" s="78"/>
      <c r="F41" s="78"/>
      <c r="G41" s="75">
        <v>0.02</v>
      </c>
      <c r="H41" s="729"/>
      <c r="I41" s="77">
        <f t="shared" si="6"/>
        <v>129711366</v>
      </c>
      <c r="J41" s="51"/>
      <c r="K41" s="51"/>
      <c r="L41" s="51"/>
      <c r="M41" s="51"/>
      <c r="N41" s="51"/>
      <c r="O41" s="51"/>
      <c r="P41" s="51"/>
      <c r="Q41" s="51"/>
      <c r="R41" s="51"/>
      <c r="S41" s="51"/>
      <c r="T41" s="51"/>
      <c r="U41" s="51"/>
      <c r="V41" s="421"/>
      <c r="W41" s="51"/>
      <c r="X41" s="51"/>
      <c r="Y41" s="51"/>
      <c r="Z41" s="51"/>
      <c r="AA41" s="51"/>
    </row>
    <row r="42" spans="1:27" ht="16.5" customHeight="1" x14ac:dyDescent="0.3">
      <c r="A42" s="49"/>
      <c r="B42" s="72">
        <f t="shared" si="5"/>
        <v>3.0299999999999994</v>
      </c>
      <c r="C42" s="95" t="s">
        <v>855</v>
      </c>
      <c r="D42" s="78"/>
      <c r="E42" s="78"/>
      <c r="F42" s="78"/>
      <c r="G42" s="75">
        <v>0.01</v>
      </c>
      <c r="H42" s="729"/>
      <c r="I42" s="77">
        <f t="shared" si="6"/>
        <v>64855683</v>
      </c>
      <c r="J42" s="51"/>
      <c r="K42" s="51"/>
      <c r="L42" s="51"/>
      <c r="M42" s="51"/>
      <c r="N42" s="51"/>
      <c r="O42" s="51"/>
      <c r="P42" s="51"/>
      <c r="Q42" s="51"/>
      <c r="R42" s="51"/>
      <c r="S42" s="51"/>
      <c r="T42" s="51"/>
      <c r="U42" s="51"/>
      <c r="V42" s="421"/>
      <c r="W42" s="51"/>
      <c r="X42" s="51"/>
      <c r="Y42" s="51"/>
      <c r="Z42" s="51"/>
      <c r="AA42" s="51"/>
    </row>
    <row r="43" spans="1:27" ht="16.5" customHeight="1" x14ac:dyDescent="0.3">
      <c r="A43" s="49"/>
      <c r="B43" s="72">
        <f t="shared" si="5"/>
        <v>3.0399999999999991</v>
      </c>
      <c r="C43" s="95" t="s">
        <v>856</v>
      </c>
      <c r="D43" s="78"/>
      <c r="E43" s="78"/>
      <c r="F43" s="78"/>
      <c r="G43" s="75">
        <v>0.02</v>
      </c>
      <c r="H43" s="729"/>
      <c r="I43" s="77">
        <f t="shared" si="6"/>
        <v>129711366</v>
      </c>
      <c r="J43" s="51"/>
      <c r="K43" s="51"/>
      <c r="L43" s="51"/>
      <c r="M43" s="51"/>
      <c r="N43" s="51"/>
      <c r="O43" s="51"/>
      <c r="P43" s="51"/>
      <c r="Q43" s="51"/>
      <c r="R43" s="51"/>
      <c r="S43" s="51"/>
      <c r="T43" s="51"/>
      <c r="U43" s="51"/>
      <c r="V43" s="421"/>
      <c r="W43" s="51"/>
      <c r="X43" s="51"/>
      <c r="Y43" s="51"/>
      <c r="Z43" s="51"/>
      <c r="AA43" s="51"/>
    </row>
    <row r="44" spans="1:27" ht="16.5" customHeight="1" x14ac:dyDescent="0.3">
      <c r="A44" s="49"/>
      <c r="B44" s="72">
        <f t="shared" si="5"/>
        <v>3.0499999999999989</v>
      </c>
      <c r="C44" s="95" t="s">
        <v>857</v>
      </c>
      <c r="D44" s="78"/>
      <c r="E44" s="78"/>
      <c r="F44" s="78"/>
      <c r="G44" s="75">
        <v>5.0000000000000001E-3</v>
      </c>
      <c r="H44" s="729"/>
      <c r="I44" s="77">
        <f t="shared" si="6"/>
        <v>32427842</v>
      </c>
      <c r="J44" s="51"/>
      <c r="K44" s="51"/>
      <c r="L44" s="51"/>
      <c r="M44" s="51"/>
      <c r="N44" s="51"/>
      <c r="O44" s="51"/>
      <c r="P44" s="51"/>
      <c r="Q44" s="51"/>
      <c r="R44" s="51"/>
      <c r="S44" s="51"/>
      <c r="T44" s="51"/>
      <c r="U44" s="51"/>
      <c r="V44" s="421"/>
      <c r="W44" s="51"/>
      <c r="X44" s="51"/>
      <c r="Y44" s="51"/>
      <c r="Z44" s="51"/>
      <c r="AA44" s="51"/>
    </row>
    <row r="45" spans="1:27" ht="16.5" customHeight="1" x14ac:dyDescent="0.3">
      <c r="A45" s="49"/>
      <c r="B45" s="72">
        <f t="shared" si="5"/>
        <v>3.0599999999999987</v>
      </c>
      <c r="C45" s="95" t="s">
        <v>858</v>
      </c>
      <c r="D45" s="78"/>
      <c r="E45" s="78"/>
      <c r="F45" s="78"/>
      <c r="G45" s="75">
        <v>0.05</v>
      </c>
      <c r="H45" s="729"/>
      <c r="I45" s="77">
        <f t="shared" si="6"/>
        <v>324278416</v>
      </c>
      <c r="J45" s="51"/>
      <c r="K45" s="51"/>
      <c r="L45" s="51"/>
      <c r="M45" s="51"/>
      <c r="N45" s="51"/>
      <c r="O45" s="51"/>
      <c r="P45" s="51"/>
      <c r="Q45" s="51"/>
      <c r="R45" s="51"/>
      <c r="S45" s="51"/>
      <c r="T45" s="51"/>
      <c r="U45" s="51"/>
      <c r="V45" s="51"/>
      <c r="W45" s="51"/>
      <c r="X45" s="51"/>
      <c r="Y45" s="51"/>
      <c r="Z45" s="51"/>
      <c r="AA45" s="51"/>
    </row>
    <row r="46" spans="1:27" ht="16.5" customHeight="1" x14ac:dyDescent="0.3">
      <c r="A46" s="49"/>
      <c r="B46" s="72">
        <f t="shared" si="5"/>
        <v>3.0699999999999985</v>
      </c>
      <c r="C46" s="95" t="s">
        <v>67</v>
      </c>
      <c r="D46" s="78"/>
      <c r="E46" s="78"/>
      <c r="F46" s="78"/>
      <c r="G46" s="75">
        <v>4.0000000000000001E-3</v>
      </c>
      <c r="H46" s="729"/>
      <c r="I46" s="77">
        <f t="shared" si="6"/>
        <v>25942273</v>
      </c>
      <c r="J46" s="51"/>
      <c r="K46" s="51"/>
      <c r="L46" s="51"/>
      <c r="M46" s="51"/>
      <c r="N46" s="51"/>
      <c r="O46" s="51"/>
      <c r="P46" s="51"/>
      <c r="Q46" s="51"/>
      <c r="R46" s="51"/>
      <c r="S46" s="51"/>
      <c r="T46" s="51"/>
      <c r="U46" s="51"/>
      <c r="V46" s="51"/>
      <c r="W46" s="51"/>
      <c r="X46" s="51"/>
      <c r="Y46" s="51"/>
      <c r="Z46" s="51"/>
      <c r="AA46" s="51"/>
    </row>
    <row r="47" spans="1:27" ht="16.5" customHeight="1" x14ac:dyDescent="0.3">
      <c r="A47" s="49"/>
      <c r="B47" s="72">
        <f t="shared" si="5"/>
        <v>3.0799999999999983</v>
      </c>
      <c r="C47" s="95" t="s">
        <v>896</v>
      </c>
      <c r="D47" s="78"/>
      <c r="E47" s="78"/>
      <c r="F47" s="78"/>
      <c r="G47" s="75">
        <v>5.0000000000000001E-3</v>
      </c>
      <c r="H47" s="729"/>
      <c r="I47" s="77">
        <f t="shared" si="6"/>
        <v>32427842</v>
      </c>
      <c r="J47" s="385"/>
      <c r="K47" s="97"/>
      <c r="L47" s="97"/>
      <c r="M47" s="97"/>
      <c r="N47" s="97"/>
      <c r="O47" s="97"/>
      <c r="P47" s="97"/>
      <c r="Q47" s="97"/>
      <c r="R47" s="97"/>
      <c r="S47" s="97"/>
      <c r="T47" s="97"/>
      <c r="U47" s="97"/>
      <c r="V47" s="97"/>
      <c r="W47" s="97"/>
      <c r="X47" s="97"/>
      <c r="Y47" s="97"/>
      <c r="Z47" s="97"/>
      <c r="AA47" s="97"/>
    </row>
    <row r="48" spans="1:27" s="391" customFormat="1" ht="17.25" customHeight="1" x14ac:dyDescent="0.3">
      <c r="A48" s="380"/>
      <c r="B48" s="381"/>
      <c r="C48" s="382" t="s">
        <v>68</v>
      </c>
      <c r="D48" s="383"/>
      <c r="E48" s="383"/>
      <c r="F48" s="383"/>
      <c r="G48" s="730"/>
      <c r="H48" s="728"/>
      <c r="I48" s="384"/>
      <c r="K48" s="386"/>
      <c r="L48" s="387"/>
      <c r="M48" s="388" t="s">
        <v>69</v>
      </c>
      <c r="N48" s="389" t="s">
        <v>70</v>
      </c>
      <c r="O48" s="389" t="s">
        <v>71</v>
      </c>
      <c r="P48" s="389" t="s">
        <v>72</v>
      </c>
      <c r="Q48" s="389" t="s">
        <v>73</v>
      </c>
      <c r="R48" s="390"/>
      <c r="S48" s="390"/>
      <c r="T48" s="385"/>
      <c r="U48" s="385"/>
      <c r="V48" s="385"/>
      <c r="W48" s="385"/>
      <c r="X48" s="385"/>
      <c r="Y48" s="385"/>
      <c r="Z48" s="385"/>
      <c r="AA48" s="385"/>
    </row>
    <row r="49" spans="1:27" ht="13.65" customHeight="1" x14ac:dyDescent="0.3">
      <c r="A49" s="49"/>
      <c r="B49" s="72">
        <f>+B40+0.01</f>
        <v>3.0199999999999996</v>
      </c>
      <c r="C49" s="95" t="s">
        <v>74</v>
      </c>
      <c r="D49" s="78"/>
      <c r="E49" s="78"/>
      <c r="F49" s="78"/>
      <c r="G49" s="75">
        <f>S49</f>
        <v>7.4999999999999991E-4</v>
      </c>
      <c r="H49" s="75"/>
      <c r="I49" s="77">
        <f>ROUND(G49*$D$7,0)</f>
        <v>4864176</v>
      </c>
      <c r="J49" s="51"/>
      <c r="K49" s="97"/>
      <c r="L49" s="98" t="s">
        <v>74</v>
      </c>
      <c r="M49" s="100">
        <v>0.3</v>
      </c>
      <c r="N49" s="99">
        <f t="shared" ref="N49:N53" si="7">M49*$D$6</f>
        <v>1544182932.3</v>
      </c>
      <c r="O49" s="101">
        <f>$G$6+6</f>
        <v>10</v>
      </c>
      <c r="P49" s="99"/>
      <c r="Q49" s="102">
        <v>3.0000000000000001E-3</v>
      </c>
      <c r="R49" s="99">
        <f t="shared" ref="R49:R53" si="8">Q49*O49*N49/12</f>
        <v>3860457.3307499997</v>
      </c>
      <c r="S49" s="102">
        <f t="shared" ref="S49:S53" si="9">R49/$D$6</f>
        <v>7.4999999999999991E-4</v>
      </c>
      <c r="T49" s="51"/>
      <c r="U49" s="51"/>
      <c r="V49" s="51"/>
      <c r="W49" s="51"/>
      <c r="X49" s="51"/>
      <c r="Y49" s="51"/>
      <c r="Z49" s="51"/>
      <c r="AA49" s="51"/>
    </row>
    <row r="50" spans="1:27" ht="13.65" customHeight="1" x14ac:dyDescent="0.3">
      <c r="A50" s="49"/>
      <c r="B50" s="72">
        <f>+B49+0.01</f>
        <v>3.0299999999999994</v>
      </c>
      <c r="C50" s="95" t="s">
        <v>75</v>
      </c>
      <c r="D50" s="78"/>
      <c r="E50" s="78"/>
      <c r="F50" s="78"/>
      <c r="G50" s="75">
        <f>S50</f>
        <v>1E-3</v>
      </c>
      <c r="H50" s="75"/>
      <c r="I50" s="77">
        <f>ROUND(G50*$D$7,0)</f>
        <v>6485568</v>
      </c>
      <c r="J50" s="51"/>
      <c r="K50" s="97"/>
      <c r="L50" s="98" t="s">
        <v>75</v>
      </c>
      <c r="M50" s="100">
        <v>0.1</v>
      </c>
      <c r="N50" s="99">
        <f t="shared" si="7"/>
        <v>514727644.10000002</v>
      </c>
      <c r="O50" s="101">
        <f>$G$6+36</f>
        <v>40</v>
      </c>
      <c r="P50" s="99"/>
      <c r="Q50" s="102">
        <v>3.0000000000000001E-3</v>
      </c>
      <c r="R50" s="99">
        <f t="shared" si="8"/>
        <v>5147276.4410000006</v>
      </c>
      <c r="S50" s="102">
        <f t="shared" si="9"/>
        <v>1E-3</v>
      </c>
      <c r="T50" s="51"/>
      <c r="U50" s="51"/>
      <c r="V50" s="51"/>
      <c r="W50" s="51"/>
      <c r="X50" s="51"/>
      <c r="Y50" s="51"/>
      <c r="Z50" s="51"/>
      <c r="AA50" s="51"/>
    </row>
    <row r="51" spans="1:27" ht="13.65" customHeight="1" x14ac:dyDescent="0.3">
      <c r="A51" s="49"/>
      <c r="B51" s="72">
        <f>+B50+0.01</f>
        <v>3.0399999999999991</v>
      </c>
      <c r="C51" s="95" t="s">
        <v>76</v>
      </c>
      <c r="D51" s="78"/>
      <c r="E51" s="78"/>
      <c r="F51" s="78"/>
      <c r="G51" s="75">
        <f>S51</f>
        <v>3.7499999999999995E-4</v>
      </c>
      <c r="H51" s="75"/>
      <c r="I51" s="77">
        <f>ROUND(G51*$D$7,0)</f>
        <v>2432088</v>
      </c>
      <c r="J51" s="51"/>
      <c r="K51" s="97"/>
      <c r="L51" s="98" t="s">
        <v>76</v>
      </c>
      <c r="M51" s="100">
        <v>0.15</v>
      </c>
      <c r="N51" s="99">
        <f t="shared" si="7"/>
        <v>772091466.14999998</v>
      </c>
      <c r="O51" s="101">
        <f>$G$6+6</f>
        <v>10</v>
      </c>
      <c r="P51" s="99"/>
      <c r="Q51" s="102">
        <v>3.0000000000000001E-3</v>
      </c>
      <c r="R51" s="99">
        <f t="shared" si="8"/>
        <v>1930228.6653749999</v>
      </c>
      <c r="S51" s="102">
        <f t="shared" si="9"/>
        <v>3.7499999999999995E-4</v>
      </c>
      <c r="T51" s="51"/>
      <c r="U51" s="51"/>
      <c r="V51" s="51"/>
      <c r="W51" s="51"/>
      <c r="X51" s="51"/>
      <c r="Y51" s="51"/>
      <c r="Z51" s="51"/>
      <c r="AA51" s="51"/>
    </row>
    <row r="52" spans="1:27" ht="13.65" customHeight="1" x14ac:dyDescent="0.3">
      <c r="A52" s="49"/>
      <c r="B52" s="72">
        <f>+B51+0.01</f>
        <v>3.0499999999999989</v>
      </c>
      <c r="C52" s="95" t="s">
        <v>77</v>
      </c>
      <c r="D52" s="78"/>
      <c r="E52" s="78"/>
      <c r="F52" s="78"/>
      <c r="G52" s="75">
        <v>2.5000000000000001E-3</v>
      </c>
      <c r="H52" s="75"/>
      <c r="I52" s="77">
        <f>ROUND(G52*$D$7,0)</f>
        <v>16213921</v>
      </c>
      <c r="J52" s="51"/>
      <c r="K52" s="97"/>
      <c r="L52" s="98" t="s">
        <v>77</v>
      </c>
      <c r="M52" s="100">
        <v>0.3</v>
      </c>
      <c r="N52" s="99">
        <f t="shared" si="7"/>
        <v>1544182932.3</v>
      </c>
      <c r="O52" s="101">
        <v>60</v>
      </c>
      <c r="P52" s="99"/>
      <c r="Q52" s="102">
        <v>2E-3</v>
      </c>
      <c r="R52" s="99">
        <f t="shared" si="8"/>
        <v>15441829.322999999</v>
      </c>
      <c r="S52" s="102">
        <f t="shared" si="9"/>
        <v>2.9999999999999996E-3</v>
      </c>
      <c r="T52" s="51"/>
      <c r="U52" s="51"/>
      <c r="V52" s="51"/>
      <c r="W52" s="51"/>
      <c r="X52" s="51"/>
      <c r="Y52" s="51"/>
      <c r="Z52" s="51"/>
      <c r="AA52" s="51"/>
    </row>
    <row r="53" spans="1:27" ht="13.65" customHeight="1" x14ac:dyDescent="0.3">
      <c r="A53" s="49"/>
      <c r="B53" s="72">
        <f>+B52+0.01</f>
        <v>3.0599999999999987</v>
      </c>
      <c r="C53" s="95" t="s">
        <v>78</v>
      </c>
      <c r="D53" s="78"/>
      <c r="E53" s="78"/>
      <c r="F53" s="78"/>
      <c r="G53" s="75">
        <v>7.0000000000000001E-3</v>
      </c>
      <c r="H53" s="75"/>
      <c r="I53" s="77">
        <f>ROUND(G53*$D$7,0)</f>
        <v>45398978</v>
      </c>
      <c r="J53" s="51"/>
      <c r="K53" s="97"/>
      <c r="L53" s="98" t="s">
        <v>78</v>
      </c>
      <c r="M53" s="100">
        <v>1</v>
      </c>
      <c r="N53" s="99">
        <f t="shared" si="7"/>
        <v>5147276441</v>
      </c>
      <c r="O53" s="101">
        <v>60</v>
      </c>
      <c r="P53" s="99"/>
      <c r="Q53" s="102">
        <v>2E-3</v>
      </c>
      <c r="R53" s="99">
        <f t="shared" si="8"/>
        <v>51472764.409999996</v>
      </c>
      <c r="S53" s="102">
        <f t="shared" si="9"/>
        <v>9.9999999999999985E-3</v>
      </c>
      <c r="T53" s="51"/>
      <c r="U53" s="51"/>
      <c r="V53" s="51"/>
      <c r="W53" s="51"/>
      <c r="X53" s="51"/>
      <c r="Y53" s="51"/>
      <c r="Z53" s="51"/>
      <c r="AA53" s="51"/>
    </row>
    <row r="54" spans="1:27" ht="13.65" customHeight="1" x14ac:dyDescent="0.3">
      <c r="A54" s="49"/>
      <c r="B54" s="103"/>
      <c r="C54" s="1109" t="s">
        <v>79</v>
      </c>
      <c r="D54" s="1096"/>
      <c r="E54" s="1096"/>
      <c r="F54" s="1096"/>
      <c r="G54" s="1097"/>
      <c r="H54" s="104"/>
      <c r="I54" s="70">
        <f>+I39+I36</f>
        <v>1080928053</v>
      </c>
      <c r="J54" s="51"/>
      <c r="K54" s="51"/>
      <c r="L54" s="98"/>
      <c r="M54" s="50"/>
      <c r="N54" s="51"/>
      <c r="O54" s="105"/>
      <c r="P54" s="51"/>
      <c r="Q54" s="51"/>
      <c r="R54" s="51"/>
      <c r="S54" s="51"/>
      <c r="T54" s="51"/>
      <c r="U54" s="51"/>
      <c r="V54" s="51"/>
      <c r="W54" s="51"/>
      <c r="X54" s="51"/>
      <c r="Y54" s="51"/>
      <c r="Z54" s="51"/>
      <c r="AA54" s="51"/>
    </row>
    <row r="55" spans="1:27" ht="13.65" customHeight="1" x14ac:dyDescent="0.3">
      <c r="A55" s="49"/>
      <c r="B55" s="103"/>
      <c r="C55" s="1109" t="s">
        <v>80</v>
      </c>
      <c r="D55" s="1096"/>
      <c r="E55" s="1096"/>
      <c r="F55" s="1096"/>
      <c r="G55" s="1097"/>
      <c r="H55" s="104"/>
      <c r="I55" s="106">
        <f>I54/D6</f>
        <v>0.21000000007576822</v>
      </c>
      <c r="J55" s="51"/>
      <c r="K55" s="97"/>
      <c r="L55" s="98"/>
      <c r="M55" s="50"/>
      <c r="N55" s="51"/>
      <c r="O55" s="51"/>
      <c r="P55" s="51"/>
      <c r="Q55" s="51"/>
      <c r="R55" s="51"/>
      <c r="S55" s="51"/>
      <c r="T55" s="51"/>
      <c r="U55" s="51"/>
      <c r="V55" s="51"/>
      <c r="W55" s="51"/>
      <c r="X55" s="51"/>
      <c r="Y55" s="51"/>
      <c r="Z55" s="51"/>
      <c r="AA55" s="51"/>
    </row>
    <row r="56" spans="1:27" ht="13.65" customHeight="1" x14ac:dyDescent="0.3">
      <c r="A56" s="49"/>
      <c r="B56" s="103"/>
      <c r="C56" s="1109" t="s">
        <v>81</v>
      </c>
      <c r="D56" s="1096"/>
      <c r="E56" s="1096"/>
      <c r="F56" s="1096"/>
      <c r="G56" s="1097"/>
      <c r="H56" s="104"/>
      <c r="I56" s="107">
        <v>0.01</v>
      </c>
      <c r="J56" s="51"/>
      <c r="K56" s="152"/>
      <c r="L56" s="108"/>
      <c r="M56" s="51"/>
      <c r="N56" s="51"/>
      <c r="O56" s="51"/>
      <c r="P56" s="51"/>
      <c r="Q56" s="51"/>
      <c r="R56" s="51"/>
      <c r="S56" s="51"/>
      <c r="T56" s="51"/>
      <c r="U56" s="51"/>
      <c r="V56" s="51"/>
      <c r="W56" s="51"/>
      <c r="X56" s="51"/>
      <c r="Y56" s="51"/>
      <c r="Z56" s="51"/>
      <c r="AA56" s="51"/>
    </row>
    <row r="57" spans="1:27" ht="16.5" customHeight="1" x14ac:dyDescent="0.3">
      <c r="A57" s="49"/>
      <c r="B57" s="103"/>
      <c r="C57" s="1109" t="s">
        <v>82</v>
      </c>
      <c r="D57" s="1096"/>
      <c r="E57" s="1096"/>
      <c r="F57" s="1096"/>
      <c r="G57" s="1097"/>
      <c r="H57" s="104"/>
      <c r="I57" s="106">
        <v>0.04</v>
      </c>
      <c r="J57" s="51"/>
      <c r="K57" s="51"/>
      <c r="L57" s="51"/>
      <c r="M57" s="51"/>
      <c r="N57" s="51"/>
      <c r="O57" s="51"/>
      <c r="P57" s="51"/>
      <c r="Q57" s="51"/>
      <c r="R57" s="51"/>
      <c r="S57" s="51"/>
      <c r="T57" s="51"/>
      <c r="U57" s="51"/>
      <c r="V57" s="51"/>
      <c r="W57" s="51"/>
      <c r="X57" s="51"/>
      <c r="Y57" s="51"/>
      <c r="Z57" s="51"/>
      <c r="AA57" s="51"/>
    </row>
    <row r="58" spans="1:27" ht="22.2" customHeight="1" x14ac:dyDescent="0.3">
      <c r="A58" s="49"/>
      <c r="B58" s="57"/>
      <c r="C58" s="51"/>
      <c r="D58" s="51"/>
      <c r="E58" s="51"/>
      <c r="F58" s="51"/>
      <c r="G58" s="58"/>
      <c r="H58" s="71"/>
      <c r="I58" s="58"/>
      <c r="J58" s="51"/>
      <c r="K58" s="51"/>
      <c r="L58" s="51"/>
      <c r="M58" s="51"/>
      <c r="N58" s="51"/>
      <c r="O58" s="51"/>
      <c r="P58" s="51"/>
      <c r="Q58" s="51"/>
      <c r="R58" s="51"/>
      <c r="S58" s="51"/>
      <c r="T58" s="51"/>
      <c r="U58" s="51"/>
      <c r="V58" s="51"/>
      <c r="W58" s="51"/>
      <c r="X58" s="51"/>
      <c r="Y58" s="51"/>
      <c r="Z58" s="51"/>
      <c r="AA58" s="51"/>
    </row>
    <row r="59" spans="1:27" ht="48.6" customHeight="1" x14ac:dyDescent="0.3">
      <c r="A59" s="49"/>
      <c r="B59" s="57"/>
      <c r="C59" s="51"/>
      <c r="D59" s="51"/>
      <c r="E59" s="51"/>
      <c r="F59" s="51"/>
      <c r="G59" s="58"/>
      <c r="H59" s="51"/>
      <c r="I59" s="58"/>
      <c r="J59" s="51"/>
      <c r="K59" s="51"/>
      <c r="L59" s="51"/>
      <c r="M59" s="51"/>
      <c r="N59" s="51"/>
      <c r="O59" s="51"/>
      <c r="P59" s="51"/>
      <c r="Q59" s="51"/>
      <c r="R59" s="51"/>
      <c r="S59" s="51"/>
      <c r="T59" s="51"/>
      <c r="U59" s="51"/>
      <c r="V59" s="51"/>
      <c r="W59" s="51"/>
      <c r="X59" s="51"/>
      <c r="Y59" s="51"/>
      <c r="Z59" s="51"/>
      <c r="AA59" s="51"/>
    </row>
    <row r="60" spans="1:27" s="738" customFormat="1" ht="13.8" x14ac:dyDescent="0.3">
      <c r="A60" s="49"/>
      <c r="B60" s="796" t="s">
        <v>1005</v>
      </c>
      <c r="C60" s="796"/>
      <c r="D60" s="796"/>
      <c r="E60" s="796"/>
      <c r="F60" s="796"/>
      <c r="G60" s="736"/>
      <c r="H60" s="736"/>
      <c r="I60" s="736"/>
      <c r="J60" s="736"/>
      <c r="K60" s="737"/>
      <c r="L60" s="737"/>
      <c r="M60" s="737"/>
      <c r="N60" s="737"/>
      <c r="O60" s="737"/>
      <c r="P60" s="737"/>
      <c r="Q60" s="737"/>
      <c r="R60" s="737"/>
      <c r="S60" s="737"/>
      <c r="T60" s="737"/>
      <c r="U60" s="737"/>
      <c r="V60" s="737"/>
      <c r="W60" s="737"/>
      <c r="X60" s="737"/>
      <c r="Y60" s="737"/>
      <c r="Z60" s="737"/>
      <c r="AA60" s="737"/>
    </row>
    <row r="61" spans="1:27" s="738" customFormat="1" ht="13.8" x14ac:dyDescent="0.3">
      <c r="A61" s="49"/>
      <c r="B61" s="797" t="s">
        <v>1010</v>
      </c>
      <c r="C61" s="797"/>
      <c r="D61" s="797"/>
      <c r="E61" s="797"/>
      <c r="F61" s="797"/>
      <c r="G61" s="736"/>
      <c r="H61" s="736"/>
      <c r="I61" s="736"/>
      <c r="J61" s="736"/>
      <c r="K61" s="737"/>
      <c r="L61" s="737"/>
      <c r="M61" s="737"/>
      <c r="N61" s="737"/>
      <c r="O61" s="737"/>
      <c r="P61" s="737"/>
      <c r="Q61" s="737"/>
      <c r="R61" s="737"/>
      <c r="S61" s="737"/>
      <c r="T61" s="737"/>
      <c r="U61" s="737"/>
      <c r="V61" s="737"/>
      <c r="W61" s="737"/>
      <c r="X61" s="737"/>
      <c r="Y61" s="737"/>
      <c r="Z61" s="737"/>
      <c r="AA61" s="737"/>
    </row>
    <row r="62" spans="1:27" s="738" customFormat="1" ht="13.8" x14ac:dyDescent="0.3">
      <c r="A62" s="49"/>
      <c r="B62" s="797" t="s">
        <v>1006</v>
      </c>
      <c r="C62" s="797"/>
      <c r="D62" s="797"/>
      <c r="E62" s="797"/>
      <c r="F62" s="797"/>
      <c r="G62" s="736"/>
      <c r="H62" s="736"/>
      <c r="I62" s="736"/>
      <c r="J62" s="736"/>
      <c r="K62" s="737"/>
      <c r="L62" s="737"/>
      <c r="M62" s="737"/>
      <c r="N62" s="737"/>
      <c r="O62" s="737"/>
      <c r="P62" s="737"/>
      <c r="Q62" s="737"/>
      <c r="R62" s="737"/>
      <c r="S62" s="737"/>
      <c r="T62" s="737"/>
      <c r="U62" s="737"/>
      <c r="V62" s="737"/>
      <c r="W62" s="737"/>
      <c r="X62" s="737"/>
      <c r="Y62" s="737"/>
      <c r="Z62" s="737"/>
      <c r="AA62" s="737"/>
    </row>
    <row r="63" spans="1:27" ht="13.65" customHeight="1" x14ac:dyDescent="0.3">
      <c r="A63" s="49"/>
      <c r="B63" s="57"/>
      <c r="C63" s="51"/>
      <c r="D63" s="51"/>
      <c r="E63" s="51"/>
      <c r="F63" s="51"/>
      <c r="G63" s="58"/>
      <c r="H63" s="58"/>
      <c r="I63" s="58"/>
      <c r="J63" s="58"/>
      <c r="K63" s="51"/>
      <c r="L63" s="51"/>
      <c r="M63" s="51"/>
      <c r="N63" s="51"/>
      <c r="O63" s="51"/>
      <c r="P63" s="51"/>
      <c r="Q63" s="51"/>
      <c r="R63" s="51"/>
      <c r="S63" s="51"/>
      <c r="T63" s="51"/>
      <c r="U63" s="51"/>
      <c r="V63" s="51"/>
      <c r="W63" s="51"/>
      <c r="X63" s="51"/>
      <c r="Y63" s="51"/>
      <c r="Z63" s="51"/>
      <c r="AA63" s="51"/>
    </row>
    <row r="64" spans="1:27" ht="13.65" customHeight="1" x14ac:dyDescent="0.3">
      <c r="A64" s="49"/>
      <c r="B64" s="57"/>
      <c r="C64" s="51"/>
      <c r="D64" s="51"/>
      <c r="E64" s="51"/>
      <c r="F64" s="51"/>
      <c r="G64" s="58"/>
      <c r="H64" s="58"/>
      <c r="I64" s="58"/>
      <c r="J64" s="58"/>
      <c r="K64" s="51"/>
      <c r="L64" s="51"/>
      <c r="M64" s="51"/>
      <c r="N64" s="51"/>
      <c r="O64" s="51"/>
      <c r="P64" s="51"/>
      <c r="Q64" s="51"/>
      <c r="R64" s="51"/>
      <c r="S64" s="51"/>
      <c r="T64" s="51"/>
      <c r="U64" s="51"/>
      <c r="V64" s="51"/>
      <c r="W64" s="51"/>
      <c r="X64" s="51"/>
      <c r="Y64" s="51"/>
      <c r="Z64" s="51"/>
      <c r="AA64" s="51"/>
    </row>
    <row r="65" spans="1:27" ht="13.65" customHeight="1" x14ac:dyDescent="0.3">
      <c r="A65" s="49"/>
      <c r="B65" s="57"/>
      <c r="C65" s="51"/>
      <c r="D65" s="51"/>
      <c r="E65" s="51"/>
      <c r="F65" s="51"/>
      <c r="G65" s="58"/>
      <c r="H65" s="58"/>
      <c r="I65" s="58"/>
      <c r="J65" s="58"/>
      <c r="K65" s="51"/>
      <c r="L65" s="51"/>
      <c r="M65" s="51"/>
      <c r="N65" s="51"/>
      <c r="O65" s="51"/>
      <c r="P65" s="51"/>
      <c r="Q65" s="51"/>
      <c r="R65" s="51"/>
      <c r="S65" s="51"/>
      <c r="T65" s="51"/>
      <c r="U65" s="51"/>
      <c r="V65" s="51"/>
      <c r="W65" s="51"/>
      <c r="X65" s="51"/>
      <c r="Y65" s="51"/>
      <c r="Z65" s="51"/>
      <c r="AA65" s="51"/>
    </row>
    <row r="66" spans="1:27" ht="13.65" customHeight="1" x14ac:dyDescent="0.3">
      <c r="A66" s="49"/>
      <c r="B66" s="57"/>
      <c r="C66" s="51"/>
      <c r="D66" s="51"/>
      <c r="E66" s="51"/>
      <c r="F66" s="51"/>
      <c r="G66" s="58"/>
      <c r="H66" s="58"/>
      <c r="I66" s="58"/>
      <c r="J66" s="58"/>
      <c r="K66" s="51"/>
      <c r="L66" s="51"/>
      <c r="M66" s="51"/>
      <c r="N66" s="51"/>
      <c r="O66" s="51"/>
      <c r="P66" s="51"/>
      <c r="Q66" s="51"/>
      <c r="R66" s="51"/>
      <c r="S66" s="51"/>
      <c r="T66" s="51"/>
      <c r="U66" s="51"/>
      <c r="V66" s="51"/>
      <c r="W66" s="51"/>
      <c r="X66" s="51"/>
      <c r="Y66" s="51"/>
      <c r="Z66" s="51"/>
      <c r="AA66" s="51"/>
    </row>
    <row r="67" spans="1:27" ht="13.65" customHeight="1" x14ac:dyDescent="0.3">
      <c r="A67" s="49"/>
      <c r="B67" s="57"/>
      <c r="C67" s="51"/>
      <c r="D67" s="51"/>
      <c r="E67" s="51"/>
      <c r="F67" s="51"/>
      <c r="G67" s="58"/>
      <c r="H67" s="51"/>
      <c r="I67" s="58"/>
      <c r="J67" s="51"/>
      <c r="K67" s="51"/>
      <c r="L67" s="51"/>
      <c r="M67" s="51"/>
      <c r="N67" s="51"/>
      <c r="O67" s="51"/>
      <c r="P67" s="51"/>
      <c r="Q67" s="51"/>
      <c r="R67" s="51"/>
      <c r="S67" s="51"/>
      <c r="T67" s="51"/>
      <c r="U67" s="51"/>
      <c r="V67" s="51"/>
      <c r="W67" s="51"/>
      <c r="X67" s="51"/>
      <c r="Y67" s="51"/>
      <c r="Z67" s="51"/>
      <c r="AA67" s="51"/>
    </row>
    <row r="68" spans="1:27" ht="13.65" customHeight="1" x14ac:dyDescent="0.3">
      <c r="A68" s="49"/>
      <c r="B68" s="57"/>
      <c r="C68" s="51"/>
      <c r="D68" s="51"/>
      <c r="E68" s="51"/>
      <c r="F68" s="51"/>
      <c r="G68" s="58"/>
      <c r="H68" s="51"/>
      <c r="I68" s="58"/>
      <c r="J68" s="51"/>
      <c r="K68" s="51"/>
      <c r="L68" s="51"/>
      <c r="M68" s="51"/>
      <c r="N68" s="51"/>
      <c r="O68" s="51"/>
      <c r="P68" s="51"/>
      <c r="Q68" s="51"/>
      <c r="R68" s="51"/>
      <c r="S68" s="51"/>
      <c r="T68" s="51"/>
      <c r="U68" s="51"/>
      <c r="V68" s="51"/>
      <c r="W68" s="51"/>
      <c r="X68" s="51"/>
      <c r="Y68" s="51"/>
      <c r="Z68" s="51"/>
      <c r="AA68" s="51"/>
    </row>
    <row r="69" spans="1:27" ht="13.65" customHeight="1" x14ac:dyDescent="0.3">
      <c r="A69" s="49"/>
      <c r="B69" s="57"/>
      <c r="C69" s="51"/>
      <c r="D69" s="51"/>
      <c r="E69" s="51"/>
      <c r="F69" s="51"/>
      <c r="G69" s="58"/>
      <c r="H69" s="51"/>
      <c r="I69" s="58"/>
      <c r="J69" s="51"/>
      <c r="K69" s="51"/>
      <c r="L69" s="51"/>
      <c r="M69" s="51"/>
      <c r="N69" s="51"/>
      <c r="O69" s="51"/>
      <c r="P69" s="51"/>
      <c r="Q69" s="51"/>
      <c r="R69" s="51"/>
      <c r="S69" s="51"/>
      <c r="T69" s="51"/>
      <c r="U69" s="51"/>
      <c r="V69" s="51"/>
      <c r="W69" s="51"/>
      <c r="X69" s="51"/>
      <c r="Y69" s="51"/>
      <c r="Z69" s="51"/>
      <c r="AA69" s="51"/>
    </row>
    <row r="70" spans="1:27" ht="13.65" customHeight="1" x14ac:dyDescent="0.3">
      <c r="A70" s="49"/>
      <c r="B70" s="57"/>
      <c r="C70" s="51"/>
      <c r="D70" s="51"/>
      <c r="E70" s="51"/>
      <c r="F70" s="51"/>
      <c r="G70" s="58"/>
      <c r="H70" s="51"/>
      <c r="I70" s="58"/>
      <c r="J70" s="51"/>
      <c r="K70" s="51"/>
      <c r="L70" s="51"/>
      <c r="M70" s="51"/>
      <c r="N70" s="51"/>
      <c r="O70" s="51"/>
      <c r="P70" s="51"/>
      <c r="Q70" s="51"/>
      <c r="R70" s="51"/>
      <c r="S70" s="51"/>
      <c r="T70" s="51"/>
      <c r="U70" s="51"/>
      <c r="V70" s="51"/>
      <c r="W70" s="51"/>
      <c r="X70" s="51"/>
      <c r="Y70" s="51"/>
      <c r="Z70" s="51"/>
      <c r="AA70" s="51"/>
    </row>
    <row r="71" spans="1:27" ht="13.65" customHeight="1" x14ac:dyDescent="0.3">
      <c r="A71" s="49"/>
      <c r="B71" s="57"/>
      <c r="C71" s="51"/>
      <c r="D71" s="51"/>
      <c r="E71" s="51"/>
      <c r="F71" s="51"/>
      <c r="G71" s="58"/>
      <c r="H71" s="51"/>
      <c r="I71" s="58"/>
      <c r="J71" s="51"/>
      <c r="K71" s="51"/>
      <c r="L71" s="51"/>
      <c r="M71" s="51"/>
      <c r="N71" s="51"/>
      <c r="O71" s="51"/>
      <c r="P71" s="51"/>
      <c r="Q71" s="51"/>
      <c r="R71" s="51"/>
      <c r="S71" s="51"/>
      <c r="T71" s="51"/>
      <c r="U71" s="51"/>
      <c r="V71" s="51"/>
      <c r="W71" s="51"/>
      <c r="X71" s="51"/>
      <c r="Y71" s="51"/>
      <c r="Z71" s="51"/>
      <c r="AA71" s="51"/>
    </row>
    <row r="72" spans="1:27" ht="13.65" customHeight="1" x14ac:dyDescent="0.3">
      <c r="A72" s="49"/>
      <c r="B72" s="57"/>
      <c r="C72" s="51"/>
      <c r="D72" s="51"/>
      <c r="E72" s="51"/>
      <c r="F72" s="51"/>
      <c r="G72" s="58"/>
      <c r="H72" s="51"/>
      <c r="I72" s="58"/>
      <c r="J72" s="51"/>
      <c r="K72" s="51"/>
      <c r="L72" s="51"/>
      <c r="M72" s="51"/>
      <c r="N72" s="51"/>
      <c r="O72" s="51"/>
      <c r="P72" s="51"/>
      <c r="Q72" s="51"/>
      <c r="R72" s="51"/>
      <c r="S72" s="51"/>
      <c r="T72" s="51"/>
      <c r="U72" s="51"/>
      <c r="V72" s="51"/>
      <c r="W72" s="51"/>
      <c r="X72" s="51"/>
      <c r="Y72" s="51"/>
      <c r="Z72" s="51"/>
      <c r="AA72" s="51"/>
    </row>
    <row r="73" spans="1:27" ht="13.65" customHeight="1" x14ac:dyDescent="0.3">
      <c r="A73" s="49"/>
      <c r="B73" s="57"/>
      <c r="C73" s="51"/>
      <c r="D73" s="51"/>
      <c r="E73" s="51"/>
      <c r="F73" s="51"/>
      <c r="G73" s="58"/>
      <c r="H73" s="51"/>
      <c r="I73" s="58"/>
      <c r="J73" s="51"/>
      <c r="K73" s="51"/>
      <c r="L73" s="51"/>
      <c r="M73" s="51"/>
      <c r="N73" s="51"/>
      <c r="O73" s="51"/>
      <c r="P73" s="51"/>
      <c r="Q73" s="51"/>
      <c r="R73" s="51"/>
      <c r="S73" s="51"/>
      <c r="T73" s="51"/>
      <c r="U73" s="51"/>
      <c r="V73" s="51"/>
      <c r="W73" s="51"/>
      <c r="X73" s="51"/>
      <c r="Y73" s="51"/>
      <c r="Z73" s="51"/>
      <c r="AA73" s="51"/>
    </row>
    <row r="74" spans="1:27" ht="13.65" customHeight="1" x14ac:dyDescent="0.3">
      <c r="A74" s="49"/>
      <c r="B74" s="57"/>
      <c r="C74" s="51"/>
      <c r="D74" s="51"/>
      <c r="E74" s="51"/>
      <c r="F74" s="51"/>
      <c r="G74" s="58"/>
      <c r="H74" s="51"/>
      <c r="I74" s="58"/>
      <c r="J74" s="51"/>
      <c r="K74" s="51"/>
      <c r="L74" s="51"/>
      <c r="M74" s="51"/>
      <c r="N74" s="51"/>
      <c r="O74" s="51"/>
      <c r="P74" s="51"/>
      <c r="Q74" s="51"/>
      <c r="R74" s="51"/>
      <c r="S74" s="51"/>
      <c r="T74" s="51"/>
      <c r="U74" s="51"/>
      <c r="V74" s="51"/>
      <c r="W74" s="51"/>
      <c r="X74" s="51"/>
      <c r="Y74" s="51"/>
      <c r="Z74" s="51"/>
      <c r="AA74" s="51"/>
    </row>
    <row r="75" spans="1:27" ht="13.65" customHeight="1" x14ac:dyDescent="0.3">
      <c r="A75" s="49"/>
      <c r="B75" s="57"/>
      <c r="C75" s="51"/>
      <c r="D75" s="51"/>
      <c r="E75" s="51"/>
      <c r="F75" s="51"/>
      <c r="G75" s="58"/>
      <c r="H75" s="51"/>
      <c r="I75" s="58"/>
      <c r="J75" s="51"/>
      <c r="K75" s="51"/>
      <c r="L75" s="51"/>
      <c r="M75" s="51"/>
      <c r="N75" s="51"/>
      <c r="O75" s="51"/>
      <c r="P75" s="51"/>
      <c r="Q75" s="51"/>
      <c r="R75" s="51"/>
      <c r="S75" s="51"/>
      <c r="T75" s="51"/>
      <c r="U75" s="51"/>
      <c r="V75" s="51"/>
      <c r="W75" s="51"/>
      <c r="X75" s="51"/>
      <c r="Y75" s="51"/>
      <c r="Z75" s="51"/>
      <c r="AA75" s="51"/>
    </row>
    <row r="76" spans="1:27" ht="13.65" customHeight="1" x14ac:dyDescent="0.3">
      <c r="A76" s="49"/>
      <c r="B76" s="57"/>
      <c r="C76" s="51"/>
      <c r="D76" s="51"/>
      <c r="E76" s="51"/>
      <c r="F76" s="51"/>
      <c r="G76" s="58"/>
      <c r="H76" s="51"/>
      <c r="I76" s="58"/>
      <c r="J76" s="51"/>
      <c r="K76" s="51"/>
      <c r="L76" s="51"/>
      <c r="M76" s="51"/>
      <c r="N76" s="51"/>
      <c r="O76" s="51"/>
      <c r="P76" s="51"/>
      <c r="Q76" s="51"/>
      <c r="R76" s="51"/>
      <c r="S76" s="51"/>
      <c r="T76" s="51"/>
      <c r="U76" s="51"/>
      <c r="V76" s="51"/>
      <c r="W76" s="51"/>
      <c r="X76" s="51"/>
      <c r="Y76" s="51"/>
      <c r="Z76" s="51"/>
      <c r="AA76" s="51"/>
    </row>
    <row r="77" spans="1:27" ht="13.65" customHeight="1" x14ac:dyDescent="0.3">
      <c r="A77" s="49"/>
      <c r="B77" s="57"/>
      <c r="C77" s="51"/>
      <c r="D77" s="51"/>
      <c r="E77" s="51"/>
      <c r="F77" s="51"/>
      <c r="G77" s="58"/>
      <c r="H77" s="51"/>
      <c r="I77" s="58"/>
      <c r="J77" s="51"/>
      <c r="K77" s="51"/>
      <c r="L77" s="51"/>
      <c r="M77" s="51"/>
      <c r="N77" s="51"/>
      <c r="O77" s="51"/>
      <c r="P77" s="51"/>
      <c r="Q77" s="51"/>
      <c r="R77" s="51"/>
      <c r="S77" s="51"/>
      <c r="T77" s="51"/>
      <c r="U77" s="51"/>
      <c r="V77" s="51"/>
      <c r="W77" s="51"/>
      <c r="X77" s="51"/>
      <c r="Y77" s="51"/>
      <c r="Z77" s="51"/>
      <c r="AA77" s="51"/>
    </row>
    <row r="78" spans="1:27" ht="13.65" customHeight="1" x14ac:dyDescent="0.3">
      <c r="A78" s="49"/>
      <c r="B78" s="57"/>
      <c r="C78" s="51"/>
      <c r="D78" s="51"/>
      <c r="E78" s="51"/>
      <c r="F78" s="51"/>
      <c r="G78" s="58"/>
      <c r="H78" s="51"/>
      <c r="I78" s="58"/>
      <c r="J78" s="51"/>
      <c r="K78" s="51"/>
      <c r="L78" s="51"/>
      <c r="M78" s="51"/>
      <c r="N78" s="51"/>
      <c r="O78" s="51"/>
      <c r="P78" s="51"/>
      <c r="Q78" s="51"/>
      <c r="R78" s="51"/>
      <c r="S78" s="51"/>
      <c r="T78" s="51"/>
      <c r="U78" s="51"/>
      <c r="V78" s="51"/>
      <c r="W78" s="51"/>
      <c r="X78" s="51"/>
      <c r="Y78" s="51"/>
      <c r="Z78" s="51"/>
      <c r="AA78" s="51"/>
    </row>
    <row r="79" spans="1:27" ht="13.65" customHeight="1" x14ac:dyDescent="0.3">
      <c r="A79" s="49"/>
      <c r="B79" s="57"/>
      <c r="C79" s="51"/>
      <c r="D79" s="51"/>
      <c r="E79" s="51"/>
      <c r="F79" s="51"/>
      <c r="G79" s="58"/>
      <c r="H79" s="51"/>
      <c r="I79" s="58"/>
      <c r="J79" s="51"/>
      <c r="K79" s="51"/>
      <c r="L79" s="51"/>
      <c r="M79" s="51"/>
      <c r="N79" s="51"/>
      <c r="O79" s="51"/>
      <c r="P79" s="51"/>
      <c r="Q79" s="51"/>
      <c r="R79" s="51"/>
      <c r="S79" s="51"/>
      <c r="T79" s="51"/>
      <c r="U79" s="51"/>
      <c r="V79" s="51"/>
      <c r="W79" s="51"/>
      <c r="X79" s="51"/>
      <c r="Y79" s="51"/>
      <c r="Z79" s="51"/>
      <c r="AA79" s="51"/>
    </row>
    <row r="80" spans="1:27" ht="13.65" customHeight="1" x14ac:dyDescent="0.3">
      <c r="A80" s="49"/>
      <c r="B80" s="57"/>
      <c r="C80" s="51"/>
      <c r="D80" s="51"/>
      <c r="E80" s="51"/>
      <c r="F80" s="51"/>
      <c r="G80" s="58"/>
      <c r="H80" s="51"/>
      <c r="I80" s="58"/>
      <c r="J80" s="51"/>
      <c r="K80" s="51"/>
      <c r="L80" s="51"/>
      <c r="M80" s="51"/>
      <c r="N80" s="51"/>
      <c r="O80" s="51"/>
      <c r="P80" s="51"/>
      <c r="Q80" s="51"/>
      <c r="R80" s="51"/>
      <c r="S80" s="51"/>
      <c r="T80" s="51"/>
      <c r="U80" s="51"/>
      <c r="V80" s="51"/>
      <c r="W80" s="51"/>
      <c r="X80" s="51"/>
      <c r="Y80" s="51"/>
      <c r="Z80" s="51"/>
      <c r="AA80" s="51"/>
    </row>
    <row r="81" spans="1:27" ht="13.65" customHeight="1" x14ac:dyDescent="0.3">
      <c r="A81" s="49"/>
      <c r="B81" s="57"/>
      <c r="C81" s="51"/>
      <c r="D81" s="51"/>
      <c r="E81" s="51"/>
      <c r="F81" s="51"/>
      <c r="G81" s="58"/>
      <c r="H81" s="51"/>
      <c r="I81" s="58"/>
      <c r="J81" s="51"/>
      <c r="K81" s="51"/>
      <c r="L81" s="51"/>
      <c r="M81" s="51"/>
      <c r="N81" s="51"/>
      <c r="O81" s="51"/>
      <c r="P81" s="51"/>
      <c r="Q81" s="51"/>
      <c r="R81" s="51"/>
      <c r="S81" s="51"/>
      <c r="T81" s="51"/>
      <c r="U81" s="51"/>
      <c r="V81" s="51"/>
      <c r="W81" s="51"/>
      <c r="X81" s="51"/>
      <c r="Y81" s="51"/>
      <c r="Z81" s="51"/>
      <c r="AA81" s="51"/>
    </row>
    <row r="82" spans="1:27" ht="13.65" customHeight="1" x14ac:dyDescent="0.3">
      <c r="A82" s="49"/>
      <c r="B82" s="57"/>
      <c r="C82" s="51"/>
      <c r="D82" s="51"/>
      <c r="E82" s="51"/>
      <c r="F82" s="51"/>
      <c r="G82" s="58"/>
      <c r="H82" s="51"/>
      <c r="I82" s="58"/>
      <c r="J82" s="51"/>
      <c r="K82" s="51"/>
      <c r="L82" s="51"/>
      <c r="M82" s="51"/>
      <c r="N82" s="51"/>
      <c r="O82" s="51"/>
      <c r="P82" s="51"/>
      <c r="Q82" s="51"/>
      <c r="R82" s="51"/>
      <c r="S82" s="51"/>
      <c r="T82" s="51"/>
      <c r="U82" s="51"/>
      <c r="V82" s="51"/>
      <c r="W82" s="51"/>
      <c r="X82" s="51"/>
      <c r="Y82" s="51"/>
      <c r="Z82" s="51"/>
      <c r="AA82" s="51"/>
    </row>
    <row r="83" spans="1:27" ht="13.65" customHeight="1" x14ac:dyDescent="0.3">
      <c r="A83" s="49"/>
      <c r="B83" s="57"/>
      <c r="C83" s="51"/>
      <c r="D83" s="51"/>
      <c r="E83" s="51"/>
      <c r="F83" s="51"/>
      <c r="G83" s="58"/>
      <c r="H83" s="51"/>
      <c r="I83" s="58"/>
      <c r="J83" s="51"/>
      <c r="K83" s="51"/>
      <c r="L83" s="51"/>
      <c r="M83" s="51"/>
      <c r="N83" s="51"/>
      <c r="O83" s="51"/>
      <c r="P83" s="51"/>
      <c r="Q83" s="51"/>
      <c r="R83" s="51"/>
      <c r="S83" s="51"/>
      <c r="T83" s="51"/>
      <c r="U83" s="51"/>
      <c r="V83" s="51"/>
      <c r="W83" s="51"/>
      <c r="X83" s="51"/>
      <c r="Y83" s="51"/>
      <c r="Z83" s="51"/>
      <c r="AA83" s="51"/>
    </row>
    <row r="84" spans="1:27" ht="13.65" customHeight="1" x14ac:dyDescent="0.3">
      <c r="A84" s="49"/>
      <c r="B84" s="57"/>
      <c r="C84" s="51"/>
      <c r="D84" s="51"/>
      <c r="E84" s="51"/>
      <c r="F84" s="51"/>
      <c r="G84" s="58"/>
      <c r="H84" s="51"/>
      <c r="I84" s="58"/>
      <c r="J84" s="51"/>
      <c r="K84" s="51"/>
      <c r="L84" s="51"/>
      <c r="M84" s="51"/>
      <c r="N84" s="51"/>
      <c r="O84" s="51"/>
      <c r="P84" s="51"/>
      <c r="Q84" s="51"/>
      <c r="R84" s="51"/>
      <c r="S84" s="51"/>
      <c r="T84" s="51"/>
      <c r="U84" s="51"/>
      <c r="V84" s="51"/>
      <c r="W84" s="51"/>
      <c r="X84" s="51"/>
      <c r="Y84" s="51"/>
      <c r="Z84" s="51"/>
      <c r="AA84" s="51"/>
    </row>
    <row r="85" spans="1:27" ht="13.65" customHeight="1" x14ac:dyDescent="0.3">
      <c r="A85" s="49"/>
      <c r="B85" s="57"/>
      <c r="C85" s="51"/>
      <c r="D85" s="51"/>
      <c r="E85" s="51"/>
      <c r="F85" s="51"/>
      <c r="G85" s="58"/>
      <c r="H85" s="51"/>
      <c r="I85" s="58"/>
      <c r="J85" s="51"/>
      <c r="K85" s="51"/>
      <c r="L85" s="51"/>
      <c r="M85" s="51"/>
      <c r="N85" s="51"/>
      <c r="O85" s="51"/>
      <c r="P85" s="51"/>
      <c r="Q85" s="51"/>
      <c r="R85" s="51"/>
      <c r="S85" s="51"/>
      <c r="T85" s="51"/>
      <c r="U85" s="51"/>
      <c r="V85" s="51"/>
      <c r="W85" s="51"/>
      <c r="X85" s="51"/>
      <c r="Y85" s="51"/>
      <c r="Z85" s="51"/>
      <c r="AA85" s="51"/>
    </row>
    <row r="86" spans="1:27" ht="13.65" customHeight="1" x14ac:dyDescent="0.3">
      <c r="A86" s="49"/>
      <c r="B86" s="57"/>
      <c r="C86" s="51"/>
      <c r="D86" s="51"/>
      <c r="E86" s="51"/>
      <c r="F86" s="51"/>
      <c r="G86" s="58"/>
      <c r="H86" s="51"/>
      <c r="I86" s="58"/>
      <c r="J86" s="51"/>
      <c r="K86" s="51"/>
      <c r="L86" s="51"/>
      <c r="M86" s="51"/>
      <c r="N86" s="51"/>
      <c r="O86" s="51"/>
      <c r="P86" s="51"/>
      <c r="Q86" s="51"/>
      <c r="R86" s="51"/>
      <c r="S86" s="51"/>
      <c r="T86" s="51"/>
      <c r="U86" s="51"/>
      <c r="V86" s="51"/>
      <c r="W86" s="51"/>
      <c r="X86" s="51"/>
      <c r="Y86" s="51"/>
      <c r="Z86" s="51"/>
      <c r="AA86" s="51"/>
    </row>
    <row r="87" spans="1:27" ht="13.65" customHeight="1" x14ac:dyDescent="0.3">
      <c r="A87" s="49"/>
      <c r="B87" s="57"/>
      <c r="C87" s="51"/>
      <c r="D87" s="51"/>
      <c r="E87" s="51"/>
      <c r="F87" s="51"/>
      <c r="G87" s="58"/>
      <c r="H87" s="51"/>
      <c r="I87" s="58"/>
      <c r="J87" s="51"/>
      <c r="K87" s="51"/>
      <c r="L87" s="51"/>
      <c r="M87" s="51"/>
      <c r="N87" s="51"/>
      <c r="O87" s="51"/>
      <c r="P87" s="51"/>
      <c r="Q87" s="51"/>
      <c r="R87" s="51"/>
      <c r="S87" s="51"/>
      <c r="T87" s="51"/>
      <c r="U87" s="51"/>
      <c r="V87" s="51"/>
      <c r="W87" s="51"/>
      <c r="X87" s="51"/>
      <c r="Y87" s="51"/>
      <c r="Z87" s="51"/>
      <c r="AA87" s="51"/>
    </row>
    <row r="88" spans="1:27" ht="13.65" customHeight="1" x14ac:dyDescent="0.3">
      <c r="A88" s="49"/>
      <c r="B88" s="57"/>
      <c r="C88" s="51"/>
      <c r="D88" s="51"/>
      <c r="E88" s="51"/>
      <c r="F88" s="51"/>
      <c r="G88" s="58"/>
      <c r="H88" s="51"/>
      <c r="I88" s="58"/>
      <c r="J88" s="51"/>
      <c r="K88" s="51"/>
      <c r="L88" s="51"/>
      <c r="M88" s="51"/>
      <c r="N88" s="51"/>
      <c r="O88" s="51"/>
      <c r="P88" s="51"/>
      <c r="Q88" s="51"/>
      <c r="R88" s="51"/>
      <c r="S88" s="51"/>
      <c r="T88" s="51"/>
      <c r="U88" s="51"/>
      <c r="V88" s="51"/>
      <c r="W88" s="51"/>
      <c r="X88" s="51"/>
      <c r="Y88" s="51"/>
      <c r="Z88" s="51"/>
      <c r="AA88" s="51"/>
    </row>
    <row r="89" spans="1:27" ht="13.65" customHeight="1" x14ac:dyDescent="0.3">
      <c r="A89" s="49"/>
      <c r="B89" s="57"/>
      <c r="C89" s="51"/>
      <c r="D89" s="51"/>
      <c r="E89" s="51"/>
      <c r="F89" s="51"/>
      <c r="G89" s="58"/>
      <c r="H89" s="51"/>
      <c r="I89" s="58"/>
      <c r="J89" s="51"/>
      <c r="K89" s="51"/>
      <c r="L89" s="51"/>
      <c r="M89" s="51"/>
      <c r="N89" s="51"/>
      <c r="O89" s="51"/>
      <c r="P89" s="51"/>
      <c r="Q89" s="51"/>
      <c r="R89" s="51"/>
      <c r="S89" s="51"/>
      <c r="T89" s="51"/>
      <c r="U89" s="51"/>
      <c r="V89" s="51"/>
      <c r="W89" s="51"/>
      <c r="X89" s="51"/>
      <c r="Y89" s="51"/>
      <c r="Z89" s="51"/>
      <c r="AA89" s="51"/>
    </row>
    <row r="90" spans="1:27" ht="13.65" customHeight="1" x14ac:dyDescent="0.3">
      <c r="A90" s="49"/>
      <c r="B90" s="57"/>
      <c r="C90" s="51"/>
      <c r="D90" s="51"/>
      <c r="E90" s="51"/>
      <c r="F90" s="51"/>
      <c r="G90" s="58"/>
      <c r="H90" s="51"/>
      <c r="I90" s="58"/>
      <c r="J90" s="51"/>
      <c r="K90" s="51"/>
      <c r="L90" s="51"/>
      <c r="M90" s="51"/>
      <c r="N90" s="51"/>
      <c r="O90" s="51"/>
      <c r="P90" s="51"/>
      <c r="Q90" s="51"/>
      <c r="R90" s="51"/>
      <c r="S90" s="51"/>
      <c r="T90" s="51"/>
      <c r="U90" s="51"/>
      <c r="V90" s="51"/>
      <c r="W90" s="51"/>
      <c r="X90" s="51"/>
      <c r="Y90" s="51"/>
      <c r="Z90" s="51"/>
      <c r="AA90" s="51"/>
    </row>
    <row r="91" spans="1:27" ht="13.65" customHeight="1" x14ac:dyDescent="0.3">
      <c r="A91" s="49"/>
      <c r="B91" s="57"/>
      <c r="C91" s="51"/>
      <c r="D91" s="51"/>
      <c r="E91" s="51"/>
      <c r="F91" s="51"/>
      <c r="G91" s="58"/>
      <c r="H91" s="51"/>
      <c r="I91" s="58"/>
      <c r="J91" s="51"/>
      <c r="K91" s="51"/>
      <c r="L91" s="51"/>
      <c r="M91" s="51"/>
      <c r="N91" s="51"/>
      <c r="O91" s="51"/>
      <c r="P91" s="51"/>
      <c r="Q91" s="51"/>
      <c r="R91" s="51"/>
      <c r="S91" s="51"/>
      <c r="T91" s="51"/>
      <c r="U91" s="51"/>
      <c r="V91" s="51"/>
      <c r="W91" s="51"/>
      <c r="X91" s="51"/>
      <c r="Y91" s="51"/>
      <c r="Z91" s="51"/>
      <c r="AA91" s="51"/>
    </row>
    <row r="92" spans="1:27" ht="13.65" customHeight="1" x14ac:dyDescent="0.3">
      <c r="A92" s="49"/>
      <c r="B92" s="57"/>
      <c r="C92" s="51"/>
      <c r="D92" s="51"/>
      <c r="E92" s="51"/>
      <c r="F92" s="51"/>
      <c r="G92" s="58"/>
      <c r="H92" s="51"/>
      <c r="I92" s="58"/>
      <c r="J92" s="51"/>
      <c r="K92" s="51"/>
      <c r="L92" s="51"/>
      <c r="M92" s="51"/>
      <c r="N92" s="51"/>
      <c r="O92" s="51"/>
      <c r="P92" s="51"/>
      <c r="Q92" s="51"/>
      <c r="R92" s="51"/>
      <c r="S92" s="51"/>
      <c r="T92" s="51"/>
      <c r="U92" s="51"/>
      <c r="V92" s="51"/>
      <c r="W92" s="51"/>
      <c r="X92" s="51"/>
      <c r="Y92" s="51"/>
      <c r="Z92" s="51"/>
      <c r="AA92" s="51"/>
    </row>
    <row r="93" spans="1:27" ht="13.65" customHeight="1" x14ac:dyDescent="0.3">
      <c r="A93" s="49"/>
      <c r="B93" s="57"/>
      <c r="C93" s="51"/>
      <c r="D93" s="51"/>
      <c r="E93" s="51"/>
      <c r="F93" s="51"/>
      <c r="G93" s="58"/>
      <c r="H93" s="51"/>
      <c r="I93" s="58"/>
      <c r="J93" s="51"/>
      <c r="K93" s="51"/>
      <c r="L93" s="51"/>
      <c r="M93" s="51"/>
      <c r="N93" s="51"/>
      <c r="O93" s="51"/>
      <c r="P93" s="51"/>
      <c r="Q93" s="51"/>
      <c r="R93" s="51"/>
      <c r="S93" s="51"/>
      <c r="T93" s="51"/>
      <c r="U93" s="51"/>
      <c r="V93" s="51"/>
      <c r="W93" s="51"/>
      <c r="X93" s="51"/>
      <c r="Y93" s="51"/>
      <c r="Z93" s="51"/>
      <c r="AA93" s="51"/>
    </row>
    <row r="94" spans="1:27" ht="13.65" customHeight="1" x14ac:dyDescent="0.3">
      <c r="A94" s="49"/>
      <c r="B94" s="57"/>
      <c r="C94" s="51"/>
      <c r="D94" s="51"/>
      <c r="E94" s="51"/>
      <c r="F94" s="51"/>
      <c r="G94" s="58"/>
      <c r="H94" s="51"/>
      <c r="I94" s="58"/>
      <c r="J94" s="51"/>
      <c r="K94" s="51"/>
      <c r="L94" s="51"/>
      <c r="M94" s="51"/>
      <c r="N94" s="51"/>
      <c r="O94" s="51"/>
      <c r="P94" s="51"/>
      <c r="Q94" s="51"/>
      <c r="R94" s="51"/>
      <c r="S94" s="51"/>
      <c r="T94" s="51"/>
      <c r="U94" s="51"/>
      <c r="V94" s="51"/>
      <c r="W94" s="51"/>
      <c r="X94" s="51"/>
      <c r="Y94" s="51"/>
      <c r="Z94" s="51"/>
      <c r="AA94" s="51"/>
    </row>
    <row r="95" spans="1:27" ht="13.65" customHeight="1" x14ac:dyDescent="0.3">
      <c r="A95" s="49"/>
      <c r="B95" s="57"/>
      <c r="C95" s="51"/>
      <c r="D95" s="51"/>
      <c r="E95" s="51"/>
      <c r="F95" s="51"/>
      <c r="G95" s="58"/>
      <c r="H95" s="51"/>
      <c r="I95" s="58"/>
      <c r="J95" s="51"/>
      <c r="K95" s="51"/>
      <c r="L95" s="51"/>
      <c r="M95" s="51"/>
      <c r="N95" s="51"/>
      <c r="O95" s="51"/>
      <c r="P95" s="51"/>
      <c r="Q95" s="51"/>
      <c r="R95" s="51"/>
      <c r="S95" s="51"/>
      <c r="T95" s="51"/>
      <c r="U95" s="51"/>
      <c r="V95" s="51"/>
      <c r="W95" s="51"/>
      <c r="X95" s="51"/>
      <c r="Y95" s="51"/>
      <c r="Z95" s="51"/>
      <c r="AA95" s="51"/>
    </row>
    <row r="96" spans="1:27" ht="13.65" customHeight="1" x14ac:dyDescent="0.3">
      <c r="A96" s="49"/>
      <c r="B96" s="57"/>
      <c r="C96" s="51"/>
      <c r="D96" s="51"/>
      <c r="E96" s="51"/>
      <c r="F96" s="51"/>
      <c r="G96" s="58"/>
      <c r="H96" s="51"/>
      <c r="I96" s="58"/>
      <c r="J96" s="51"/>
      <c r="K96" s="51"/>
      <c r="L96" s="51"/>
      <c r="M96" s="51"/>
      <c r="N96" s="51"/>
      <c r="O96" s="51"/>
      <c r="P96" s="51"/>
      <c r="Q96" s="51"/>
      <c r="R96" s="51"/>
      <c r="S96" s="51"/>
      <c r="T96" s="51"/>
      <c r="U96" s="51"/>
      <c r="V96" s="51"/>
      <c r="W96" s="51"/>
      <c r="X96" s="51"/>
      <c r="Y96" s="51"/>
      <c r="Z96" s="51"/>
      <c r="AA96" s="51"/>
    </row>
    <row r="97" spans="1:27" ht="13.65" customHeight="1" x14ac:dyDescent="0.3">
      <c r="A97" s="49"/>
      <c r="B97" s="57"/>
      <c r="C97" s="51"/>
      <c r="D97" s="51"/>
      <c r="E97" s="51"/>
      <c r="F97" s="51"/>
      <c r="G97" s="58"/>
      <c r="H97" s="51"/>
      <c r="I97" s="58"/>
      <c r="J97" s="51"/>
      <c r="K97" s="51"/>
      <c r="L97" s="51"/>
      <c r="M97" s="51"/>
      <c r="N97" s="51"/>
      <c r="O97" s="51"/>
      <c r="P97" s="51"/>
      <c r="Q97" s="51"/>
      <c r="R97" s="51"/>
      <c r="S97" s="51"/>
      <c r="T97" s="51"/>
      <c r="U97" s="51"/>
      <c r="V97" s="51"/>
      <c r="W97" s="51"/>
      <c r="X97" s="51"/>
      <c r="Y97" s="51"/>
      <c r="Z97" s="51"/>
      <c r="AA97" s="51"/>
    </row>
    <row r="98" spans="1:27" ht="13.65" customHeight="1" x14ac:dyDescent="0.3">
      <c r="A98" s="49"/>
      <c r="B98" s="57"/>
      <c r="C98" s="51"/>
      <c r="D98" s="51"/>
      <c r="E98" s="51"/>
      <c r="F98" s="51"/>
      <c r="G98" s="58"/>
      <c r="H98" s="51"/>
      <c r="I98" s="58"/>
      <c r="J98" s="51"/>
      <c r="K98" s="51"/>
      <c r="L98" s="51"/>
      <c r="M98" s="51"/>
      <c r="N98" s="51"/>
      <c r="O98" s="51"/>
      <c r="P98" s="51"/>
      <c r="Q98" s="51"/>
      <c r="R98" s="51"/>
      <c r="S98" s="51"/>
      <c r="T98" s="51"/>
      <c r="U98" s="51"/>
      <c r="V98" s="51"/>
      <c r="W98" s="51"/>
      <c r="X98" s="51"/>
      <c r="Y98" s="51"/>
      <c r="Z98" s="51"/>
      <c r="AA98" s="51"/>
    </row>
    <row r="99" spans="1:27" ht="13.65" customHeight="1" x14ac:dyDescent="0.3">
      <c r="A99" s="49"/>
      <c r="B99" s="57"/>
      <c r="C99" s="51"/>
      <c r="D99" s="51"/>
      <c r="E99" s="51"/>
      <c r="F99" s="51"/>
      <c r="G99" s="58"/>
      <c r="H99" s="51"/>
      <c r="I99" s="58"/>
      <c r="J99" s="51"/>
      <c r="K99" s="51"/>
      <c r="L99" s="51"/>
      <c r="M99" s="51"/>
      <c r="N99" s="51"/>
      <c r="O99" s="51"/>
      <c r="P99" s="51"/>
      <c r="Q99" s="51"/>
      <c r="R99" s="51"/>
      <c r="S99" s="51"/>
      <c r="T99" s="51"/>
      <c r="U99" s="51"/>
      <c r="V99" s="51"/>
      <c r="W99" s="51"/>
      <c r="X99" s="51"/>
      <c r="Y99" s="51"/>
      <c r="Z99" s="51"/>
      <c r="AA99" s="51"/>
    </row>
    <row r="100" spans="1:27" ht="13.65" customHeight="1" x14ac:dyDescent="0.3">
      <c r="A100" s="49"/>
      <c r="B100" s="57"/>
      <c r="C100" s="51"/>
      <c r="D100" s="51"/>
      <c r="E100" s="51"/>
      <c r="F100" s="51"/>
      <c r="G100" s="58"/>
      <c r="H100" s="51"/>
      <c r="I100" s="58"/>
      <c r="J100" s="51"/>
      <c r="K100" s="51"/>
      <c r="L100" s="51"/>
      <c r="M100" s="51"/>
      <c r="N100" s="51"/>
      <c r="O100" s="51"/>
      <c r="P100" s="51"/>
      <c r="Q100" s="51"/>
      <c r="R100" s="51"/>
      <c r="S100" s="51"/>
      <c r="T100" s="51"/>
      <c r="U100" s="51"/>
      <c r="V100" s="51"/>
      <c r="W100" s="51"/>
      <c r="X100" s="51"/>
      <c r="Y100" s="51"/>
      <c r="Z100" s="51"/>
      <c r="AA100" s="51"/>
    </row>
    <row r="101" spans="1:27" ht="13.65" customHeight="1" x14ac:dyDescent="0.3">
      <c r="A101" s="49"/>
      <c r="B101" s="57"/>
      <c r="C101" s="51"/>
      <c r="D101" s="51"/>
      <c r="E101" s="51"/>
      <c r="F101" s="51"/>
      <c r="G101" s="58"/>
      <c r="H101" s="51"/>
      <c r="I101" s="58"/>
      <c r="J101" s="51"/>
      <c r="K101" s="51"/>
      <c r="L101" s="51"/>
      <c r="M101" s="51"/>
      <c r="N101" s="51"/>
      <c r="O101" s="51"/>
      <c r="P101" s="51"/>
      <c r="Q101" s="51"/>
      <c r="R101" s="51"/>
      <c r="S101" s="51"/>
      <c r="T101" s="51"/>
      <c r="U101" s="51"/>
      <c r="V101" s="51"/>
      <c r="W101" s="51"/>
      <c r="X101" s="51"/>
      <c r="Y101" s="51"/>
      <c r="Z101" s="51"/>
      <c r="AA101" s="51"/>
    </row>
    <row r="102" spans="1:27" ht="13.65" customHeight="1" x14ac:dyDescent="0.3">
      <c r="A102" s="49"/>
      <c r="B102" s="57"/>
      <c r="C102" s="51"/>
      <c r="D102" s="51"/>
      <c r="E102" s="51"/>
      <c r="F102" s="51"/>
      <c r="G102" s="58"/>
      <c r="H102" s="51"/>
      <c r="I102" s="58"/>
      <c r="J102" s="51"/>
      <c r="K102" s="51"/>
      <c r="L102" s="51"/>
      <c r="M102" s="51"/>
      <c r="N102" s="51"/>
      <c r="O102" s="51"/>
      <c r="P102" s="51"/>
      <c r="Q102" s="51"/>
      <c r="R102" s="51"/>
      <c r="S102" s="51"/>
      <c r="T102" s="51"/>
      <c r="U102" s="51"/>
      <c r="V102" s="51"/>
      <c r="W102" s="51"/>
      <c r="X102" s="51"/>
      <c r="Y102" s="51"/>
      <c r="Z102" s="51"/>
      <c r="AA102" s="51"/>
    </row>
    <row r="103" spans="1:27" ht="13.65" customHeight="1" x14ac:dyDescent="0.3">
      <c r="A103" s="49"/>
      <c r="B103" s="57"/>
      <c r="C103" s="51"/>
      <c r="D103" s="51"/>
      <c r="E103" s="51"/>
      <c r="F103" s="51"/>
      <c r="G103" s="58"/>
      <c r="H103" s="51"/>
      <c r="I103" s="58"/>
      <c r="J103" s="51"/>
      <c r="K103" s="51"/>
      <c r="L103" s="51"/>
      <c r="M103" s="51"/>
      <c r="N103" s="51"/>
      <c r="O103" s="51"/>
      <c r="P103" s="51"/>
      <c r="Q103" s="51"/>
      <c r="R103" s="51"/>
      <c r="S103" s="51"/>
      <c r="T103" s="51"/>
      <c r="U103" s="51"/>
      <c r="V103" s="51"/>
      <c r="W103" s="51"/>
      <c r="X103" s="51"/>
      <c r="Y103" s="51"/>
      <c r="Z103" s="51"/>
      <c r="AA103" s="51"/>
    </row>
    <row r="104" spans="1:27" ht="13.65" customHeight="1" x14ac:dyDescent="0.3">
      <c r="A104" s="49"/>
      <c r="B104" s="57"/>
      <c r="C104" s="51"/>
      <c r="D104" s="51"/>
      <c r="E104" s="51"/>
      <c r="F104" s="51"/>
      <c r="G104" s="58"/>
      <c r="H104" s="51"/>
      <c r="I104" s="58"/>
      <c r="J104" s="51"/>
      <c r="K104" s="51"/>
      <c r="L104" s="51"/>
      <c r="M104" s="51"/>
      <c r="N104" s="51"/>
      <c r="O104" s="51"/>
      <c r="P104" s="51"/>
      <c r="Q104" s="51"/>
      <c r="R104" s="51"/>
      <c r="S104" s="51"/>
      <c r="T104" s="51"/>
      <c r="U104" s="51"/>
      <c r="V104" s="51"/>
      <c r="W104" s="51"/>
      <c r="X104" s="51"/>
      <c r="Y104" s="51"/>
      <c r="Z104" s="51"/>
      <c r="AA104" s="51"/>
    </row>
    <row r="105" spans="1:27" ht="13.65" customHeight="1" x14ac:dyDescent="0.3">
      <c r="A105" s="49"/>
      <c r="B105" s="57"/>
      <c r="C105" s="51"/>
      <c r="D105" s="51"/>
      <c r="E105" s="51"/>
      <c r="F105" s="51"/>
      <c r="G105" s="58"/>
      <c r="H105" s="51"/>
      <c r="I105" s="58"/>
      <c r="J105" s="51"/>
      <c r="K105" s="51"/>
      <c r="L105" s="51"/>
      <c r="M105" s="51"/>
      <c r="N105" s="51"/>
      <c r="O105" s="51"/>
      <c r="P105" s="51"/>
      <c r="Q105" s="51"/>
      <c r="R105" s="51"/>
      <c r="S105" s="51"/>
      <c r="T105" s="51"/>
      <c r="U105" s="51"/>
      <c r="V105" s="51"/>
      <c r="W105" s="51"/>
      <c r="X105" s="51"/>
      <c r="Y105" s="51"/>
      <c r="Z105" s="51"/>
      <c r="AA105" s="51"/>
    </row>
    <row r="106" spans="1:27" ht="13.65" customHeight="1" x14ac:dyDescent="0.3">
      <c r="A106" s="49"/>
      <c r="B106" s="57"/>
      <c r="C106" s="51"/>
      <c r="D106" s="51"/>
      <c r="E106" s="51"/>
      <c r="F106" s="51"/>
      <c r="G106" s="58"/>
      <c r="H106" s="51"/>
      <c r="I106" s="58"/>
      <c r="J106" s="51"/>
      <c r="K106" s="51"/>
      <c r="L106" s="51"/>
      <c r="M106" s="51"/>
      <c r="N106" s="51"/>
      <c r="O106" s="51"/>
      <c r="P106" s="51"/>
      <c r="Q106" s="51"/>
      <c r="R106" s="51"/>
      <c r="S106" s="51"/>
      <c r="T106" s="51"/>
      <c r="U106" s="51"/>
      <c r="V106" s="51"/>
      <c r="W106" s="51"/>
      <c r="X106" s="51"/>
      <c r="Y106" s="51"/>
      <c r="Z106" s="51"/>
      <c r="AA106" s="51"/>
    </row>
    <row r="107" spans="1:27" ht="13.65" customHeight="1" x14ac:dyDescent="0.3">
      <c r="A107" s="49"/>
      <c r="B107" s="57"/>
      <c r="C107" s="51"/>
      <c r="D107" s="51"/>
      <c r="E107" s="51"/>
      <c r="F107" s="51"/>
      <c r="G107" s="58"/>
      <c r="H107" s="51"/>
      <c r="I107" s="58"/>
      <c r="J107" s="51"/>
      <c r="K107" s="51"/>
      <c r="L107" s="51"/>
      <c r="M107" s="51"/>
      <c r="N107" s="51"/>
      <c r="O107" s="51"/>
      <c r="P107" s="51"/>
      <c r="Q107" s="51"/>
      <c r="R107" s="51"/>
      <c r="S107" s="51"/>
      <c r="T107" s="51"/>
      <c r="U107" s="51"/>
      <c r="V107" s="51"/>
      <c r="W107" s="51"/>
      <c r="X107" s="51"/>
      <c r="Y107" s="51"/>
      <c r="Z107" s="51"/>
      <c r="AA107" s="51"/>
    </row>
    <row r="108" spans="1:27" ht="13.65" customHeight="1" x14ac:dyDescent="0.3">
      <c r="A108" s="49"/>
      <c r="B108" s="57"/>
      <c r="C108" s="51"/>
      <c r="D108" s="51"/>
      <c r="E108" s="51"/>
      <c r="F108" s="51"/>
      <c r="G108" s="58"/>
      <c r="H108" s="51"/>
      <c r="I108" s="58"/>
      <c r="J108" s="51"/>
      <c r="K108" s="51"/>
      <c r="L108" s="51"/>
      <c r="M108" s="51"/>
      <c r="N108" s="51"/>
      <c r="O108" s="51"/>
      <c r="P108" s="51"/>
      <c r="Q108" s="51"/>
      <c r="R108" s="51"/>
      <c r="S108" s="51"/>
      <c r="T108" s="51"/>
      <c r="U108" s="51"/>
      <c r="V108" s="51"/>
      <c r="W108" s="51"/>
      <c r="X108" s="51"/>
      <c r="Y108" s="51"/>
      <c r="Z108" s="51"/>
      <c r="AA108" s="51"/>
    </row>
    <row r="109" spans="1:27" ht="13.65" customHeight="1" x14ac:dyDescent="0.3">
      <c r="A109" s="49"/>
      <c r="B109" s="57"/>
      <c r="C109" s="51"/>
      <c r="D109" s="51"/>
      <c r="E109" s="51"/>
      <c r="F109" s="51"/>
      <c r="G109" s="58"/>
      <c r="H109" s="51"/>
      <c r="I109" s="58"/>
      <c r="J109" s="51"/>
      <c r="K109" s="51"/>
      <c r="L109" s="51"/>
      <c r="M109" s="51"/>
      <c r="N109" s="51"/>
      <c r="O109" s="51"/>
      <c r="P109" s="51"/>
      <c r="Q109" s="51"/>
      <c r="R109" s="51"/>
      <c r="S109" s="51"/>
      <c r="T109" s="51"/>
      <c r="U109" s="51"/>
      <c r="V109" s="51"/>
      <c r="W109" s="51"/>
      <c r="X109" s="51"/>
      <c r="Y109" s="51"/>
      <c r="Z109" s="51"/>
      <c r="AA109" s="51"/>
    </row>
    <row r="110" spans="1:27" ht="13.65" customHeight="1" x14ac:dyDescent="0.3">
      <c r="A110" s="49"/>
      <c r="B110" s="57"/>
      <c r="C110" s="51"/>
      <c r="D110" s="51"/>
      <c r="E110" s="51"/>
      <c r="F110" s="51"/>
      <c r="G110" s="58"/>
      <c r="H110" s="51"/>
      <c r="I110" s="58"/>
      <c r="J110" s="51"/>
      <c r="K110" s="51"/>
      <c r="L110" s="51"/>
      <c r="M110" s="51"/>
      <c r="N110" s="51"/>
      <c r="O110" s="51"/>
      <c r="P110" s="51"/>
      <c r="Q110" s="51"/>
      <c r="R110" s="51"/>
      <c r="S110" s="51"/>
      <c r="T110" s="51"/>
      <c r="U110" s="51"/>
      <c r="V110" s="51"/>
      <c r="W110" s="51"/>
      <c r="X110" s="51"/>
      <c r="Y110" s="51"/>
      <c r="Z110" s="51"/>
      <c r="AA110" s="51"/>
    </row>
    <row r="111" spans="1:27" ht="13.65" customHeight="1" x14ac:dyDescent="0.3">
      <c r="A111" s="49"/>
      <c r="B111" s="57"/>
      <c r="C111" s="51"/>
      <c r="D111" s="51"/>
      <c r="E111" s="51"/>
      <c r="F111" s="51"/>
      <c r="G111" s="58"/>
      <c r="H111" s="51"/>
      <c r="I111" s="58"/>
      <c r="J111" s="51"/>
      <c r="K111" s="51"/>
      <c r="L111" s="51"/>
      <c r="M111" s="51"/>
      <c r="N111" s="51"/>
      <c r="O111" s="51"/>
      <c r="P111" s="51"/>
      <c r="Q111" s="51"/>
      <c r="R111" s="51"/>
      <c r="S111" s="51"/>
      <c r="T111" s="51"/>
      <c r="U111" s="51"/>
      <c r="V111" s="51"/>
      <c r="W111" s="51"/>
      <c r="X111" s="51"/>
      <c r="Y111" s="51"/>
      <c r="Z111" s="51"/>
      <c r="AA111" s="51"/>
    </row>
    <row r="112" spans="1:27" ht="13.65" customHeight="1" x14ac:dyDescent="0.3">
      <c r="A112" s="49"/>
      <c r="B112" s="57"/>
      <c r="C112" s="51"/>
      <c r="D112" s="51"/>
      <c r="E112" s="51"/>
      <c r="F112" s="51"/>
      <c r="G112" s="58"/>
      <c r="H112" s="51"/>
      <c r="I112" s="58"/>
      <c r="J112" s="51"/>
      <c r="K112" s="51"/>
      <c r="L112" s="51"/>
      <c r="M112" s="51"/>
      <c r="N112" s="51"/>
      <c r="O112" s="51"/>
      <c r="P112" s="51"/>
      <c r="Q112" s="51"/>
      <c r="R112" s="51"/>
      <c r="S112" s="51"/>
      <c r="T112" s="51"/>
      <c r="U112" s="51"/>
      <c r="V112" s="51"/>
      <c r="W112" s="51"/>
      <c r="X112" s="51"/>
      <c r="Y112" s="51"/>
      <c r="Z112" s="51"/>
      <c r="AA112" s="51"/>
    </row>
    <row r="113" spans="1:27" ht="13.65" customHeight="1" x14ac:dyDescent="0.3">
      <c r="A113" s="49"/>
      <c r="B113" s="57"/>
      <c r="C113" s="51"/>
      <c r="D113" s="51"/>
      <c r="E113" s="51"/>
      <c r="F113" s="51"/>
      <c r="G113" s="58"/>
      <c r="H113" s="51"/>
      <c r="I113" s="58"/>
      <c r="J113" s="51"/>
      <c r="K113" s="51"/>
      <c r="L113" s="51"/>
      <c r="M113" s="51"/>
      <c r="N113" s="51"/>
      <c r="O113" s="51"/>
      <c r="P113" s="51"/>
      <c r="Q113" s="51"/>
      <c r="R113" s="51"/>
      <c r="S113" s="51"/>
      <c r="T113" s="51"/>
      <c r="U113" s="51"/>
      <c r="V113" s="51"/>
      <c r="W113" s="51"/>
      <c r="X113" s="51"/>
      <c r="Y113" s="51"/>
      <c r="Z113" s="51"/>
      <c r="AA113" s="51"/>
    </row>
    <row r="114" spans="1:27" ht="13.65" customHeight="1" x14ac:dyDescent="0.3">
      <c r="A114" s="49"/>
      <c r="B114" s="57"/>
      <c r="C114" s="51"/>
      <c r="D114" s="51"/>
      <c r="E114" s="51"/>
      <c r="F114" s="51"/>
      <c r="G114" s="58"/>
      <c r="H114" s="51"/>
      <c r="I114" s="58"/>
      <c r="J114" s="51"/>
      <c r="K114" s="51"/>
      <c r="L114" s="51"/>
      <c r="M114" s="51"/>
      <c r="N114" s="51"/>
      <c r="O114" s="51"/>
      <c r="P114" s="51"/>
      <c r="Q114" s="51"/>
      <c r="R114" s="51"/>
      <c r="S114" s="51"/>
      <c r="T114" s="51"/>
      <c r="U114" s="51"/>
      <c r="V114" s="51"/>
      <c r="W114" s="51"/>
      <c r="X114" s="51"/>
      <c r="Y114" s="51"/>
      <c r="Z114" s="51"/>
      <c r="AA114" s="51"/>
    </row>
    <row r="115" spans="1:27" ht="13.65" customHeight="1" x14ac:dyDescent="0.3">
      <c r="A115" s="49"/>
      <c r="B115" s="57"/>
      <c r="C115" s="51"/>
      <c r="D115" s="51"/>
      <c r="E115" s="51"/>
      <c r="F115" s="51"/>
      <c r="G115" s="58"/>
      <c r="H115" s="51"/>
      <c r="I115" s="58"/>
      <c r="J115" s="51"/>
      <c r="K115" s="51"/>
      <c r="L115" s="51"/>
      <c r="M115" s="51"/>
      <c r="N115" s="51"/>
      <c r="O115" s="51"/>
      <c r="P115" s="51"/>
      <c r="Q115" s="51"/>
      <c r="R115" s="51"/>
      <c r="S115" s="51"/>
      <c r="T115" s="51"/>
      <c r="U115" s="51"/>
      <c r="V115" s="51"/>
      <c r="W115" s="51"/>
      <c r="X115" s="51"/>
      <c r="Y115" s="51"/>
      <c r="Z115" s="51"/>
      <c r="AA115" s="51"/>
    </row>
    <row r="116" spans="1:27" ht="13.65" customHeight="1" x14ac:dyDescent="0.3">
      <c r="A116" s="49"/>
      <c r="B116" s="57"/>
      <c r="C116" s="51"/>
      <c r="D116" s="51"/>
      <c r="E116" s="51"/>
      <c r="F116" s="51"/>
      <c r="G116" s="58"/>
      <c r="H116" s="51"/>
      <c r="I116" s="58"/>
      <c r="J116" s="51"/>
      <c r="K116" s="51"/>
      <c r="L116" s="51"/>
      <c r="M116" s="51"/>
      <c r="N116" s="51"/>
      <c r="O116" s="51"/>
      <c r="P116" s="51"/>
      <c r="Q116" s="51"/>
      <c r="R116" s="51"/>
      <c r="S116" s="51"/>
      <c r="T116" s="51"/>
      <c r="U116" s="51"/>
      <c r="V116" s="51"/>
      <c r="W116" s="51"/>
      <c r="X116" s="51"/>
      <c r="Y116" s="51"/>
      <c r="Z116" s="51"/>
      <c r="AA116" s="51"/>
    </row>
    <row r="117" spans="1:27" ht="13.65" customHeight="1" x14ac:dyDescent="0.3">
      <c r="A117" s="49"/>
      <c r="B117" s="57"/>
      <c r="C117" s="51"/>
      <c r="D117" s="51"/>
      <c r="E117" s="51"/>
      <c r="F117" s="51"/>
      <c r="G117" s="58"/>
      <c r="H117" s="51"/>
      <c r="I117" s="58"/>
      <c r="J117" s="51"/>
      <c r="K117" s="51"/>
      <c r="L117" s="51"/>
      <c r="M117" s="51"/>
      <c r="N117" s="51"/>
      <c r="O117" s="51"/>
      <c r="P117" s="51"/>
      <c r="Q117" s="51"/>
      <c r="R117" s="51"/>
      <c r="S117" s="51"/>
      <c r="T117" s="51"/>
      <c r="U117" s="51"/>
      <c r="V117" s="51"/>
      <c r="W117" s="51"/>
      <c r="X117" s="51"/>
      <c r="Y117" s="51"/>
      <c r="Z117" s="51"/>
      <c r="AA117" s="51"/>
    </row>
    <row r="118" spans="1:27" ht="13.65" customHeight="1" x14ac:dyDescent="0.3">
      <c r="A118" s="49"/>
      <c r="B118" s="57"/>
      <c r="C118" s="51"/>
      <c r="D118" s="51"/>
      <c r="E118" s="51"/>
      <c r="F118" s="51"/>
      <c r="G118" s="58"/>
      <c r="H118" s="51"/>
      <c r="I118" s="58"/>
      <c r="J118" s="51"/>
      <c r="K118" s="51"/>
      <c r="L118" s="51"/>
      <c r="M118" s="51"/>
      <c r="N118" s="51"/>
      <c r="O118" s="51"/>
      <c r="P118" s="51"/>
      <c r="Q118" s="51"/>
      <c r="R118" s="51"/>
      <c r="S118" s="51"/>
      <c r="T118" s="51"/>
      <c r="U118" s="51"/>
      <c r="V118" s="51"/>
      <c r="W118" s="51"/>
      <c r="X118" s="51"/>
      <c r="Y118" s="51"/>
      <c r="Z118" s="51"/>
      <c r="AA118" s="51"/>
    </row>
    <row r="119" spans="1:27" ht="13.65" customHeight="1" x14ac:dyDescent="0.3">
      <c r="A119" s="49"/>
      <c r="B119" s="57"/>
      <c r="C119" s="51"/>
      <c r="D119" s="51"/>
      <c r="E119" s="51"/>
      <c r="F119" s="51"/>
      <c r="G119" s="58"/>
      <c r="H119" s="51"/>
      <c r="I119" s="58"/>
      <c r="J119" s="51"/>
      <c r="K119" s="51"/>
      <c r="L119" s="51"/>
      <c r="M119" s="51"/>
      <c r="N119" s="51"/>
      <c r="O119" s="51"/>
      <c r="P119" s="51"/>
      <c r="Q119" s="51"/>
      <c r="R119" s="51"/>
      <c r="S119" s="51"/>
      <c r="T119" s="51"/>
      <c r="U119" s="51"/>
      <c r="V119" s="51"/>
      <c r="W119" s="51"/>
      <c r="X119" s="51"/>
      <c r="Y119" s="51"/>
      <c r="Z119" s="51"/>
      <c r="AA119" s="51"/>
    </row>
    <row r="120" spans="1:27" ht="13.65" customHeight="1" x14ac:dyDescent="0.3">
      <c r="A120" s="49"/>
      <c r="B120" s="57"/>
      <c r="C120" s="51"/>
      <c r="D120" s="51"/>
      <c r="E120" s="51"/>
      <c r="F120" s="51"/>
      <c r="G120" s="58"/>
      <c r="H120" s="51"/>
      <c r="I120" s="58"/>
      <c r="J120" s="51"/>
      <c r="K120" s="51"/>
      <c r="L120" s="51"/>
      <c r="M120" s="51"/>
      <c r="N120" s="51"/>
      <c r="O120" s="51"/>
      <c r="P120" s="51"/>
      <c r="Q120" s="51"/>
      <c r="R120" s="51"/>
      <c r="S120" s="51"/>
      <c r="T120" s="51"/>
      <c r="U120" s="51"/>
      <c r="V120" s="51"/>
      <c r="W120" s="51"/>
      <c r="X120" s="51"/>
      <c r="Y120" s="51"/>
      <c r="Z120" s="51"/>
      <c r="AA120" s="51"/>
    </row>
    <row r="121" spans="1:27" ht="13.65" customHeight="1" x14ac:dyDescent="0.3">
      <c r="A121" s="49"/>
      <c r="B121" s="57"/>
      <c r="C121" s="51"/>
      <c r="D121" s="51"/>
      <c r="E121" s="51"/>
      <c r="F121" s="51"/>
      <c r="G121" s="58"/>
      <c r="H121" s="51"/>
      <c r="I121" s="58"/>
      <c r="J121" s="51"/>
      <c r="K121" s="51"/>
      <c r="L121" s="51"/>
      <c r="M121" s="51"/>
      <c r="N121" s="51"/>
      <c r="O121" s="51"/>
      <c r="P121" s="51"/>
      <c r="Q121" s="51"/>
      <c r="R121" s="51"/>
      <c r="S121" s="51"/>
      <c r="T121" s="51"/>
      <c r="U121" s="51"/>
      <c r="V121" s="51"/>
      <c r="W121" s="51"/>
      <c r="X121" s="51"/>
      <c r="Y121" s="51"/>
      <c r="Z121" s="51"/>
      <c r="AA121" s="51"/>
    </row>
    <row r="122" spans="1:27" ht="13.65" customHeight="1" x14ac:dyDescent="0.3">
      <c r="A122" s="49"/>
      <c r="B122" s="57"/>
      <c r="C122" s="51"/>
      <c r="D122" s="51"/>
      <c r="E122" s="51"/>
      <c r="F122" s="51"/>
      <c r="G122" s="58"/>
      <c r="H122" s="51"/>
      <c r="I122" s="58"/>
      <c r="J122" s="51"/>
      <c r="K122" s="51"/>
      <c r="L122" s="51"/>
      <c r="M122" s="51"/>
      <c r="N122" s="51"/>
      <c r="O122" s="51"/>
      <c r="P122" s="51"/>
      <c r="Q122" s="51"/>
      <c r="R122" s="51"/>
      <c r="S122" s="51"/>
      <c r="T122" s="51"/>
      <c r="U122" s="51"/>
      <c r="V122" s="51"/>
      <c r="W122" s="51"/>
      <c r="X122" s="51"/>
      <c r="Y122" s="51"/>
      <c r="Z122" s="51"/>
      <c r="AA122" s="51"/>
    </row>
    <row r="123" spans="1:27" ht="13.65" customHeight="1" x14ac:dyDescent="0.3">
      <c r="A123" s="49"/>
      <c r="B123" s="57"/>
      <c r="C123" s="51"/>
      <c r="D123" s="51"/>
      <c r="E123" s="51"/>
      <c r="F123" s="51"/>
      <c r="G123" s="58"/>
      <c r="H123" s="51"/>
      <c r="I123" s="58"/>
      <c r="J123" s="51"/>
      <c r="K123" s="51"/>
      <c r="L123" s="51"/>
      <c r="M123" s="51"/>
      <c r="N123" s="51"/>
      <c r="O123" s="51"/>
      <c r="P123" s="51"/>
      <c r="Q123" s="51"/>
      <c r="R123" s="51"/>
      <c r="S123" s="51"/>
      <c r="T123" s="51"/>
      <c r="U123" s="51"/>
      <c r="V123" s="51"/>
      <c r="W123" s="51"/>
      <c r="X123" s="51"/>
      <c r="Y123" s="51"/>
      <c r="Z123" s="51"/>
      <c r="AA123" s="51"/>
    </row>
    <row r="124" spans="1:27" ht="13.65" customHeight="1" x14ac:dyDescent="0.3">
      <c r="A124" s="49"/>
      <c r="B124" s="57"/>
      <c r="C124" s="51"/>
      <c r="D124" s="51"/>
      <c r="E124" s="51"/>
      <c r="F124" s="51"/>
      <c r="G124" s="58"/>
      <c r="H124" s="51"/>
      <c r="I124" s="58"/>
      <c r="J124" s="51"/>
      <c r="K124" s="51"/>
      <c r="L124" s="51"/>
      <c r="M124" s="51"/>
      <c r="N124" s="51"/>
      <c r="O124" s="51"/>
      <c r="P124" s="51"/>
      <c r="Q124" s="51"/>
      <c r="R124" s="51"/>
      <c r="S124" s="51"/>
      <c r="T124" s="51"/>
      <c r="U124" s="51"/>
      <c r="V124" s="51"/>
      <c r="W124" s="51"/>
      <c r="X124" s="51"/>
      <c r="Y124" s="51"/>
      <c r="Z124" s="51"/>
      <c r="AA124" s="51"/>
    </row>
    <row r="125" spans="1:27" ht="13.65" customHeight="1" x14ac:dyDescent="0.3">
      <c r="A125" s="49"/>
      <c r="B125" s="57"/>
      <c r="C125" s="51"/>
      <c r="D125" s="51"/>
      <c r="E125" s="51"/>
      <c r="F125" s="51"/>
      <c r="G125" s="58"/>
      <c r="H125" s="51"/>
      <c r="I125" s="58"/>
      <c r="J125" s="51"/>
      <c r="K125" s="51"/>
      <c r="L125" s="51"/>
      <c r="M125" s="51"/>
      <c r="N125" s="51"/>
      <c r="O125" s="51"/>
      <c r="P125" s="51"/>
      <c r="Q125" s="51"/>
      <c r="R125" s="51"/>
      <c r="S125" s="51"/>
      <c r="T125" s="51"/>
      <c r="U125" s="51"/>
      <c r="V125" s="51"/>
      <c r="W125" s="51"/>
      <c r="X125" s="51"/>
      <c r="Y125" s="51"/>
      <c r="Z125" s="51"/>
      <c r="AA125" s="51"/>
    </row>
    <row r="126" spans="1:27" ht="13.65" customHeight="1" x14ac:dyDescent="0.3">
      <c r="A126" s="49"/>
      <c r="B126" s="57"/>
      <c r="C126" s="51"/>
      <c r="D126" s="51"/>
      <c r="E126" s="51"/>
      <c r="F126" s="51"/>
      <c r="G126" s="58"/>
      <c r="H126" s="51"/>
      <c r="I126" s="58"/>
      <c r="J126" s="51"/>
      <c r="K126" s="51"/>
      <c r="L126" s="51"/>
      <c r="M126" s="51"/>
      <c r="N126" s="51"/>
      <c r="O126" s="51"/>
      <c r="P126" s="51"/>
      <c r="Q126" s="51"/>
      <c r="R126" s="51"/>
      <c r="S126" s="51"/>
      <c r="T126" s="51"/>
      <c r="U126" s="51"/>
      <c r="V126" s="51"/>
      <c r="W126" s="51"/>
      <c r="X126" s="51"/>
      <c r="Y126" s="51"/>
      <c r="Z126" s="51"/>
      <c r="AA126" s="51"/>
    </row>
    <row r="127" spans="1:27" ht="13.65" customHeight="1" x14ac:dyDescent="0.3">
      <c r="A127" s="49"/>
      <c r="B127" s="57"/>
      <c r="C127" s="51"/>
      <c r="D127" s="51"/>
      <c r="E127" s="51"/>
      <c r="F127" s="51"/>
      <c r="G127" s="58"/>
      <c r="H127" s="51"/>
      <c r="I127" s="58"/>
      <c r="J127" s="51"/>
      <c r="K127" s="51"/>
      <c r="L127" s="51"/>
      <c r="M127" s="51"/>
      <c r="N127" s="51"/>
      <c r="O127" s="51"/>
      <c r="P127" s="51"/>
      <c r="Q127" s="51"/>
      <c r="R127" s="51"/>
      <c r="S127" s="51"/>
      <c r="T127" s="51"/>
      <c r="U127" s="51"/>
      <c r="V127" s="51"/>
      <c r="W127" s="51"/>
      <c r="X127" s="51"/>
      <c r="Y127" s="51"/>
      <c r="Z127" s="51"/>
      <c r="AA127" s="51"/>
    </row>
    <row r="128" spans="1:27" ht="13.65" customHeight="1" x14ac:dyDescent="0.3">
      <c r="A128" s="49"/>
      <c r="B128" s="57"/>
      <c r="C128" s="51"/>
      <c r="D128" s="51"/>
      <c r="E128" s="51"/>
      <c r="F128" s="51"/>
      <c r="G128" s="58"/>
      <c r="H128" s="51"/>
      <c r="I128" s="58"/>
      <c r="J128" s="51"/>
      <c r="K128" s="51"/>
      <c r="L128" s="51"/>
      <c r="M128" s="51"/>
      <c r="N128" s="51"/>
      <c r="O128" s="51"/>
      <c r="P128" s="51"/>
      <c r="Q128" s="51"/>
      <c r="R128" s="51"/>
      <c r="S128" s="51"/>
      <c r="T128" s="51"/>
      <c r="U128" s="51"/>
      <c r="V128" s="51"/>
      <c r="W128" s="51"/>
      <c r="X128" s="51"/>
      <c r="Y128" s="51"/>
      <c r="Z128" s="51"/>
      <c r="AA128" s="51"/>
    </row>
    <row r="129" spans="1:27" ht="13.65" customHeight="1" x14ac:dyDescent="0.3">
      <c r="A129" s="49"/>
      <c r="B129" s="57"/>
      <c r="C129" s="51"/>
      <c r="D129" s="51"/>
      <c r="E129" s="51"/>
      <c r="F129" s="51"/>
      <c r="G129" s="58"/>
      <c r="H129" s="51"/>
      <c r="I129" s="58"/>
      <c r="J129" s="51"/>
      <c r="K129" s="51"/>
      <c r="L129" s="51"/>
      <c r="M129" s="51"/>
      <c r="N129" s="51"/>
      <c r="O129" s="51"/>
      <c r="P129" s="51"/>
      <c r="Q129" s="51"/>
      <c r="R129" s="51"/>
      <c r="S129" s="51"/>
      <c r="T129" s="51"/>
      <c r="U129" s="51"/>
      <c r="V129" s="51"/>
      <c r="W129" s="51"/>
      <c r="X129" s="51"/>
      <c r="Y129" s="51"/>
      <c r="Z129" s="51"/>
      <c r="AA129" s="51"/>
    </row>
    <row r="130" spans="1:27" ht="13.65" customHeight="1" x14ac:dyDescent="0.3">
      <c r="A130" s="49"/>
      <c r="B130" s="57"/>
      <c r="C130" s="51"/>
      <c r="D130" s="51"/>
      <c r="E130" s="51"/>
      <c r="F130" s="51"/>
      <c r="G130" s="58"/>
      <c r="H130" s="51"/>
      <c r="I130" s="58"/>
      <c r="J130" s="51"/>
      <c r="K130" s="51"/>
      <c r="L130" s="51"/>
      <c r="M130" s="51"/>
      <c r="N130" s="51"/>
      <c r="O130" s="51"/>
      <c r="P130" s="51"/>
      <c r="Q130" s="51"/>
      <c r="R130" s="51"/>
      <c r="S130" s="51"/>
      <c r="T130" s="51"/>
      <c r="U130" s="51"/>
      <c r="V130" s="51"/>
      <c r="W130" s="51"/>
      <c r="X130" s="51"/>
      <c r="Y130" s="51"/>
      <c r="Z130" s="51"/>
      <c r="AA130" s="51"/>
    </row>
    <row r="131" spans="1:27" ht="13.65" customHeight="1" x14ac:dyDescent="0.3">
      <c r="A131" s="49"/>
      <c r="B131" s="57"/>
      <c r="C131" s="51"/>
      <c r="D131" s="51"/>
      <c r="E131" s="51"/>
      <c r="F131" s="51"/>
      <c r="G131" s="58"/>
      <c r="H131" s="51"/>
      <c r="I131" s="58"/>
      <c r="J131" s="51"/>
      <c r="K131" s="51"/>
      <c r="L131" s="51"/>
      <c r="M131" s="51"/>
      <c r="N131" s="51"/>
      <c r="O131" s="51"/>
      <c r="P131" s="51"/>
      <c r="Q131" s="51"/>
      <c r="R131" s="51"/>
      <c r="S131" s="51"/>
      <c r="T131" s="51"/>
      <c r="U131" s="51"/>
      <c r="V131" s="51"/>
      <c r="W131" s="51"/>
      <c r="X131" s="51"/>
      <c r="Y131" s="51"/>
      <c r="Z131" s="51"/>
      <c r="AA131" s="51"/>
    </row>
    <row r="132" spans="1:27" ht="13.65" customHeight="1" x14ac:dyDescent="0.3">
      <c r="A132" s="49"/>
      <c r="B132" s="57"/>
      <c r="C132" s="51"/>
      <c r="D132" s="51"/>
      <c r="E132" s="51"/>
      <c r="F132" s="51"/>
      <c r="G132" s="58"/>
      <c r="H132" s="51"/>
      <c r="I132" s="58"/>
      <c r="J132" s="51"/>
      <c r="K132" s="51"/>
      <c r="L132" s="51"/>
      <c r="M132" s="51"/>
      <c r="N132" s="51"/>
      <c r="O132" s="51"/>
      <c r="P132" s="51"/>
      <c r="Q132" s="51"/>
      <c r="R132" s="51"/>
      <c r="S132" s="51"/>
      <c r="T132" s="51"/>
      <c r="U132" s="51"/>
      <c r="V132" s="51"/>
      <c r="W132" s="51"/>
      <c r="X132" s="51"/>
      <c r="Y132" s="51"/>
      <c r="Z132" s="51"/>
      <c r="AA132" s="51"/>
    </row>
    <row r="133" spans="1:27" ht="13.65" customHeight="1" x14ac:dyDescent="0.3">
      <c r="A133" s="49"/>
      <c r="B133" s="57"/>
      <c r="C133" s="51"/>
      <c r="D133" s="51"/>
      <c r="E133" s="51"/>
      <c r="F133" s="51"/>
      <c r="G133" s="58"/>
      <c r="H133" s="51"/>
      <c r="I133" s="58"/>
      <c r="J133" s="51"/>
      <c r="K133" s="51"/>
      <c r="L133" s="51"/>
      <c r="M133" s="51"/>
      <c r="N133" s="51"/>
      <c r="O133" s="51"/>
      <c r="P133" s="51"/>
      <c r="Q133" s="51"/>
      <c r="R133" s="51"/>
      <c r="S133" s="51"/>
      <c r="T133" s="51"/>
      <c r="U133" s="51"/>
      <c r="V133" s="51"/>
      <c r="W133" s="51"/>
      <c r="X133" s="51"/>
      <c r="Y133" s="51"/>
      <c r="Z133" s="51"/>
      <c r="AA133" s="51"/>
    </row>
    <row r="134" spans="1:27" ht="13.65" customHeight="1" x14ac:dyDescent="0.3">
      <c r="A134" s="49"/>
      <c r="B134" s="57"/>
      <c r="C134" s="51"/>
      <c r="D134" s="51"/>
      <c r="E134" s="51"/>
      <c r="F134" s="51"/>
      <c r="G134" s="58"/>
      <c r="H134" s="51"/>
      <c r="I134" s="58"/>
      <c r="J134" s="51"/>
      <c r="K134" s="51"/>
      <c r="L134" s="51"/>
      <c r="M134" s="51"/>
      <c r="N134" s="51"/>
      <c r="O134" s="51"/>
      <c r="P134" s="51"/>
      <c r="Q134" s="51"/>
      <c r="R134" s="51"/>
      <c r="S134" s="51"/>
      <c r="T134" s="51"/>
      <c r="U134" s="51"/>
      <c r="V134" s="51"/>
      <c r="W134" s="51"/>
      <c r="X134" s="51"/>
      <c r="Y134" s="51"/>
      <c r="Z134" s="51"/>
      <c r="AA134" s="51"/>
    </row>
    <row r="135" spans="1:27" ht="13.65" customHeight="1" x14ac:dyDescent="0.3">
      <c r="A135" s="49"/>
      <c r="B135" s="57"/>
      <c r="C135" s="51"/>
      <c r="D135" s="51"/>
      <c r="E135" s="51"/>
      <c r="F135" s="51"/>
      <c r="G135" s="58"/>
      <c r="H135" s="51"/>
      <c r="I135" s="58"/>
      <c r="J135" s="51"/>
      <c r="K135" s="51"/>
      <c r="L135" s="51"/>
      <c r="M135" s="51"/>
      <c r="N135" s="51"/>
      <c r="O135" s="51"/>
      <c r="P135" s="51"/>
      <c r="Q135" s="51"/>
      <c r="R135" s="51"/>
      <c r="S135" s="51"/>
      <c r="T135" s="51"/>
      <c r="U135" s="51"/>
      <c r="V135" s="51"/>
      <c r="W135" s="51"/>
      <c r="X135" s="51"/>
      <c r="Y135" s="51"/>
      <c r="Z135" s="51"/>
      <c r="AA135" s="51"/>
    </row>
    <row r="136" spans="1:27" ht="13.65" customHeight="1" x14ac:dyDescent="0.3">
      <c r="A136" s="49"/>
      <c r="B136" s="57"/>
      <c r="C136" s="51"/>
      <c r="D136" s="51"/>
      <c r="E136" s="51"/>
      <c r="F136" s="51"/>
      <c r="G136" s="58"/>
      <c r="H136" s="51"/>
      <c r="I136" s="58"/>
      <c r="J136" s="51"/>
      <c r="K136" s="51"/>
      <c r="L136" s="51"/>
      <c r="M136" s="51"/>
      <c r="N136" s="51"/>
      <c r="O136" s="51"/>
      <c r="P136" s="51"/>
      <c r="Q136" s="51"/>
      <c r="R136" s="51"/>
      <c r="S136" s="51"/>
      <c r="T136" s="51"/>
      <c r="U136" s="51"/>
      <c r="V136" s="51"/>
      <c r="W136" s="51"/>
      <c r="X136" s="51"/>
      <c r="Y136" s="51"/>
      <c r="Z136" s="51"/>
      <c r="AA136" s="51"/>
    </row>
    <row r="137" spans="1:27" ht="13.65" customHeight="1" x14ac:dyDescent="0.3">
      <c r="A137" s="49"/>
      <c r="B137" s="57"/>
      <c r="C137" s="51"/>
      <c r="D137" s="51"/>
      <c r="E137" s="51"/>
      <c r="F137" s="51"/>
      <c r="G137" s="58"/>
      <c r="H137" s="51"/>
      <c r="I137" s="58"/>
      <c r="J137" s="51"/>
      <c r="K137" s="51"/>
      <c r="L137" s="51"/>
      <c r="M137" s="51"/>
      <c r="N137" s="51"/>
      <c r="O137" s="51"/>
      <c r="P137" s="51"/>
      <c r="Q137" s="51"/>
      <c r="R137" s="51"/>
      <c r="S137" s="51"/>
      <c r="T137" s="51"/>
      <c r="U137" s="51"/>
      <c r="V137" s="51"/>
      <c r="W137" s="51"/>
      <c r="X137" s="51"/>
      <c r="Y137" s="51"/>
      <c r="Z137" s="51"/>
      <c r="AA137" s="51"/>
    </row>
    <row r="138" spans="1:27" ht="13.65" customHeight="1" x14ac:dyDescent="0.3">
      <c r="A138" s="49"/>
      <c r="B138" s="57"/>
      <c r="C138" s="51"/>
      <c r="D138" s="51"/>
      <c r="E138" s="51"/>
      <c r="F138" s="51"/>
      <c r="G138" s="58"/>
      <c r="H138" s="51"/>
      <c r="I138" s="58"/>
      <c r="J138" s="51"/>
      <c r="K138" s="51"/>
      <c r="L138" s="51"/>
      <c r="M138" s="51"/>
      <c r="N138" s="51"/>
      <c r="O138" s="51"/>
      <c r="P138" s="51"/>
      <c r="Q138" s="51"/>
      <c r="R138" s="51"/>
      <c r="S138" s="51"/>
      <c r="T138" s="51"/>
      <c r="U138" s="51"/>
      <c r="V138" s="51"/>
      <c r="W138" s="51"/>
      <c r="X138" s="51"/>
      <c r="Y138" s="51"/>
      <c r="Z138" s="51"/>
      <c r="AA138" s="51"/>
    </row>
    <row r="139" spans="1:27" ht="13.65" customHeight="1" x14ac:dyDescent="0.3">
      <c r="A139" s="49"/>
      <c r="B139" s="57"/>
      <c r="C139" s="51"/>
      <c r="D139" s="51"/>
      <c r="E139" s="51"/>
      <c r="F139" s="51"/>
      <c r="G139" s="58"/>
      <c r="H139" s="51"/>
      <c r="I139" s="58"/>
      <c r="J139" s="51"/>
      <c r="K139" s="51"/>
      <c r="L139" s="51"/>
      <c r="M139" s="51"/>
      <c r="N139" s="51"/>
      <c r="O139" s="51"/>
      <c r="P139" s="51"/>
      <c r="Q139" s="51"/>
      <c r="R139" s="51"/>
      <c r="S139" s="51"/>
      <c r="T139" s="51"/>
      <c r="U139" s="51"/>
      <c r="V139" s="51"/>
      <c r="W139" s="51"/>
      <c r="X139" s="51"/>
      <c r="Y139" s="51"/>
      <c r="Z139" s="51"/>
      <c r="AA139" s="51"/>
    </row>
    <row r="140" spans="1:27" ht="13.65" customHeight="1" x14ac:dyDescent="0.3">
      <c r="A140" s="49"/>
      <c r="B140" s="57"/>
      <c r="C140" s="51"/>
      <c r="D140" s="51"/>
      <c r="E140" s="51"/>
      <c r="F140" s="51"/>
      <c r="G140" s="58"/>
      <c r="H140" s="51"/>
      <c r="I140" s="58"/>
      <c r="J140" s="51"/>
      <c r="K140" s="51"/>
      <c r="L140" s="51"/>
      <c r="M140" s="51"/>
      <c r="N140" s="51"/>
      <c r="O140" s="51"/>
      <c r="P140" s="51"/>
      <c r="Q140" s="51"/>
      <c r="R140" s="51"/>
      <c r="S140" s="51"/>
      <c r="T140" s="51"/>
      <c r="U140" s="51"/>
      <c r="V140" s="51"/>
      <c r="W140" s="51"/>
      <c r="X140" s="51"/>
      <c r="Y140" s="51"/>
      <c r="Z140" s="51"/>
      <c r="AA140" s="51"/>
    </row>
    <row r="141" spans="1:27" ht="13.65" customHeight="1" x14ac:dyDescent="0.3">
      <c r="A141" s="49"/>
      <c r="B141" s="57"/>
      <c r="C141" s="51"/>
      <c r="D141" s="51"/>
      <c r="E141" s="51"/>
      <c r="F141" s="51"/>
      <c r="G141" s="58"/>
      <c r="H141" s="51"/>
      <c r="I141" s="58"/>
      <c r="J141" s="51"/>
      <c r="K141" s="51"/>
      <c r="L141" s="51"/>
      <c r="M141" s="51"/>
      <c r="N141" s="51"/>
      <c r="O141" s="51"/>
      <c r="P141" s="51"/>
      <c r="Q141" s="51"/>
      <c r="R141" s="51"/>
      <c r="S141" s="51"/>
      <c r="T141" s="51"/>
      <c r="U141" s="51"/>
      <c r="V141" s="51"/>
      <c r="W141" s="51"/>
      <c r="X141" s="51"/>
      <c r="Y141" s="51"/>
      <c r="Z141" s="51"/>
      <c r="AA141" s="51"/>
    </row>
    <row r="142" spans="1:27" ht="13.65" customHeight="1" x14ac:dyDescent="0.3">
      <c r="A142" s="49"/>
      <c r="B142" s="57"/>
      <c r="C142" s="51"/>
      <c r="D142" s="51"/>
      <c r="E142" s="51"/>
      <c r="F142" s="51"/>
      <c r="G142" s="58"/>
      <c r="H142" s="51"/>
      <c r="I142" s="58"/>
      <c r="J142" s="51"/>
      <c r="K142" s="51"/>
      <c r="L142" s="51"/>
      <c r="M142" s="51"/>
      <c r="N142" s="51"/>
      <c r="O142" s="51"/>
      <c r="P142" s="51"/>
      <c r="Q142" s="51"/>
      <c r="R142" s="51"/>
      <c r="S142" s="51"/>
      <c r="T142" s="51"/>
      <c r="U142" s="51"/>
      <c r="V142" s="51"/>
      <c r="W142" s="51"/>
      <c r="X142" s="51"/>
      <c r="Y142" s="51"/>
      <c r="Z142" s="51"/>
      <c r="AA142" s="51"/>
    </row>
    <row r="143" spans="1:27" ht="13.65" customHeight="1" x14ac:dyDescent="0.3">
      <c r="A143" s="49"/>
      <c r="B143" s="57"/>
      <c r="C143" s="51"/>
      <c r="D143" s="51"/>
      <c r="E143" s="51"/>
      <c r="F143" s="51"/>
      <c r="G143" s="58"/>
      <c r="H143" s="51"/>
      <c r="I143" s="58"/>
      <c r="J143" s="51"/>
      <c r="K143" s="51"/>
      <c r="L143" s="51"/>
      <c r="M143" s="51"/>
      <c r="N143" s="51"/>
      <c r="O143" s="51"/>
      <c r="P143" s="51"/>
      <c r="Q143" s="51"/>
      <c r="R143" s="51"/>
      <c r="S143" s="51"/>
      <c r="T143" s="51"/>
      <c r="U143" s="51"/>
      <c r="V143" s="51"/>
      <c r="W143" s="51"/>
      <c r="X143" s="51"/>
      <c r="Y143" s="51"/>
      <c r="Z143" s="51"/>
      <c r="AA143" s="51"/>
    </row>
    <row r="144" spans="1:27" ht="13.65" customHeight="1" x14ac:dyDescent="0.3">
      <c r="A144" s="49"/>
      <c r="B144" s="57"/>
      <c r="C144" s="51"/>
      <c r="D144" s="51"/>
      <c r="E144" s="51"/>
      <c r="F144" s="51"/>
      <c r="G144" s="58"/>
      <c r="H144" s="51"/>
      <c r="I144" s="58"/>
      <c r="J144" s="51"/>
      <c r="K144" s="51"/>
      <c r="L144" s="51"/>
      <c r="M144" s="51"/>
      <c r="N144" s="51"/>
      <c r="O144" s="51"/>
      <c r="P144" s="51"/>
      <c r="Q144" s="51"/>
      <c r="R144" s="51"/>
      <c r="S144" s="51"/>
      <c r="T144" s="51"/>
      <c r="U144" s="51"/>
      <c r="V144" s="51"/>
      <c r="W144" s="51"/>
      <c r="X144" s="51"/>
      <c r="Y144" s="51"/>
      <c r="Z144" s="51"/>
      <c r="AA144" s="51"/>
    </row>
    <row r="145" spans="1:27" ht="13.65" customHeight="1" x14ac:dyDescent="0.3">
      <c r="A145" s="49"/>
      <c r="B145" s="57"/>
      <c r="C145" s="51"/>
      <c r="D145" s="51"/>
      <c r="E145" s="51"/>
      <c r="F145" s="51"/>
      <c r="G145" s="58"/>
      <c r="H145" s="51"/>
      <c r="I145" s="58"/>
      <c r="J145" s="51"/>
      <c r="K145" s="51"/>
      <c r="L145" s="51"/>
      <c r="M145" s="51"/>
      <c r="N145" s="51"/>
      <c r="O145" s="51"/>
      <c r="P145" s="51"/>
      <c r="Q145" s="51"/>
      <c r="R145" s="51"/>
      <c r="S145" s="51"/>
      <c r="T145" s="51"/>
      <c r="U145" s="51"/>
      <c r="V145" s="51"/>
      <c r="W145" s="51"/>
      <c r="X145" s="51"/>
      <c r="Y145" s="51"/>
      <c r="Z145" s="51"/>
      <c r="AA145" s="51"/>
    </row>
    <row r="146" spans="1:27" ht="13.65" customHeight="1" x14ac:dyDescent="0.3">
      <c r="A146" s="49"/>
      <c r="B146" s="57"/>
      <c r="C146" s="51"/>
      <c r="D146" s="51"/>
      <c r="E146" s="51"/>
      <c r="F146" s="51"/>
      <c r="G146" s="58"/>
      <c r="H146" s="51"/>
      <c r="I146" s="58"/>
      <c r="J146" s="51"/>
      <c r="K146" s="51"/>
      <c r="L146" s="51"/>
      <c r="M146" s="51"/>
      <c r="N146" s="51"/>
      <c r="O146" s="51"/>
      <c r="P146" s="51"/>
      <c r="Q146" s="51"/>
      <c r="R146" s="51"/>
      <c r="S146" s="51"/>
      <c r="T146" s="51"/>
      <c r="U146" s="51"/>
      <c r="V146" s="51"/>
      <c r="W146" s="51"/>
      <c r="X146" s="51"/>
      <c r="Y146" s="51"/>
      <c r="Z146" s="51"/>
      <c r="AA146" s="51"/>
    </row>
    <row r="147" spans="1:27" ht="13.65" customHeight="1" x14ac:dyDescent="0.3">
      <c r="A147" s="49"/>
      <c r="B147" s="57"/>
      <c r="C147" s="51"/>
      <c r="D147" s="51"/>
      <c r="E147" s="51"/>
      <c r="F147" s="51"/>
      <c r="G147" s="58"/>
      <c r="H147" s="51"/>
      <c r="I147" s="58"/>
      <c r="J147" s="51"/>
      <c r="K147" s="51"/>
      <c r="L147" s="51"/>
      <c r="M147" s="51"/>
      <c r="N147" s="51"/>
      <c r="O147" s="51"/>
      <c r="P147" s="51"/>
      <c r="Q147" s="51"/>
      <c r="R147" s="51"/>
      <c r="S147" s="51"/>
      <c r="T147" s="51"/>
      <c r="U147" s="51"/>
      <c r="V147" s="51"/>
      <c r="W147" s="51"/>
      <c r="X147" s="51"/>
      <c r="Y147" s="51"/>
      <c r="Z147" s="51"/>
      <c r="AA147" s="51"/>
    </row>
    <row r="148" spans="1:27" ht="13.65" customHeight="1" x14ac:dyDescent="0.3">
      <c r="A148" s="49"/>
      <c r="B148" s="57"/>
      <c r="C148" s="51"/>
      <c r="D148" s="51"/>
      <c r="E148" s="51"/>
      <c r="F148" s="51"/>
      <c r="G148" s="58"/>
      <c r="H148" s="51"/>
      <c r="I148" s="58"/>
      <c r="J148" s="51"/>
      <c r="K148" s="51"/>
      <c r="L148" s="51"/>
      <c r="M148" s="51"/>
      <c r="N148" s="51"/>
      <c r="O148" s="51"/>
      <c r="P148" s="51"/>
      <c r="Q148" s="51"/>
      <c r="R148" s="51"/>
      <c r="S148" s="51"/>
      <c r="T148" s="51"/>
      <c r="U148" s="51"/>
      <c r="V148" s="51"/>
      <c r="W148" s="51"/>
      <c r="X148" s="51"/>
      <c r="Y148" s="51"/>
      <c r="Z148" s="51"/>
      <c r="AA148" s="51"/>
    </row>
    <row r="149" spans="1:27" ht="13.65" customHeight="1" x14ac:dyDescent="0.3">
      <c r="A149" s="49"/>
      <c r="B149" s="57"/>
      <c r="C149" s="51"/>
      <c r="D149" s="51"/>
      <c r="E149" s="51"/>
      <c r="F149" s="51"/>
      <c r="G149" s="58"/>
      <c r="H149" s="51"/>
      <c r="I149" s="58"/>
      <c r="J149" s="51"/>
      <c r="K149" s="51"/>
      <c r="L149" s="51"/>
      <c r="M149" s="51"/>
      <c r="N149" s="51"/>
      <c r="O149" s="51"/>
      <c r="P149" s="51"/>
      <c r="Q149" s="51"/>
      <c r="R149" s="51"/>
      <c r="S149" s="51"/>
      <c r="T149" s="51"/>
      <c r="U149" s="51"/>
      <c r="V149" s="51"/>
      <c r="W149" s="51"/>
      <c r="X149" s="51"/>
      <c r="Y149" s="51"/>
      <c r="Z149" s="51"/>
      <c r="AA149" s="51"/>
    </row>
    <row r="150" spans="1:27" ht="13.65" customHeight="1" x14ac:dyDescent="0.3">
      <c r="A150" s="49"/>
      <c r="B150" s="57"/>
      <c r="C150" s="51"/>
      <c r="D150" s="51"/>
      <c r="E150" s="51"/>
      <c r="F150" s="51"/>
      <c r="G150" s="58"/>
      <c r="H150" s="51"/>
      <c r="I150" s="58"/>
      <c r="J150" s="51"/>
      <c r="K150" s="51"/>
      <c r="L150" s="51"/>
      <c r="M150" s="51"/>
      <c r="N150" s="51"/>
      <c r="O150" s="51"/>
      <c r="P150" s="51"/>
      <c r="Q150" s="51"/>
      <c r="R150" s="51"/>
      <c r="S150" s="51"/>
      <c r="T150" s="51"/>
      <c r="U150" s="51"/>
      <c r="V150" s="51"/>
      <c r="W150" s="51"/>
      <c r="X150" s="51"/>
      <c r="Y150" s="51"/>
      <c r="Z150" s="51"/>
      <c r="AA150" s="51"/>
    </row>
    <row r="151" spans="1:27" ht="13.65" customHeight="1" x14ac:dyDescent="0.3">
      <c r="A151" s="49"/>
      <c r="B151" s="57"/>
      <c r="C151" s="51"/>
      <c r="D151" s="51"/>
      <c r="E151" s="51"/>
      <c r="F151" s="51"/>
      <c r="G151" s="58"/>
      <c r="H151" s="51"/>
      <c r="I151" s="58"/>
      <c r="J151" s="51"/>
      <c r="K151" s="51"/>
      <c r="L151" s="51"/>
      <c r="M151" s="51"/>
      <c r="N151" s="51"/>
      <c r="O151" s="51"/>
      <c r="P151" s="51"/>
      <c r="Q151" s="51"/>
      <c r="R151" s="51"/>
      <c r="S151" s="51"/>
      <c r="T151" s="51"/>
      <c r="U151" s="51"/>
      <c r="V151" s="51"/>
      <c r="W151" s="51"/>
      <c r="X151" s="51"/>
      <c r="Y151" s="51"/>
      <c r="Z151" s="51"/>
      <c r="AA151" s="51"/>
    </row>
    <row r="152" spans="1:27" ht="13.65" customHeight="1" x14ac:dyDescent="0.3">
      <c r="A152" s="49"/>
      <c r="B152" s="57"/>
      <c r="C152" s="51"/>
      <c r="D152" s="51"/>
      <c r="E152" s="51"/>
      <c r="F152" s="51"/>
      <c r="G152" s="58"/>
      <c r="H152" s="51"/>
      <c r="I152" s="58"/>
      <c r="J152" s="51"/>
      <c r="K152" s="51"/>
      <c r="L152" s="51"/>
      <c r="M152" s="51"/>
      <c r="N152" s="51"/>
      <c r="O152" s="51"/>
      <c r="P152" s="51"/>
      <c r="Q152" s="51"/>
      <c r="R152" s="51"/>
      <c r="S152" s="51"/>
      <c r="T152" s="51"/>
      <c r="U152" s="51"/>
      <c r="V152" s="51"/>
      <c r="W152" s="51"/>
      <c r="X152" s="51"/>
      <c r="Y152" s="51"/>
      <c r="Z152" s="51"/>
      <c r="AA152" s="51"/>
    </row>
    <row r="153" spans="1:27" ht="13.65" customHeight="1" x14ac:dyDescent="0.3">
      <c r="A153" s="49"/>
      <c r="B153" s="57"/>
      <c r="C153" s="51"/>
      <c r="D153" s="51"/>
      <c r="E153" s="51"/>
      <c r="F153" s="51"/>
      <c r="G153" s="58"/>
      <c r="H153" s="51"/>
      <c r="I153" s="58"/>
      <c r="J153" s="51"/>
      <c r="K153" s="51"/>
      <c r="L153" s="51"/>
      <c r="M153" s="51"/>
      <c r="N153" s="51"/>
      <c r="O153" s="51"/>
      <c r="P153" s="51"/>
      <c r="Q153" s="51"/>
      <c r="R153" s="51"/>
      <c r="S153" s="51"/>
      <c r="T153" s="51"/>
      <c r="U153" s="51"/>
      <c r="V153" s="51"/>
      <c r="W153" s="51"/>
      <c r="X153" s="51"/>
      <c r="Y153" s="51"/>
      <c r="Z153" s="51"/>
      <c r="AA153" s="51"/>
    </row>
    <row r="154" spans="1:27" ht="13.65" customHeight="1" x14ac:dyDescent="0.3">
      <c r="A154" s="49"/>
      <c r="B154" s="57"/>
      <c r="C154" s="51"/>
      <c r="D154" s="51"/>
      <c r="E154" s="51"/>
      <c r="F154" s="51"/>
      <c r="G154" s="58"/>
      <c r="H154" s="51"/>
      <c r="I154" s="58"/>
      <c r="J154" s="51"/>
      <c r="K154" s="51"/>
      <c r="L154" s="51"/>
      <c r="M154" s="51"/>
      <c r="N154" s="51"/>
      <c r="O154" s="51"/>
      <c r="P154" s="51"/>
      <c r="Q154" s="51"/>
      <c r="R154" s="51"/>
      <c r="S154" s="51"/>
      <c r="T154" s="51"/>
      <c r="U154" s="51"/>
      <c r="V154" s="51"/>
      <c r="W154" s="51"/>
      <c r="X154" s="51"/>
      <c r="Y154" s="51"/>
      <c r="Z154" s="51"/>
      <c r="AA154" s="51"/>
    </row>
    <row r="155" spans="1:27" ht="13.65" customHeight="1" x14ac:dyDescent="0.3">
      <c r="A155" s="49"/>
      <c r="B155" s="57"/>
      <c r="C155" s="51"/>
      <c r="D155" s="51"/>
      <c r="E155" s="51"/>
      <c r="F155" s="51"/>
      <c r="G155" s="58"/>
      <c r="H155" s="51"/>
      <c r="I155" s="58"/>
      <c r="J155" s="51"/>
      <c r="K155" s="51"/>
      <c r="L155" s="51"/>
      <c r="M155" s="51"/>
      <c r="N155" s="51"/>
      <c r="O155" s="51"/>
      <c r="P155" s="51"/>
      <c r="Q155" s="51"/>
      <c r="R155" s="51"/>
      <c r="S155" s="51"/>
      <c r="T155" s="51"/>
      <c r="U155" s="51"/>
      <c r="V155" s="51"/>
      <c r="W155" s="51"/>
      <c r="X155" s="51"/>
      <c r="Y155" s="51"/>
      <c r="Z155" s="51"/>
      <c r="AA155" s="51"/>
    </row>
    <row r="156" spans="1:27" ht="13.65" customHeight="1" x14ac:dyDescent="0.3">
      <c r="A156" s="49"/>
      <c r="B156" s="57"/>
      <c r="C156" s="51"/>
      <c r="D156" s="51"/>
      <c r="E156" s="51"/>
      <c r="F156" s="51"/>
      <c r="G156" s="58"/>
      <c r="H156" s="51"/>
      <c r="I156" s="58"/>
      <c r="J156" s="51"/>
      <c r="K156" s="51"/>
      <c r="L156" s="51"/>
      <c r="M156" s="51"/>
      <c r="N156" s="51"/>
      <c r="O156" s="51"/>
      <c r="P156" s="51"/>
      <c r="Q156" s="51"/>
      <c r="R156" s="51"/>
      <c r="S156" s="51"/>
      <c r="T156" s="51"/>
      <c r="U156" s="51"/>
      <c r="V156" s="51"/>
      <c r="W156" s="51"/>
      <c r="X156" s="51"/>
      <c r="Y156" s="51"/>
      <c r="Z156" s="51"/>
      <c r="AA156" s="51"/>
    </row>
    <row r="157" spans="1:27" ht="13.65" customHeight="1" x14ac:dyDescent="0.3">
      <c r="A157" s="49"/>
      <c r="B157" s="57"/>
      <c r="C157" s="51"/>
      <c r="D157" s="51"/>
      <c r="E157" s="51"/>
      <c r="F157" s="51"/>
      <c r="G157" s="58"/>
      <c r="H157" s="51"/>
      <c r="I157" s="58"/>
      <c r="J157" s="51"/>
      <c r="K157" s="51"/>
      <c r="L157" s="51"/>
      <c r="M157" s="51"/>
      <c r="N157" s="51"/>
      <c r="O157" s="51"/>
      <c r="P157" s="51"/>
      <c r="Q157" s="51"/>
      <c r="R157" s="51"/>
      <c r="S157" s="51"/>
      <c r="T157" s="51"/>
      <c r="U157" s="51"/>
      <c r="V157" s="51"/>
      <c r="W157" s="51"/>
      <c r="X157" s="51"/>
      <c r="Y157" s="51"/>
      <c r="Z157" s="51"/>
      <c r="AA157" s="51"/>
    </row>
    <row r="158" spans="1:27" ht="13.65" customHeight="1" x14ac:dyDescent="0.3">
      <c r="A158" s="49"/>
      <c r="B158" s="57"/>
      <c r="C158" s="51"/>
      <c r="D158" s="51"/>
      <c r="E158" s="51"/>
      <c r="F158" s="51"/>
      <c r="G158" s="58"/>
      <c r="H158" s="51"/>
      <c r="I158" s="58"/>
      <c r="J158" s="51"/>
      <c r="K158" s="51"/>
      <c r="L158" s="51"/>
      <c r="M158" s="51"/>
      <c r="N158" s="51"/>
      <c r="O158" s="51"/>
      <c r="P158" s="51"/>
      <c r="Q158" s="51"/>
      <c r="R158" s="51"/>
      <c r="S158" s="51"/>
      <c r="T158" s="51"/>
      <c r="U158" s="51"/>
      <c r="V158" s="51"/>
      <c r="W158" s="51"/>
      <c r="X158" s="51"/>
      <c r="Y158" s="51"/>
      <c r="Z158" s="51"/>
      <c r="AA158" s="51"/>
    </row>
    <row r="159" spans="1:27" ht="13.65" customHeight="1" x14ac:dyDescent="0.3">
      <c r="A159" s="49"/>
      <c r="B159" s="57"/>
      <c r="C159" s="51"/>
      <c r="D159" s="51"/>
      <c r="E159" s="51"/>
      <c r="F159" s="51"/>
      <c r="G159" s="58"/>
      <c r="H159" s="51"/>
      <c r="I159" s="58"/>
      <c r="J159" s="51"/>
      <c r="K159" s="51"/>
      <c r="L159" s="51"/>
      <c r="M159" s="51"/>
      <c r="N159" s="51"/>
      <c r="O159" s="51"/>
      <c r="P159" s="51"/>
      <c r="Q159" s="51"/>
      <c r="R159" s="51"/>
      <c r="S159" s="51"/>
      <c r="T159" s="51"/>
      <c r="U159" s="51"/>
      <c r="V159" s="51"/>
      <c r="W159" s="51"/>
      <c r="X159" s="51"/>
      <c r="Y159" s="51"/>
      <c r="Z159" s="51"/>
      <c r="AA159" s="51"/>
    </row>
    <row r="160" spans="1:27" ht="13.65" customHeight="1" x14ac:dyDescent="0.3">
      <c r="A160" s="49"/>
      <c r="B160" s="57"/>
      <c r="C160" s="51"/>
      <c r="D160" s="51"/>
      <c r="E160" s="51"/>
      <c r="F160" s="51"/>
      <c r="G160" s="58"/>
      <c r="H160" s="51"/>
      <c r="I160" s="58"/>
      <c r="J160" s="51"/>
      <c r="K160" s="51"/>
      <c r="L160" s="51"/>
      <c r="M160" s="51"/>
      <c r="N160" s="51"/>
      <c r="O160" s="51"/>
      <c r="P160" s="51"/>
      <c r="Q160" s="51"/>
      <c r="R160" s="51"/>
      <c r="S160" s="51"/>
      <c r="T160" s="51"/>
      <c r="U160" s="51"/>
      <c r="V160" s="51"/>
      <c r="W160" s="51"/>
      <c r="X160" s="51"/>
      <c r="Y160" s="51"/>
      <c r="Z160" s="51"/>
      <c r="AA160" s="51"/>
    </row>
    <row r="161" spans="1:27" ht="13.65" customHeight="1" x14ac:dyDescent="0.3">
      <c r="A161" s="49"/>
      <c r="B161" s="57"/>
      <c r="C161" s="51"/>
      <c r="D161" s="51"/>
      <c r="E161" s="51"/>
      <c r="F161" s="51"/>
      <c r="G161" s="58"/>
      <c r="H161" s="51"/>
      <c r="I161" s="58"/>
      <c r="J161" s="51"/>
      <c r="K161" s="51"/>
      <c r="L161" s="51"/>
      <c r="M161" s="51"/>
      <c r="N161" s="51"/>
      <c r="O161" s="51"/>
      <c r="P161" s="51"/>
      <c r="Q161" s="51"/>
      <c r="R161" s="51"/>
      <c r="S161" s="51"/>
      <c r="T161" s="51"/>
      <c r="U161" s="51"/>
      <c r="V161" s="51"/>
      <c r="W161" s="51"/>
      <c r="X161" s="51"/>
      <c r="Y161" s="51"/>
      <c r="Z161" s="51"/>
      <c r="AA161" s="51"/>
    </row>
    <row r="162" spans="1:27" ht="13.65" customHeight="1" x14ac:dyDescent="0.3">
      <c r="A162" s="49"/>
      <c r="B162" s="57"/>
      <c r="C162" s="51"/>
      <c r="D162" s="51"/>
      <c r="E162" s="51"/>
      <c r="F162" s="51"/>
      <c r="G162" s="58"/>
      <c r="H162" s="51"/>
      <c r="I162" s="58"/>
      <c r="J162" s="51"/>
      <c r="K162" s="51"/>
      <c r="L162" s="51"/>
      <c r="M162" s="51"/>
      <c r="N162" s="51"/>
      <c r="O162" s="51"/>
      <c r="P162" s="51"/>
      <c r="Q162" s="51"/>
      <c r="R162" s="51"/>
      <c r="S162" s="51"/>
      <c r="T162" s="51"/>
      <c r="U162" s="51"/>
      <c r="V162" s="51"/>
      <c r="W162" s="51"/>
      <c r="X162" s="51"/>
      <c r="Y162" s="51"/>
      <c r="Z162" s="51"/>
      <c r="AA162" s="51"/>
    </row>
    <row r="163" spans="1:27" ht="13.65" customHeight="1" x14ac:dyDescent="0.3">
      <c r="A163" s="49"/>
      <c r="B163" s="57"/>
      <c r="C163" s="51"/>
      <c r="D163" s="51"/>
      <c r="E163" s="51"/>
      <c r="F163" s="51"/>
      <c r="G163" s="58"/>
      <c r="H163" s="51"/>
      <c r="I163" s="58"/>
      <c r="J163" s="51"/>
      <c r="K163" s="51"/>
      <c r="L163" s="51"/>
      <c r="M163" s="51"/>
      <c r="N163" s="51"/>
      <c r="O163" s="51"/>
      <c r="P163" s="51"/>
      <c r="Q163" s="51"/>
      <c r="R163" s="51"/>
      <c r="S163" s="51"/>
      <c r="T163" s="51"/>
      <c r="U163" s="51"/>
      <c r="V163" s="51"/>
      <c r="W163" s="51"/>
      <c r="X163" s="51"/>
      <c r="Y163" s="51"/>
      <c r="Z163" s="51"/>
      <c r="AA163" s="51"/>
    </row>
    <row r="164" spans="1:27" ht="13.65" customHeight="1" x14ac:dyDescent="0.3">
      <c r="A164" s="49"/>
      <c r="B164" s="57"/>
      <c r="C164" s="51"/>
      <c r="D164" s="51"/>
      <c r="E164" s="51"/>
      <c r="F164" s="51"/>
      <c r="G164" s="58"/>
      <c r="H164" s="51"/>
      <c r="I164" s="58"/>
      <c r="J164" s="51"/>
      <c r="K164" s="51"/>
      <c r="L164" s="51"/>
      <c r="M164" s="51"/>
      <c r="N164" s="51"/>
      <c r="O164" s="51"/>
      <c r="P164" s="51"/>
      <c r="Q164" s="51"/>
      <c r="R164" s="51"/>
      <c r="S164" s="51"/>
      <c r="T164" s="51"/>
      <c r="U164" s="51"/>
      <c r="V164" s="51"/>
      <c r="W164" s="51"/>
      <c r="X164" s="51"/>
      <c r="Y164" s="51"/>
      <c r="Z164" s="51"/>
      <c r="AA164" s="51"/>
    </row>
    <row r="165" spans="1:27" ht="13.65" customHeight="1" x14ac:dyDescent="0.3">
      <c r="A165" s="49"/>
      <c r="B165" s="57"/>
      <c r="C165" s="51"/>
      <c r="D165" s="51"/>
      <c r="E165" s="51"/>
      <c r="F165" s="51"/>
      <c r="G165" s="58"/>
      <c r="H165" s="51"/>
      <c r="I165" s="58"/>
      <c r="J165" s="51"/>
      <c r="K165" s="51"/>
      <c r="L165" s="51"/>
      <c r="M165" s="51"/>
      <c r="N165" s="51"/>
      <c r="O165" s="51"/>
      <c r="P165" s="51"/>
      <c r="Q165" s="51"/>
      <c r="R165" s="51"/>
      <c r="S165" s="51"/>
      <c r="T165" s="51"/>
      <c r="U165" s="51"/>
      <c r="V165" s="51"/>
      <c r="W165" s="51"/>
      <c r="X165" s="51"/>
      <c r="Y165" s="51"/>
      <c r="Z165" s="51"/>
      <c r="AA165" s="51"/>
    </row>
    <row r="166" spans="1:27" ht="13.65" customHeight="1" x14ac:dyDescent="0.3">
      <c r="A166" s="49"/>
      <c r="B166" s="57"/>
      <c r="C166" s="51"/>
      <c r="D166" s="51"/>
      <c r="E166" s="51"/>
      <c r="F166" s="51"/>
      <c r="G166" s="58"/>
      <c r="H166" s="51"/>
      <c r="I166" s="58"/>
      <c r="J166" s="51"/>
      <c r="K166" s="51"/>
      <c r="L166" s="51"/>
      <c r="M166" s="51"/>
      <c r="N166" s="51"/>
      <c r="O166" s="51"/>
      <c r="P166" s="51"/>
      <c r="Q166" s="51"/>
      <c r="R166" s="51"/>
      <c r="S166" s="51"/>
      <c r="T166" s="51"/>
      <c r="U166" s="51"/>
      <c r="V166" s="51"/>
      <c r="W166" s="51"/>
      <c r="X166" s="51"/>
      <c r="Y166" s="51"/>
      <c r="Z166" s="51"/>
      <c r="AA166" s="51"/>
    </row>
    <row r="167" spans="1:27" ht="13.65" customHeight="1" x14ac:dyDescent="0.3">
      <c r="A167" s="49"/>
      <c r="B167" s="57"/>
      <c r="C167" s="51"/>
      <c r="D167" s="51"/>
      <c r="E167" s="51"/>
      <c r="F167" s="51"/>
      <c r="G167" s="58"/>
      <c r="H167" s="51"/>
      <c r="I167" s="58"/>
      <c r="J167" s="51"/>
      <c r="K167" s="51"/>
      <c r="L167" s="51"/>
      <c r="M167" s="51"/>
      <c r="N167" s="51"/>
      <c r="O167" s="51"/>
      <c r="P167" s="51"/>
      <c r="Q167" s="51"/>
      <c r="R167" s="51"/>
      <c r="S167" s="51"/>
      <c r="T167" s="51"/>
      <c r="U167" s="51"/>
      <c r="V167" s="51"/>
      <c r="W167" s="51"/>
      <c r="X167" s="51"/>
      <c r="Y167" s="51"/>
      <c r="Z167" s="51"/>
      <c r="AA167" s="51"/>
    </row>
    <row r="168" spans="1:27" ht="13.65" customHeight="1" x14ac:dyDescent="0.3">
      <c r="A168" s="49"/>
      <c r="B168" s="57"/>
      <c r="C168" s="51"/>
      <c r="D168" s="51"/>
      <c r="E168" s="51"/>
      <c r="F168" s="51"/>
      <c r="G168" s="58"/>
      <c r="H168" s="51"/>
      <c r="I168" s="58"/>
      <c r="J168" s="51"/>
      <c r="K168" s="51"/>
      <c r="L168" s="51"/>
      <c r="M168" s="51"/>
      <c r="N168" s="51"/>
      <c r="O168" s="51"/>
      <c r="P168" s="51"/>
      <c r="Q168" s="51"/>
      <c r="R168" s="51"/>
      <c r="S168" s="51"/>
      <c r="T168" s="51"/>
      <c r="U168" s="51"/>
      <c r="V168" s="51"/>
      <c r="W168" s="51"/>
      <c r="X168" s="51"/>
      <c r="Y168" s="51"/>
      <c r="Z168" s="51"/>
      <c r="AA168" s="51"/>
    </row>
    <row r="169" spans="1:27" ht="13.65" customHeight="1" x14ac:dyDescent="0.3">
      <c r="A169" s="49"/>
      <c r="B169" s="57"/>
      <c r="C169" s="51"/>
      <c r="D169" s="51"/>
      <c r="E169" s="51"/>
      <c r="F169" s="51"/>
      <c r="G169" s="58"/>
      <c r="H169" s="51"/>
      <c r="I169" s="58"/>
      <c r="J169" s="51"/>
      <c r="K169" s="51"/>
      <c r="L169" s="51"/>
      <c r="M169" s="51"/>
      <c r="N169" s="51"/>
      <c r="O169" s="51"/>
      <c r="P169" s="51"/>
      <c r="Q169" s="51"/>
      <c r="R169" s="51"/>
      <c r="S169" s="51"/>
      <c r="T169" s="51"/>
      <c r="U169" s="51"/>
      <c r="V169" s="51"/>
      <c r="W169" s="51"/>
      <c r="X169" s="51"/>
      <c r="Y169" s="51"/>
      <c r="Z169" s="51"/>
      <c r="AA169" s="51"/>
    </row>
    <row r="170" spans="1:27" ht="13.65" customHeight="1" x14ac:dyDescent="0.3">
      <c r="A170" s="49"/>
      <c r="B170" s="57"/>
      <c r="C170" s="51"/>
      <c r="D170" s="51"/>
      <c r="E170" s="51"/>
      <c r="F170" s="51"/>
      <c r="G170" s="58"/>
      <c r="H170" s="51"/>
      <c r="I170" s="58"/>
      <c r="J170" s="51"/>
      <c r="K170" s="51"/>
      <c r="L170" s="51"/>
      <c r="M170" s="51"/>
      <c r="N170" s="51"/>
      <c r="O170" s="51"/>
      <c r="P170" s="51"/>
      <c r="Q170" s="51"/>
      <c r="R170" s="51"/>
      <c r="S170" s="51"/>
      <c r="T170" s="51"/>
      <c r="U170" s="51"/>
      <c r="V170" s="51"/>
      <c r="W170" s="51"/>
      <c r="X170" s="51"/>
      <c r="Y170" s="51"/>
      <c r="Z170" s="51"/>
      <c r="AA170" s="51"/>
    </row>
    <row r="171" spans="1:27" ht="13.65" customHeight="1" x14ac:dyDescent="0.3">
      <c r="A171" s="49"/>
      <c r="B171" s="57"/>
      <c r="C171" s="51"/>
      <c r="D171" s="51"/>
      <c r="E171" s="51"/>
      <c r="F171" s="51"/>
      <c r="G171" s="58"/>
      <c r="H171" s="51"/>
      <c r="I171" s="58"/>
      <c r="J171" s="51"/>
      <c r="K171" s="51"/>
      <c r="L171" s="51"/>
      <c r="M171" s="51"/>
      <c r="N171" s="51"/>
      <c r="O171" s="51"/>
      <c r="P171" s="51"/>
      <c r="Q171" s="51"/>
      <c r="R171" s="51"/>
      <c r="S171" s="51"/>
      <c r="T171" s="51"/>
      <c r="U171" s="51"/>
      <c r="V171" s="51"/>
      <c r="W171" s="51"/>
      <c r="X171" s="51"/>
      <c r="Y171" s="51"/>
      <c r="Z171" s="51"/>
      <c r="AA171" s="51"/>
    </row>
    <row r="172" spans="1:27" ht="13.65" customHeight="1" x14ac:dyDescent="0.3">
      <c r="A172" s="49"/>
      <c r="B172" s="57"/>
      <c r="C172" s="51"/>
      <c r="D172" s="51"/>
      <c r="E172" s="51"/>
      <c r="F172" s="51"/>
      <c r="G172" s="58"/>
      <c r="H172" s="51"/>
      <c r="I172" s="58"/>
      <c r="J172" s="51"/>
      <c r="K172" s="51"/>
      <c r="L172" s="51"/>
      <c r="M172" s="51"/>
      <c r="N172" s="51"/>
      <c r="O172" s="51"/>
      <c r="P172" s="51"/>
      <c r="Q172" s="51"/>
      <c r="R172" s="51"/>
      <c r="S172" s="51"/>
      <c r="T172" s="51"/>
      <c r="U172" s="51"/>
      <c r="V172" s="51"/>
      <c r="W172" s="51"/>
      <c r="X172" s="51"/>
      <c r="Y172" s="51"/>
      <c r="Z172" s="51"/>
      <c r="AA172" s="51"/>
    </row>
    <row r="173" spans="1:27" ht="13.65" customHeight="1" x14ac:dyDescent="0.3">
      <c r="A173" s="49"/>
      <c r="B173" s="57"/>
      <c r="C173" s="51"/>
      <c r="D173" s="51"/>
      <c r="E173" s="51"/>
      <c r="F173" s="51"/>
      <c r="G173" s="58"/>
      <c r="H173" s="51"/>
      <c r="I173" s="58"/>
      <c r="J173" s="51"/>
      <c r="K173" s="51"/>
      <c r="L173" s="51"/>
      <c r="M173" s="51"/>
      <c r="N173" s="51"/>
      <c r="O173" s="51"/>
      <c r="P173" s="51"/>
      <c r="Q173" s="51"/>
      <c r="R173" s="51"/>
      <c r="S173" s="51"/>
      <c r="T173" s="51"/>
      <c r="U173" s="51"/>
      <c r="V173" s="51"/>
      <c r="W173" s="51"/>
      <c r="X173" s="51"/>
      <c r="Y173" s="51"/>
      <c r="Z173" s="51"/>
      <c r="AA173" s="51"/>
    </row>
    <row r="174" spans="1:27" ht="13.65" customHeight="1" x14ac:dyDescent="0.3">
      <c r="A174" s="49"/>
      <c r="B174" s="57"/>
      <c r="C174" s="51"/>
      <c r="D174" s="51"/>
      <c r="E174" s="51"/>
      <c r="F174" s="51"/>
      <c r="G174" s="58"/>
      <c r="H174" s="51"/>
      <c r="I174" s="58"/>
      <c r="J174" s="51"/>
      <c r="K174" s="51"/>
      <c r="L174" s="51"/>
      <c r="M174" s="51"/>
      <c r="N174" s="51"/>
      <c r="O174" s="51"/>
      <c r="P174" s="51"/>
      <c r="Q174" s="51"/>
      <c r="R174" s="51"/>
      <c r="S174" s="51"/>
      <c r="T174" s="51"/>
      <c r="U174" s="51"/>
      <c r="V174" s="51"/>
      <c r="W174" s="51"/>
      <c r="X174" s="51"/>
      <c r="Y174" s="51"/>
      <c r="Z174" s="51"/>
      <c r="AA174" s="51"/>
    </row>
    <row r="175" spans="1:27" ht="13.65" customHeight="1" x14ac:dyDescent="0.3">
      <c r="A175" s="49"/>
      <c r="B175" s="57"/>
      <c r="C175" s="51"/>
      <c r="D175" s="51"/>
      <c r="E175" s="51"/>
      <c r="F175" s="51"/>
      <c r="G175" s="58"/>
      <c r="H175" s="51"/>
      <c r="I175" s="58"/>
      <c r="J175" s="51"/>
      <c r="K175" s="51"/>
      <c r="L175" s="51"/>
      <c r="M175" s="51"/>
      <c r="N175" s="51"/>
      <c r="O175" s="51"/>
      <c r="P175" s="51"/>
      <c r="Q175" s="51"/>
      <c r="R175" s="51"/>
      <c r="S175" s="51"/>
      <c r="T175" s="51"/>
      <c r="U175" s="51"/>
      <c r="V175" s="51"/>
      <c r="W175" s="51"/>
      <c r="X175" s="51"/>
      <c r="Y175" s="51"/>
      <c r="Z175" s="51"/>
      <c r="AA175" s="51"/>
    </row>
    <row r="176" spans="1:27" ht="13.65" customHeight="1" x14ac:dyDescent="0.3">
      <c r="A176" s="49"/>
      <c r="B176" s="57"/>
      <c r="C176" s="51"/>
      <c r="D176" s="51"/>
      <c r="E176" s="51"/>
      <c r="F176" s="51"/>
      <c r="G176" s="58"/>
      <c r="H176" s="51"/>
      <c r="I176" s="58"/>
      <c r="J176" s="51"/>
      <c r="K176" s="51"/>
      <c r="L176" s="51"/>
      <c r="M176" s="51"/>
      <c r="N176" s="51"/>
      <c r="O176" s="51"/>
      <c r="P176" s="51"/>
      <c r="Q176" s="51"/>
      <c r="R176" s="51"/>
      <c r="S176" s="51"/>
      <c r="T176" s="51"/>
      <c r="U176" s="51"/>
      <c r="V176" s="51"/>
      <c r="W176" s="51"/>
      <c r="X176" s="51"/>
      <c r="Y176" s="51"/>
      <c r="Z176" s="51"/>
      <c r="AA176" s="51"/>
    </row>
    <row r="177" spans="1:27" ht="13.65" customHeight="1" x14ac:dyDescent="0.3">
      <c r="A177" s="49"/>
      <c r="B177" s="57"/>
      <c r="C177" s="51"/>
      <c r="D177" s="51"/>
      <c r="E177" s="51"/>
      <c r="F177" s="51"/>
      <c r="G177" s="58"/>
      <c r="H177" s="51"/>
      <c r="I177" s="58"/>
      <c r="J177" s="51"/>
      <c r="K177" s="51"/>
      <c r="L177" s="51"/>
      <c r="M177" s="51"/>
      <c r="N177" s="51"/>
      <c r="O177" s="51"/>
      <c r="P177" s="51"/>
      <c r="Q177" s="51"/>
      <c r="R177" s="51"/>
      <c r="S177" s="51"/>
      <c r="T177" s="51"/>
      <c r="U177" s="51"/>
      <c r="V177" s="51"/>
      <c r="W177" s="51"/>
      <c r="X177" s="51"/>
      <c r="Y177" s="51"/>
      <c r="Z177" s="51"/>
      <c r="AA177" s="51"/>
    </row>
    <row r="178" spans="1:27" ht="13.65" customHeight="1" x14ac:dyDescent="0.3">
      <c r="A178" s="49"/>
      <c r="B178" s="57"/>
      <c r="C178" s="51"/>
      <c r="D178" s="51"/>
      <c r="E178" s="51"/>
      <c r="F178" s="51"/>
      <c r="G178" s="58"/>
      <c r="H178" s="51"/>
      <c r="I178" s="58"/>
      <c r="J178" s="51"/>
      <c r="K178" s="51"/>
      <c r="L178" s="51"/>
      <c r="M178" s="51"/>
      <c r="N178" s="51"/>
      <c r="O178" s="51"/>
      <c r="P178" s="51"/>
      <c r="Q178" s="51"/>
      <c r="R178" s="51"/>
      <c r="S178" s="51"/>
      <c r="T178" s="51"/>
      <c r="U178" s="51"/>
      <c r="V178" s="51"/>
      <c r="W178" s="51"/>
      <c r="X178" s="51"/>
      <c r="Y178" s="51"/>
      <c r="Z178" s="51"/>
      <c r="AA178" s="51"/>
    </row>
    <row r="179" spans="1:27" ht="13.65" customHeight="1" x14ac:dyDescent="0.3">
      <c r="A179" s="49"/>
      <c r="B179" s="57"/>
      <c r="C179" s="51"/>
      <c r="D179" s="51"/>
      <c r="E179" s="51"/>
      <c r="F179" s="51"/>
      <c r="G179" s="58"/>
      <c r="H179" s="51"/>
      <c r="I179" s="58"/>
      <c r="J179" s="51"/>
      <c r="K179" s="51"/>
      <c r="L179" s="51"/>
      <c r="M179" s="51"/>
      <c r="N179" s="51"/>
      <c r="O179" s="51"/>
      <c r="P179" s="51"/>
      <c r="Q179" s="51"/>
      <c r="R179" s="51"/>
      <c r="S179" s="51"/>
      <c r="T179" s="51"/>
      <c r="U179" s="51"/>
      <c r="V179" s="51"/>
      <c r="W179" s="51"/>
      <c r="X179" s="51"/>
      <c r="Y179" s="51"/>
      <c r="Z179" s="51"/>
      <c r="AA179" s="51"/>
    </row>
    <row r="180" spans="1:27" ht="13.65" customHeight="1" x14ac:dyDescent="0.3">
      <c r="A180" s="49"/>
      <c r="B180" s="57"/>
      <c r="C180" s="51"/>
      <c r="D180" s="51"/>
      <c r="E180" s="51"/>
      <c r="F180" s="51"/>
      <c r="G180" s="58"/>
      <c r="H180" s="51"/>
      <c r="I180" s="58"/>
      <c r="J180" s="51"/>
      <c r="K180" s="51"/>
      <c r="L180" s="51"/>
      <c r="M180" s="51"/>
      <c r="N180" s="51"/>
      <c r="O180" s="51"/>
      <c r="P180" s="51"/>
      <c r="Q180" s="51"/>
      <c r="R180" s="51"/>
      <c r="S180" s="51"/>
      <c r="T180" s="51"/>
      <c r="U180" s="51"/>
      <c r="V180" s="51"/>
      <c r="W180" s="51"/>
      <c r="X180" s="51"/>
      <c r="Y180" s="51"/>
      <c r="Z180" s="51"/>
      <c r="AA180" s="51"/>
    </row>
    <row r="181" spans="1:27" ht="13.65" customHeight="1" x14ac:dyDescent="0.3">
      <c r="A181" s="49"/>
      <c r="B181" s="57"/>
      <c r="C181" s="51"/>
      <c r="D181" s="51"/>
      <c r="E181" s="51"/>
      <c r="F181" s="51"/>
      <c r="G181" s="58"/>
      <c r="H181" s="51"/>
      <c r="I181" s="58"/>
      <c r="J181" s="51"/>
      <c r="K181" s="51"/>
      <c r="L181" s="51"/>
      <c r="M181" s="51"/>
      <c r="N181" s="51"/>
      <c r="O181" s="51"/>
      <c r="P181" s="51"/>
      <c r="Q181" s="51"/>
      <c r="R181" s="51"/>
      <c r="S181" s="51"/>
      <c r="T181" s="51"/>
      <c r="U181" s="51"/>
      <c r="V181" s="51"/>
      <c r="W181" s="51"/>
      <c r="X181" s="51"/>
      <c r="Y181" s="51"/>
      <c r="Z181" s="51"/>
      <c r="AA181" s="51"/>
    </row>
    <row r="182" spans="1:27" ht="13.65" customHeight="1" x14ac:dyDescent="0.3">
      <c r="A182" s="49"/>
      <c r="B182" s="57"/>
      <c r="C182" s="51"/>
      <c r="D182" s="51"/>
      <c r="E182" s="51"/>
      <c r="F182" s="51"/>
      <c r="G182" s="58"/>
      <c r="H182" s="51"/>
      <c r="I182" s="58"/>
      <c r="J182" s="51"/>
      <c r="K182" s="51"/>
      <c r="L182" s="51"/>
      <c r="M182" s="51"/>
      <c r="N182" s="51"/>
      <c r="O182" s="51"/>
      <c r="P182" s="51"/>
      <c r="Q182" s="51"/>
      <c r="R182" s="51"/>
      <c r="S182" s="51"/>
      <c r="T182" s="51"/>
      <c r="U182" s="51"/>
      <c r="V182" s="51"/>
      <c r="W182" s="51"/>
      <c r="X182" s="51"/>
      <c r="Y182" s="51"/>
      <c r="Z182" s="51"/>
      <c r="AA182" s="51"/>
    </row>
    <row r="183" spans="1:27" ht="13.65" customHeight="1" x14ac:dyDescent="0.3">
      <c r="A183" s="49"/>
      <c r="B183" s="57"/>
      <c r="C183" s="51"/>
      <c r="D183" s="51"/>
      <c r="E183" s="51"/>
      <c r="F183" s="51"/>
      <c r="G183" s="58"/>
      <c r="H183" s="51"/>
      <c r="I183" s="58"/>
      <c r="J183" s="51"/>
      <c r="K183" s="51"/>
      <c r="L183" s="51"/>
      <c r="M183" s="51"/>
      <c r="N183" s="51"/>
      <c r="O183" s="51"/>
      <c r="P183" s="51"/>
      <c r="Q183" s="51"/>
      <c r="R183" s="51"/>
      <c r="S183" s="51"/>
      <c r="T183" s="51"/>
      <c r="U183" s="51"/>
      <c r="V183" s="51"/>
      <c r="W183" s="51"/>
      <c r="X183" s="51"/>
      <c r="Y183" s="51"/>
      <c r="Z183" s="51"/>
      <c r="AA183" s="51"/>
    </row>
    <row r="184" spans="1:27" ht="13.65" customHeight="1" x14ac:dyDescent="0.3">
      <c r="A184" s="49"/>
      <c r="B184" s="57"/>
      <c r="C184" s="51"/>
      <c r="D184" s="51"/>
      <c r="E184" s="51"/>
      <c r="F184" s="51"/>
      <c r="G184" s="58"/>
      <c r="H184" s="51"/>
      <c r="I184" s="58"/>
      <c r="J184" s="51"/>
      <c r="K184" s="51"/>
      <c r="L184" s="51"/>
      <c r="M184" s="51"/>
      <c r="N184" s="51"/>
      <c r="O184" s="51"/>
      <c r="P184" s="51"/>
      <c r="Q184" s="51"/>
      <c r="R184" s="51"/>
      <c r="S184" s="51"/>
      <c r="T184" s="51"/>
      <c r="U184" s="51"/>
      <c r="V184" s="51"/>
      <c r="W184" s="51"/>
      <c r="X184" s="51"/>
      <c r="Y184" s="51"/>
      <c r="Z184" s="51"/>
      <c r="AA184" s="51"/>
    </row>
    <row r="185" spans="1:27" ht="13.65" customHeight="1" x14ac:dyDescent="0.3">
      <c r="A185" s="49"/>
      <c r="B185" s="57"/>
      <c r="C185" s="51"/>
      <c r="D185" s="51"/>
      <c r="E185" s="51"/>
      <c r="F185" s="51"/>
      <c r="G185" s="58"/>
      <c r="H185" s="51"/>
      <c r="I185" s="58"/>
      <c r="J185" s="51"/>
      <c r="K185" s="51"/>
      <c r="L185" s="51"/>
      <c r="M185" s="51"/>
      <c r="N185" s="51"/>
      <c r="O185" s="51"/>
      <c r="P185" s="51"/>
      <c r="Q185" s="51"/>
      <c r="R185" s="51"/>
      <c r="S185" s="51"/>
      <c r="T185" s="51"/>
      <c r="U185" s="51"/>
      <c r="V185" s="51"/>
      <c r="W185" s="51"/>
      <c r="X185" s="51"/>
      <c r="Y185" s="51"/>
      <c r="Z185" s="51"/>
      <c r="AA185" s="51"/>
    </row>
    <row r="186" spans="1:27" ht="13.65" customHeight="1" x14ac:dyDescent="0.3">
      <c r="A186" s="49"/>
      <c r="B186" s="57"/>
      <c r="C186" s="51"/>
      <c r="D186" s="51"/>
      <c r="E186" s="51"/>
      <c r="F186" s="51"/>
      <c r="G186" s="58"/>
      <c r="H186" s="51"/>
      <c r="I186" s="58"/>
      <c r="J186" s="51"/>
      <c r="K186" s="51"/>
      <c r="L186" s="51"/>
      <c r="M186" s="51"/>
      <c r="N186" s="51"/>
      <c r="O186" s="51"/>
      <c r="P186" s="51"/>
      <c r="Q186" s="51"/>
      <c r="R186" s="51"/>
      <c r="S186" s="51"/>
      <c r="T186" s="51"/>
      <c r="U186" s="51"/>
      <c r="V186" s="51"/>
      <c r="W186" s="51"/>
      <c r="X186" s="51"/>
      <c r="Y186" s="51"/>
      <c r="Z186" s="51"/>
      <c r="AA186" s="51"/>
    </row>
    <row r="187" spans="1:27" ht="13.65" customHeight="1" x14ac:dyDescent="0.3">
      <c r="A187" s="49"/>
      <c r="B187" s="57"/>
      <c r="C187" s="51"/>
      <c r="D187" s="51"/>
      <c r="E187" s="51"/>
      <c r="F187" s="51"/>
      <c r="G187" s="58"/>
      <c r="H187" s="51"/>
      <c r="I187" s="58"/>
      <c r="J187" s="51"/>
      <c r="K187" s="51"/>
      <c r="L187" s="51"/>
      <c r="M187" s="51"/>
      <c r="N187" s="51"/>
      <c r="O187" s="51"/>
      <c r="P187" s="51"/>
      <c r="Q187" s="51"/>
      <c r="R187" s="51"/>
      <c r="S187" s="51"/>
      <c r="T187" s="51"/>
      <c r="U187" s="51"/>
      <c r="V187" s="51"/>
      <c r="W187" s="51"/>
      <c r="X187" s="51"/>
      <c r="Y187" s="51"/>
      <c r="Z187" s="51"/>
      <c r="AA187" s="51"/>
    </row>
    <row r="188" spans="1:27" ht="13.65" customHeight="1" x14ac:dyDescent="0.3">
      <c r="A188" s="49"/>
      <c r="B188" s="57"/>
      <c r="C188" s="51"/>
      <c r="D188" s="51"/>
      <c r="E188" s="51"/>
      <c r="F188" s="51"/>
      <c r="G188" s="58"/>
      <c r="H188" s="51"/>
      <c r="I188" s="58"/>
      <c r="J188" s="51"/>
      <c r="K188" s="51"/>
      <c r="L188" s="51"/>
      <c r="M188" s="51"/>
      <c r="N188" s="51"/>
      <c r="O188" s="51"/>
      <c r="P188" s="51"/>
      <c r="Q188" s="51"/>
      <c r="R188" s="51"/>
      <c r="S188" s="51"/>
      <c r="T188" s="51"/>
      <c r="U188" s="51"/>
      <c r="V188" s="51"/>
      <c r="W188" s="51"/>
      <c r="X188" s="51"/>
      <c r="Y188" s="51"/>
      <c r="Z188" s="51"/>
      <c r="AA188" s="51"/>
    </row>
    <row r="189" spans="1:27" ht="13.65" customHeight="1" x14ac:dyDescent="0.3">
      <c r="A189" s="49"/>
      <c r="B189" s="57"/>
      <c r="C189" s="51"/>
      <c r="D189" s="51"/>
      <c r="E189" s="51"/>
      <c r="F189" s="51"/>
      <c r="G189" s="58"/>
      <c r="H189" s="51"/>
      <c r="I189" s="58"/>
      <c r="J189" s="51"/>
      <c r="K189" s="51"/>
      <c r="L189" s="51"/>
      <c r="M189" s="51"/>
      <c r="N189" s="51"/>
      <c r="O189" s="51"/>
      <c r="P189" s="51"/>
      <c r="Q189" s="51"/>
      <c r="R189" s="51"/>
      <c r="S189" s="51"/>
      <c r="T189" s="51"/>
      <c r="U189" s="51"/>
      <c r="V189" s="51"/>
      <c r="W189" s="51"/>
      <c r="X189" s="51"/>
      <c r="Y189" s="51"/>
      <c r="Z189" s="51"/>
      <c r="AA189" s="51"/>
    </row>
    <row r="190" spans="1:27" ht="13.65" customHeight="1" x14ac:dyDescent="0.3">
      <c r="A190" s="49"/>
      <c r="B190" s="57"/>
      <c r="C190" s="51"/>
      <c r="D190" s="51"/>
      <c r="E190" s="51"/>
      <c r="F190" s="51"/>
      <c r="G190" s="58"/>
      <c r="H190" s="51"/>
      <c r="I190" s="58"/>
      <c r="J190" s="51"/>
      <c r="K190" s="51"/>
      <c r="L190" s="51"/>
      <c r="M190" s="51"/>
      <c r="N190" s="51"/>
      <c r="O190" s="51"/>
      <c r="P190" s="51"/>
      <c r="Q190" s="51"/>
      <c r="R190" s="51"/>
      <c r="S190" s="51"/>
      <c r="T190" s="51"/>
      <c r="U190" s="51"/>
      <c r="V190" s="51"/>
      <c r="W190" s="51"/>
      <c r="X190" s="51"/>
      <c r="Y190" s="51"/>
      <c r="Z190" s="51"/>
      <c r="AA190" s="51"/>
    </row>
    <row r="191" spans="1:27" ht="13.65" customHeight="1" x14ac:dyDescent="0.3">
      <c r="A191" s="49"/>
      <c r="B191" s="57"/>
      <c r="C191" s="51"/>
      <c r="D191" s="51"/>
      <c r="E191" s="51"/>
      <c r="F191" s="51"/>
      <c r="G191" s="58"/>
      <c r="H191" s="51"/>
      <c r="I191" s="58"/>
      <c r="J191" s="51"/>
      <c r="K191" s="51"/>
      <c r="L191" s="51"/>
      <c r="M191" s="51"/>
      <c r="N191" s="51"/>
      <c r="O191" s="51"/>
      <c r="P191" s="51"/>
      <c r="Q191" s="51"/>
      <c r="R191" s="51"/>
      <c r="S191" s="51"/>
      <c r="T191" s="51"/>
      <c r="U191" s="51"/>
      <c r="V191" s="51"/>
      <c r="W191" s="51"/>
      <c r="X191" s="51"/>
      <c r="Y191" s="51"/>
      <c r="Z191" s="51"/>
      <c r="AA191" s="51"/>
    </row>
    <row r="192" spans="1:27" ht="13.65" customHeight="1" x14ac:dyDescent="0.3">
      <c r="A192" s="49"/>
      <c r="B192" s="57"/>
      <c r="C192" s="51"/>
      <c r="D192" s="51"/>
      <c r="E192" s="51"/>
      <c r="F192" s="51"/>
      <c r="G192" s="58"/>
      <c r="H192" s="51"/>
      <c r="I192" s="58"/>
      <c r="J192" s="51"/>
      <c r="K192" s="51"/>
      <c r="L192" s="51"/>
      <c r="M192" s="51"/>
      <c r="N192" s="51"/>
      <c r="O192" s="51"/>
      <c r="P192" s="51"/>
      <c r="Q192" s="51"/>
      <c r="R192" s="51"/>
      <c r="S192" s="51"/>
      <c r="T192" s="51"/>
      <c r="U192" s="51"/>
      <c r="V192" s="51"/>
      <c r="W192" s="51"/>
      <c r="X192" s="51"/>
      <c r="Y192" s="51"/>
      <c r="Z192" s="51"/>
      <c r="AA192" s="51"/>
    </row>
    <row r="193" spans="1:27" ht="13.65" customHeight="1" x14ac:dyDescent="0.3">
      <c r="A193" s="49"/>
      <c r="B193" s="57"/>
      <c r="C193" s="51"/>
      <c r="D193" s="51"/>
      <c r="E193" s="51"/>
      <c r="F193" s="51"/>
      <c r="G193" s="58"/>
      <c r="H193" s="51"/>
      <c r="I193" s="58"/>
      <c r="J193" s="51"/>
      <c r="K193" s="51"/>
      <c r="L193" s="51"/>
      <c r="M193" s="51"/>
      <c r="N193" s="51"/>
      <c r="O193" s="51"/>
      <c r="P193" s="51"/>
      <c r="Q193" s="51"/>
      <c r="R193" s="51"/>
      <c r="S193" s="51"/>
      <c r="T193" s="51"/>
      <c r="U193" s="51"/>
      <c r="V193" s="51"/>
      <c r="W193" s="51"/>
      <c r="X193" s="51"/>
      <c r="Y193" s="51"/>
      <c r="Z193" s="51"/>
      <c r="AA193" s="51"/>
    </row>
    <row r="194" spans="1:27" ht="13.65" customHeight="1" x14ac:dyDescent="0.3">
      <c r="A194" s="49"/>
      <c r="B194" s="57"/>
      <c r="C194" s="51"/>
      <c r="D194" s="51"/>
      <c r="E194" s="51"/>
      <c r="F194" s="51"/>
      <c r="G194" s="58"/>
      <c r="H194" s="51"/>
      <c r="I194" s="58"/>
      <c r="J194" s="51"/>
      <c r="K194" s="51"/>
      <c r="L194" s="51"/>
      <c r="M194" s="51"/>
      <c r="N194" s="51"/>
      <c r="O194" s="51"/>
      <c r="P194" s="51"/>
      <c r="Q194" s="51"/>
      <c r="R194" s="51"/>
      <c r="S194" s="51"/>
      <c r="T194" s="51"/>
      <c r="U194" s="51"/>
      <c r="V194" s="51"/>
      <c r="W194" s="51"/>
      <c r="X194" s="51"/>
      <c r="Y194" s="51"/>
      <c r="Z194" s="51"/>
      <c r="AA194" s="51"/>
    </row>
    <row r="195" spans="1:27" ht="13.65" customHeight="1" x14ac:dyDescent="0.3">
      <c r="A195" s="49"/>
      <c r="B195" s="57"/>
      <c r="C195" s="51"/>
      <c r="D195" s="51"/>
      <c r="E195" s="51"/>
      <c r="F195" s="51"/>
      <c r="G195" s="58"/>
      <c r="H195" s="51"/>
      <c r="I195" s="58"/>
      <c r="J195" s="51"/>
      <c r="K195" s="51"/>
      <c r="L195" s="51"/>
      <c r="M195" s="51"/>
      <c r="N195" s="51"/>
      <c r="O195" s="51"/>
      <c r="P195" s="51"/>
      <c r="Q195" s="51"/>
      <c r="R195" s="51"/>
      <c r="S195" s="51"/>
      <c r="T195" s="51"/>
      <c r="U195" s="51"/>
      <c r="V195" s="51"/>
      <c r="W195" s="51"/>
      <c r="X195" s="51"/>
      <c r="Y195" s="51"/>
      <c r="Z195" s="51"/>
      <c r="AA195" s="51"/>
    </row>
    <row r="196" spans="1:27" ht="13.65" customHeight="1" x14ac:dyDescent="0.3">
      <c r="A196" s="49"/>
      <c r="B196" s="57"/>
      <c r="C196" s="51"/>
      <c r="D196" s="51"/>
      <c r="E196" s="51"/>
      <c r="F196" s="51"/>
      <c r="G196" s="58"/>
      <c r="H196" s="51"/>
      <c r="I196" s="58"/>
      <c r="J196" s="51"/>
      <c r="K196" s="51"/>
      <c r="L196" s="51"/>
      <c r="M196" s="51"/>
      <c r="N196" s="51"/>
      <c r="O196" s="51"/>
      <c r="P196" s="51"/>
      <c r="Q196" s="51"/>
      <c r="R196" s="51"/>
      <c r="S196" s="51"/>
      <c r="T196" s="51"/>
      <c r="U196" s="51"/>
      <c r="V196" s="51"/>
      <c r="W196" s="51"/>
      <c r="X196" s="51"/>
      <c r="Y196" s="51"/>
      <c r="Z196" s="51"/>
      <c r="AA196" s="51"/>
    </row>
    <row r="197" spans="1:27" ht="13.65" customHeight="1" x14ac:dyDescent="0.3">
      <c r="A197" s="49"/>
      <c r="B197" s="57"/>
      <c r="C197" s="51"/>
      <c r="D197" s="51"/>
      <c r="E197" s="51"/>
      <c r="F197" s="51"/>
      <c r="G197" s="58"/>
      <c r="H197" s="51"/>
      <c r="I197" s="58"/>
      <c r="J197" s="51"/>
      <c r="K197" s="51"/>
      <c r="L197" s="51"/>
      <c r="M197" s="51"/>
      <c r="N197" s="51"/>
      <c r="O197" s="51"/>
      <c r="P197" s="51"/>
      <c r="Q197" s="51"/>
      <c r="R197" s="51"/>
      <c r="S197" s="51"/>
      <c r="T197" s="51"/>
      <c r="U197" s="51"/>
      <c r="V197" s="51"/>
      <c r="W197" s="51"/>
      <c r="X197" s="51"/>
      <c r="Y197" s="51"/>
      <c r="Z197" s="51"/>
      <c r="AA197" s="51"/>
    </row>
    <row r="198" spans="1:27" ht="13.65" customHeight="1" x14ac:dyDescent="0.3">
      <c r="A198" s="49"/>
      <c r="B198" s="57"/>
      <c r="C198" s="51"/>
      <c r="D198" s="51"/>
      <c r="E198" s="51"/>
      <c r="F198" s="51"/>
      <c r="G198" s="58"/>
      <c r="H198" s="51"/>
      <c r="I198" s="58"/>
      <c r="J198" s="51"/>
      <c r="K198" s="51"/>
      <c r="L198" s="51"/>
      <c r="M198" s="51"/>
      <c r="N198" s="51"/>
      <c r="O198" s="51"/>
      <c r="P198" s="51"/>
      <c r="Q198" s="51"/>
      <c r="R198" s="51"/>
      <c r="S198" s="51"/>
      <c r="T198" s="51"/>
      <c r="U198" s="51"/>
      <c r="V198" s="51"/>
      <c r="W198" s="51"/>
      <c r="X198" s="51"/>
      <c r="Y198" s="51"/>
      <c r="Z198" s="51"/>
      <c r="AA198" s="51"/>
    </row>
    <row r="199" spans="1:27" ht="13.65" customHeight="1" x14ac:dyDescent="0.3">
      <c r="A199" s="49"/>
      <c r="B199" s="57"/>
      <c r="C199" s="51"/>
      <c r="D199" s="51"/>
      <c r="E199" s="51"/>
      <c r="F199" s="51"/>
      <c r="G199" s="58"/>
      <c r="H199" s="51"/>
      <c r="I199" s="58"/>
      <c r="J199" s="51"/>
      <c r="K199" s="51"/>
      <c r="L199" s="51"/>
      <c r="M199" s="51"/>
      <c r="N199" s="51"/>
      <c r="O199" s="51"/>
      <c r="P199" s="51"/>
      <c r="Q199" s="51"/>
      <c r="R199" s="51"/>
      <c r="S199" s="51"/>
      <c r="T199" s="51"/>
      <c r="U199" s="51"/>
      <c r="V199" s="51"/>
      <c r="W199" s="51"/>
      <c r="X199" s="51"/>
      <c r="Y199" s="51"/>
      <c r="Z199" s="51"/>
      <c r="AA199" s="51"/>
    </row>
    <row r="200" spans="1:27" ht="13.65" customHeight="1" x14ac:dyDescent="0.3">
      <c r="A200" s="49"/>
      <c r="B200" s="57"/>
      <c r="C200" s="51"/>
      <c r="D200" s="51"/>
      <c r="E200" s="51"/>
      <c r="F200" s="51"/>
      <c r="G200" s="58"/>
      <c r="H200" s="51"/>
      <c r="I200" s="58"/>
      <c r="J200" s="51"/>
      <c r="K200" s="51"/>
      <c r="L200" s="51"/>
      <c r="M200" s="51"/>
      <c r="N200" s="51"/>
      <c r="O200" s="51"/>
      <c r="P200" s="51"/>
      <c r="Q200" s="51"/>
      <c r="R200" s="51"/>
      <c r="S200" s="51"/>
      <c r="T200" s="51"/>
      <c r="U200" s="51"/>
      <c r="V200" s="51"/>
      <c r="W200" s="51"/>
      <c r="X200" s="51"/>
      <c r="Y200" s="51"/>
      <c r="Z200" s="51"/>
      <c r="AA200" s="51"/>
    </row>
    <row r="201" spans="1:27" ht="13.65" customHeight="1" x14ac:dyDescent="0.3">
      <c r="A201" s="49"/>
      <c r="B201" s="57"/>
      <c r="C201" s="51"/>
      <c r="D201" s="51"/>
      <c r="E201" s="51"/>
      <c r="F201" s="51"/>
      <c r="G201" s="58"/>
      <c r="H201" s="51"/>
      <c r="I201" s="58"/>
      <c r="J201" s="51"/>
      <c r="K201" s="51"/>
      <c r="L201" s="51"/>
      <c r="M201" s="51"/>
      <c r="N201" s="51"/>
      <c r="O201" s="51"/>
      <c r="P201" s="51"/>
      <c r="Q201" s="51"/>
      <c r="R201" s="51"/>
      <c r="S201" s="51"/>
      <c r="T201" s="51"/>
      <c r="U201" s="51"/>
      <c r="V201" s="51"/>
      <c r="W201" s="51"/>
      <c r="X201" s="51"/>
      <c r="Y201" s="51"/>
      <c r="Z201" s="51"/>
      <c r="AA201" s="51"/>
    </row>
    <row r="202" spans="1:27" ht="13.65" customHeight="1" x14ac:dyDescent="0.3">
      <c r="A202" s="49"/>
      <c r="B202" s="57"/>
      <c r="C202" s="51"/>
      <c r="D202" s="51"/>
      <c r="E202" s="51"/>
      <c r="F202" s="51"/>
      <c r="G202" s="58"/>
      <c r="H202" s="51"/>
      <c r="I202" s="58"/>
      <c r="J202" s="51"/>
      <c r="K202" s="51"/>
      <c r="L202" s="51"/>
      <c r="M202" s="51"/>
      <c r="N202" s="51"/>
      <c r="O202" s="51"/>
      <c r="P202" s="51"/>
      <c r="Q202" s="51"/>
      <c r="R202" s="51"/>
      <c r="S202" s="51"/>
      <c r="T202" s="51"/>
      <c r="U202" s="51"/>
      <c r="V202" s="51"/>
      <c r="W202" s="51"/>
      <c r="X202" s="51"/>
      <c r="Y202" s="51"/>
      <c r="Z202" s="51"/>
      <c r="AA202" s="51"/>
    </row>
    <row r="203" spans="1:27" ht="13.65" customHeight="1" x14ac:dyDescent="0.3">
      <c r="A203" s="49"/>
      <c r="B203" s="57"/>
      <c r="C203" s="51"/>
      <c r="D203" s="51"/>
      <c r="E203" s="51"/>
      <c r="F203" s="51"/>
      <c r="G203" s="58"/>
      <c r="H203" s="51"/>
      <c r="I203" s="58"/>
      <c r="J203" s="51"/>
      <c r="K203" s="51"/>
      <c r="L203" s="51"/>
      <c r="M203" s="51"/>
      <c r="N203" s="51"/>
      <c r="O203" s="51"/>
      <c r="P203" s="51"/>
      <c r="Q203" s="51"/>
      <c r="R203" s="51"/>
      <c r="S203" s="51"/>
      <c r="T203" s="51"/>
      <c r="U203" s="51"/>
      <c r="V203" s="51"/>
      <c r="W203" s="51"/>
      <c r="X203" s="51"/>
      <c r="Y203" s="51"/>
      <c r="Z203" s="51"/>
      <c r="AA203" s="51"/>
    </row>
    <row r="204" spans="1:27" ht="13.65" customHeight="1" x14ac:dyDescent="0.3">
      <c r="A204" s="49"/>
      <c r="B204" s="57"/>
      <c r="C204" s="51"/>
      <c r="D204" s="51"/>
      <c r="E204" s="51"/>
      <c r="F204" s="51"/>
      <c r="G204" s="58"/>
      <c r="H204" s="51"/>
      <c r="I204" s="58"/>
      <c r="J204" s="51"/>
      <c r="K204" s="51"/>
      <c r="L204" s="51"/>
      <c r="M204" s="51"/>
      <c r="N204" s="51"/>
      <c r="O204" s="51"/>
      <c r="P204" s="51"/>
      <c r="Q204" s="51"/>
      <c r="R204" s="51"/>
      <c r="S204" s="51"/>
      <c r="T204" s="51"/>
      <c r="U204" s="51"/>
      <c r="V204" s="51"/>
      <c r="W204" s="51"/>
      <c r="X204" s="51"/>
      <c r="Y204" s="51"/>
      <c r="Z204" s="51"/>
      <c r="AA204" s="51"/>
    </row>
    <row r="205" spans="1:27" ht="13.65" customHeight="1" x14ac:dyDescent="0.3">
      <c r="A205" s="49"/>
      <c r="B205" s="57"/>
      <c r="C205" s="51"/>
      <c r="D205" s="51"/>
      <c r="E205" s="51"/>
      <c r="F205" s="51"/>
      <c r="G205" s="58"/>
      <c r="H205" s="51"/>
      <c r="I205" s="58"/>
      <c r="J205" s="51"/>
      <c r="K205" s="51"/>
      <c r="L205" s="51"/>
      <c r="M205" s="51"/>
      <c r="N205" s="51"/>
      <c r="O205" s="51"/>
      <c r="P205" s="51"/>
      <c r="Q205" s="51"/>
      <c r="R205" s="51"/>
      <c r="S205" s="51"/>
      <c r="T205" s="51"/>
      <c r="U205" s="51"/>
      <c r="V205" s="51"/>
      <c r="W205" s="51"/>
      <c r="X205" s="51"/>
      <c r="Y205" s="51"/>
      <c r="Z205" s="51"/>
      <c r="AA205" s="51"/>
    </row>
    <row r="206" spans="1:27" ht="13.65" customHeight="1" x14ac:dyDescent="0.3">
      <c r="A206" s="49"/>
      <c r="B206" s="57"/>
      <c r="C206" s="51"/>
      <c r="D206" s="51"/>
      <c r="E206" s="51"/>
      <c r="F206" s="51"/>
      <c r="G206" s="58"/>
      <c r="H206" s="51"/>
      <c r="I206" s="58"/>
      <c r="J206" s="51"/>
      <c r="K206" s="51"/>
      <c r="L206" s="51"/>
      <c r="M206" s="51"/>
      <c r="N206" s="51"/>
      <c r="O206" s="51"/>
      <c r="P206" s="51"/>
      <c r="Q206" s="51"/>
      <c r="R206" s="51"/>
      <c r="S206" s="51"/>
      <c r="T206" s="51"/>
      <c r="U206" s="51"/>
      <c r="V206" s="51"/>
      <c r="W206" s="51"/>
      <c r="X206" s="51"/>
      <c r="Y206" s="51"/>
      <c r="Z206" s="51"/>
      <c r="AA206" s="51"/>
    </row>
    <row r="207" spans="1:27" ht="13.65" customHeight="1" x14ac:dyDescent="0.3">
      <c r="A207" s="49"/>
      <c r="B207" s="57"/>
      <c r="C207" s="51"/>
      <c r="D207" s="51"/>
      <c r="E207" s="51"/>
      <c r="F207" s="51"/>
      <c r="G207" s="58"/>
      <c r="H207" s="51"/>
      <c r="I207" s="58"/>
      <c r="J207" s="51"/>
      <c r="K207" s="51"/>
      <c r="L207" s="51"/>
      <c r="M207" s="51"/>
      <c r="N207" s="51"/>
      <c r="O207" s="51"/>
      <c r="P207" s="51"/>
      <c r="Q207" s="51"/>
      <c r="R207" s="51"/>
      <c r="S207" s="51"/>
      <c r="T207" s="51"/>
      <c r="U207" s="51"/>
      <c r="V207" s="51"/>
      <c r="W207" s="51"/>
      <c r="X207" s="51"/>
      <c r="Y207" s="51"/>
      <c r="Z207" s="51"/>
      <c r="AA207" s="51"/>
    </row>
    <row r="208" spans="1:27" ht="13.65" customHeight="1" x14ac:dyDescent="0.3">
      <c r="A208" s="49"/>
      <c r="B208" s="57"/>
      <c r="C208" s="51"/>
      <c r="D208" s="51"/>
      <c r="E208" s="51"/>
      <c r="F208" s="51"/>
      <c r="G208" s="58"/>
      <c r="H208" s="51"/>
      <c r="I208" s="58"/>
      <c r="J208" s="51"/>
      <c r="K208" s="51"/>
      <c r="L208" s="51"/>
      <c r="M208" s="51"/>
      <c r="N208" s="51"/>
      <c r="O208" s="51"/>
      <c r="P208" s="51"/>
      <c r="Q208" s="51"/>
      <c r="R208" s="51"/>
      <c r="S208" s="51"/>
      <c r="T208" s="51"/>
      <c r="U208" s="51"/>
      <c r="V208" s="51"/>
      <c r="W208" s="51"/>
      <c r="X208" s="51"/>
      <c r="Y208" s="51"/>
      <c r="Z208" s="51"/>
      <c r="AA208" s="51"/>
    </row>
    <row r="209" spans="1:27" ht="13.65" customHeight="1" x14ac:dyDescent="0.3">
      <c r="A209" s="49"/>
      <c r="B209" s="57"/>
      <c r="C209" s="51"/>
      <c r="D209" s="51"/>
      <c r="E209" s="51"/>
      <c r="F209" s="51"/>
      <c r="G209" s="58"/>
      <c r="H209" s="51"/>
      <c r="I209" s="58"/>
      <c r="J209" s="51"/>
      <c r="K209" s="51"/>
      <c r="L209" s="51"/>
      <c r="M209" s="51"/>
      <c r="N209" s="51"/>
      <c r="O209" s="51"/>
      <c r="P209" s="51"/>
      <c r="Q209" s="51"/>
      <c r="R209" s="51"/>
      <c r="S209" s="51"/>
      <c r="T209" s="51"/>
      <c r="U209" s="51"/>
      <c r="V209" s="51"/>
      <c r="W209" s="51"/>
      <c r="X209" s="51"/>
      <c r="Y209" s="51"/>
      <c r="Z209" s="51"/>
      <c r="AA209" s="51"/>
    </row>
    <row r="210" spans="1:27" ht="13.65" customHeight="1" x14ac:dyDescent="0.3">
      <c r="A210" s="49"/>
      <c r="B210" s="57"/>
      <c r="C210" s="51"/>
      <c r="D210" s="51"/>
      <c r="E210" s="51"/>
      <c r="F210" s="51"/>
      <c r="G210" s="58"/>
      <c r="H210" s="51"/>
      <c r="I210" s="58"/>
      <c r="J210" s="51"/>
      <c r="K210" s="51"/>
      <c r="L210" s="51"/>
      <c r="M210" s="51"/>
      <c r="N210" s="51"/>
      <c r="O210" s="51"/>
      <c r="P210" s="51"/>
      <c r="Q210" s="51"/>
      <c r="R210" s="51"/>
      <c r="S210" s="51"/>
      <c r="T210" s="51"/>
      <c r="U210" s="51"/>
      <c r="V210" s="51"/>
      <c r="W210" s="51"/>
      <c r="X210" s="51"/>
      <c r="Y210" s="51"/>
      <c r="Z210" s="51"/>
      <c r="AA210" s="51"/>
    </row>
    <row r="211" spans="1:27" ht="13.65" customHeight="1" x14ac:dyDescent="0.3">
      <c r="A211" s="49"/>
      <c r="B211" s="57"/>
      <c r="C211" s="51"/>
      <c r="D211" s="51"/>
      <c r="E211" s="51"/>
      <c r="F211" s="51"/>
      <c r="G211" s="58"/>
      <c r="H211" s="51"/>
      <c r="I211" s="58"/>
      <c r="J211" s="51"/>
      <c r="K211" s="51"/>
      <c r="L211" s="51"/>
      <c r="M211" s="51"/>
      <c r="N211" s="51"/>
      <c r="O211" s="51"/>
      <c r="P211" s="51"/>
      <c r="Q211" s="51"/>
      <c r="R211" s="51"/>
      <c r="S211" s="51"/>
      <c r="T211" s="51"/>
      <c r="U211" s="51"/>
      <c r="V211" s="51"/>
      <c r="W211" s="51"/>
      <c r="X211" s="51"/>
      <c r="Y211" s="51"/>
      <c r="Z211" s="51"/>
      <c r="AA211" s="51"/>
    </row>
    <row r="212" spans="1:27" ht="13.65" customHeight="1" x14ac:dyDescent="0.3">
      <c r="A212" s="49"/>
      <c r="B212" s="57"/>
      <c r="C212" s="51"/>
      <c r="D212" s="51"/>
      <c r="E212" s="51"/>
      <c r="F212" s="51"/>
      <c r="G212" s="58"/>
      <c r="H212" s="51"/>
      <c r="I212" s="58"/>
      <c r="J212" s="51"/>
      <c r="K212" s="51"/>
      <c r="L212" s="51"/>
      <c r="M212" s="51"/>
      <c r="N212" s="51"/>
      <c r="O212" s="51"/>
      <c r="P212" s="51"/>
      <c r="Q212" s="51"/>
      <c r="R212" s="51"/>
      <c r="S212" s="51"/>
      <c r="T212" s="51"/>
      <c r="U212" s="51"/>
      <c r="V212" s="51"/>
      <c r="W212" s="51"/>
      <c r="X212" s="51"/>
      <c r="Y212" s="51"/>
      <c r="Z212" s="51"/>
      <c r="AA212" s="51"/>
    </row>
    <row r="213" spans="1:27" ht="13.65" customHeight="1" x14ac:dyDescent="0.3">
      <c r="A213" s="49"/>
      <c r="B213" s="57"/>
      <c r="C213" s="51"/>
      <c r="D213" s="51"/>
      <c r="E213" s="51"/>
      <c r="F213" s="51"/>
      <c r="G213" s="58"/>
      <c r="H213" s="51"/>
      <c r="I213" s="58"/>
      <c r="J213" s="51"/>
      <c r="K213" s="51"/>
      <c r="L213" s="51"/>
      <c r="M213" s="51"/>
      <c r="N213" s="51"/>
      <c r="O213" s="51"/>
      <c r="P213" s="51"/>
      <c r="Q213" s="51"/>
      <c r="R213" s="51"/>
      <c r="S213" s="51"/>
      <c r="T213" s="51"/>
      <c r="U213" s="51"/>
      <c r="V213" s="51"/>
      <c r="W213" s="51"/>
      <c r="X213" s="51"/>
      <c r="Y213" s="51"/>
      <c r="Z213" s="51"/>
      <c r="AA213" s="51"/>
    </row>
    <row r="214" spans="1:27" ht="13.65" customHeight="1" x14ac:dyDescent="0.3">
      <c r="A214" s="49"/>
      <c r="B214" s="57"/>
      <c r="C214" s="51"/>
      <c r="D214" s="51"/>
      <c r="E214" s="51"/>
      <c r="F214" s="51"/>
      <c r="G214" s="58"/>
      <c r="H214" s="51"/>
      <c r="I214" s="58"/>
      <c r="J214" s="51"/>
      <c r="K214" s="51"/>
      <c r="L214" s="51"/>
      <c r="M214" s="51"/>
      <c r="N214" s="51"/>
      <c r="O214" s="51"/>
      <c r="P214" s="51"/>
      <c r="Q214" s="51"/>
      <c r="R214" s="51"/>
      <c r="S214" s="51"/>
      <c r="T214" s="51"/>
      <c r="U214" s="51"/>
      <c r="V214" s="51"/>
      <c r="W214" s="51"/>
      <c r="X214" s="51"/>
      <c r="Y214" s="51"/>
      <c r="Z214" s="51"/>
      <c r="AA214" s="51"/>
    </row>
    <row r="215" spans="1:27" ht="13.65" customHeight="1" x14ac:dyDescent="0.3">
      <c r="A215" s="49"/>
      <c r="B215" s="57"/>
      <c r="C215" s="51"/>
      <c r="D215" s="51"/>
      <c r="E215" s="51"/>
      <c r="F215" s="51"/>
      <c r="G215" s="58"/>
      <c r="H215" s="51"/>
      <c r="I215" s="58"/>
      <c r="J215" s="51"/>
      <c r="K215" s="51"/>
      <c r="L215" s="51"/>
      <c r="M215" s="51"/>
      <c r="N215" s="51"/>
      <c r="O215" s="51"/>
      <c r="P215" s="51"/>
      <c r="Q215" s="51"/>
      <c r="R215" s="51"/>
      <c r="S215" s="51"/>
      <c r="T215" s="51"/>
      <c r="U215" s="51"/>
      <c r="V215" s="51"/>
      <c r="W215" s="51"/>
      <c r="X215" s="51"/>
      <c r="Y215" s="51"/>
      <c r="Z215" s="51"/>
      <c r="AA215" s="51"/>
    </row>
    <row r="216" spans="1:27" ht="13.65" customHeight="1" x14ac:dyDescent="0.3">
      <c r="A216" s="49"/>
      <c r="B216" s="57"/>
      <c r="C216" s="51"/>
      <c r="D216" s="51"/>
      <c r="E216" s="51"/>
      <c r="F216" s="51"/>
      <c r="G216" s="58"/>
      <c r="H216" s="51"/>
      <c r="I216" s="58"/>
      <c r="J216" s="51"/>
      <c r="K216" s="51"/>
      <c r="L216" s="51"/>
      <c r="M216" s="51"/>
      <c r="N216" s="51"/>
      <c r="O216" s="51"/>
      <c r="P216" s="51"/>
      <c r="Q216" s="51"/>
      <c r="R216" s="51"/>
      <c r="S216" s="51"/>
      <c r="T216" s="51"/>
      <c r="U216" s="51"/>
      <c r="V216" s="51"/>
      <c r="W216" s="51"/>
      <c r="X216" s="51"/>
      <c r="Y216" s="51"/>
      <c r="Z216" s="51"/>
      <c r="AA216" s="51"/>
    </row>
    <row r="217" spans="1:27" ht="13.65" customHeight="1" x14ac:dyDescent="0.3">
      <c r="A217" s="49"/>
      <c r="B217" s="57"/>
      <c r="C217" s="51"/>
      <c r="D217" s="51"/>
      <c r="E217" s="51"/>
      <c r="F217" s="51"/>
      <c r="G217" s="58"/>
      <c r="H217" s="51"/>
      <c r="I217" s="58"/>
      <c r="J217" s="51"/>
      <c r="K217" s="51"/>
      <c r="L217" s="51"/>
      <c r="M217" s="51"/>
      <c r="N217" s="51"/>
      <c r="O217" s="51"/>
      <c r="P217" s="51"/>
      <c r="Q217" s="51"/>
      <c r="R217" s="51"/>
      <c r="S217" s="51"/>
      <c r="T217" s="51"/>
      <c r="U217" s="51"/>
      <c r="V217" s="51"/>
      <c r="W217" s="51"/>
      <c r="X217" s="51"/>
      <c r="Y217" s="51"/>
      <c r="Z217" s="51"/>
      <c r="AA217" s="51"/>
    </row>
    <row r="218" spans="1:27" ht="13.65" customHeight="1" x14ac:dyDescent="0.3">
      <c r="A218" s="49"/>
      <c r="B218" s="57"/>
      <c r="C218" s="51"/>
      <c r="D218" s="51"/>
      <c r="E218" s="51"/>
      <c r="F218" s="51"/>
      <c r="G218" s="58"/>
      <c r="H218" s="51"/>
      <c r="I218" s="58"/>
      <c r="J218" s="51"/>
      <c r="K218" s="51"/>
      <c r="L218" s="51"/>
      <c r="M218" s="51"/>
      <c r="N218" s="51"/>
      <c r="O218" s="51"/>
      <c r="P218" s="51"/>
      <c r="Q218" s="51"/>
      <c r="R218" s="51"/>
      <c r="S218" s="51"/>
      <c r="T218" s="51"/>
      <c r="U218" s="51"/>
      <c r="V218" s="51"/>
      <c r="W218" s="51"/>
      <c r="X218" s="51"/>
      <c r="Y218" s="51"/>
      <c r="Z218" s="51"/>
      <c r="AA218" s="51"/>
    </row>
    <row r="219" spans="1:27" ht="13.65" customHeight="1" x14ac:dyDescent="0.3">
      <c r="A219" s="49"/>
      <c r="B219" s="57"/>
      <c r="C219" s="51"/>
      <c r="D219" s="51"/>
      <c r="E219" s="51"/>
      <c r="F219" s="51"/>
      <c r="G219" s="58"/>
      <c r="H219" s="51"/>
      <c r="I219" s="58"/>
      <c r="J219" s="51"/>
      <c r="K219" s="51"/>
      <c r="L219" s="51"/>
      <c r="M219" s="51"/>
      <c r="N219" s="51"/>
      <c r="O219" s="51"/>
      <c r="P219" s="51"/>
      <c r="Q219" s="51"/>
      <c r="R219" s="51"/>
      <c r="S219" s="51"/>
      <c r="T219" s="51"/>
      <c r="U219" s="51"/>
      <c r="V219" s="51"/>
      <c r="W219" s="51"/>
      <c r="X219" s="51"/>
      <c r="Y219" s="51"/>
      <c r="Z219" s="51"/>
      <c r="AA219" s="51"/>
    </row>
    <row r="220" spans="1:27" ht="13.65" customHeight="1" x14ac:dyDescent="0.3">
      <c r="A220" s="49"/>
      <c r="B220" s="57"/>
      <c r="C220" s="51"/>
      <c r="D220" s="51"/>
      <c r="E220" s="51"/>
      <c r="F220" s="51"/>
      <c r="G220" s="58"/>
      <c r="H220" s="51"/>
      <c r="I220" s="58"/>
      <c r="J220" s="51"/>
      <c r="K220" s="51"/>
      <c r="L220" s="51"/>
      <c r="M220" s="51"/>
      <c r="N220" s="51"/>
      <c r="O220" s="51"/>
      <c r="P220" s="51"/>
      <c r="Q220" s="51"/>
      <c r="R220" s="51"/>
      <c r="S220" s="51"/>
      <c r="T220" s="51"/>
      <c r="U220" s="51"/>
      <c r="V220" s="51"/>
      <c r="W220" s="51"/>
      <c r="X220" s="51"/>
      <c r="Y220" s="51"/>
      <c r="Z220" s="51"/>
      <c r="AA220" s="51"/>
    </row>
    <row r="221" spans="1:27" ht="13.65" customHeight="1" x14ac:dyDescent="0.3">
      <c r="A221" s="49"/>
      <c r="B221" s="57"/>
      <c r="C221" s="51"/>
      <c r="D221" s="51"/>
      <c r="E221" s="51"/>
      <c r="F221" s="51"/>
      <c r="G221" s="58"/>
      <c r="H221" s="51"/>
      <c r="I221" s="58"/>
      <c r="J221" s="51"/>
      <c r="K221" s="51"/>
      <c r="L221" s="51"/>
      <c r="M221" s="51"/>
      <c r="N221" s="51"/>
      <c r="O221" s="51"/>
      <c r="P221" s="51"/>
      <c r="Q221" s="51"/>
      <c r="R221" s="51"/>
      <c r="S221" s="51"/>
      <c r="T221" s="51"/>
      <c r="U221" s="51"/>
      <c r="V221" s="51"/>
      <c r="W221" s="51"/>
      <c r="X221" s="51"/>
      <c r="Y221" s="51"/>
      <c r="Z221" s="51"/>
      <c r="AA221" s="51"/>
    </row>
    <row r="222" spans="1:27" ht="13.65" customHeight="1" x14ac:dyDescent="0.3">
      <c r="A222" s="49"/>
      <c r="B222" s="57"/>
      <c r="C222" s="51"/>
      <c r="D222" s="51"/>
      <c r="E222" s="51"/>
      <c r="F222" s="51"/>
      <c r="G222" s="58"/>
      <c r="H222" s="51"/>
      <c r="I222" s="58"/>
      <c r="J222" s="51"/>
      <c r="K222" s="51"/>
      <c r="L222" s="51"/>
      <c r="M222" s="51"/>
      <c r="N222" s="51"/>
      <c r="O222" s="51"/>
      <c r="P222" s="51"/>
      <c r="Q222" s="51"/>
      <c r="R222" s="51"/>
      <c r="S222" s="51"/>
      <c r="T222" s="51"/>
      <c r="U222" s="51"/>
      <c r="V222" s="51"/>
      <c r="W222" s="51"/>
      <c r="X222" s="51"/>
      <c r="Y222" s="51"/>
      <c r="Z222" s="51"/>
      <c r="AA222" s="51"/>
    </row>
    <row r="223" spans="1:27" ht="13.65" customHeight="1" x14ac:dyDescent="0.3">
      <c r="A223" s="49"/>
      <c r="B223" s="57"/>
      <c r="C223" s="51"/>
      <c r="D223" s="51"/>
      <c r="E223" s="51"/>
      <c r="F223" s="51"/>
      <c r="G223" s="58"/>
      <c r="H223" s="51"/>
      <c r="I223" s="58"/>
      <c r="J223" s="51"/>
      <c r="K223" s="51"/>
      <c r="L223" s="51"/>
      <c r="M223" s="51"/>
      <c r="N223" s="51"/>
      <c r="O223" s="51"/>
      <c r="P223" s="51"/>
      <c r="Q223" s="51"/>
      <c r="R223" s="51"/>
      <c r="S223" s="51"/>
      <c r="T223" s="51"/>
      <c r="U223" s="51"/>
      <c r="V223" s="51"/>
      <c r="W223" s="51"/>
      <c r="X223" s="51"/>
      <c r="Y223" s="51"/>
      <c r="Z223" s="51"/>
      <c r="AA223" s="51"/>
    </row>
    <row r="224" spans="1:27" ht="13.65" customHeight="1" x14ac:dyDescent="0.3">
      <c r="A224" s="49"/>
      <c r="B224" s="57"/>
      <c r="C224" s="51"/>
      <c r="D224" s="51"/>
      <c r="E224" s="51"/>
      <c r="F224" s="51"/>
      <c r="G224" s="58"/>
      <c r="H224" s="51"/>
      <c r="I224" s="58"/>
      <c r="J224" s="51"/>
      <c r="K224" s="51"/>
      <c r="L224" s="51"/>
      <c r="M224" s="51"/>
      <c r="N224" s="51"/>
      <c r="O224" s="51"/>
      <c r="P224" s="51"/>
      <c r="Q224" s="51"/>
      <c r="R224" s="51"/>
      <c r="S224" s="51"/>
      <c r="T224" s="51"/>
      <c r="U224" s="51"/>
      <c r="V224" s="51"/>
      <c r="W224" s="51"/>
      <c r="X224" s="51"/>
      <c r="Y224" s="51"/>
      <c r="Z224" s="51"/>
      <c r="AA224" s="51"/>
    </row>
    <row r="225" spans="1:27" ht="13.65" customHeight="1" x14ac:dyDescent="0.3">
      <c r="A225" s="49"/>
      <c r="B225" s="57"/>
      <c r="C225" s="51"/>
      <c r="D225" s="51"/>
      <c r="E225" s="51"/>
      <c r="F225" s="51"/>
      <c r="G225" s="58"/>
      <c r="H225" s="51"/>
      <c r="I225" s="58"/>
      <c r="J225" s="51"/>
      <c r="K225" s="51"/>
      <c r="L225" s="51"/>
      <c r="M225" s="51"/>
      <c r="N225" s="51"/>
      <c r="O225" s="51"/>
      <c r="P225" s="51"/>
      <c r="Q225" s="51"/>
      <c r="R225" s="51"/>
      <c r="S225" s="51"/>
      <c r="T225" s="51"/>
      <c r="U225" s="51"/>
      <c r="V225" s="51"/>
      <c r="W225" s="51"/>
      <c r="X225" s="51"/>
      <c r="Y225" s="51"/>
      <c r="Z225" s="51"/>
      <c r="AA225" s="51"/>
    </row>
    <row r="226" spans="1:27" ht="13.65" customHeight="1" x14ac:dyDescent="0.3">
      <c r="A226" s="49"/>
      <c r="B226" s="57"/>
      <c r="C226" s="51"/>
      <c r="D226" s="51"/>
      <c r="E226" s="51"/>
      <c r="F226" s="51"/>
      <c r="G226" s="58"/>
      <c r="H226" s="51"/>
      <c r="I226" s="58"/>
      <c r="J226" s="51"/>
      <c r="K226" s="51"/>
      <c r="L226" s="51"/>
      <c r="M226" s="51"/>
      <c r="N226" s="51"/>
      <c r="O226" s="51"/>
      <c r="P226" s="51"/>
      <c r="Q226" s="51"/>
      <c r="R226" s="51"/>
      <c r="S226" s="51"/>
      <c r="T226" s="51"/>
      <c r="U226" s="51"/>
      <c r="V226" s="51"/>
      <c r="W226" s="51"/>
      <c r="X226" s="51"/>
      <c r="Y226" s="51"/>
      <c r="Z226" s="51"/>
      <c r="AA226" s="51"/>
    </row>
    <row r="227" spans="1:27" ht="13.65" customHeight="1" x14ac:dyDescent="0.3">
      <c r="A227" s="49"/>
      <c r="B227" s="57"/>
      <c r="C227" s="51"/>
      <c r="D227" s="51"/>
      <c r="E227" s="51"/>
      <c r="F227" s="51"/>
      <c r="G227" s="58"/>
      <c r="H227" s="51"/>
      <c r="I227" s="58"/>
      <c r="J227" s="51"/>
      <c r="K227" s="51"/>
      <c r="L227" s="51"/>
      <c r="M227" s="51"/>
      <c r="N227" s="51"/>
      <c r="O227" s="51"/>
      <c r="P227" s="51"/>
      <c r="Q227" s="51"/>
      <c r="R227" s="51"/>
      <c r="S227" s="51"/>
      <c r="T227" s="51"/>
      <c r="U227" s="51"/>
      <c r="V227" s="51"/>
      <c r="W227" s="51"/>
      <c r="X227" s="51"/>
      <c r="Y227" s="51"/>
      <c r="Z227" s="51"/>
      <c r="AA227" s="51"/>
    </row>
    <row r="228" spans="1:27" ht="13.65" customHeight="1" x14ac:dyDescent="0.3">
      <c r="A228" s="49"/>
      <c r="B228" s="57"/>
      <c r="C228" s="51"/>
      <c r="D228" s="51"/>
      <c r="E228" s="51"/>
      <c r="F228" s="51"/>
      <c r="G228" s="58"/>
      <c r="H228" s="51"/>
      <c r="I228" s="58"/>
      <c r="J228" s="51"/>
      <c r="K228" s="51"/>
      <c r="L228" s="51"/>
      <c r="M228" s="51"/>
      <c r="N228" s="51"/>
      <c r="O228" s="51"/>
      <c r="P228" s="51"/>
      <c r="Q228" s="51"/>
      <c r="R228" s="51"/>
      <c r="S228" s="51"/>
      <c r="T228" s="51"/>
      <c r="U228" s="51"/>
      <c r="V228" s="51"/>
      <c r="W228" s="51"/>
      <c r="X228" s="51"/>
      <c r="Y228" s="51"/>
      <c r="Z228" s="51"/>
      <c r="AA228" s="51"/>
    </row>
    <row r="229" spans="1:27" ht="13.65" customHeight="1" x14ac:dyDescent="0.3">
      <c r="A229" s="49"/>
      <c r="B229" s="57"/>
      <c r="C229" s="51"/>
      <c r="D229" s="51"/>
      <c r="E229" s="51"/>
      <c r="F229" s="51"/>
      <c r="G229" s="58"/>
      <c r="H229" s="51"/>
      <c r="I229" s="58"/>
      <c r="J229" s="51"/>
      <c r="K229" s="51"/>
      <c r="L229" s="51"/>
      <c r="M229" s="51"/>
      <c r="N229" s="51"/>
      <c r="O229" s="51"/>
      <c r="P229" s="51"/>
      <c r="Q229" s="51"/>
      <c r="R229" s="51"/>
      <c r="S229" s="51"/>
      <c r="T229" s="51"/>
      <c r="U229" s="51"/>
      <c r="V229" s="51"/>
      <c r="W229" s="51"/>
      <c r="X229" s="51"/>
      <c r="Y229" s="51"/>
      <c r="Z229" s="51"/>
      <c r="AA229" s="51"/>
    </row>
    <row r="230" spans="1:27" ht="13.65" customHeight="1" x14ac:dyDescent="0.3">
      <c r="A230" s="49"/>
      <c r="B230" s="57"/>
      <c r="C230" s="51"/>
      <c r="D230" s="51"/>
      <c r="E230" s="51"/>
      <c r="F230" s="51"/>
      <c r="G230" s="58"/>
      <c r="H230" s="51"/>
      <c r="I230" s="58"/>
      <c r="J230" s="51"/>
      <c r="K230" s="51"/>
      <c r="L230" s="51"/>
      <c r="M230" s="51"/>
      <c r="N230" s="51"/>
      <c r="O230" s="51"/>
      <c r="P230" s="51"/>
      <c r="Q230" s="51"/>
      <c r="R230" s="51"/>
      <c r="S230" s="51"/>
      <c r="T230" s="51"/>
      <c r="U230" s="51"/>
      <c r="V230" s="51"/>
      <c r="W230" s="51"/>
      <c r="X230" s="51"/>
      <c r="Y230" s="51"/>
      <c r="Z230" s="51"/>
      <c r="AA230" s="51"/>
    </row>
    <row r="231" spans="1:27" ht="13.65" customHeight="1" x14ac:dyDescent="0.3">
      <c r="A231" s="49"/>
      <c r="B231" s="57"/>
      <c r="C231" s="51"/>
      <c r="D231" s="51"/>
      <c r="E231" s="51"/>
      <c r="F231" s="51"/>
      <c r="G231" s="58"/>
      <c r="H231" s="51"/>
      <c r="I231" s="58"/>
      <c r="J231" s="51"/>
      <c r="K231" s="51"/>
      <c r="L231" s="51"/>
      <c r="M231" s="51"/>
      <c r="N231" s="51"/>
      <c r="O231" s="51"/>
      <c r="P231" s="51"/>
      <c r="Q231" s="51"/>
      <c r="R231" s="51"/>
      <c r="S231" s="51"/>
      <c r="T231" s="51"/>
      <c r="U231" s="51"/>
      <c r="V231" s="51"/>
      <c r="W231" s="51"/>
      <c r="X231" s="51"/>
      <c r="Y231" s="51"/>
      <c r="Z231" s="51"/>
      <c r="AA231" s="51"/>
    </row>
    <row r="232" spans="1:27" ht="13.65" customHeight="1" x14ac:dyDescent="0.3">
      <c r="A232" s="49"/>
      <c r="B232" s="57"/>
      <c r="C232" s="51"/>
      <c r="D232" s="51"/>
      <c r="E232" s="51"/>
      <c r="F232" s="51"/>
      <c r="G232" s="58"/>
      <c r="H232" s="51"/>
      <c r="I232" s="58"/>
      <c r="J232" s="51"/>
      <c r="K232" s="51"/>
      <c r="L232" s="51"/>
      <c r="M232" s="51"/>
      <c r="N232" s="51"/>
      <c r="O232" s="51"/>
      <c r="P232" s="51"/>
      <c r="Q232" s="51"/>
      <c r="R232" s="51"/>
      <c r="S232" s="51"/>
      <c r="T232" s="51"/>
      <c r="U232" s="51"/>
      <c r="V232" s="51"/>
      <c r="W232" s="51"/>
      <c r="X232" s="51"/>
      <c r="Y232" s="51"/>
      <c r="Z232" s="51"/>
      <c r="AA232" s="51"/>
    </row>
    <row r="233" spans="1:27" ht="13.65" customHeight="1" x14ac:dyDescent="0.3">
      <c r="A233" s="49"/>
      <c r="B233" s="57"/>
      <c r="C233" s="51"/>
      <c r="D233" s="51"/>
      <c r="E233" s="51"/>
      <c r="F233" s="51"/>
      <c r="G233" s="58"/>
      <c r="H233" s="51"/>
      <c r="I233" s="58"/>
      <c r="J233" s="51"/>
      <c r="K233" s="51"/>
      <c r="L233" s="51"/>
      <c r="M233" s="51"/>
      <c r="N233" s="51"/>
      <c r="O233" s="51"/>
      <c r="P233" s="51"/>
      <c r="Q233" s="51"/>
      <c r="R233" s="51"/>
      <c r="S233" s="51"/>
      <c r="T233" s="51"/>
      <c r="U233" s="51"/>
      <c r="V233" s="51"/>
      <c r="W233" s="51"/>
      <c r="X233" s="51"/>
      <c r="Y233" s="51"/>
      <c r="Z233" s="51"/>
      <c r="AA233" s="51"/>
    </row>
    <row r="234" spans="1:27" ht="13.65" customHeight="1" x14ac:dyDescent="0.3">
      <c r="A234" s="49"/>
      <c r="B234" s="57"/>
      <c r="C234" s="51"/>
      <c r="D234" s="51"/>
      <c r="E234" s="51"/>
      <c r="F234" s="51"/>
      <c r="G234" s="58"/>
      <c r="H234" s="51"/>
      <c r="I234" s="58"/>
      <c r="J234" s="51"/>
      <c r="K234" s="51"/>
      <c r="L234" s="51"/>
      <c r="M234" s="51"/>
      <c r="N234" s="51"/>
      <c r="O234" s="51"/>
      <c r="P234" s="51"/>
      <c r="Q234" s="51"/>
      <c r="R234" s="51"/>
      <c r="S234" s="51"/>
      <c r="T234" s="51"/>
      <c r="U234" s="51"/>
      <c r="V234" s="51"/>
      <c r="W234" s="51"/>
      <c r="X234" s="51"/>
      <c r="Y234" s="51"/>
      <c r="Z234" s="51"/>
      <c r="AA234" s="51"/>
    </row>
    <row r="235" spans="1:27" ht="13.65" customHeight="1" x14ac:dyDescent="0.3">
      <c r="A235" s="49"/>
      <c r="B235" s="57"/>
      <c r="C235" s="51"/>
      <c r="D235" s="51"/>
      <c r="E235" s="51"/>
      <c r="F235" s="51"/>
      <c r="G235" s="58"/>
      <c r="H235" s="51"/>
      <c r="I235" s="58"/>
      <c r="J235" s="51"/>
      <c r="K235" s="51"/>
      <c r="L235" s="51"/>
      <c r="M235" s="51"/>
      <c r="N235" s="51"/>
      <c r="O235" s="51"/>
      <c r="P235" s="51"/>
      <c r="Q235" s="51"/>
      <c r="R235" s="51"/>
      <c r="S235" s="51"/>
      <c r="T235" s="51"/>
      <c r="U235" s="51"/>
      <c r="V235" s="51"/>
      <c r="W235" s="51"/>
      <c r="X235" s="51"/>
      <c r="Y235" s="51"/>
      <c r="Z235" s="51"/>
      <c r="AA235" s="51"/>
    </row>
    <row r="236" spans="1:27" ht="13.65" customHeight="1" x14ac:dyDescent="0.3">
      <c r="A236" s="49"/>
      <c r="B236" s="57"/>
      <c r="C236" s="51"/>
      <c r="D236" s="51"/>
      <c r="E236" s="51"/>
      <c r="F236" s="51"/>
      <c r="G236" s="58"/>
      <c r="H236" s="51"/>
      <c r="I236" s="58"/>
      <c r="J236" s="51"/>
      <c r="K236" s="51"/>
      <c r="L236" s="51"/>
      <c r="M236" s="51"/>
      <c r="N236" s="51"/>
      <c r="O236" s="51"/>
      <c r="P236" s="51"/>
      <c r="Q236" s="51"/>
      <c r="R236" s="51"/>
      <c r="S236" s="51"/>
      <c r="T236" s="51"/>
      <c r="U236" s="51"/>
      <c r="V236" s="51"/>
      <c r="W236" s="51"/>
      <c r="X236" s="51"/>
      <c r="Y236" s="51"/>
      <c r="Z236" s="51"/>
      <c r="AA236" s="51"/>
    </row>
    <row r="237" spans="1:27" ht="13.65" customHeight="1" x14ac:dyDescent="0.3">
      <c r="A237" s="49"/>
      <c r="B237" s="57"/>
      <c r="C237" s="51"/>
      <c r="D237" s="51"/>
      <c r="E237" s="51"/>
      <c r="F237" s="51"/>
      <c r="G237" s="58"/>
      <c r="H237" s="51"/>
      <c r="I237" s="58"/>
      <c r="J237" s="51"/>
      <c r="K237" s="51"/>
      <c r="L237" s="51"/>
      <c r="M237" s="51"/>
      <c r="N237" s="51"/>
      <c r="O237" s="51"/>
      <c r="P237" s="51"/>
      <c r="Q237" s="51"/>
      <c r="R237" s="51"/>
      <c r="S237" s="51"/>
      <c r="T237" s="51"/>
      <c r="U237" s="51"/>
      <c r="V237" s="51"/>
      <c r="W237" s="51"/>
      <c r="X237" s="51"/>
      <c r="Y237" s="51"/>
      <c r="Z237" s="51"/>
      <c r="AA237" s="51"/>
    </row>
    <row r="238" spans="1:27" ht="13.65" customHeight="1" x14ac:dyDescent="0.3">
      <c r="A238" s="49"/>
      <c r="B238" s="57"/>
      <c r="C238" s="51"/>
      <c r="D238" s="51"/>
      <c r="E238" s="51"/>
      <c r="F238" s="51"/>
      <c r="G238" s="58"/>
      <c r="H238" s="51"/>
      <c r="I238" s="58"/>
      <c r="J238" s="51"/>
      <c r="K238" s="51"/>
      <c r="L238" s="51"/>
      <c r="M238" s="51"/>
      <c r="N238" s="51"/>
      <c r="O238" s="51"/>
      <c r="P238" s="51"/>
      <c r="Q238" s="51"/>
      <c r="R238" s="51"/>
      <c r="S238" s="51"/>
      <c r="T238" s="51"/>
      <c r="U238" s="51"/>
      <c r="V238" s="51"/>
      <c r="W238" s="51"/>
      <c r="X238" s="51"/>
      <c r="Y238" s="51"/>
      <c r="Z238" s="51"/>
      <c r="AA238" s="51"/>
    </row>
    <row r="239" spans="1:27" ht="13.65" customHeight="1" x14ac:dyDescent="0.3">
      <c r="A239" s="49"/>
      <c r="B239" s="57"/>
      <c r="C239" s="51"/>
      <c r="D239" s="51"/>
      <c r="E239" s="51"/>
      <c r="F239" s="51"/>
      <c r="G239" s="58"/>
      <c r="H239" s="51"/>
      <c r="I239" s="58"/>
      <c r="J239" s="51"/>
      <c r="K239" s="51"/>
      <c r="L239" s="51"/>
      <c r="M239" s="51"/>
      <c r="N239" s="51"/>
      <c r="O239" s="51"/>
      <c r="P239" s="51"/>
      <c r="Q239" s="51"/>
      <c r="R239" s="51"/>
      <c r="S239" s="51"/>
      <c r="T239" s="51"/>
      <c r="U239" s="51"/>
      <c r="V239" s="51"/>
      <c r="W239" s="51"/>
      <c r="X239" s="51"/>
      <c r="Y239" s="51"/>
      <c r="Z239" s="51"/>
      <c r="AA239" s="51"/>
    </row>
    <row r="240" spans="1:27" ht="13.65" customHeight="1" x14ac:dyDescent="0.3">
      <c r="A240" s="49"/>
      <c r="B240" s="57"/>
      <c r="C240" s="51"/>
      <c r="D240" s="51"/>
      <c r="E240" s="51"/>
      <c r="F240" s="51"/>
      <c r="G240" s="58"/>
      <c r="H240" s="51"/>
      <c r="I240" s="58"/>
      <c r="J240" s="51"/>
      <c r="K240" s="51"/>
      <c r="L240" s="51"/>
      <c r="M240" s="51"/>
      <c r="N240" s="51"/>
      <c r="O240" s="51"/>
      <c r="P240" s="51"/>
      <c r="Q240" s="51"/>
      <c r="R240" s="51"/>
      <c r="S240" s="51"/>
      <c r="T240" s="51"/>
      <c r="U240" s="51"/>
      <c r="V240" s="51"/>
      <c r="W240" s="51"/>
      <c r="X240" s="51"/>
      <c r="Y240" s="51"/>
      <c r="Z240" s="51"/>
      <c r="AA240" s="51"/>
    </row>
    <row r="241" spans="1:27" ht="13.65" customHeight="1" x14ac:dyDescent="0.3">
      <c r="A241" s="49"/>
      <c r="B241" s="57"/>
      <c r="C241" s="51"/>
      <c r="D241" s="51"/>
      <c r="E241" s="51"/>
      <c r="F241" s="51"/>
      <c r="G241" s="58"/>
      <c r="H241" s="51"/>
      <c r="I241" s="58"/>
      <c r="J241" s="51"/>
      <c r="K241" s="51"/>
      <c r="L241" s="51"/>
      <c r="M241" s="51"/>
      <c r="N241" s="51"/>
      <c r="O241" s="51"/>
      <c r="P241" s="51"/>
      <c r="Q241" s="51"/>
      <c r="R241" s="51"/>
      <c r="S241" s="51"/>
      <c r="T241" s="51"/>
      <c r="U241" s="51"/>
      <c r="V241" s="51"/>
      <c r="W241" s="51"/>
      <c r="X241" s="51"/>
      <c r="Y241" s="51"/>
      <c r="Z241" s="51"/>
      <c r="AA241" s="51"/>
    </row>
    <row r="242" spans="1:27" ht="13.65" customHeight="1" x14ac:dyDescent="0.3">
      <c r="A242" s="49"/>
      <c r="B242" s="57"/>
      <c r="C242" s="51"/>
      <c r="D242" s="51"/>
      <c r="E242" s="51"/>
      <c r="F242" s="51"/>
      <c r="G242" s="58"/>
      <c r="H242" s="51"/>
      <c r="I242" s="58"/>
      <c r="J242" s="51"/>
      <c r="K242" s="51"/>
      <c r="L242" s="51"/>
      <c r="M242" s="51"/>
      <c r="N242" s="51"/>
      <c r="O242" s="51"/>
      <c r="P242" s="51"/>
      <c r="Q242" s="51"/>
      <c r="R242" s="51"/>
      <c r="S242" s="51"/>
      <c r="T242" s="51"/>
      <c r="U242" s="51"/>
      <c r="V242" s="51"/>
      <c r="W242" s="51"/>
      <c r="X242" s="51"/>
      <c r="Y242" s="51"/>
      <c r="Z242" s="51"/>
      <c r="AA242" s="51"/>
    </row>
    <row r="243" spans="1:27" ht="13.65" customHeight="1" x14ac:dyDescent="0.3">
      <c r="A243" s="49"/>
      <c r="B243" s="57"/>
      <c r="C243" s="51"/>
      <c r="D243" s="51"/>
      <c r="E243" s="51"/>
      <c r="F243" s="51"/>
      <c r="G243" s="58"/>
      <c r="H243" s="51"/>
      <c r="I243" s="58"/>
      <c r="J243" s="51"/>
      <c r="K243" s="51"/>
      <c r="L243" s="51"/>
      <c r="M243" s="51"/>
      <c r="N243" s="51"/>
      <c r="O243" s="51"/>
      <c r="P243" s="51"/>
      <c r="Q243" s="51"/>
      <c r="R243" s="51"/>
      <c r="S243" s="51"/>
      <c r="T243" s="51"/>
      <c r="U243" s="51"/>
      <c r="V243" s="51"/>
      <c r="W243" s="51"/>
      <c r="X243" s="51"/>
      <c r="Y243" s="51"/>
      <c r="Z243" s="51"/>
      <c r="AA243" s="51"/>
    </row>
    <row r="244" spans="1:27" ht="13.65" customHeight="1" x14ac:dyDescent="0.3">
      <c r="A244" s="49"/>
      <c r="B244" s="57"/>
      <c r="C244" s="51"/>
      <c r="D244" s="51"/>
      <c r="E244" s="51"/>
      <c r="F244" s="51"/>
      <c r="G244" s="58"/>
      <c r="H244" s="51"/>
      <c r="I244" s="58"/>
      <c r="J244" s="51"/>
      <c r="K244" s="51"/>
      <c r="L244" s="51"/>
      <c r="M244" s="51"/>
      <c r="N244" s="51"/>
      <c r="O244" s="51"/>
      <c r="P244" s="51"/>
      <c r="Q244" s="51"/>
      <c r="R244" s="51"/>
      <c r="S244" s="51"/>
      <c r="T244" s="51"/>
      <c r="U244" s="51"/>
      <c r="V244" s="51"/>
      <c r="W244" s="51"/>
      <c r="X244" s="51"/>
      <c r="Y244" s="51"/>
      <c r="Z244" s="51"/>
      <c r="AA244" s="51"/>
    </row>
    <row r="245" spans="1:27" ht="13.65" customHeight="1" x14ac:dyDescent="0.3">
      <c r="A245" s="49"/>
      <c r="B245" s="57"/>
      <c r="C245" s="51"/>
      <c r="D245" s="51"/>
      <c r="E245" s="51"/>
      <c r="F245" s="51"/>
      <c r="G245" s="58"/>
      <c r="H245" s="51"/>
      <c r="I245" s="58"/>
      <c r="J245" s="51"/>
      <c r="K245" s="51"/>
      <c r="L245" s="51"/>
      <c r="M245" s="51"/>
      <c r="N245" s="51"/>
      <c r="O245" s="51"/>
      <c r="P245" s="51"/>
      <c r="Q245" s="51"/>
      <c r="R245" s="51"/>
      <c r="S245" s="51"/>
      <c r="T245" s="51"/>
      <c r="U245" s="51"/>
      <c r="V245" s="51"/>
      <c r="W245" s="51"/>
      <c r="X245" s="51"/>
      <c r="Y245" s="51"/>
      <c r="Z245" s="51"/>
      <c r="AA245" s="51"/>
    </row>
    <row r="246" spans="1:27" ht="13.65" customHeight="1" x14ac:dyDescent="0.3">
      <c r="A246" s="49"/>
      <c r="B246" s="57"/>
      <c r="C246" s="51"/>
      <c r="D246" s="51"/>
      <c r="E246" s="51"/>
      <c r="F246" s="51"/>
      <c r="G246" s="58"/>
      <c r="H246" s="51"/>
      <c r="I246" s="58"/>
      <c r="J246" s="51"/>
      <c r="K246" s="51"/>
      <c r="L246" s="51"/>
      <c r="M246" s="51"/>
      <c r="N246" s="51"/>
      <c r="O246" s="51"/>
      <c r="P246" s="51"/>
      <c r="Q246" s="51"/>
      <c r="R246" s="51"/>
      <c r="S246" s="51"/>
      <c r="T246" s="51"/>
      <c r="U246" s="51"/>
      <c r="V246" s="51"/>
      <c r="W246" s="51"/>
      <c r="X246" s="51"/>
      <c r="Y246" s="51"/>
      <c r="Z246" s="51"/>
      <c r="AA246" s="51"/>
    </row>
    <row r="247" spans="1:27" ht="13.65" customHeight="1" x14ac:dyDescent="0.3">
      <c r="A247" s="49"/>
      <c r="B247" s="57"/>
      <c r="C247" s="51"/>
      <c r="D247" s="51"/>
      <c r="E247" s="51"/>
      <c r="F247" s="51"/>
      <c r="G247" s="58"/>
      <c r="H247" s="51"/>
      <c r="I247" s="58"/>
      <c r="J247" s="51"/>
      <c r="K247" s="51"/>
      <c r="L247" s="51"/>
      <c r="M247" s="51"/>
      <c r="N247" s="51"/>
      <c r="O247" s="51"/>
      <c r="P247" s="51"/>
      <c r="Q247" s="51"/>
      <c r="R247" s="51"/>
      <c r="S247" s="51"/>
      <c r="T247" s="51"/>
      <c r="U247" s="51"/>
      <c r="V247" s="51"/>
      <c r="W247" s="51"/>
      <c r="X247" s="51"/>
      <c r="Y247" s="51"/>
      <c r="Z247" s="51"/>
      <c r="AA247" s="51"/>
    </row>
    <row r="248" spans="1:27" ht="13.65" customHeight="1" x14ac:dyDescent="0.3">
      <c r="A248" s="49"/>
      <c r="B248" s="57"/>
      <c r="C248" s="51"/>
      <c r="D248" s="51"/>
      <c r="E248" s="51"/>
      <c r="F248" s="51"/>
      <c r="G248" s="58"/>
      <c r="H248" s="51"/>
      <c r="I248" s="58"/>
      <c r="J248" s="51"/>
      <c r="K248" s="51"/>
      <c r="L248" s="51"/>
      <c r="M248" s="51"/>
      <c r="N248" s="51"/>
      <c r="O248" s="51"/>
      <c r="P248" s="51"/>
      <c r="Q248" s="51"/>
      <c r="R248" s="51"/>
      <c r="S248" s="51"/>
      <c r="T248" s="51"/>
      <c r="U248" s="51"/>
      <c r="V248" s="51"/>
      <c r="W248" s="51"/>
      <c r="X248" s="51"/>
      <c r="Y248" s="51"/>
      <c r="Z248" s="51"/>
      <c r="AA248" s="51"/>
    </row>
    <row r="249" spans="1:27" ht="13.65" customHeight="1" x14ac:dyDescent="0.3">
      <c r="A249" s="49"/>
      <c r="B249" s="57"/>
      <c r="C249" s="51"/>
      <c r="D249" s="51"/>
      <c r="E249" s="51"/>
      <c r="F249" s="51"/>
      <c r="G249" s="58"/>
      <c r="H249" s="51"/>
      <c r="I249" s="58"/>
      <c r="J249" s="51"/>
      <c r="K249" s="51"/>
      <c r="L249" s="51"/>
      <c r="M249" s="51"/>
      <c r="N249" s="51"/>
      <c r="O249" s="51"/>
      <c r="P249" s="51"/>
      <c r="Q249" s="51"/>
      <c r="R249" s="51"/>
      <c r="S249" s="51"/>
      <c r="T249" s="51"/>
      <c r="U249" s="51"/>
      <c r="V249" s="51"/>
      <c r="W249" s="51"/>
      <c r="X249" s="51"/>
      <c r="Y249" s="51"/>
      <c r="Z249" s="51"/>
      <c r="AA249" s="51"/>
    </row>
    <row r="250" spans="1:27" ht="13.65" customHeight="1" x14ac:dyDescent="0.3">
      <c r="A250" s="49"/>
      <c r="B250" s="57"/>
      <c r="C250" s="51"/>
      <c r="D250" s="51"/>
      <c r="E250" s="51"/>
      <c r="F250" s="51"/>
      <c r="G250" s="58"/>
      <c r="H250" s="51"/>
      <c r="I250" s="58"/>
      <c r="J250" s="51"/>
      <c r="K250" s="51"/>
      <c r="L250" s="51"/>
      <c r="M250" s="51"/>
      <c r="N250" s="51"/>
      <c r="O250" s="51"/>
      <c r="P250" s="51"/>
      <c r="Q250" s="51"/>
      <c r="R250" s="51"/>
      <c r="S250" s="51"/>
      <c r="T250" s="51"/>
      <c r="U250" s="51"/>
      <c r="V250" s="51"/>
      <c r="W250" s="51"/>
      <c r="X250" s="51"/>
      <c r="Y250" s="51"/>
      <c r="Z250" s="51"/>
      <c r="AA250" s="51"/>
    </row>
    <row r="251" spans="1:27" ht="13.65" customHeight="1" x14ac:dyDescent="0.3">
      <c r="A251" s="49"/>
      <c r="B251" s="57"/>
      <c r="C251" s="51"/>
      <c r="D251" s="51"/>
      <c r="E251" s="51"/>
      <c r="F251" s="51"/>
      <c r="G251" s="58"/>
      <c r="H251" s="51"/>
      <c r="I251" s="58"/>
      <c r="J251" s="51"/>
      <c r="K251" s="51"/>
      <c r="L251" s="51"/>
      <c r="M251" s="51"/>
      <c r="N251" s="51"/>
      <c r="O251" s="51"/>
      <c r="P251" s="51"/>
      <c r="Q251" s="51"/>
      <c r="R251" s="51"/>
      <c r="S251" s="51"/>
      <c r="T251" s="51"/>
      <c r="U251" s="51"/>
      <c r="V251" s="51"/>
      <c r="W251" s="51"/>
      <c r="X251" s="51"/>
      <c r="Y251" s="51"/>
      <c r="Z251" s="51"/>
      <c r="AA251" s="51"/>
    </row>
    <row r="252" spans="1:27" ht="13.65" customHeight="1" x14ac:dyDescent="0.3">
      <c r="A252" s="49"/>
      <c r="B252" s="57"/>
      <c r="C252" s="51"/>
      <c r="D252" s="51"/>
      <c r="E252" s="51"/>
      <c r="F252" s="51"/>
      <c r="G252" s="58"/>
      <c r="H252" s="51"/>
      <c r="I252" s="58"/>
      <c r="J252" s="51"/>
      <c r="K252" s="51"/>
      <c r="L252" s="51"/>
      <c r="M252" s="51"/>
      <c r="N252" s="51"/>
      <c r="O252" s="51"/>
      <c r="P252" s="51"/>
      <c r="Q252" s="51"/>
      <c r="R252" s="51"/>
      <c r="S252" s="51"/>
      <c r="T252" s="51"/>
      <c r="U252" s="51"/>
      <c r="V252" s="51"/>
      <c r="W252" s="51"/>
      <c r="X252" s="51"/>
      <c r="Y252" s="51"/>
      <c r="Z252" s="51"/>
      <c r="AA252" s="51"/>
    </row>
    <row r="253" spans="1:27" ht="13.65" customHeight="1" x14ac:dyDescent="0.3">
      <c r="A253" s="49"/>
      <c r="B253" s="57"/>
      <c r="C253" s="51"/>
      <c r="D253" s="51"/>
      <c r="E253" s="51"/>
      <c r="F253" s="51"/>
      <c r="G253" s="58"/>
      <c r="H253" s="51"/>
      <c r="I253" s="58"/>
      <c r="J253" s="51"/>
      <c r="K253" s="51"/>
      <c r="L253" s="51"/>
      <c r="M253" s="51"/>
      <c r="N253" s="51"/>
      <c r="O253" s="51"/>
      <c r="P253" s="51"/>
      <c r="Q253" s="51"/>
      <c r="R253" s="51"/>
      <c r="S253" s="51"/>
      <c r="T253" s="51"/>
      <c r="U253" s="51"/>
      <c r="V253" s="51"/>
      <c r="W253" s="51"/>
      <c r="X253" s="51"/>
      <c r="Y253" s="51"/>
      <c r="Z253" s="51"/>
      <c r="AA253" s="51"/>
    </row>
    <row r="254" spans="1:27" ht="13.65" customHeight="1" x14ac:dyDescent="0.3">
      <c r="A254" s="49"/>
      <c r="B254" s="57"/>
      <c r="C254" s="51"/>
      <c r="D254" s="51"/>
      <c r="E254" s="51"/>
      <c r="F254" s="51"/>
      <c r="G254" s="58"/>
      <c r="H254" s="51"/>
      <c r="I254" s="58"/>
      <c r="J254" s="51"/>
      <c r="K254" s="51"/>
      <c r="L254" s="51"/>
      <c r="M254" s="51"/>
      <c r="N254" s="51"/>
      <c r="O254" s="51"/>
      <c r="P254" s="51"/>
      <c r="Q254" s="51"/>
      <c r="R254" s="51"/>
      <c r="S254" s="51"/>
      <c r="T254" s="51"/>
      <c r="U254" s="51"/>
      <c r="V254" s="51"/>
      <c r="W254" s="51"/>
      <c r="X254" s="51"/>
      <c r="Y254" s="51"/>
      <c r="Z254" s="51"/>
      <c r="AA254" s="51"/>
    </row>
    <row r="255" spans="1:27" ht="13.65" customHeight="1" x14ac:dyDescent="0.3">
      <c r="A255" s="49"/>
      <c r="B255" s="57"/>
      <c r="C255" s="51"/>
      <c r="D255" s="51"/>
      <c r="E255" s="51"/>
      <c r="F255" s="51"/>
      <c r="G255" s="58"/>
      <c r="H255" s="51"/>
      <c r="I255" s="58"/>
      <c r="J255" s="51"/>
      <c r="K255" s="51"/>
      <c r="L255" s="51"/>
      <c r="M255" s="51"/>
      <c r="N255" s="51"/>
      <c r="O255" s="51"/>
      <c r="P255" s="51"/>
      <c r="Q255" s="51"/>
      <c r="R255" s="51"/>
      <c r="S255" s="51"/>
      <c r="T255" s="51"/>
      <c r="U255" s="51"/>
      <c r="V255" s="51"/>
      <c r="W255" s="51"/>
      <c r="X255" s="51"/>
      <c r="Y255" s="51"/>
      <c r="Z255" s="51"/>
      <c r="AA255" s="51"/>
    </row>
    <row r="256" spans="1:27" ht="13.65" customHeight="1" x14ac:dyDescent="0.3">
      <c r="A256" s="49"/>
      <c r="B256" s="57"/>
      <c r="C256" s="51"/>
      <c r="D256" s="51"/>
      <c r="E256" s="51"/>
      <c r="F256" s="51"/>
      <c r="G256" s="58"/>
      <c r="H256" s="51"/>
      <c r="I256" s="58"/>
      <c r="J256" s="51"/>
      <c r="K256" s="51"/>
      <c r="L256" s="51"/>
      <c r="M256" s="51"/>
      <c r="N256" s="51"/>
      <c r="O256" s="51"/>
      <c r="P256" s="51"/>
      <c r="Q256" s="51"/>
      <c r="R256" s="51"/>
      <c r="S256" s="51"/>
      <c r="T256" s="51"/>
      <c r="U256" s="51"/>
      <c r="V256" s="51"/>
      <c r="W256" s="51"/>
      <c r="X256" s="51"/>
      <c r="Y256" s="51"/>
      <c r="Z256" s="51"/>
      <c r="AA256" s="51"/>
    </row>
    <row r="257" spans="1:27" ht="13.65" customHeight="1" x14ac:dyDescent="0.3">
      <c r="A257" s="49"/>
      <c r="B257" s="57"/>
      <c r="C257" s="51"/>
      <c r="D257" s="51"/>
      <c r="E257" s="51"/>
      <c r="F257" s="51"/>
      <c r="G257" s="58"/>
      <c r="H257" s="51"/>
      <c r="I257" s="58"/>
      <c r="J257" s="51"/>
      <c r="K257" s="51"/>
      <c r="L257" s="51"/>
      <c r="M257" s="51"/>
      <c r="N257" s="51"/>
      <c r="O257" s="51"/>
      <c r="P257" s="51"/>
      <c r="Q257" s="51"/>
      <c r="R257" s="51"/>
      <c r="S257" s="51"/>
      <c r="T257" s="51"/>
      <c r="U257" s="51"/>
      <c r="V257" s="51"/>
      <c r="W257" s="51"/>
      <c r="X257" s="51"/>
      <c r="Y257" s="51"/>
      <c r="Z257" s="51"/>
      <c r="AA257" s="51"/>
    </row>
    <row r="258" spans="1:27" ht="13.65" customHeight="1" x14ac:dyDescent="0.3">
      <c r="A258" s="49"/>
      <c r="B258" s="57"/>
      <c r="C258" s="51"/>
      <c r="D258" s="51"/>
      <c r="E258" s="51"/>
      <c r="F258" s="51"/>
      <c r="G258" s="58"/>
      <c r="H258" s="51"/>
      <c r="I258" s="58"/>
      <c r="J258" s="51"/>
      <c r="K258" s="51"/>
      <c r="L258" s="51"/>
      <c r="M258" s="51"/>
      <c r="N258" s="51"/>
      <c r="O258" s="51"/>
      <c r="P258" s="51"/>
      <c r="Q258" s="51"/>
      <c r="R258" s="51"/>
      <c r="S258" s="51"/>
      <c r="T258" s="51"/>
      <c r="U258" s="51"/>
      <c r="V258" s="51"/>
      <c r="W258" s="51"/>
      <c r="X258" s="51"/>
      <c r="Y258" s="51"/>
      <c r="Z258" s="51"/>
      <c r="AA258" s="51"/>
    </row>
    <row r="259" spans="1:27" ht="13.65" customHeight="1" x14ac:dyDescent="0.3">
      <c r="A259" s="49"/>
      <c r="B259" s="57"/>
      <c r="C259" s="51"/>
      <c r="D259" s="51"/>
      <c r="E259" s="51"/>
      <c r="F259" s="51"/>
      <c r="G259" s="58"/>
      <c r="H259" s="51"/>
      <c r="I259" s="58"/>
      <c r="J259" s="51"/>
      <c r="K259" s="51"/>
      <c r="L259" s="51"/>
      <c r="M259" s="51"/>
      <c r="N259" s="51"/>
      <c r="O259" s="51"/>
      <c r="P259" s="51"/>
      <c r="Q259" s="51"/>
      <c r="R259" s="51"/>
      <c r="S259" s="51"/>
      <c r="T259" s="51"/>
      <c r="U259" s="51"/>
      <c r="V259" s="51"/>
      <c r="W259" s="51"/>
      <c r="X259" s="51"/>
      <c r="Y259" s="51"/>
      <c r="Z259" s="51"/>
      <c r="AA259" s="51"/>
    </row>
    <row r="260" spans="1:27" ht="13.65" customHeight="1" x14ac:dyDescent="0.3">
      <c r="A260" s="49"/>
      <c r="B260" s="57"/>
      <c r="C260" s="51"/>
      <c r="D260" s="51"/>
      <c r="E260" s="51"/>
      <c r="F260" s="51"/>
      <c r="G260" s="58"/>
      <c r="H260" s="51"/>
      <c r="I260" s="58"/>
      <c r="J260" s="51"/>
      <c r="K260" s="51"/>
      <c r="L260" s="51"/>
      <c r="M260" s="51"/>
      <c r="N260" s="51"/>
      <c r="O260" s="51"/>
      <c r="P260" s="51"/>
      <c r="Q260" s="51"/>
      <c r="R260" s="51"/>
      <c r="S260" s="51"/>
      <c r="T260" s="51"/>
      <c r="U260" s="51"/>
      <c r="V260" s="51"/>
      <c r="W260" s="51"/>
      <c r="X260" s="51"/>
      <c r="Y260" s="51"/>
      <c r="Z260" s="51"/>
      <c r="AA260" s="51"/>
    </row>
    <row r="261" spans="1:27" ht="13.65" customHeight="1" x14ac:dyDescent="0.3">
      <c r="A261" s="49"/>
      <c r="B261" s="57"/>
      <c r="C261" s="51"/>
      <c r="D261" s="51"/>
      <c r="E261" s="51"/>
      <c r="F261" s="51"/>
      <c r="G261" s="58"/>
      <c r="H261" s="51"/>
      <c r="I261" s="58"/>
      <c r="J261" s="51"/>
      <c r="K261" s="51"/>
      <c r="L261" s="51"/>
      <c r="M261" s="51"/>
      <c r="N261" s="51"/>
      <c r="O261" s="51"/>
      <c r="P261" s="51"/>
      <c r="Q261" s="51"/>
      <c r="R261" s="51"/>
      <c r="S261" s="51"/>
      <c r="T261" s="51"/>
      <c r="U261" s="51"/>
      <c r="V261" s="51"/>
      <c r="W261" s="51"/>
      <c r="X261" s="51"/>
      <c r="Y261" s="51"/>
      <c r="Z261" s="51"/>
      <c r="AA261" s="51"/>
    </row>
    <row r="262" spans="1:27" ht="13.65" customHeight="1" x14ac:dyDescent="0.3">
      <c r="A262" s="49"/>
      <c r="B262" s="57"/>
      <c r="C262" s="51"/>
      <c r="D262" s="51"/>
      <c r="E262" s="51"/>
      <c r="F262" s="51"/>
      <c r="G262" s="58"/>
      <c r="H262" s="51"/>
      <c r="I262" s="58"/>
      <c r="J262" s="51"/>
      <c r="K262" s="51"/>
      <c r="L262" s="51"/>
      <c r="M262" s="51"/>
      <c r="N262" s="51"/>
      <c r="O262" s="51"/>
      <c r="P262" s="51"/>
      <c r="Q262" s="51"/>
      <c r="R262" s="51"/>
      <c r="S262" s="51"/>
      <c r="T262" s="51"/>
      <c r="U262" s="51"/>
      <c r="V262" s="51"/>
      <c r="W262" s="51"/>
      <c r="X262" s="51"/>
      <c r="Y262" s="51"/>
      <c r="Z262" s="51"/>
      <c r="AA262" s="51"/>
    </row>
    <row r="263" spans="1:27" ht="13.65" customHeight="1" x14ac:dyDescent="0.3">
      <c r="A263" s="49"/>
      <c r="B263" s="57"/>
      <c r="C263" s="51"/>
      <c r="D263" s="51"/>
      <c r="E263" s="51"/>
      <c r="F263" s="51"/>
      <c r="G263" s="58"/>
      <c r="H263" s="51"/>
      <c r="I263" s="58"/>
      <c r="J263" s="51"/>
      <c r="K263" s="51"/>
      <c r="L263" s="51"/>
      <c r="M263" s="51"/>
      <c r="N263" s="51"/>
      <c r="O263" s="51"/>
      <c r="P263" s="51"/>
      <c r="Q263" s="51"/>
      <c r="R263" s="51"/>
      <c r="S263" s="51"/>
      <c r="T263" s="51"/>
      <c r="U263" s="51"/>
      <c r="V263" s="51"/>
      <c r="W263" s="51"/>
      <c r="X263" s="51"/>
      <c r="Y263" s="51"/>
      <c r="Z263" s="51"/>
      <c r="AA263" s="51"/>
    </row>
    <row r="264" spans="1:27" ht="13.65" customHeight="1" x14ac:dyDescent="0.3">
      <c r="A264" s="49"/>
      <c r="B264" s="57"/>
      <c r="C264" s="51"/>
      <c r="D264" s="51"/>
      <c r="E264" s="51"/>
      <c r="F264" s="51"/>
      <c r="G264" s="58"/>
      <c r="H264" s="51"/>
      <c r="I264" s="58"/>
      <c r="J264" s="51"/>
      <c r="K264" s="51"/>
      <c r="L264" s="51"/>
      <c r="M264" s="51"/>
      <c r="N264" s="51"/>
      <c r="O264" s="51"/>
      <c r="P264" s="51"/>
      <c r="Q264" s="51"/>
      <c r="R264" s="51"/>
      <c r="S264" s="51"/>
      <c r="T264" s="51"/>
      <c r="U264" s="51"/>
      <c r="V264" s="51"/>
      <c r="W264" s="51"/>
      <c r="X264" s="51"/>
      <c r="Y264" s="51"/>
      <c r="Z264" s="51"/>
      <c r="AA264" s="51"/>
    </row>
    <row r="265" spans="1:27" ht="13.65" customHeight="1" x14ac:dyDescent="0.3">
      <c r="A265" s="49"/>
      <c r="B265" s="57"/>
      <c r="C265" s="51"/>
      <c r="D265" s="51"/>
      <c r="E265" s="51"/>
      <c r="F265" s="51"/>
      <c r="G265" s="58"/>
      <c r="H265" s="51"/>
      <c r="I265" s="58"/>
      <c r="J265" s="51"/>
      <c r="K265" s="51"/>
      <c r="L265" s="51"/>
      <c r="M265" s="51"/>
      <c r="N265" s="51"/>
      <c r="O265" s="51"/>
      <c r="P265" s="51"/>
      <c r="Q265" s="51"/>
      <c r="R265" s="51"/>
      <c r="S265" s="51"/>
      <c r="T265" s="51"/>
      <c r="U265" s="51"/>
      <c r="V265" s="51"/>
      <c r="W265" s="51"/>
      <c r="X265" s="51"/>
      <c r="Y265" s="51"/>
      <c r="Z265" s="51"/>
      <c r="AA265" s="51"/>
    </row>
    <row r="266" spans="1:27" ht="13.65" customHeight="1" x14ac:dyDescent="0.3">
      <c r="A266" s="49"/>
      <c r="B266" s="57"/>
      <c r="C266" s="51"/>
      <c r="D266" s="51"/>
      <c r="E266" s="51"/>
      <c r="F266" s="51"/>
      <c r="G266" s="58"/>
      <c r="H266" s="51"/>
      <c r="I266" s="58"/>
      <c r="J266" s="51"/>
      <c r="K266" s="51"/>
      <c r="L266" s="51"/>
      <c r="M266" s="51"/>
      <c r="N266" s="51"/>
      <c r="O266" s="51"/>
      <c r="P266" s="51"/>
      <c r="Q266" s="51"/>
      <c r="R266" s="51"/>
      <c r="S266" s="51"/>
      <c r="T266" s="51"/>
      <c r="U266" s="51"/>
      <c r="V266" s="51"/>
      <c r="W266" s="51"/>
      <c r="X266" s="51"/>
      <c r="Y266" s="51"/>
      <c r="Z266" s="51"/>
      <c r="AA266" s="51"/>
    </row>
    <row r="267" spans="1:27" ht="13.65" customHeight="1" x14ac:dyDescent="0.3">
      <c r="A267" s="49"/>
      <c r="B267" s="57"/>
      <c r="C267" s="51"/>
      <c r="D267" s="51"/>
      <c r="E267" s="51"/>
      <c r="F267" s="51"/>
      <c r="G267" s="58"/>
      <c r="H267" s="51"/>
      <c r="I267" s="58"/>
      <c r="J267" s="51"/>
      <c r="K267" s="51"/>
      <c r="L267" s="51"/>
      <c r="M267" s="51"/>
      <c r="N267" s="51"/>
      <c r="O267" s="51"/>
      <c r="P267" s="51"/>
      <c r="Q267" s="51"/>
      <c r="R267" s="51"/>
      <c r="S267" s="51"/>
      <c r="T267" s="51"/>
      <c r="U267" s="51"/>
      <c r="V267" s="51"/>
      <c r="W267" s="51"/>
      <c r="X267" s="51"/>
      <c r="Y267" s="51"/>
      <c r="Z267" s="51"/>
      <c r="AA267" s="51"/>
    </row>
    <row r="268" spans="1:27" ht="13.65" customHeight="1" x14ac:dyDescent="0.3">
      <c r="A268" s="49"/>
      <c r="B268" s="57"/>
      <c r="C268" s="51"/>
      <c r="D268" s="51"/>
      <c r="E268" s="51"/>
      <c r="F268" s="51"/>
      <c r="G268" s="58"/>
      <c r="H268" s="51"/>
      <c r="I268" s="58"/>
      <c r="J268" s="51"/>
      <c r="K268" s="51"/>
      <c r="L268" s="51"/>
      <c r="M268" s="51"/>
      <c r="N268" s="51"/>
      <c r="O268" s="51"/>
      <c r="P268" s="51"/>
      <c r="Q268" s="51"/>
      <c r="R268" s="51"/>
      <c r="S268" s="51"/>
      <c r="T268" s="51"/>
      <c r="U268" s="51"/>
      <c r="V268" s="51"/>
      <c r="W268" s="51"/>
      <c r="X268" s="51"/>
      <c r="Y268" s="51"/>
      <c r="Z268" s="51"/>
      <c r="AA268" s="51"/>
    </row>
    <row r="269" spans="1:27" ht="13.65" customHeight="1" x14ac:dyDescent="0.3">
      <c r="A269" s="49"/>
      <c r="B269" s="57"/>
      <c r="C269" s="51"/>
      <c r="D269" s="51"/>
      <c r="E269" s="51"/>
      <c r="F269" s="51"/>
      <c r="G269" s="58"/>
      <c r="H269" s="51"/>
      <c r="I269" s="58"/>
      <c r="J269" s="51"/>
      <c r="K269" s="51"/>
      <c r="L269" s="51"/>
      <c r="M269" s="51"/>
      <c r="N269" s="51"/>
      <c r="O269" s="51"/>
      <c r="P269" s="51"/>
      <c r="Q269" s="51"/>
      <c r="R269" s="51"/>
      <c r="S269" s="51"/>
      <c r="T269" s="51"/>
      <c r="U269" s="51"/>
      <c r="V269" s="51"/>
      <c r="W269" s="51"/>
      <c r="X269" s="51"/>
      <c r="Y269" s="51"/>
      <c r="Z269" s="51"/>
      <c r="AA269" s="51"/>
    </row>
    <row r="270" spans="1:27" ht="13.65" customHeight="1" x14ac:dyDescent="0.3">
      <c r="A270" s="49"/>
      <c r="B270" s="57"/>
      <c r="C270" s="51"/>
      <c r="D270" s="51"/>
      <c r="E270" s="51"/>
      <c r="F270" s="51"/>
      <c r="G270" s="58"/>
      <c r="H270" s="51"/>
      <c r="I270" s="58"/>
      <c r="J270" s="51"/>
      <c r="K270" s="51"/>
      <c r="L270" s="51"/>
      <c r="M270" s="51"/>
      <c r="N270" s="51"/>
      <c r="O270" s="51"/>
      <c r="P270" s="51"/>
      <c r="Q270" s="51"/>
      <c r="R270" s="51"/>
      <c r="S270" s="51"/>
      <c r="T270" s="51"/>
      <c r="U270" s="51"/>
      <c r="V270" s="51"/>
      <c r="W270" s="51"/>
      <c r="X270" s="51"/>
      <c r="Y270" s="51"/>
      <c r="Z270" s="51"/>
      <c r="AA270" s="51"/>
    </row>
    <row r="271" spans="1:27" ht="13.65" customHeight="1" x14ac:dyDescent="0.3">
      <c r="A271" s="49"/>
      <c r="B271" s="57"/>
      <c r="C271" s="51"/>
      <c r="D271" s="51"/>
      <c r="E271" s="51"/>
      <c r="F271" s="51"/>
      <c r="G271" s="58"/>
      <c r="H271" s="51"/>
      <c r="I271" s="58"/>
      <c r="J271" s="51"/>
      <c r="K271" s="51"/>
      <c r="L271" s="51"/>
      <c r="M271" s="51"/>
      <c r="N271" s="51"/>
      <c r="O271" s="51"/>
      <c r="P271" s="51"/>
      <c r="Q271" s="51"/>
      <c r="R271" s="51"/>
      <c r="S271" s="51"/>
      <c r="T271" s="51"/>
      <c r="U271" s="51"/>
      <c r="V271" s="51"/>
      <c r="W271" s="51"/>
      <c r="X271" s="51"/>
      <c r="Y271" s="51"/>
      <c r="Z271" s="51"/>
      <c r="AA271" s="51"/>
    </row>
    <row r="272" spans="1:27" ht="13.65" customHeight="1" x14ac:dyDescent="0.3">
      <c r="A272" s="49"/>
      <c r="B272" s="57"/>
      <c r="C272" s="51"/>
      <c r="D272" s="51"/>
      <c r="E272" s="51"/>
      <c r="F272" s="51"/>
      <c r="G272" s="58"/>
      <c r="H272" s="51"/>
      <c r="I272" s="58"/>
      <c r="J272" s="51"/>
      <c r="K272" s="51"/>
      <c r="L272" s="51"/>
      <c r="M272" s="51"/>
      <c r="N272" s="51"/>
      <c r="O272" s="51"/>
      <c r="P272" s="51"/>
      <c r="Q272" s="51"/>
      <c r="R272" s="51"/>
      <c r="S272" s="51"/>
      <c r="T272" s="51"/>
      <c r="U272" s="51"/>
      <c r="V272" s="51"/>
      <c r="W272" s="51"/>
      <c r="X272" s="51"/>
      <c r="Y272" s="51"/>
      <c r="Z272" s="51"/>
      <c r="AA272" s="51"/>
    </row>
    <row r="273" spans="1:27" ht="13.65" customHeight="1" x14ac:dyDescent="0.3">
      <c r="A273" s="49"/>
      <c r="B273" s="57"/>
      <c r="C273" s="51"/>
      <c r="D273" s="51"/>
      <c r="E273" s="51"/>
      <c r="F273" s="51"/>
      <c r="G273" s="58"/>
      <c r="H273" s="51"/>
      <c r="I273" s="58"/>
      <c r="J273" s="51"/>
      <c r="K273" s="51"/>
      <c r="L273" s="51"/>
      <c r="M273" s="51"/>
      <c r="N273" s="51"/>
      <c r="O273" s="51"/>
      <c r="P273" s="51"/>
      <c r="Q273" s="51"/>
      <c r="R273" s="51"/>
      <c r="S273" s="51"/>
      <c r="T273" s="51"/>
      <c r="U273" s="51"/>
      <c r="V273" s="51"/>
      <c r="W273" s="51"/>
      <c r="X273" s="51"/>
      <c r="Y273" s="51"/>
      <c r="Z273" s="51"/>
      <c r="AA273" s="51"/>
    </row>
    <row r="274" spans="1:27" ht="13.65" customHeight="1" x14ac:dyDescent="0.3">
      <c r="A274" s="49"/>
      <c r="B274" s="57"/>
      <c r="C274" s="51"/>
      <c r="D274" s="51"/>
      <c r="E274" s="51"/>
      <c r="F274" s="51"/>
      <c r="G274" s="58"/>
      <c r="H274" s="51"/>
      <c r="I274" s="58"/>
      <c r="J274" s="51"/>
      <c r="K274" s="51"/>
      <c r="L274" s="51"/>
      <c r="M274" s="51"/>
      <c r="N274" s="51"/>
      <c r="O274" s="51"/>
      <c r="P274" s="51"/>
      <c r="Q274" s="51"/>
      <c r="R274" s="51"/>
      <c r="S274" s="51"/>
      <c r="T274" s="51"/>
      <c r="U274" s="51"/>
      <c r="V274" s="51"/>
      <c r="W274" s="51"/>
      <c r="X274" s="51"/>
      <c r="Y274" s="51"/>
      <c r="Z274" s="51"/>
      <c r="AA274" s="51"/>
    </row>
    <row r="275" spans="1:27" ht="13.65" customHeight="1" x14ac:dyDescent="0.3">
      <c r="A275" s="49"/>
      <c r="B275" s="57"/>
      <c r="C275" s="51"/>
      <c r="D275" s="51"/>
      <c r="E275" s="51"/>
      <c r="F275" s="51"/>
      <c r="G275" s="58"/>
      <c r="H275" s="51"/>
      <c r="I275" s="58"/>
      <c r="J275" s="51"/>
      <c r="K275" s="51"/>
      <c r="L275" s="51"/>
      <c r="M275" s="51"/>
      <c r="N275" s="51"/>
      <c r="O275" s="51"/>
      <c r="P275" s="51"/>
      <c r="Q275" s="51"/>
      <c r="R275" s="51"/>
      <c r="S275" s="51"/>
      <c r="T275" s="51"/>
      <c r="U275" s="51"/>
      <c r="V275" s="51"/>
      <c r="W275" s="51"/>
      <c r="X275" s="51"/>
      <c r="Y275" s="51"/>
      <c r="Z275" s="51"/>
      <c r="AA275" s="51"/>
    </row>
    <row r="276" spans="1:27" ht="13.65" customHeight="1" x14ac:dyDescent="0.3">
      <c r="A276" s="49"/>
      <c r="B276" s="57"/>
      <c r="C276" s="51"/>
      <c r="D276" s="51"/>
      <c r="E276" s="51"/>
      <c r="F276" s="51"/>
      <c r="G276" s="58"/>
      <c r="H276" s="51"/>
      <c r="I276" s="58"/>
      <c r="J276" s="51"/>
      <c r="K276" s="51"/>
      <c r="L276" s="51"/>
      <c r="M276" s="51"/>
      <c r="N276" s="51"/>
      <c r="O276" s="51"/>
      <c r="P276" s="51"/>
      <c r="Q276" s="51"/>
      <c r="R276" s="51"/>
      <c r="S276" s="51"/>
      <c r="T276" s="51"/>
      <c r="U276" s="51"/>
      <c r="V276" s="51"/>
      <c r="W276" s="51"/>
      <c r="X276" s="51"/>
      <c r="Y276" s="51"/>
      <c r="Z276" s="51"/>
      <c r="AA276" s="51"/>
    </row>
    <row r="277" spans="1:27" ht="13.65" customHeight="1" x14ac:dyDescent="0.3">
      <c r="A277" s="49"/>
      <c r="B277" s="57"/>
      <c r="C277" s="51"/>
      <c r="D277" s="51"/>
      <c r="E277" s="51"/>
      <c r="F277" s="51"/>
      <c r="G277" s="58"/>
      <c r="H277" s="51"/>
      <c r="I277" s="58"/>
      <c r="J277" s="51"/>
      <c r="K277" s="51"/>
      <c r="L277" s="51"/>
      <c r="M277" s="51"/>
      <c r="N277" s="51"/>
      <c r="O277" s="51"/>
      <c r="P277" s="51"/>
      <c r="Q277" s="51"/>
      <c r="R277" s="51"/>
      <c r="S277" s="51"/>
      <c r="T277" s="51"/>
      <c r="U277" s="51"/>
      <c r="V277" s="51"/>
      <c r="W277" s="51"/>
      <c r="X277" s="51"/>
      <c r="Y277" s="51"/>
      <c r="Z277" s="51"/>
      <c r="AA277" s="51"/>
    </row>
    <row r="278" spans="1:27" ht="13.65" customHeight="1" x14ac:dyDescent="0.3">
      <c r="A278" s="49"/>
      <c r="B278" s="57"/>
      <c r="C278" s="51"/>
      <c r="D278" s="51"/>
      <c r="E278" s="51"/>
      <c r="F278" s="51"/>
      <c r="G278" s="58"/>
      <c r="H278" s="51"/>
      <c r="I278" s="58"/>
      <c r="J278" s="51"/>
      <c r="K278" s="51"/>
      <c r="L278" s="51"/>
      <c r="M278" s="51"/>
      <c r="N278" s="51"/>
      <c r="O278" s="51"/>
      <c r="P278" s="51"/>
      <c r="Q278" s="51"/>
      <c r="R278" s="51"/>
      <c r="S278" s="51"/>
      <c r="T278" s="51"/>
      <c r="U278" s="51"/>
      <c r="V278" s="51"/>
      <c r="W278" s="51"/>
      <c r="X278" s="51"/>
      <c r="Y278" s="51"/>
      <c r="Z278" s="51"/>
      <c r="AA278" s="51"/>
    </row>
    <row r="279" spans="1:27" ht="13.65" customHeight="1" x14ac:dyDescent="0.3">
      <c r="A279" s="49"/>
      <c r="B279" s="57"/>
      <c r="C279" s="51"/>
      <c r="D279" s="51"/>
      <c r="E279" s="51"/>
      <c r="F279" s="51"/>
      <c r="G279" s="58"/>
      <c r="H279" s="51"/>
      <c r="I279" s="58"/>
      <c r="J279" s="51"/>
      <c r="K279" s="51"/>
      <c r="L279" s="51"/>
      <c r="M279" s="51"/>
      <c r="N279" s="51"/>
      <c r="O279" s="51"/>
      <c r="P279" s="51"/>
      <c r="Q279" s="51"/>
      <c r="R279" s="51"/>
      <c r="S279" s="51"/>
      <c r="T279" s="51"/>
      <c r="U279" s="51"/>
      <c r="V279" s="51"/>
      <c r="W279" s="51"/>
      <c r="X279" s="51"/>
      <c r="Y279" s="51"/>
      <c r="Z279" s="51"/>
      <c r="AA279" s="51"/>
    </row>
    <row r="280" spans="1:27" ht="13.65" customHeight="1" x14ac:dyDescent="0.3">
      <c r="A280" s="49"/>
      <c r="B280" s="57"/>
      <c r="C280" s="51"/>
      <c r="D280" s="51"/>
      <c r="E280" s="51"/>
      <c r="F280" s="51"/>
      <c r="G280" s="58"/>
      <c r="H280" s="51"/>
      <c r="I280" s="58"/>
      <c r="J280" s="51"/>
      <c r="K280" s="51"/>
      <c r="L280" s="51"/>
      <c r="M280" s="51"/>
      <c r="N280" s="51"/>
      <c r="O280" s="51"/>
      <c r="P280" s="51"/>
      <c r="Q280" s="51"/>
      <c r="R280" s="51"/>
      <c r="S280" s="51"/>
      <c r="T280" s="51"/>
      <c r="U280" s="51"/>
      <c r="V280" s="51"/>
      <c r="W280" s="51"/>
      <c r="X280" s="51"/>
      <c r="Y280" s="51"/>
      <c r="Z280" s="51"/>
      <c r="AA280" s="51"/>
    </row>
    <row r="281" spans="1:27" ht="13.65" customHeight="1" x14ac:dyDescent="0.3">
      <c r="A281" s="49"/>
      <c r="B281" s="57"/>
      <c r="C281" s="51"/>
      <c r="D281" s="51"/>
      <c r="E281" s="51"/>
      <c r="F281" s="51"/>
      <c r="G281" s="58"/>
      <c r="H281" s="51"/>
      <c r="I281" s="58"/>
      <c r="J281" s="51"/>
      <c r="K281" s="51"/>
      <c r="L281" s="51"/>
      <c r="M281" s="51"/>
      <c r="N281" s="51"/>
      <c r="O281" s="51"/>
      <c r="P281" s="51"/>
      <c r="Q281" s="51"/>
      <c r="R281" s="51"/>
      <c r="S281" s="51"/>
      <c r="T281" s="51"/>
      <c r="U281" s="51"/>
      <c r="V281" s="51"/>
      <c r="W281" s="51"/>
      <c r="X281" s="51"/>
      <c r="Y281" s="51"/>
      <c r="Z281" s="51"/>
      <c r="AA281" s="51"/>
    </row>
    <row r="282" spans="1:27" ht="13.65" customHeight="1" x14ac:dyDescent="0.3">
      <c r="A282" s="49"/>
      <c r="B282" s="57"/>
      <c r="C282" s="51"/>
      <c r="D282" s="51"/>
      <c r="E282" s="51"/>
      <c r="F282" s="51"/>
      <c r="G282" s="58"/>
      <c r="H282" s="51"/>
      <c r="I282" s="58"/>
      <c r="J282" s="51"/>
      <c r="K282" s="51"/>
      <c r="L282" s="51"/>
      <c r="M282" s="51"/>
      <c r="N282" s="51"/>
      <c r="O282" s="51"/>
      <c r="P282" s="51"/>
      <c r="Q282" s="51"/>
      <c r="R282" s="51"/>
      <c r="S282" s="51"/>
      <c r="T282" s="51"/>
      <c r="U282" s="51"/>
      <c r="V282" s="51"/>
      <c r="W282" s="51"/>
      <c r="X282" s="51"/>
      <c r="Y282" s="51"/>
      <c r="Z282" s="51"/>
      <c r="AA282" s="51"/>
    </row>
    <row r="283" spans="1:27" ht="13.65" customHeight="1" x14ac:dyDescent="0.3">
      <c r="A283" s="49"/>
      <c r="B283" s="57"/>
      <c r="C283" s="51"/>
      <c r="D283" s="51"/>
      <c r="E283" s="51"/>
      <c r="F283" s="51"/>
      <c r="G283" s="58"/>
      <c r="H283" s="51"/>
      <c r="I283" s="58"/>
      <c r="J283" s="51"/>
      <c r="K283" s="51"/>
      <c r="L283" s="51"/>
      <c r="M283" s="51"/>
      <c r="N283" s="51"/>
      <c r="O283" s="51"/>
      <c r="P283" s="51"/>
      <c r="Q283" s="51"/>
      <c r="R283" s="51"/>
      <c r="S283" s="51"/>
      <c r="T283" s="51"/>
      <c r="U283" s="51"/>
      <c r="V283" s="51"/>
      <c r="W283" s="51"/>
      <c r="X283" s="51"/>
      <c r="Y283" s="51"/>
      <c r="Z283" s="51"/>
      <c r="AA283" s="51"/>
    </row>
    <row r="284" spans="1:27" ht="13.65" customHeight="1" x14ac:dyDescent="0.3">
      <c r="A284" s="49"/>
      <c r="B284" s="57"/>
      <c r="C284" s="51"/>
      <c r="D284" s="51"/>
      <c r="E284" s="51"/>
      <c r="F284" s="51"/>
      <c r="G284" s="58"/>
      <c r="H284" s="51"/>
      <c r="I284" s="58"/>
      <c r="J284" s="51"/>
      <c r="K284" s="51"/>
      <c r="L284" s="51"/>
      <c r="M284" s="51"/>
      <c r="N284" s="51"/>
      <c r="O284" s="51"/>
      <c r="P284" s="51"/>
      <c r="Q284" s="51"/>
      <c r="R284" s="51"/>
      <c r="S284" s="51"/>
      <c r="T284" s="51"/>
      <c r="U284" s="51"/>
      <c r="V284" s="51"/>
      <c r="W284" s="51"/>
      <c r="X284" s="51"/>
      <c r="Y284" s="51"/>
      <c r="Z284" s="51"/>
      <c r="AA284" s="51"/>
    </row>
    <row r="285" spans="1:27" ht="13.65" customHeight="1" x14ac:dyDescent="0.3">
      <c r="A285" s="49"/>
      <c r="B285" s="57"/>
      <c r="C285" s="51"/>
      <c r="D285" s="51"/>
      <c r="E285" s="51"/>
      <c r="F285" s="51"/>
      <c r="G285" s="58"/>
      <c r="H285" s="51"/>
      <c r="I285" s="58"/>
      <c r="J285" s="51"/>
      <c r="K285" s="51"/>
      <c r="L285" s="51"/>
      <c r="M285" s="51"/>
      <c r="N285" s="51"/>
      <c r="O285" s="51"/>
      <c r="P285" s="51"/>
      <c r="Q285" s="51"/>
      <c r="R285" s="51"/>
      <c r="S285" s="51"/>
      <c r="T285" s="51"/>
      <c r="U285" s="51"/>
      <c r="V285" s="51"/>
      <c r="W285" s="51"/>
      <c r="X285" s="51"/>
      <c r="Y285" s="51"/>
      <c r="Z285" s="51"/>
      <c r="AA285" s="51"/>
    </row>
    <row r="286" spans="1:27" ht="13.65" customHeight="1" x14ac:dyDescent="0.3">
      <c r="A286" s="49"/>
      <c r="B286" s="57"/>
      <c r="C286" s="51"/>
      <c r="D286" s="51"/>
      <c r="E286" s="51"/>
      <c r="F286" s="51"/>
      <c r="G286" s="58"/>
      <c r="H286" s="51"/>
      <c r="I286" s="58"/>
      <c r="J286" s="51"/>
      <c r="K286" s="51"/>
      <c r="L286" s="51"/>
      <c r="M286" s="51"/>
      <c r="N286" s="51"/>
      <c r="O286" s="51"/>
      <c r="P286" s="51"/>
      <c r="Q286" s="51"/>
      <c r="R286" s="51"/>
      <c r="S286" s="51"/>
      <c r="T286" s="51"/>
      <c r="U286" s="51"/>
      <c r="V286" s="51"/>
      <c r="W286" s="51"/>
      <c r="X286" s="51"/>
      <c r="Y286" s="51"/>
      <c r="Z286" s="51"/>
      <c r="AA286" s="51"/>
    </row>
    <row r="287" spans="1:27" ht="13.65" customHeight="1" x14ac:dyDescent="0.3">
      <c r="A287" s="49"/>
      <c r="B287" s="57"/>
      <c r="C287" s="51"/>
      <c r="D287" s="51"/>
      <c r="E287" s="51"/>
      <c r="F287" s="51"/>
      <c r="G287" s="58"/>
      <c r="H287" s="51"/>
      <c r="I287" s="58"/>
      <c r="J287" s="51"/>
      <c r="K287" s="51"/>
      <c r="L287" s="51"/>
      <c r="M287" s="51"/>
      <c r="N287" s="51"/>
      <c r="O287" s="51"/>
      <c r="P287" s="51"/>
      <c r="Q287" s="51"/>
      <c r="R287" s="51"/>
      <c r="S287" s="51"/>
      <c r="T287" s="51"/>
      <c r="U287" s="51"/>
      <c r="V287" s="51"/>
      <c r="W287" s="51"/>
      <c r="X287" s="51"/>
      <c r="Y287" s="51"/>
      <c r="Z287" s="51"/>
      <c r="AA287" s="51"/>
    </row>
    <row r="288" spans="1:27" ht="13.65" customHeight="1" x14ac:dyDescent="0.3">
      <c r="A288" s="49"/>
      <c r="B288" s="57"/>
      <c r="C288" s="51"/>
      <c r="D288" s="51"/>
      <c r="E288" s="51"/>
      <c r="F288" s="51"/>
      <c r="G288" s="58"/>
      <c r="H288" s="51"/>
      <c r="I288" s="58"/>
      <c r="J288" s="51"/>
      <c r="K288" s="51"/>
      <c r="L288" s="51"/>
      <c r="M288" s="51"/>
      <c r="N288" s="51"/>
      <c r="O288" s="51"/>
      <c r="P288" s="51"/>
      <c r="Q288" s="51"/>
      <c r="R288" s="51"/>
      <c r="S288" s="51"/>
      <c r="T288" s="51"/>
      <c r="U288" s="51"/>
      <c r="V288" s="51"/>
      <c r="W288" s="51"/>
      <c r="X288" s="51"/>
      <c r="Y288" s="51"/>
      <c r="Z288" s="51"/>
      <c r="AA288" s="51"/>
    </row>
    <row r="289" spans="1:27" ht="13.65" customHeight="1" x14ac:dyDescent="0.3">
      <c r="A289" s="49"/>
      <c r="B289" s="57"/>
      <c r="C289" s="51"/>
      <c r="D289" s="51"/>
      <c r="E289" s="51"/>
      <c r="F289" s="51"/>
      <c r="G289" s="58"/>
      <c r="H289" s="51"/>
      <c r="I289" s="58"/>
      <c r="J289" s="51"/>
      <c r="K289" s="51"/>
      <c r="L289" s="51"/>
      <c r="M289" s="51"/>
      <c r="N289" s="51"/>
      <c r="O289" s="51"/>
      <c r="P289" s="51"/>
      <c r="Q289" s="51"/>
      <c r="R289" s="51"/>
      <c r="S289" s="51"/>
      <c r="T289" s="51"/>
      <c r="U289" s="51"/>
      <c r="V289" s="51"/>
      <c r="W289" s="51"/>
      <c r="X289" s="51"/>
      <c r="Y289" s="51"/>
      <c r="Z289" s="51"/>
      <c r="AA289" s="51"/>
    </row>
    <row r="290" spans="1:27" ht="13.65" customHeight="1" x14ac:dyDescent="0.3">
      <c r="A290" s="49"/>
      <c r="B290" s="57"/>
      <c r="C290" s="51"/>
      <c r="D290" s="51"/>
      <c r="E290" s="51"/>
      <c r="F290" s="51"/>
      <c r="G290" s="58"/>
      <c r="H290" s="51"/>
      <c r="I290" s="58"/>
      <c r="J290" s="51"/>
      <c r="K290" s="51"/>
      <c r="L290" s="51"/>
      <c r="M290" s="51"/>
      <c r="N290" s="51"/>
      <c r="O290" s="51"/>
      <c r="P290" s="51"/>
      <c r="Q290" s="51"/>
      <c r="R290" s="51"/>
      <c r="S290" s="51"/>
      <c r="T290" s="51"/>
      <c r="U290" s="51"/>
      <c r="V290" s="51"/>
      <c r="W290" s="51"/>
      <c r="X290" s="51"/>
      <c r="Y290" s="51"/>
      <c r="Z290" s="51"/>
      <c r="AA290" s="51"/>
    </row>
    <row r="291" spans="1:27" ht="13.65" customHeight="1" x14ac:dyDescent="0.3">
      <c r="A291" s="49"/>
      <c r="B291" s="57"/>
      <c r="C291" s="51"/>
      <c r="D291" s="51"/>
      <c r="E291" s="51"/>
      <c r="F291" s="51"/>
      <c r="G291" s="58"/>
      <c r="H291" s="51"/>
      <c r="I291" s="58"/>
      <c r="J291" s="51"/>
      <c r="K291" s="51"/>
      <c r="L291" s="51"/>
      <c r="M291" s="51"/>
      <c r="N291" s="51"/>
      <c r="O291" s="51"/>
      <c r="P291" s="51"/>
      <c r="Q291" s="51"/>
      <c r="R291" s="51"/>
      <c r="S291" s="51"/>
      <c r="T291" s="51"/>
      <c r="U291" s="51"/>
      <c r="V291" s="51"/>
      <c r="W291" s="51"/>
      <c r="X291" s="51"/>
      <c r="Y291" s="51"/>
      <c r="Z291" s="51"/>
      <c r="AA291" s="51"/>
    </row>
    <row r="292" spans="1:27" ht="13.65" customHeight="1" x14ac:dyDescent="0.3">
      <c r="A292" s="49"/>
      <c r="B292" s="57"/>
      <c r="C292" s="51"/>
      <c r="D292" s="51"/>
      <c r="E292" s="51"/>
      <c r="F292" s="51"/>
      <c r="G292" s="58"/>
      <c r="H292" s="51"/>
      <c r="I292" s="58"/>
      <c r="J292" s="51"/>
      <c r="K292" s="51"/>
      <c r="L292" s="51"/>
      <c r="M292" s="51"/>
      <c r="N292" s="51"/>
      <c r="O292" s="51"/>
      <c r="P292" s="51"/>
      <c r="Q292" s="51"/>
      <c r="R292" s="51"/>
      <c r="S292" s="51"/>
      <c r="T292" s="51"/>
      <c r="U292" s="51"/>
      <c r="V292" s="51"/>
      <c r="W292" s="51"/>
      <c r="X292" s="51"/>
      <c r="Y292" s="51"/>
      <c r="Z292" s="51"/>
      <c r="AA292" s="51"/>
    </row>
    <row r="293" spans="1:27" ht="13.65" customHeight="1" x14ac:dyDescent="0.3">
      <c r="A293" s="49"/>
      <c r="B293" s="57"/>
      <c r="C293" s="51"/>
      <c r="D293" s="51"/>
      <c r="E293" s="51"/>
      <c r="F293" s="51"/>
      <c r="G293" s="58"/>
      <c r="H293" s="51"/>
      <c r="I293" s="58"/>
      <c r="J293" s="51"/>
      <c r="K293" s="51"/>
      <c r="L293" s="51"/>
      <c r="M293" s="51"/>
      <c r="N293" s="51"/>
      <c r="O293" s="51"/>
      <c r="P293" s="51"/>
      <c r="Q293" s="51"/>
      <c r="R293" s="51"/>
      <c r="S293" s="51"/>
      <c r="T293" s="51"/>
      <c r="U293" s="51"/>
      <c r="V293" s="51"/>
      <c r="W293" s="51"/>
      <c r="X293" s="51"/>
      <c r="Y293" s="51"/>
      <c r="Z293" s="51"/>
      <c r="AA293" s="51"/>
    </row>
    <row r="294" spans="1:27" ht="13.65" customHeight="1" x14ac:dyDescent="0.3">
      <c r="A294" s="49"/>
      <c r="B294" s="57"/>
      <c r="C294" s="51"/>
      <c r="D294" s="51"/>
      <c r="E294" s="51"/>
      <c r="F294" s="51"/>
      <c r="G294" s="58"/>
      <c r="H294" s="51"/>
      <c r="I294" s="58"/>
      <c r="J294" s="51"/>
      <c r="K294" s="51"/>
      <c r="L294" s="51"/>
      <c r="M294" s="51"/>
      <c r="N294" s="51"/>
      <c r="O294" s="51"/>
      <c r="P294" s="51"/>
      <c r="Q294" s="51"/>
      <c r="R294" s="51"/>
      <c r="S294" s="51"/>
      <c r="T294" s="51"/>
      <c r="U294" s="51"/>
      <c r="V294" s="51"/>
      <c r="W294" s="51"/>
      <c r="X294" s="51"/>
      <c r="Y294" s="51"/>
      <c r="Z294" s="51"/>
      <c r="AA294" s="51"/>
    </row>
    <row r="295" spans="1:27" ht="13.65" customHeight="1" x14ac:dyDescent="0.3">
      <c r="A295" s="49"/>
      <c r="B295" s="57"/>
      <c r="C295" s="51"/>
      <c r="D295" s="51"/>
      <c r="E295" s="51"/>
      <c r="F295" s="51"/>
      <c r="G295" s="58"/>
      <c r="H295" s="51"/>
      <c r="I295" s="58"/>
      <c r="J295" s="51"/>
      <c r="K295" s="51"/>
      <c r="L295" s="51"/>
      <c r="M295" s="51"/>
      <c r="N295" s="51"/>
      <c r="O295" s="51"/>
      <c r="P295" s="51"/>
      <c r="Q295" s="51"/>
      <c r="R295" s="51"/>
      <c r="S295" s="51"/>
      <c r="T295" s="51"/>
      <c r="U295" s="51"/>
      <c r="V295" s="51"/>
      <c r="W295" s="51"/>
      <c r="X295" s="51"/>
      <c r="Y295" s="51"/>
      <c r="Z295" s="51"/>
      <c r="AA295" s="51"/>
    </row>
    <row r="296" spans="1:27" ht="13.65" customHeight="1" x14ac:dyDescent="0.3">
      <c r="A296" s="49"/>
      <c r="B296" s="57"/>
      <c r="C296" s="51"/>
      <c r="D296" s="51"/>
      <c r="E296" s="51"/>
      <c r="F296" s="51"/>
      <c r="G296" s="58"/>
      <c r="H296" s="51"/>
      <c r="I296" s="58"/>
      <c r="J296" s="51"/>
      <c r="K296" s="51"/>
      <c r="L296" s="51"/>
      <c r="M296" s="51"/>
      <c r="N296" s="51"/>
      <c r="O296" s="51"/>
      <c r="P296" s="51"/>
      <c r="Q296" s="51"/>
      <c r="R296" s="51"/>
      <c r="S296" s="51"/>
      <c r="T296" s="51"/>
      <c r="U296" s="51"/>
      <c r="V296" s="51"/>
      <c r="W296" s="51"/>
      <c r="X296" s="51"/>
      <c r="Y296" s="51"/>
      <c r="Z296" s="51"/>
      <c r="AA296" s="51"/>
    </row>
    <row r="297" spans="1:27" ht="13.65" customHeight="1" x14ac:dyDescent="0.3">
      <c r="A297" s="49"/>
      <c r="B297" s="57"/>
      <c r="C297" s="51"/>
      <c r="D297" s="51"/>
      <c r="E297" s="51"/>
      <c r="F297" s="51"/>
      <c r="G297" s="58"/>
      <c r="H297" s="51"/>
      <c r="I297" s="58"/>
      <c r="J297" s="51"/>
      <c r="K297" s="51"/>
      <c r="L297" s="51"/>
      <c r="M297" s="51"/>
      <c r="N297" s="51"/>
      <c r="O297" s="51"/>
      <c r="P297" s="51"/>
      <c r="Q297" s="51"/>
      <c r="R297" s="51"/>
      <c r="S297" s="51"/>
      <c r="T297" s="51"/>
      <c r="U297" s="51"/>
      <c r="V297" s="51"/>
      <c r="W297" s="51"/>
      <c r="X297" s="51"/>
      <c r="Y297" s="51"/>
      <c r="Z297" s="51"/>
      <c r="AA297" s="51"/>
    </row>
    <row r="298" spans="1:27" ht="13.65" customHeight="1" x14ac:dyDescent="0.3">
      <c r="A298" s="49"/>
      <c r="B298" s="57"/>
      <c r="C298" s="51"/>
      <c r="D298" s="51"/>
      <c r="E298" s="51"/>
      <c r="F298" s="51"/>
      <c r="G298" s="58"/>
      <c r="H298" s="51"/>
      <c r="I298" s="58"/>
      <c r="J298" s="51"/>
      <c r="K298" s="51"/>
      <c r="L298" s="51"/>
      <c r="M298" s="51"/>
      <c r="N298" s="51"/>
      <c r="O298" s="51"/>
      <c r="P298" s="51"/>
      <c r="Q298" s="51"/>
      <c r="R298" s="51"/>
      <c r="S298" s="51"/>
      <c r="T298" s="51"/>
      <c r="U298" s="51"/>
      <c r="V298" s="51"/>
      <c r="W298" s="51"/>
      <c r="X298" s="51"/>
      <c r="Y298" s="51"/>
      <c r="Z298" s="51"/>
      <c r="AA298" s="51"/>
    </row>
    <row r="299" spans="1:27" ht="13.65" customHeight="1" x14ac:dyDescent="0.3">
      <c r="A299" s="49"/>
      <c r="B299" s="57"/>
      <c r="C299" s="51"/>
      <c r="D299" s="51"/>
      <c r="E299" s="51"/>
      <c r="F299" s="51"/>
      <c r="G299" s="58"/>
      <c r="H299" s="51"/>
      <c r="I299" s="58"/>
      <c r="J299" s="51"/>
      <c r="K299" s="51"/>
      <c r="L299" s="51"/>
      <c r="M299" s="51"/>
      <c r="N299" s="51"/>
      <c r="O299" s="51"/>
      <c r="P299" s="51"/>
      <c r="Q299" s="51"/>
      <c r="R299" s="51"/>
      <c r="S299" s="51"/>
      <c r="T299" s="51"/>
      <c r="U299" s="51"/>
      <c r="V299" s="51"/>
      <c r="W299" s="51"/>
      <c r="X299" s="51"/>
      <c r="Y299" s="51"/>
      <c r="Z299" s="51"/>
      <c r="AA299" s="51"/>
    </row>
    <row r="300" spans="1:27" ht="13.65" customHeight="1" x14ac:dyDescent="0.3">
      <c r="A300" s="49"/>
      <c r="B300" s="57"/>
      <c r="C300" s="51"/>
      <c r="D300" s="51"/>
      <c r="E300" s="51"/>
      <c r="F300" s="51"/>
      <c r="G300" s="58"/>
      <c r="H300" s="51"/>
      <c r="I300" s="58"/>
      <c r="J300" s="51"/>
      <c r="K300" s="51"/>
      <c r="L300" s="51"/>
      <c r="M300" s="51"/>
      <c r="N300" s="51"/>
      <c r="O300" s="51"/>
      <c r="P300" s="51"/>
      <c r="Q300" s="51"/>
      <c r="R300" s="51"/>
      <c r="S300" s="51"/>
      <c r="T300" s="51"/>
      <c r="U300" s="51"/>
      <c r="V300" s="51"/>
      <c r="W300" s="51"/>
      <c r="X300" s="51"/>
      <c r="Y300" s="51"/>
      <c r="Z300" s="51"/>
      <c r="AA300" s="51"/>
    </row>
    <row r="301" spans="1:27" ht="13.65" customHeight="1" x14ac:dyDescent="0.3">
      <c r="A301" s="49"/>
      <c r="B301" s="57"/>
      <c r="C301" s="51"/>
      <c r="D301" s="51"/>
      <c r="E301" s="51"/>
      <c r="F301" s="51"/>
      <c r="G301" s="58"/>
      <c r="H301" s="51"/>
      <c r="I301" s="58"/>
      <c r="J301" s="51"/>
      <c r="K301" s="51"/>
      <c r="L301" s="51"/>
      <c r="M301" s="51"/>
      <c r="N301" s="51"/>
      <c r="O301" s="51"/>
      <c r="P301" s="51"/>
      <c r="Q301" s="51"/>
      <c r="R301" s="51"/>
      <c r="S301" s="51"/>
      <c r="T301" s="51"/>
      <c r="U301" s="51"/>
      <c r="V301" s="51"/>
      <c r="W301" s="51"/>
      <c r="X301" s="51"/>
      <c r="Y301" s="51"/>
      <c r="Z301" s="51"/>
      <c r="AA301" s="51"/>
    </row>
    <row r="302" spans="1:27" ht="13.65" customHeight="1" x14ac:dyDescent="0.3">
      <c r="A302" s="49"/>
      <c r="B302" s="57"/>
      <c r="C302" s="51"/>
      <c r="D302" s="51"/>
      <c r="E302" s="51"/>
      <c r="F302" s="51"/>
      <c r="G302" s="58"/>
      <c r="H302" s="51"/>
      <c r="I302" s="58"/>
      <c r="J302" s="51"/>
      <c r="K302" s="51"/>
      <c r="L302" s="51"/>
      <c r="M302" s="51"/>
      <c r="N302" s="51"/>
      <c r="O302" s="51"/>
      <c r="P302" s="51"/>
      <c r="Q302" s="51"/>
      <c r="R302" s="51"/>
      <c r="S302" s="51"/>
      <c r="T302" s="51"/>
      <c r="U302" s="51"/>
      <c r="V302" s="51"/>
      <c r="W302" s="51"/>
      <c r="X302" s="51"/>
      <c r="Y302" s="51"/>
      <c r="Z302" s="51"/>
      <c r="AA302" s="51"/>
    </row>
    <row r="303" spans="1:27" ht="13.65" customHeight="1" x14ac:dyDescent="0.3">
      <c r="A303" s="49"/>
      <c r="B303" s="57"/>
      <c r="C303" s="51"/>
      <c r="D303" s="51"/>
      <c r="E303" s="51"/>
      <c r="F303" s="51"/>
      <c r="G303" s="58"/>
      <c r="H303" s="51"/>
      <c r="I303" s="58"/>
      <c r="J303" s="51"/>
      <c r="K303" s="51"/>
      <c r="L303" s="51"/>
      <c r="M303" s="51"/>
      <c r="N303" s="51"/>
      <c r="O303" s="51"/>
      <c r="P303" s="51"/>
      <c r="Q303" s="51"/>
      <c r="R303" s="51"/>
      <c r="S303" s="51"/>
      <c r="T303" s="51"/>
      <c r="U303" s="51"/>
      <c r="V303" s="51"/>
      <c r="W303" s="51"/>
      <c r="X303" s="51"/>
      <c r="Y303" s="51"/>
      <c r="Z303" s="51"/>
      <c r="AA303" s="51"/>
    </row>
    <row r="304" spans="1:27" ht="13.65" customHeight="1" x14ac:dyDescent="0.3">
      <c r="A304" s="49"/>
      <c r="B304" s="57"/>
      <c r="C304" s="51"/>
      <c r="D304" s="51"/>
      <c r="E304" s="51"/>
      <c r="F304" s="51"/>
      <c r="G304" s="58"/>
      <c r="H304" s="51"/>
      <c r="I304" s="58"/>
      <c r="J304" s="51"/>
      <c r="K304" s="51"/>
      <c r="L304" s="51"/>
      <c r="M304" s="51"/>
      <c r="N304" s="51"/>
      <c r="O304" s="51"/>
      <c r="P304" s="51"/>
      <c r="Q304" s="51"/>
      <c r="R304" s="51"/>
      <c r="S304" s="51"/>
      <c r="T304" s="51"/>
      <c r="U304" s="51"/>
      <c r="V304" s="51"/>
      <c r="W304" s="51"/>
      <c r="X304" s="51"/>
      <c r="Y304" s="51"/>
      <c r="Z304" s="51"/>
      <c r="AA304" s="51"/>
    </row>
    <row r="305" spans="1:27" ht="13.65" customHeight="1" x14ac:dyDescent="0.3">
      <c r="A305" s="49"/>
      <c r="B305" s="57"/>
      <c r="C305" s="51"/>
      <c r="D305" s="51"/>
      <c r="E305" s="51"/>
      <c r="F305" s="51"/>
      <c r="G305" s="58"/>
      <c r="H305" s="51"/>
      <c r="I305" s="58"/>
      <c r="J305" s="51"/>
      <c r="K305" s="51"/>
      <c r="L305" s="51"/>
      <c r="M305" s="51"/>
      <c r="N305" s="51"/>
      <c r="O305" s="51"/>
      <c r="P305" s="51"/>
      <c r="Q305" s="51"/>
      <c r="R305" s="51"/>
      <c r="S305" s="51"/>
      <c r="T305" s="51"/>
      <c r="U305" s="51"/>
      <c r="V305" s="51"/>
      <c r="W305" s="51"/>
      <c r="X305" s="51"/>
      <c r="Y305" s="51"/>
      <c r="Z305" s="51"/>
      <c r="AA305" s="51"/>
    </row>
    <row r="306" spans="1:27" ht="13.65" customHeight="1" x14ac:dyDescent="0.3">
      <c r="A306" s="49"/>
      <c r="B306" s="57"/>
      <c r="C306" s="51"/>
      <c r="D306" s="51"/>
      <c r="E306" s="51"/>
      <c r="F306" s="51"/>
      <c r="G306" s="58"/>
      <c r="H306" s="51"/>
      <c r="I306" s="58"/>
      <c r="J306" s="51"/>
      <c r="K306" s="51"/>
      <c r="L306" s="51"/>
      <c r="M306" s="51"/>
      <c r="N306" s="51"/>
      <c r="O306" s="51"/>
      <c r="P306" s="51"/>
      <c r="Q306" s="51"/>
      <c r="R306" s="51"/>
      <c r="S306" s="51"/>
      <c r="T306" s="51"/>
      <c r="U306" s="51"/>
      <c r="V306" s="51"/>
      <c r="W306" s="51"/>
      <c r="X306" s="51"/>
      <c r="Y306" s="51"/>
      <c r="Z306" s="51"/>
      <c r="AA306" s="51"/>
    </row>
    <row r="307" spans="1:27" ht="13.65" customHeight="1" x14ac:dyDescent="0.3">
      <c r="A307" s="49"/>
      <c r="B307" s="57"/>
      <c r="C307" s="51"/>
      <c r="D307" s="51"/>
      <c r="E307" s="51"/>
      <c r="F307" s="51"/>
      <c r="G307" s="58"/>
      <c r="H307" s="51"/>
      <c r="I307" s="58"/>
      <c r="J307" s="51"/>
      <c r="K307" s="51"/>
      <c r="L307" s="51"/>
      <c r="M307" s="51"/>
      <c r="N307" s="51"/>
      <c r="O307" s="51"/>
      <c r="P307" s="51"/>
      <c r="Q307" s="51"/>
      <c r="R307" s="51"/>
      <c r="S307" s="51"/>
      <c r="T307" s="51"/>
      <c r="U307" s="51"/>
      <c r="V307" s="51"/>
      <c r="W307" s="51"/>
      <c r="X307" s="51"/>
      <c r="Y307" s="51"/>
      <c r="Z307" s="51"/>
      <c r="AA307" s="51"/>
    </row>
    <row r="308" spans="1:27" ht="13.65" customHeight="1" x14ac:dyDescent="0.3">
      <c r="A308" s="49"/>
      <c r="B308" s="57"/>
      <c r="C308" s="51"/>
      <c r="D308" s="51"/>
      <c r="E308" s="51"/>
      <c r="F308" s="51"/>
      <c r="G308" s="58"/>
      <c r="H308" s="51"/>
      <c r="I308" s="58"/>
      <c r="J308" s="51"/>
      <c r="K308" s="51"/>
      <c r="L308" s="51"/>
      <c r="M308" s="51"/>
      <c r="N308" s="51"/>
      <c r="O308" s="51"/>
      <c r="P308" s="51"/>
      <c r="Q308" s="51"/>
      <c r="R308" s="51"/>
      <c r="S308" s="51"/>
      <c r="T308" s="51"/>
      <c r="U308" s="51"/>
      <c r="V308" s="51"/>
      <c r="W308" s="51"/>
      <c r="X308" s="51"/>
      <c r="Y308" s="51"/>
      <c r="Z308" s="51"/>
      <c r="AA308" s="51"/>
    </row>
    <row r="309" spans="1:27" ht="13.65" customHeight="1" x14ac:dyDescent="0.3">
      <c r="A309" s="49"/>
      <c r="B309" s="57"/>
      <c r="C309" s="51"/>
      <c r="D309" s="51"/>
      <c r="E309" s="51"/>
      <c r="F309" s="51"/>
      <c r="G309" s="58"/>
      <c r="H309" s="51"/>
      <c r="I309" s="58"/>
      <c r="J309" s="51"/>
      <c r="K309" s="51"/>
      <c r="L309" s="51"/>
      <c r="M309" s="51"/>
      <c r="N309" s="51"/>
      <c r="O309" s="51"/>
      <c r="P309" s="51"/>
      <c r="Q309" s="51"/>
      <c r="R309" s="51"/>
      <c r="S309" s="51"/>
      <c r="T309" s="51"/>
      <c r="U309" s="51"/>
      <c r="V309" s="51"/>
      <c r="W309" s="51"/>
      <c r="X309" s="51"/>
      <c r="Y309" s="51"/>
      <c r="Z309" s="51"/>
      <c r="AA309" s="51"/>
    </row>
    <row r="310" spans="1:27" ht="13.65" customHeight="1" x14ac:dyDescent="0.3">
      <c r="A310" s="49"/>
      <c r="B310" s="57"/>
      <c r="C310" s="51"/>
      <c r="D310" s="51"/>
      <c r="E310" s="51"/>
      <c r="F310" s="51"/>
      <c r="G310" s="58"/>
      <c r="H310" s="51"/>
      <c r="I310" s="58"/>
      <c r="J310" s="51"/>
      <c r="K310" s="51"/>
      <c r="L310" s="51"/>
      <c r="M310" s="51"/>
      <c r="N310" s="51"/>
      <c r="O310" s="51"/>
      <c r="P310" s="51"/>
      <c r="Q310" s="51"/>
      <c r="R310" s="51"/>
      <c r="S310" s="51"/>
      <c r="T310" s="51"/>
      <c r="U310" s="51"/>
      <c r="V310" s="51"/>
      <c r="W310" s="51"/>
      <c r="X310" s="51"/>
      <c r="Y310" s="51"/>
      <c r="Z310" s="51"/>
      <c r="AA310" s="51"/>
    </row>
    <row r="311" spans="1:27" ht="13.65" customHeight="1" x14ac:dyDescent="0.3">
      <c r="A311" s="49"/>
      <c r="B311" s="57"/>
      <c r="C311" s="51"/>
      <c r="D311" s="51"/>
      <c r="E311" s="51"/>
      <c r="F311" s="51"/>
      <c r="G311" s="58"/>
      <c r="H311" s="51"/>
      <c r="I311" s="58"/>
      <c r="J311" s="51"/>
      <c r="K311" s="51"/>
      <c r="L311" s="51"/>
      <c r="M311" s="51"/>
      <c r="N311" s="51"/>
      <c r="O311" s="51"/>
      <c r="P311" s="51"/>
      <c r="Q311" s="51"/>
      <c r="R311" s="51"/>
      <c r="S311" s="51"/>
      <c r="T311" s="51"/>
      <c r="U311" s="51"/>
      <c r="V311" s="51"/>
      <c r="W311" s="51"/>
      <c r="X311" s="51"/>
      <c r="Y311" s="51"/>
      <c r="Z311" s="51"/>
      <c r="AA311" s="51"/>
    </row>
    <row r="312" spans="1:27" ht="13.65" customHeight="1" x14ac:dyDescent="0.3">
      <c r="A312" s="49"/>
      <c r="B312" s="57"/>
      <c r="C312" s="51"/>
      <c r="D312" s="51"/>
      <c r="E312" s="51"/>
      <c r="F312" s="51"/>
      <c r="G312" s="58"/>
      <c r="H312" s="51"/>
      <c r="I312" s="58"/>
      <c r="J312" s="51"/>
      <c r="K312" s="51"/>
      <c r="L312" s="51"/>
      <c r="M312" s="51"/>
      <c r="N312" s="51"/>
      <c r="O312" s="51"/>
      <c r="P312" s="51"/>
      <c r="Q312" s="51"/>
      <c r="R312" s="51"/>
      <c r="S312" s="51"/>
      <c r="T312" s="51"/>
      <c r="U312" s="51"/>
      <c r="V312" s="51"/>
      <c r="W312" s="51"/>
      <c r="X312" s="51"/>
      <c r="Y312" s="51"/>
      <c r="Z312" s="51"/>
      <c r="AA312" s="51"/>
    </row>
    <row r="313" spans="1:27" ht="13.65" customHeight="1" x14ac:dyDescent="0.3">
      <c r="A313" s="49"/>
      <c r="B313" s="57"/>
      <c r="C313" s="51"/>
      <c r="D313" s="51"/>
      <c r="E313" s="51"/>
      <c r="F313" s="51"/>
      <c r="G313" s="58"/>
      <c r="H313" s="51"/>
      <c r="I313" s="58"/>
      <c r="J313" s="51"/>
      <c r="K313" s="51"/>
      <c r="L313" s="51"/>
      <c r="M313" s="51"/>
      <c r="N313" s="51"/>
      <c r="O313" s="51"/>
      <c r="P313" s="51"/>
      <c r="Q313" s="51"/>
      <c r="R313" s="51"/>
      <c r="S313" s="51"/>
      <c r="T313" s="51"/>
      <c r="U313" s="51"/>
      <c r="V313" s="51"/>
      <c r="W313" s="51"/>
      <c r="X313" s="51"/>
      <c r="Y313" s="51"/>
      <c r="Z313" s="51"/>
      <c r="AA313" s="51"/>
    </row>
    <row r="314" spans="1:27" ht="13.65" customHeight="1" x14ac:dyDescent="0.3">
      <c r="A314" s="49"/>
      <c r="B314" s="57"/>
      <c r="C314" s="51"/>
      <c r="D314" s="51"/>
      <c r="E314" s="51"/>
      <c r="F314" s="51"/>
      <c r="G314" s="58"/>
      <c r="H314" s="51"/>
      <c r="I314" s="58"/>
      <c r="J314" s="51"/>
      <c r="K314" s="51"/>
      <c r="L314" s="51"/>
      <c r="M314" s="51"/>
      <c r="N314" s="51"/>
      <c r="O314" s="51"/>
      <c r="P314" s="51"/>
      <c r="Q314" s="51"/>
      <c r="R314" s="51"/>
      <c r="S314" s="51"/>
      <c r="T314" s="51"/>
      <c r="U314" s="51"/>
      <c r="V314" s="51"/>
      <c r="W314" s="51"/>
      <c r="X314" s="51"/>
      <c r="Y314" s="51"/>
      <c r="Z314" s="51"/>
      <c r="AA314" s="51"/>
    </row>
    <row r="315" spans="1:27" ht="13.65" customHeight="1" x14ac:dyDescent="0.3">
      <c r="A315" s="49"/>
      <c r="B315" s="57"/>
      <c r="C315" s="51"/>
      <c r="D315" s="51"/>
      <c r="E315" s="51"/>
      <c r="F315" s="51"/>
      <c r="G315" s="58"/>
      <c r="H315" s="51"/>
      <c r="I315" s="58"/>
      <c r="J315" s="51"/>
      <c r="K315" s="51"/>
      <c r="L315" s="51"/>
      <c r="M315" s="51"/>
      <c r="N315" s="51"/>
      <c r="O315" s="51"/>
      <c r="P315" s="51"/>
      <c r="Q315" s="51"/>
      <c r="R315" s="51"/>
      <c r="S315" s="51"/>
      <c r="T315" s="51"/>
      <c r="U315" s="51"/>
      <c r="V315" s="51"/>
      <c r="W315" s="51"/>
      <c r="X315" s="51"/>
      <c r="Y315" s="51"/>
      <c r="Z315" s="51"/>
      <c r="AA315" s="51"/>
    </row>
    <row r="316" spans="1:27" ht="13.65" customHeight="1" x14ac:dyDescent="0.3">
      <c r="A316" s="49"/>
      <c r="B316" s="57"/>
      <c r="C316" s="51"/>
      <c r="D316" s="51"/>
      <c r="E316" s="51"/>
      <c r="F316" s="51"/>
      <c r="G316" s="58"/>
      <c r="H316" s="51"/>
      <c r="I316" s="58"/>
      <c r="J316" s="51"/>
      <c r="K316" s="51"/>
      <c r="L316" s="51"/>
      <c r="M316" s="51"/>
      <c r="N316" s="51"/>
      <c r="O316" s="51"/>
      <c r="P316" s="51"/>
      <c r="Q316" s="51"/>
      <c r="R316" s="51"/>
      <c r="S316" s="51"/>
      <c r="T316" s="51"/>
      <c r="U316" s="51"/>
      <c r="V316" s="51"/>
      <c r="W316" s="51"/>
      <c r="X316" s="51"/>
      <c r="Y316" s="51"/>
      <c r="Z316" s="51"/>
      <c r="AA316" s="51"/>
    </row>
    <row r="317" spans="1:27" ht="13.65" customHeight="1" x14ac:dyDescent="0.3">
      <c r="A317" s="49"/>
      <c r="B317" s="57"/>
      <c r="C317" s="51"/>
      <c r="D317" s="51"/>
      <c r="E317" s="51"/>
      <c r="F317" s="51"/>
      <c r="G317" s="58"/>
      <c r="H317" s="51"/>
      <c r="I317" s="58"/>
      <c r="J317" s="51"/>
      <c r="K317" s="51"/>
      <c r="L317" s="51"/>
      <c r="M317" s="51"/>
      <c r="N317" s="51"/>
      <c r="O317" s="51"/>
      <c r="P317" s="51"/>
      <c r="Q317" s="51"/>
      <c r="R317" s="51"/>
      <c r="S317" s="51"/>
      <c r="T317" s="51"/>
      <c r="U317" s="51"/>
      <c r="V317" s="51"/>
      <c r="W317" s="51"/>
      <c r="X317" s="51"/>
      <c r="Y317" s="51"/>
      <c r="Z317" s="51"/>
      <c r="AA317" s="51"/>
    </row>
    <row r="318" spans="1:27" ht="13.65" customHeight="1" x14ac:dyDescent="0.3">
      <c r="A318" s="49"/>
      <c r="B318" s="57"/>
      <c r="C318" s="51"/>
      <c r="D318" s="51"/>
      <c r="E318" s="51"/>
      <c r="F318" s="51"/>
      <c r="G318" s="58"/>
      <c r="H318" s="51"/>
      <c r="I318" s="58"/>
      <c r="J318" s="51"/>
      <c r="K318" s="51"/>
      <c r="L318" s="51"/>
      <c r="M318" s="51"/>
      <c r="N318" s="51"/>
      <c r="O318" s="51"/>
      <c r="P318" s="51"/>
      <c r="Q318" s="51"/>
      <c r="R318" s="51"/>
      <c r="S318" s="51"/>
      <c r="T318" s="51"/>
      <c r="U318" s="51"/>
      <c r="V318" s="51"/>
      <c r="W318" s="51"/>
      <c r="X318" s="51"/>
      <c r="Y318" s="51"/>
      <c r="Z318" s="51"/>
      <c r="AA318" s="51"/>
    </row>
    <row r="319" spans="1:27" ht="13.65" customHeight="1" x14ac:dyDescent="0.3">
      <c r="A319" s="49"/>
      <c r="B319" s="57"/>
      <c r="C319" s="51"/>
      <c r="D319" s="51"/>
      <c r="E319" s="51"/>
      <c r="F319" s="51"/>
      <c r="G319" s="58"/>
      <c r="H319" s="51"/>
      <c r="I319" s="58"/>
      <c r="J319" s="51"/>
      <c r="K319" s="51"/>
      <c r="L319" s="51"/>
      <c r="M319" s="51"/>
      <c r="N319" s="51"/>
      <c r="O319" s="51"/>
      <c r="P319" s="51"/>
      <c r="Q319" s="51"/>
      <c r="R319" s="51"/>
      <c r="S319" s="51"/>
      <c r="T319" s="51"/>
      <c r="U319" s="51"/>
      <c r="V319" s="51"/>
      <c r="W319" s="51"/>
      <c r="X319" s="51"/>
      <c r="Y319" s="51"/>
      <c r="Z319" s="51"/>
      <c r="AA319" s="51"/>
    </row>
    <row r="320" spans="1:27" ht="13.65" customHeight="1" x14ac:dyDescent="0.3">
      <c r="A320" s="49"/>
      <c r="B320" s="57"/>
      <c r="C320" s="51"/>
      <c r="D320" s="51"/>
      <c r="E320" s="51"/>
      <c r="F320" s="51"/>
      <c r="G320" s="58"/>
      <c r="H320" s="51"/>
      <c r="I320" s="58"/>
      <c r="J320" s="51"/>
      <c r="K320" s="51"/>
      <c r="L320" s="51"/>
      <c r="M320" s="51"/>
      <c r="N320" s="51"/>
      <c r="O320" s="51"/>
      <c r="P320" s="51"/>
      <c r="Q320" s="51"/>
      <c r="R320" s="51"/>
      <c r="S320" s="51"/>
      <c r="T320" s="51"/>
      <c r="U320" s="51"/>
      <c r="V320" s="51"/>
      <c r="W320" s="51"/>
      <c r="X320" s="51"/>
      <c r="Y320" s="51"/>
      <c r="Z320" s="51"/>
      <c r="AA320" s="51"/>
    </row>
    <row r="321" spans="1:27" ht="13.65" customHeight="1" x14ac:dyDescent="0.3">
      <c r="A321" s="49"/>
      <c r="B321" s="57"/>
      <c r="C321" s="51"/>
      <c r="D321" s="51"/>
      <c r="E321" s="51"/>
      <c r="F321" s="51"/>
      <c r="G321" s="58"/>
      <c r="H321" s="51"/>
      <c r="I321" s="58"/>
      <c r="J321" s="51"/>
      <c r="K321" s="51"/>
      <c r="L321" s="51"/>
      <c r="M321" s="51"/>
      <c r="N321" s="51"/>
      <c r="O321" s="51"/>
      <c r="P321" s="51"/>
      <c r="Q321" s="51"/>
      <c r="R321" s="51"/>
      <c r="S321" s="51"/>
      <c r="T321" s="51"/>
      <c r="U321" s="51"/>
      <c r="V321" s="51"/>
      <c r="W321" s="51"/>
      <c r="X321" s="51"/>
      <c r="Y321" s="51"/>
      <c r="Z321" s="51"/>
      <c r="AA321" s="51"/>
    </row>
    <row r="322" spans="1:27" ht="13.65" customHeight="1" x14ac:dyDescent="0.3">
      <c r="A322" s="49"/>
      <c r="B322" s="57"/>
      <c r="C322" s="51"/>
      <c r="D322" s="51"/>
      <c r="E322" s="51"/>
      <c r="F322" s="51"/>
      <c r="G322" s="58"/>
      <c r="H322" s="51"/>
      <c r="I322" s="58"/>
      <c r="J322" s="51"/>
      <c r="K322" s="51"/>
      <c r="L322" s="51"/>
      <c r="M322" s="51"/>
      <c r="N322" s="51"/>
      <c r="O322" s="51"/>
      <c r="P322" s="51"/>
      <c r="Q322" s="51"/>
      <c r="R322" s="51"/>
      <c r="S322" s="51"/>
      <c r="T322" s="51"/>
      <c r="U322" s="51"/>
      <c r="V322" s="51"/>
      <c r="W322" s="51"/>
      <c r="X322" s="51"/>
      <c r="Y322" s="51"/>
      <c r="Z322" s="51"/>
      <c r="AA322" s="51"/>
    </row>
    <row r="323" spans="1:27" ht="13.65" customHeight="1" x14ac:dyDescent="0.3">
      <c r="A323" s="49"/>
      <c r="B323" s="57"/>
      <c r="C323" s="51"/>
      <c r="D323" s="51"/>
      <c r="E323" s="51"/>
      <c r="F323" s="51"/>
      <c r="G323" s="58"/>
      <c r="H323" s="51"/>
      <c r="I323" s="58"/>
      <c r="J323" s="51"/>
      <c r="K323" s="51"/>
      <c r="L323" s="51"/>
      <c r="M323" s="51"/>
      <c r="N323" s="51"/>
      <c r="O323" s="51"/>
      <c r="P323" s="51"/>
      <c r="Q323" s="51"/>
      <c r="R323" s="51"/>
      <c r="S323" s="51"/>
      <c r="T323" s="51"/>
      <c r="U323" s="51"/>
      <c r="V323" s="51"/>
      <c r="W323" s="51"/>
      <c r="X323" s="51"/>
      <c r="Y323" s="51"/>
      <c r="Z323" s="51"/>
      <c r="AA323" s="51"/>
    </row>
    <row r="324" spans="1:27" ht="13.65" customHeight="1" x14ac:dyDescent="0.3">
      <c r="A324" s="49"/>
      <c r="B324" s="57"/>
      <c r="C324" s="51"/>
      <c r="D324" s="51"/>
      <c r="E324" s="51"/>
      <c r="F324" s="51"/>
      <c r="G324" s="58"/>
      <c r="H324" s="51"/>
      <c r="I324" s="58"/>
      <c r="J324" s="51"/>
      <c r="K324" s="51"/>
      <c r="L324" s="51"/>
      <c r="M324" s="51"/>
      <c r="N324" s="51"/>
      <c r="O324" s="51"/>
      <c r="P324" s="51"/>
      <c r="Q324" s="51"/>
      <c r="R324" s="51"/>
      <c r="S324" s="51"/>
      <c r="T324" s="51"/>
      <c r="U324" s="51"/>
      <c r="V324" s="51"/>
      <c r="W324" s="51"/>
      <c r="X324" s="51"/>
      <c r="Y324" s="51"/>
      <c r="Z324" s="51"/>
      <c r="AA324" s="51"/>
    </row>
    <row r="325" spans="1:27" ht="13.65" customHeight="1" x14ac:dyDescent="0.3">
      <c r="A325" s="49"/>
      <c r="B325" s="57"/>
      <c r="C325" s="51"/>
      <c r="D325" s="51"/>
      <c r="E325" s="51"/>
      <c r="F325" s="51"/>
      <c r="G325" s="58"/>
      <c r="H325" s="51"/>
      <c r="I325" s="58"/>
      <c r="J325" s="51"/>
      <c r="K325" s="51"/>
      <c r="L325" s="51"/>
      <c r="M325" s="51"/>
      <c r="N325" s="51"/>
      <c r="O325" s="51"/>
      <c r="P325" s="51"/>
      <c r="Q325" s="51"/>
      <c r="R325" s="51"/>
      <c r="S325" s="51"/>
      <c r="T325" s="51"/>
      <c r="U325" s="51"/>
      <c r="V325" s="51"/>
      <c r="W325" s="51"/>
      <c r="X325" s="51"/>
      <c r="Y325" s="51"/>
      <c r="Z325" s="51"/>
      <c r="AA325" s="51"/>
    </row>
    <row r="326" spans="1:27" ht="13.65" customHeight="1" x14ac:dyDescent="0.3">
      <c r="A326" s="49"/>
      <c r="B326" s="57"/>
      <c r="C326" s="51"/>
      <c r="D326" s="51"/>
      <c r="E326" s="51"/>
      <c r="F326" s="51"/>
      <c r="G326" s="58"/>
      <c r="H326" s="51"/>
      <c r="I326" s="58"/>
      <c r="J326" s="51"/>
      <c r="K326" s="51"/>
      <c r="L326" s="51"/>
      <c r="M326" s="51"/>
      <c r="N326" s="51"/>
      <c r="O326" s="51"/>
      <c r="P326" s="51"/>
      <c r="Q326" s="51"/>
      <c r="R326" s="51"/>
      <c r="S326" s="51"/>
      <c r="T326" s="51"/>
      <c r="U326" s="51"/>
      <c r="V326" s="51"/>
      <c r="W326" s="51"/>
      <c r="X326" s="51"/>
      <c r="Y326" s="51"/>
      <c r="Z326" s="51"/>
      <c r="AA326" s="51"/>
    </row>
    <row r="327" spans="1:27" ht="13.65" customHeight="1" x14ac:dyDescent="0.3">
      <c r="A327" s="49"/>
      <c r="B327" s="57"/>
      <c r="C327" s="51"/>
      <c r="D327" s="51"/>
      <c r="E327" s="51"/>
      <c r="F327" s="51"/>
      <c r="G327" s="58"/>
      <c r="H327" s="51"/>
      <c r="I327" s="58"/>
      <c r="J327" s="51"/>
      <c r="K327" s="51"/>
      <c r="L327" s="51"/>
      <c r="M327" s="51"/>
      <c r="N327" s="51"/>
      <c r="O327" s="51"/>
      <c r="P327" s="51"/>
      <c r="Q327" s="51"/>
      <c r="R327" s="51"/>
      <c r="S327" s="51"/>
      <c r="T327" s="51"/>
      <c r="U327" s="51"/>
      <c r="V327" s="51"/>
      <c r="W327" s="51"/>
      <c r="X327" s="51"/>
      <c r="Y327" s="51"/>
      <c r="Z327" s="51"/>
      <c r="AA327" s="51"/>
    </row>
    <row r="328" spans="1:27" ht="13.65" customHeight="1" x14ac:dyDescent="0.3">
      <c r="A328" s="49"/>
      <c r="B328" s="57"/>
      <c r="C328" s="51"/>
      <c r="D328" s="51"/>
      <c r="E328" s="51"/>
      <c r="F328" s="51"/>
      <c r="G328" s="58"/>
      <c r="H328" s="51"/>
      <c r="I328" s="58"/>
      <c r="J328" s="51"/>
      <c r="K328" s="51"/>
      <c r="L328" s="51"/>
      <c r="M328" s="51"/>
      <c r="N328" s="51"/>
      <c r="O328" s="51"/>
      <c r="P328" s="51"/>
      <c r="Q328" s="51"/>
      <c r="R328" s="51"/>
      <c r="S328" s="51"/>
      <c r="T328" s="51"/>
      <c r="U328" s="51"/>
      <c r="V328" s="51"/>
      <c r="W328" s="51"/>
      <c r="X328" s="51"/>
      <c r="Y328" s="51"/>
      <c r="Z328" s="51"/>
      <c r="AA328" s="51"/>
    </row>
    <row r="329" spans="1:27" ht="13.65" customHeight="1" x14ac:dyDescent="0.3">
      <c r="A329" s="49"/>
      <c r="B329" s="57"/>
      <c r="C329" s="51"/>
      <c r="D329" s="51"/>
      <c r="E329" s="51"/>
      <c r="F329" s="51"/>
      <c r="G329" s="58"/>
      <c r="H329" s="51"/>
      <c r="I329" s="58"/>
      <c r="J329" s="51"/>
      <c r="K329" s="51"/>
      <c r="L329" s="51"/>
      <c r="M329" s="51"/>
      <c r="N329" s="51"/>
      <c r="O329" s="51"/>
      <c r="P329" s="51"/>
      <c r="Q329" s="51"/>
      <c r="R329" s="51"/>
      <c r="S329" s="51"/>
      <c r="T329" s="51"/>
      <c r="U329" s="51"/>
      <c r="V329" s="51"/>
      <c r="W329" s="51"/>
      <c r="X329" s="51"/>
      <c r="Y329" s="51"/>
      <c r="Z329" s="51"/>
      <c r="AA329" s="51"/>
    </row>
    <row r="330" spans="1:27" ht="13.65" customHeight="1" x14ac:dyDescent="0.3">
      <c r="A330" s="49"/>
      <c r="B330" s="57"/>
      <c r="C330" s="51"/>
      <c r="D330" s="51"/>
      <c r="E330" s="51"/>
      <c r="F330" s="51"/>
      <c r="G330" s="58"/>
      <c r="H330" s="51"/>
      <c r="I330" s="58"/>
      <c r="J330" s="51"/>
      <c r="K330" s="51"/>
      <c r="L330" s="51"/>
      <c r="M330" s="51"/>
      <c r="N330" s="51"/>
      <c r="O330" s="51"/>
      <c r="P330" s="51"/>
      <c r="Q330" s="51"/>
      <c r="R330" s="51"/>
      <c r="S330" s="51"/>
      <c r="T330" s="51"/>
      <c r="U330" s="51"/>
      <c r="V330" s="51"/>
      <c r="W330" s="51"/>
      <c r="X330" s="51"/>
      <c r="Y330" s="51"/>
      <c r="Z330" s="51"/>
      <c r="AA330" s="51"/>
    </row>
    <row r="331" spans="1:27" ht="13.65" customHeight="1" x14ac:dyDescent="0.3">
      <c r="A331" s="49"/>
      <c r="B331" s="57"/>
      <c r="C331" s="51"/>
      <c r="D331" s="51"/>
      <c r="E331" s="51"/>
      <c r="F331" s="51"/>
      <c r="G331" s="58"/>
      <c r="H331" s="51"/>
      <c r="I331" s="58"/>
      <c r="J331" s="51"/>
      <c r="K331" s="51"/>
      <c r="L331" s="51"/>
      <c r="M331" s="51"/>
      <c r="N331" s="51"/>
      <c r="O331" s="51"/>
      <c r="P331" s="51"/>
      <c r="Q331" s="51"/>
      <c r="R331" s="51"/>
      <c r="S331" s="51"/>
      <c r="T331" s="51"/>
      <c r="U331" s="51"/>
      <c r="V331" s="51"/>
      <c r="W331" s="51"/>
      <c r="X331" s="51"/>
      <c r="Y331" s="51"/>
      <c r="Z331" s="51"/>
      <c r="AA331" s="51"/>
    </row>
    <row r="332" spans="1:27" ht="13.65" customHeight="1" x14ac:dyDescent="0.3">
      <c r="A332" s="49"/>
      <c r="B332" s="57"/>
      <c r="C332" s="51"/>
      <c r="D332" s="51"/>
      <c r="E332" s="51"/>
      <c r="F332" s="51"/>
      <c r="G332" s="58"/>
      <c r="H332" s="51"/>
      <c r="I332" s="58"/>
      <c r="J332" s="51"/>
      <c r="K332" s="51"/>
      <c r="L332" s="51"/>
      <c r="M332" s="51"/>
      <c r="N332" s="51"/>
      <c r="O332" s="51"/>
      <c r="P332" s="51"/>
      <c r="Q332" s="51"/>
      <c r="R332" s="51"/>
      <c r="S332" s="51"/>
      <c r="T332" s="51"/>
      <c r="U332" s="51"/>
      <c r="V332" s="51"/>
      <c r="W332" s="51"/>
      <c r="X332" s="51"/>
      <c r="Y332" s="51"/>
      <c r="Z332" s="51"/>
      <c r="AA332" s="51"/>
    </row>
    <row r="333" spans="1:27" ht="13.65" customHeight="1" x14ac:dyDescent="0.3">
      <c r="A333" s="49"/>
      <c r="B333" s="57"/>
      <c r="C333" s="51"/>
      <c r="D333" s="51"/>
      <c r="E333" s="51"/>
      <c r="F333" s="51"/>
      <c r="G333" s="58"/>
      <c r="H333" s="51"/>
      <c r="I333" s="58"/>
      <c r="J333" s="51"/>
      <c r="K333" s="51"/>
      <c r="L333" s="51"/>
      <c r="M333" s="51"/>
      <c r="N333" s="51"/>
      <c r="O333" s="51"/>
      <c r="P333" s="51"/>
      <c r="Q333" s="51"/>
      <c r="R333" s="51"/>
      <c r="S333" s="51"/>
      <c r="T333" s="51"/>
      <c r="U333" s="51"/>
      <c r="V333" s="51"/>
      <c r="W333" s="51"/>
      <c r="X333" s="51"/>
      <c r="Y333" s="51"/>
      <c r="Z333" s="51"/>
      <c r="AA333" s="51"/>
    </row>
    <row r="334" spans="1:27" ht="13.65" customHeight="1" x14ac:dyDescent="0.3">
      <c r="A334" s="49"/>
      <c r="B334" s="57"/>
      <c r="C334" s="51"/>
      <c r="D334" s="51"/>
      <c r="E334" s="51"/>
      <c r="F334" s="51"/>
      <c r="G334" s="58"/>
      <c r="H334" s="51"/>
      <c r="I334" s="58"/>
      <c r="J334" s="51"/>
      <c r="K334" s="51"/>
      <c r="L334" s="51"/>
      <c r="M334" s="51"/>
      <c r="N334" s="51"/>
      <c r="O334" s="51"/>
      <c r="P334" s="51"/>
      <c r="Q334" s="51"/>
      <c r="R334" s="51"/>
      <c r="S334" s="51"/>
      <c r="T334" s="51"/>
      <c r="U334" s="51"/>
      <c r="V334" s="51"/>
      <c r="W334" s="51"/>
      <c r="X334" s="51"/>
      <c r="Y334" s="51"/>
      <c r="Z334" s="51"/>
      <c r="AA334" s="51"/>
    </row>
    <row r="335" spans="1:27" ht="13.65" customHeight="1" x14ac:dyDescent="0.3">
      <c r="A335" s="49"/>
      <c r="B335" s="57"/>
      <c r="C335" s="51"/>
      <c r="D335" s="51"/>
      <c r="E335" s="51"/>
      <c r="F335" s="51"/>
      <c r="G335" s="58"/>
      <c r="H335" s="51"/>
      <c r="I335" s="58"/>
      <c r="J335" s="51"/>
      <c r="K335" s="51"/>
      <c r="L335" s="51"/>
      <c r="M335" s="51"/>
      <c r="N335" s="51"/>
      <c r="O335" s="51"/>
      <c r="P335" s="51"/>
      <c r="Q335" s="51"/>
      <c r="R335" s="51"/>
      <c r="S335" s="51"/>
      <c r="T335" s="51"/>
      <c r="U335" s="51"/>
      <c r="V335" s="51"/>
      <c r="W335" s="51"/>
      <c r="X335" s="51"/>
      <c r="Y335" s="51"/>
      <c r="Z335" s="51"/>
      <c r="AA335" s="51"/>
    </row>
    <row r="336" spans="1:27" ht="13.65" customHeight="1" x14ac:dyDescent="0.3">
      <c r="A336" s="49"/>
      <c r="B336" s="57"/>
      <c r="C336" s="51"/>
      <c r="D336" s="51"/>
      <c r="E336" s="51"/>
      <c r="F336" s="51"/>
      <c r="G336" s="58"/>
      <c r="H336" s="51"/>
      <c r="I336" s="58"/>
      <c r="J336" s="51"/>
      <c r="K336" s="51"/>
      <c r="L336" s="51"/>
      <c r="M336" s="51"/>
      <c r="N336" s="51"/>
      <c r="O336" s="51"/>
      <c r="P336" s="51"/>
      <c r="Q336" s="51"/>
      <c r="R336" s="51"/>
      <c r="S336" s="51"/>
      <c r="T336" s="51"/>
      <c r="U336" s="51"/>
      <c r="V336" s="51"/>
      <c r="W336" s="51"/>
      <c r="X336" s="51"/>
      <c r="Y336" s="51"/>
      <c r="Z336" s="51"/>
      <c r="AA336" s="51"/>
    </row>
    <row r="337" spans="1:27" ht="13.65" customHeight="1" x14ac:dyDescent="0.3">
      <c r="A337" s="49"/>
      <c r="B337" s="57"/>
      <c r="C337" s="51"/>
      <c r="D337" s="51"/>
      <c r="E337" s="51"/>
      <c r="F337" s="51"/>
      <c r="G337" s="58"/>
      <c r="H337" s="51"/>
      <c r="I337" s="58"/>
      <c r="J337" s="51"/>
      <c r="K337" s="51"/>
      <c r="L337" s="51"/>
      <c r="M337" s="51"/>
      <c r="N337" s="51"/>
      <c r="O337" s="51"/>
      <c r="P337" s="51"/>
      <c r="Q337" s="51"/>
      <c r="R337" s="51"/>
      <c r="S337" s="51"/>
      <c r="T337" s="51"/>
      <c r="U337" s="51"/>
      <c r="V337" s="51"/>
      <c r="W337" s="51"/>
      <c r="X337" s="51"/>
      <c r="Y337" s="51"/>
      <c r="Z337" s="51"/>
      <c r="AA337" s="51"/>
    </row>
    <row r="338" spans="1:27" ht="13.65" customHeight="1" x14ac:dyDescent="0.3">
      <c r="A338" s="49"/>
      <c r="B338" s="57"/>
      <c r="C338" s="51"/>
      <c r="D338" s="51"/>
      <c r="E338" s="51"/>
      <c r="F338" s="51"/>
      <c r="G338" s="58"/>
      <c r="H338" s="51"/>
      <c r="I338" s="58"/>
      <c r="J338" s="51"/>
      <c r="K338" s="51"/>
      <c r="L338" s="51"/>
      <c r="M338" s="51"/>
      <c r="N338" s="51"/>
      <c r="O338" s="51"/>
      <c r="P338" s="51"/>
      <c r="Q338" s="51"/>
      <c r="R338" s="51"/>
      <c r="S338" s="51"/>
      <c r="T338" s="51"/>
      <c r="U338" s="51"/>
      <c r="V338" s="51"/>
      <c r="W338" s="51"/>
      <c r="X338" s="51"/>
      <c r="Y338" s="51"/>
      <c r="Z338" s="51"/>
      <c r="AA338" s="51"/>
    </row>
    <row r="339" spans="1:27" ht="13.65" customHeight="1" x14ac:dyDescent="0.3">
      <c r="A339" s="49"/>
      <c r="B339" s="57"/>
      <c r="C339" s="51"/>
      <c r="D339" s="51"/>
      <c r="E339" s="51"/>
      <c r="F339" s="51"/>
      <c r="G339" s="58"/>
      <c r="H339" s="51"/>
      <c r="I339" s="58"/>
      <c r="J339" s="51"/>
      <c r="K339" s="51"/>
      <c r="L339" s="51"/>
      <c r="M339" s="51"/>
      <c r="N339" s="51"/>
      <c r="O339" s="51"/>
      <c r="P339" s="51"/>
      <c r="Q339" s="51"/>
      <c r="R339" s="51"/>
      <c r="S339" s="51"/>
      <c r="T339" s="51"/>
      <c r="U339" s="51"/>
      <c r="V339" s="51"/>
      <c r="W339" s="51"/>
      <c r="X339" s="51"/>
      <c r="Y339" s="51"/>
      <c r="Z339" s="51"/>
      <c r="AA339" s="51"/>
    </row>
    <row r="340" spans="1:27" ht="13.65" customHeight="1" x14ac:dyDescent="0.3">
      <c r="A340" s="49"/>
      <c r="B340" s="57"/>
      <c r="C340" s="51"/>
      <c r="D340" s="51"/>
      <c r="E340" s="51"/>
      <c r="F340" s="51"/>
      <c r="G340" s="58"/>
      <c r="H340" s="51"/>
      <c r="I340" s="58"/>
      <c r="J340" s="51"/>
      <c r="K340" s="51"/>
      <c r="L340" s="51"/>
      <c r="M340" s="51"/>
      <c r="N340" s="51"/>
      <c r="O340" s="51"/>
      <c r="P340" s="51"/>
      <c r="Q340" s="51"/>
      <c r="R340" s="51"/>
      <c r="S340" s="51"/>
      <c r="T340" s="51"/>
      <c r="U340" s="51"/>
      <c r="V340" s="51"/>
      <c r="W340" s="51"/>
      <c r="X340" s="51"/>
      <c r="Y340" s="51"/>
      <c r="Z340" s="51"/>
      <c r="AA340" s="51"/>
    </row>
    <row r="341" spans="1:27" ht="13.65" customHeight="1" x14ac:dyDescent="0.3">
      <c r="A341" s="49"/>
      <c r="B341" s="57"/>
      <c r="C341" s="51"/>
      <c r="D341" s="51"/>
      <c r="E341" s="51"/>
      <c r="F341" s="51"/>
      <c r="G341" s="58"/>
      <c r="H341" s="51"/>
      <c r="I341" s="58"/>
      <c r="J341" s="51"/>
      <c r="K341" s="51"/>
      <c r="L341" s="51"/>
      <c r="M341" s="51"/>
      <c r="N341" s="51"/>
      <c r="O341" s="51"/>
      <c r="P341" s="51"/>
      <c r="Q341" s="51"/>
      <c r="R341" s="51"/>
      <c r="S341" s="51"/>
      <c r="T341" s="51"/>
      <c r="U341" s="51"/>
      <c r="V341" s="51"/>
      <c r="W341" s="51"/>
      <c r="X341" s="51"/>
      <c r="Y341" s="51"/>
      <c r="Z341" s="51"/>
      <c r="AA341" s="51"/>
    </row>
    <row r="342" spans="1:27" ht="13.65" customHeight="1" x14ac:dyDescent="0.3">
      <c r="A342" s="49"/>
      <c r="B342" s="57"/>
      <c r="C342" s="51"/>
      <c r="D342" s="51"/>
      <c r="E342" s="51"/>
      <c r="F342" s="51"/>
      <c r="G342" s="58"/>
      <c r="H342" s="51"/>
      <c r="I342" s="58"/>
      <c r="J342" s="51"/>
      <c r="K342" s="51"/>
      <c r="L342" s="51"/>
      <c r="M342" s="51"/>
      <c r="N342" s="51"/>
      <c r="O342" s="51"/>
      <c r="P342" s="51"/>
      <c r="Q342" s="51"/>
      <c r="R342" s="51"/>
      <c r="S342" s="51"/>
      <c r="T342" s="51"/>
      <c r="U342" s="51"/>
      <c r="V342" s="51"/>
      <c r="W342" s="51"/>
      <c r="X342" s="51"/>
      <c r="Y342" s="51"/>
      <c r="Z342" s="51"/>
      <c r="AA342" s="51"/>
    </row>
    <row r="343" spans="1:27" ht="13.65" customHeight="1" x14ac:dyDescent="0.3">
      <c r="A343" s="49"/>
      <c r="B343" s="57"/>
      <c r="C343" s="51"/>
      <c r="D343" s="51"/>
      <c r="E343" s="51"/>
      <c r="F343" s="51"/>
      <c r="G343" s="58"/>
      <c r="H343" s="51"/>
      <c r="I343" s="58"/>
      <c r="J343" s="51"/>
      <c r="K343" s="51"/>
      <c r="L343" s="51"/>
      <c r="M343" s="51"/>
      <c r="N343" s="51"/>
      <c r="O343" s="51"/>
      <c r="P343" s="51"/>
      <c r="Q343" s="51"/>
      <c r="R343" s="51"/>
      <c r="S343" s="51"/>
      <c r="T343" s="51"/>
      <c r="U343" s="51"/>
      <c r="V343" s="51"/>
      <c r="W343" s="51"/>
      <c r="X343" s="51"/>
      <c r="Y343" s="51"/>
      <c r="Z343" s="51"/>
      <c r="AA343" s="51"/>
    </row>
    <row r="344" spans="1:27" ht="13.65" customHeight="1" x14ac:dyDescent="0.3">
      <c r="A344" s="49"/>
      <c r="B344" s="57"/>
      <c r="C344" s="51"/>
      <c r="D344" s="51"/>
      <c r="E344" s="51"/>
      <c r="F344" s="51"/>
      <c r="G344" s="58"/>
      <c r="H344" s="51"/>
      <c r="I344" s="58"/>
      <c r="J344" s="51"/>
      <c r="K344" s="51"/>
      <c r="L344" s="51"/>
      <c r="M344" s="51"/>
      <c r="N344" s="51"/>
      <c r="O344" s="51"/>
      <c r="P344" s="51"/>
      <c r="Q344" s="51"/>
      <c r="R344" s="51"/>
      <c r="S344" s="51"/>
      <c r="T344" s="51"/>
      <c r="U344" s="51"/>
      <c r="V344" s="51"/>
      <c r="W344" s="51"/>
      <c r="X344" s="51"/>
      <c r="Y344" s="51"/>
      <c r="Z344" s="51"/>
      <c r="AA344" s="51"/>
    </row>
    <row r="345" spans="1:27" ht="13.65" customHeight="1" x14ac:dyDescent="0.3">
      <c r="A345" s="49"/>
      <c r="B345" s="57"/>
      <c r="C345" s="51"/>
      <c r="D345" s="51"/>
      <c r="E345" s="51"/>
      <c r="F345" s="51"/>
      <c r="G345" s="58"/>
      <c r="H345" s="51"/>
      <c r="I345" s="58"/>
      <c r="J345" s="51"/>
      <c r="K345" s="51"/>
      <c r="L345" s="51"/>
      <c r="M345" s="51"/>
      <c r="N345" s="51"/>
      <c r="O345" s="51"/>
      <c r="P345" s="51"/>
      <c r="Q345" s="51"/>
      <c r="R345" s="51"/>
      <c r="S345" s="51"/>
      <c r="T345" s="51"/>
      <c r="U345" s="51"/>
      <c r="V345" s="51"/>
      <c r="W345" s="51"/>
      <c r="X345" s="51"/>
      <c r="Y345" s="51"/>
      <c r="Z345" s="51"/>
      <c r="AA345" s="51"/>
    </row>
    <row r="346" spans="1:27" ht="13.65" customHeight="1" x14ac:dyDescent="0.3">
      <c r="A346" s="49"/>
      <c r="B346" s="57"/>
      <c r="C346" s="51"/>
      <c r="D346" s="51"/>
      <c r="E346" s="51"/>
      <c r="F346" s="51"/>
      <c r="G346" s="58"/>
      <c r="H346" s="51"/>
      <c r="I346" s="58"/>
      <c r="J346" s="51"/>
      <c r="K346" s="51"/>
      <c r="L346" s="51"/>
      <c r="M346" s="51"/>
      <c r="N346" s="51"/>
      <c r="O346" s="51"/>
      <c r="P346" s="51"/>
      <c r="Q346" s="51"/>
      <c r="R346" s="51"/>
      <c r="S346" s="51"/>
      <c r="T346" s="51"/>
      <c r="U346" s="51"/>
      <c r="V346" s="51"/>
      <c r="W346" s="51"/>
      <c r="X346" s="51"/>
      <c r="Y346" s="51"/>
      <c r="Z346" s="51"/>
      <c r="AA346" s="51"/>
    </row>
    <row r="347" spans="1:27" ht="13.65" customHeight="1" x14ac:dyDescent="0.3">
      <c r="A347" s="49"/>
      <c r="B347" s="57"/>
      <c r="C347" s="51"/>
      <c r="D347" s="51"/>
      <c r="E347" s="51"/>
      <c r="F347" s="51"/>
      <c r="G347" s="58"/>
      <c r="H347" s="51"/>
      <c r="I347" s="58"/>
      <c r="J347" s="51"/>
      <c r="K347" s="51"/>
      <c r="L347" s="51"/>
      <c r="M347" s="51"/>
      <c r="N347" s="51"/>
      <c r="O347" s="51"/>
      <c r="P347" s="51"/>
      <c r="Q347" s="51"/>
      <c r="R347" s="51"/>
      <c r="S347" s="51"/>
      <c r="T347" s="51"/>
      <c r="U347" s="51"/>
      <c r="V347" s="51"/>
      <c r="W347" s="51"/>
      <c r="X347" s="51"/>
      <c r="Y347" s="51"/>
      <c r="Z347" s="51"/>
      <c r="AA347" s="51"/>
    </row>
    <row r="348" spans="1:27" ht="13.65" customHeight="1" x14ac:dyDescent="0.3">
      <c r="A348" s="49"/>
      <c r="B348" s="57"/>
      <c r="C348" s="51"/>
      <c r="D348" s="51"/>
      <c r="E348" s="51"/>
      <c r="F348" s="51"/>
      <c r="G348" s="58"/>
      <c r="H348" s="51"/>
      <c r="I348" s="58"/>
      <c r="J348" s="51"/>
      <c r="K348" s="51"/>
      <c r="L348" s="51"/>
      <c r="M348" s="51"/>
      <c r="N348" s="51"/>
      <c r="O348" s="51"/>
      <c r="P348" s="51"/>
      <c r="Q348" s="51"/>
      <c r="R348" s="51"/>
      <c r="S348" s="51"/>
      <c r="T348" s="51"/>
      <c r="U348" s="51"/>
      <c r="V348" s="51"/>
      <c r="W348" s="51"/>
      <c r="X348" s="51"/>
      <c r="Y348" s="51"/>
      <c r="Z348" s="51"/>
      <c r="AA348" s="51"/>
    </row>
    <row r="349" spans="1:27" ht="13.65" customHeight="1" x14ac:dyDescent="0.3">
      <c r="A349" s="49"/>
      <c r="B349" s="57"/>
      <c r="C349" s="51"/>
      <c r="D349" s="51"/>
      <c r="E349" s="51"/>
      <c r="F349" s="51"/>
      <c r="G349" s="58"/>
      <c r="H349" s="51"/>
      <c r="I349" s="58"/>
      <c r="J349" s="51"/>
      <c r="K349" s="51"/>
      <c r="L349" s="51"/>
      <c r="M349" s="51"/>
      <c r="N349" s="51"/>
      <c r="O349" s="51"/>
      <c r="P349" s="51"/>
      <c r="Q349" s="51"/>
      <c r="R349" s="51"/>
      <c r="S349" s="51"/>
      <c r="T349" s="51"/>
      <c r="U349" s="51"/>
      <c r="V349" s="51"/>
      <c r="W349" s="51"/>
      <c r="X349" s="51"/>
      <c r="Y349" s="51"/>
      <c r="Z349" s="51"/>
      <c r="AA349" s="51"/>
    </row>
    <row r="350" spans="1:27" ht="13.65" customHeight="1" x14ac:dyDescent="0.3">
      <c r="A350" s="49"/>
      <c r="B350" s="57"/>
      <c r="C350" s="51"/>
      <c r="D350" s="51"/>
      <c r="E350" s="51"/>
      <c r="F350" s="51"/>
      <c r="G350" s="58"/>
      <c r="H350" s="51"/>
      <c r="I350" s="58"/>
      <c r="J350" s="51"/>
      <c r="K350" s="51"/>
      <c r="L350" s="51"/>
      <c r="M350" s="51"/>
      <c r="N350" s="51"/>
      <c r="O350" s="51"/>
      <c r="P350" s="51"/>
      <c r="Q350" s="51"/>
      <c r="R350" s="51"/>
      <c r="S350" s="51"/>
      <c r="T350" s="51"/>
      <c r="U350" s="51"/>
      <c r="V350" s="51"/>
      <c r="W350" s="51"/>
      <c r="X350" s="51"/>
      <c r="Y350" s="51"/>
      <c r="Z350" s="51"/>
      <c r="AA350" s="51"/>
    </row>
    <row r="351" spans="1:27" ht="13.65" customHeight="1" x14ac:dyDescent="0.3">
      <c r="A351" s="49"/>
      <c r="B351" s="57"/>
      <c r="C351" s="51"/>
      <c r="D351" s="51"/>
      <c r="E351" s="51"/>
      <c r="F351" s="51"/>
      <c r="G351" s="58"/>
      <c r="H351" s="51"/>
      <c r="I351" s="58"/>
      <c r="J351" s="51"/>
      <c r="K351" s="51"/>
      <c r="L351" s="51"/>
      <c r="M351" s="51"/>
      <c r="N351" s="51"/>
      <c r="O351" s="51"/>
      <c r="P351" s="51"/>
      <c r="Q351" s="51"/>
      <c r="R351" s="51"/>
      <c r="S351" s="51"/>
      <c r="T351" s="51"/>
      <c r="U351" s="51"/>
      <c r="V351" s="51"/>
      <c r="W351" s="51"/>
      <c r="X351" s="51"/>
      <c r="Y351" s="51"/>
      <c r="Z351" s="51"/>
      <c r="AA351" s="51"/>
    </row>
    <row r="352" spans="1:27" ht="13.65" customHeight="1" x14ac:dyDescent="0.3">
      <c r="A352" s="49"/>
      <c r="B352" s="57"/>
      <c r="C352" s="51"/>
      <c r="D352" s="51"/>
      <c r="E352" s="51"/>
      <c r="F352" s="51"/>
      <c r="G352" s="58"/>
      <c r="H352" s="51"/>
      <c r="I352" s="58"/>
      <c r="J352" s="51"/>
      <c r="K352" s="51"/>
      <c r="L352" s="51"/>
      <c r="M352" s="51"/>
      <c r="N352" s="51"/>
      <c r="O352" s="51"/>
      <c r="P352" s="51"/>
      <c r="Q352" s="51"/>
      <c r="R352" s="51"/>
      <c r="S352" s="51"/>
      <c r="T352" s="51"/>
      <c r="U352" s="51"/>
      <c r="V352" s="51"/>
      <c r="W352" s="51"/>
      <c r="X352" s="51"/>
      <c r="Y352" s="51"/>
      <c r="Z352" s="51"/>
      <c r="AA352" s="51"/>
    </row>
    <row r="353" spans="1:27" ht="13.65" customHeight="1" x14ac:dyDescent="0.3">
      <c r="A353" s="49"/>
      <c r="B353" s="57"/>
      <c r="C353" s="51"/>
      <c r="D353" s="51"/>
      <c r="E353" s="51"/>
      <c r="F353" s="51"/>
      <c r="G353" s="58"/>
      <c r="H353" s="51"/>
      <c r="I353" s="58"/>
      <c r="J353" s="51"/>
      <c r="K353" s="51"/>
      <c r="L353" s="51"/>
      <c r="M353" s="51"/>
      <c r="N353" s="51"/>
      <c r="O353" s="51"/>
      <c r="P353" s="51"/>
      <c r="Q353" s="51"/>
      <c r="R353" s="51"/>
      <c r="S353" s="51"/>
      <c r="T353" s="51"/>
      <c r="U353" s="51"/>
      <c r="V353" s="51"/>
      <c r="W353" s="51"/>
      <c r="X353" s="51"/>
      <c r="Y353" s="51"/>
      <c r="Z353" s="51"/>
      <c r="AA353" s="51"/>
    </row>
    <row r="354" spans="1:27" ht="13.65" customHeight="1" x14ac:dyDescent="0.3">
      <c r="A354" s="49"/>
      <c r="B354" s="57"/>
      <c r="C354" s="51"/>
      <c r="D354" s="51"/>
      <c r="E354" s="51"/>
      <c r="F354" s="51"/>
      <c r="G354" s="58"/>
      <c r="H354" s="51"/>
      <c r="I354" s="58"/>
      <c r="J354" s="51"/>
      <c r="K354" s="51"/>
      <c r="L354" s="51"/>
      <c r="M354" s="51"/>
      <c r="N354" s="51"/>
      <c r="O354" s="51"/>
      <c r="P354" s="51"/>
      <c r="Q354" s="51"/>
      <c r="R354" s="51"/>
      <c r="S354" s="51"/>
      <c r="T354" s="51"/>
      <c r="U354" s="51"/>
      <c r="V354" s="51"/>
      <c r="W354" s="51"/>
      <c r="X354" s="51"/>
      <c r="Y354" s="51"/>
      <c r="Z354" s="51"/>
      <c r="AA354" s="51"/>
    </row>
    <row r="355" spans="1:27" ht="13.65" customHeight="1" x14ac:dyDescent="0.3">
      <c r="A355" s="49"/>
      <c r="B355" s="57"/>
      <c r="C355" s="51"/>
      <c r="D355" s="51"/>
      <c r="E355" s="51"/>
      <c r="F355" s="51"/>
      <c r="G355" s="58"/>
      <c r="H355" s="51"/>
      <c r="I355" s="58"/>
      <c r="J355" s="51"/>
      <c r="K355" s="51"/>
      <c r="L355" s="51"/>
      <c r="M355" s="51"/>
      <c r="N355" s="51"/>
      <c r="O355" s="51"/>
      <c r="P355" s="51"/>
      <c r="Q355" s="51"/>
      <c r="R355" s="51"/>
      <c r="S355" s="51"/>
      <c r="T355" s="51"/>
      <c r="U355" s="51"/>
      <c r="V355" s="51"/>
      <c r="W355" s="51"/>
      <c r="X355" s="51"/>
      <c r="Y355" s="51"/>
      <c r="Z355" s="51"/>
      <c r="AA355" s="51"/>
    </row>
    <row r="356" spans="1:27" ht="13.65" customHeight="1" x14ac:dyDescent="0.3">
      <c r="A356" s="49"/>
      <c r="B356" s="57"/>
      <c r="C356" s="51"/>
      <c r="D356" s="51"/>
      <c r="E356" s="51"/>
      <c r="F356" s="51"/>
      <c r="G356" s="58"/>
      <c r="H356" s="51"/>
      <c r="I356" s="58"/>
      <c r="J356" s="51"/>
      <c r="K356" s="51"/>
      <c r="L356" s="51"/>
      <c r="M356" s="51"/>
      <c r="N356" s="51"/>
      <c r="O356" s="51"/>
      <c r="P356" s="51"/>
      <c r="Q356" s="51"/>
      <c r="R356" s="51"/>
      <c r="S356" s="51"/>
      <c r="T356" s="51"/>
      <c r="U356" s="51"/>
      <c r="V356" s="51"/>
      <c r="W356" s="51"/>
      <c r="X356" s="51"/>
      <c r="Y356" s="51"/>
      <c r="Z356" s="51"/>
      <c r="AA356" s="51"/>
    </row>
    <row r="357" spans="1:27" ht="13.65" customHeight="1" x14ac:dyDescent="0.3">
      <c r="A357" s="49"/>
      <c r="B357" s="57"/>
      <c r="C357" s="51"/>
      <c r="D357" s="51"/>
      <c r="E357" s="51"/>
      <c r="F357" s="51"/>
      <c r="G357" s="58"/>
      <c r="H357" s="51"/>
      <c r="I357" s="58"/>
      <c r="J357" s="51"/>
      <c r="K357" s="51"/>
      <c r="L357" s="51"/>
      <c r="M357" s="51"/>
      <c r="N357" s="51"/>
      <c r="O357" s="51"/>
      <c r="P357" s="51"/>
      <c r="Q357" s="51"/>
      <c r="R357" s="51"/>
      <c r="S357" s="51"/>
      <c r="T357" s="51"/>
      <c r="U357" s="51"/>
      <c r="V357" s="51"/>
      <c r="W357" s="51"/>
      <c r="X357" s="51"/>
      <c r="Y357" s="51"/>
      <c r="Z357" s="51"/>
      <c r="AA357" s="51"/>
    </row>
    <row r="358" spans="1:27" ht="13.65" customHeight="1" x14ac:dyDescent="0.3">
      <c r="A358" s="49"/>
      <c r="B358" s="57"/>
      <c r="C358" s="51"/>
      <c r="D358" s="51"/>
      <c r="E358" s="51"/>
      <c r="F358" s="51"/>
      <c r="G358" s="58"/>
      <c r="H358" s="51"/>
      <c r="I358" s="58"/>
      <c r="J358" s="51"/>
      <c r="K358" s="51"/>
      <c r="L358" s="51"/>
      <c r="M358" s="51"/>
      <c r="N358" s="51"/>
      <c r="O358" s="51"/>
      <c r="P358" s="51"/>
      <c r="Q358" s="51"/>
      <c r="R358" s="51"/>
      <c r="S358" s="51"/>
      <c r="T358" s="51"/>
      <c r="U358" s="51"/>
      <c r="V358" s="51"/>
      <c r="W358" s="51"/>
      <c r="X358" s="51"/>
      <c r="Y358" s="51"/>
      <c r="Z358" s="51"/>
      <c r="AA358" s="51"/>
    </row>
    <row r="359" spans="1:27" ht="13.65" customHeight="1" x14ac:dyDescent="0.3">
      <c r="A359" s="49"/>
      <c r="B359" s="57"/>
      <c r="C359" s="51"/>
      <c r="D359" s="51"/>
      <c r="E359" s="51"/>
      <c r="F359" s="51"/>
      <c r="G359" s="58"/>
      <c r="H359" s="51"/>
      <c r="I359" s="58"/>
      <c r="J359" s="51"/>
      <c r="K359" s="51"/>
      <c r="L359" s="51"/>
      <c r="M359" s="51"/>
      <c r="N359" s="51"/>
      <c r="O359" s="51"/>
      <c r="P359" s="51"/>
      <c r="Q359" s="51"/>
      <c r="R359" s="51"/>
      <c r="S359" s="51"/>
      <c r="T359" s="51"/>
      <c r="U359" s="51"/>
      <c r="V359" s="51"/>
      <c r="W359" s="51"/>
      <c r="X359" s="51"/>
      <c r="Y359" s="51"/>
      <c r="Z359" s="51"/>
      <c r="AA359" s="51"/>
    </row>
    <row r="360" spans="1:27" ht="13.65" customHeight="1" x14ac:dyDescent="0.3">
      <c r="A360" s="49"/>
      <c r="B360" s="57"/>
      <c r="C360" s="51"/>
      <c r="D360" s="51"/>
      <c r="E360" s="51"/>
      <c r="F360" s="51"/>
      <c r="G360" s="58"/>
      <c r="H360" s="51"/>
      <c r="I360" s="58"/>
      <c r="J360" s="51"/>
      <c r="K360" s="51"/>
      <c r="L360" s="51"/>
      <c r="M360" s="51"/>
      <c r="N360" s="51"/>
      <c r="O360" s="51"/>
      <c r="P360" s="51"/>
      <c r="Q360" s="51"/>
      <c r="R360" s="51"/>
      <c r="S360" s="51"/>
      <c r="T360" s="51"/>
      <c r="U360" s="51"/>
      <c r="V360" s="51"/>
      <c r="W360" s="51"/>
      <c r="X360" s="51"/>
      <c r="Y360" s="51"/>
      <c r="Z360" s="51"/>
      <c r="AA360" s="51"/>
    </row>
    <row r="361" spans="1:27" ht="13.65" customHeight="1" x14ac:dyDescent="0.3">
      <c r="A361" s="49"/>
      <c r="B361" s="57"/>
      <c r="C361" s="51"/>
      <c r="D361" s="51"/>
      <c r="E361" s="51"/>
      <c r="F361" s="51"/>
      <c r="G361" s="58"/>
      <c r="H361" s="51"/>
      <c r="I361" s="58"/>
      <c r="J361" s="51"/>
      <c r="K361" s="51"/>
      <c r="L361" s="51"/>
      <c r="M361" s="51"/>
      <c r="N361" s="51"/>
      <c r="O361" s="51"/>
      <c r="P361" s="51"/>
      <c r="Q361" s="51"/>
      <c r="R361" s="51"/>
      <c r="S361" s="51"/>
      <c r="T361" s="51"/>
      <c r="U361" s="51"/>
      <c r="V361" s="51"/>
      <c r="W361" s="51"/>
      <c r="X361" s="51"/>
      <c r="Y361" s="51"/>
      <c r="Z361" s="51"/>
      <c r="AA361" s="51"/>
    </row>
    <row r="362" spans="1:27" ht="13.65" customHeight="1" x14ac:dyDescent="0.3">
      <c r="A362" s="49"/>
      <c r="B362" s="57"/>
      <c r="C362" s="51"/>
      <c r="D362" s="51"/>
      <c r="E362" s="51"/>
      <c r="F362" s="51"/>
      <c r="G362" s="58"/>
      <c r="H362" s="51"/>
      <c r="I362" s="58"/>
      <c r="J362" s="51"/>
      <c r="K362" s="51"/>
      <c r="L362" s="51"/>
      <c r="M362" s="51"/>
      <c r="N362" s="51"/>
      <c r="O362" s="51"/>
      <c r="P362" s="51"/>
      <c r="Q362" s="51"/>
      <c r="R362" s="51"/>
      <c r="S362" s="51"/>
      <c r="T362" s="51"/>
      <c r="U362" s="51"/>
      <c r="V362" s="51"/>
      <c r="W362" s="51"/>
      <c r="X362" s="51"/>
      <c r="Y362" s="51"/>
      <c r="Z362" s="51"/>
      <c r="AA362" s="51"/>
    </row>
    <row r="363" spans="1:27" ht="13.65" customHeight="1" x14ac:dyDescent="0.3">
      <c r="A363" s="49"/>
      <c r="B363" s="57"/>
      <c r="C363" s="51"/>
      <c r="D363" s="51"/>
      <c r="E363" s="51"/>
      <c r="F363" s="51"/>
      <c r="G363" s="58"/>
      <c r="H363" s="51"/>
      <c r="I363" s="58"/>
      <c r="J363" s="51"/>
      <c r="K363" s="51"/>
      <c r="L363" s="51"/>
      <c r="M363" s="51"/>
      <c r="N363" s="51"/>
      <c r="O363" s="51"/>
      <c r="P363" s="51"/>
      <c r="Q363" s="51"/>
      <c r="R363" s="51"/>
      <c r="S363" s="51"/>
      <c r="T363" s="51"/>
      <c r="U363" s="51"/>
      <c r="V363" s="51"/>
      <c r="W363" s="51"/>
      <c r="X363" s="51"/>
      <c r="Y363" s="51"/>
      <c r="Z363" s="51"/>
      <c r="AA363" s="51"/>
    </row>
    <row r="364" spans="1:27" ht="13.65" customHeight="1" x14ac:dyDescent="0.3">
      <c r="A364" s="49"/>
      <c r="B364" s="57"/>
      <c r="C364" s="51"/>
      <c r="D364" s="51"/>
      <c r="E364" s="51"/>
      <c r="F364" s="51"/>
      <c r="G364" s="58"/>
      <c r="H364" s="51"/>
      <c r="I364" s="58"/>
      <c r="J364" s="51"/>
      <c r="K364" s="51"/>
      <c r="L364" s="51"/>
      <c r="M364" s="51"/>
      <c r="N364" s="51"/>
      <c r="O364" s="51"/>
      <c r="P364" s="51"/>
      <c r="Q364" s="51"/>
      <c r="R364" s="51"/>
      <c r="S364" s="51"/>
      <c r="T364" s="51"/>
      <c r="U364" s="51"/>
      <c r="V364" s="51"/>
      <c r="W364" s="51"/>
      <c r="X364" s="51"/>
      <c r="Y364" s="51"/>
      <c r="Z364" s="51"/>
      <c r="AA364" s="51"/>
    </row>
    <row r="365" spans="1:27" ht="13.65" customHeight="1" x14ac:dyDescent="0.3">
      <c r="A365" s="49"/>
      <c r="B365" s="57"/>
      <c r="C365" s="51"/>
      <c r="D365" s="51"/>
      <c r="E365" s="51"/>
      <c r="F365" s="51"/>
      <c r="G365" s="58"/>
      <c r="H365" s="51"/>
      <c r="I365" s="58"/>
      <c r="J365" s="51"/>
      <c r="K365" s="51"/>
      <c r="L365" s="51"/>
      <c r="M365" s="51"/>
      <c r="N365" s="51"/>
      <c r="O365" s="51"/>
      <c r="P365" s="51"/>
      <c r="Q365" s="51"/>
      <c r="R365" s="51"/>
      <c r="S365" s="51"/>
      <c r="T365" s="51"/>
      <c r="U365" s="51"/>
      <c r="V365" s="51"/>
      <c r="W365" s="51"/>
      <c r="X365" s="51"/>
      <c r="Y365" s="51"/>
      <c r="Z365" s="51"/>
      <c r="AA365" s="51"/>
    </row>
    <row r="366" spans="1:27" ht="13.65" customHeight="1" x14ac:dyDescent="0.3">
      <c r="A366" s="49"/>
      <c r="B366" s="57"/>
      <c r="C366" s="51"/>
      <c r="D366" s="51"/>
      <c r="E366" s="51"/>
      <c r="F366" s="51"/>
      <c r="G366" s="58"/>
      <c r="H366" s="51"/>
      <c r="I366" s="58"/>
      <c r="J366" s="51"/>
      <c r="K366" s="51"/>
      <c r="L366" s="51"/>
      <c r="M366" s="51"/>
      <c r="N366" s="51"/>
      <c r="O366" s="51"/>
      <c r="P366" s="51"/>
      <c r="Q366" s="51"/>
      <c r="R366" s="51"/>
      <c r="S366" s="51"/>
      <c r="T366" s="51"/>
      <c r="U366" s="51"/>
      <c r="V366" s="51"/>
      <c r="W366" s="51"/>
      <c r="X366" s="51"/>
      <c r="Y366" s="51"/>
      <c r="Z366" s="51"/>
      <c r="AA366" s="51"/>
    </row>
    <row r="367" spans="1:27" ht="13.65" customHeight="1" x14ac:dyDescent="0.3">
      <c r="A367" s="49"/>
      <c r="B367" s="57"/>
      <c r="C367" s="51"/>
      <c r="D367" s="51"/>
      <c r="E367" s="51"/>
      <c r="F367" s="51"/>
      <c r="G367" s="58"/>
      <c r="H367" s="51"/>
      <c r="I367" s="58"/>
      <c r="J367" s="51"/>
      <c r="K367" s="51"/>
      <c r="L367" s="51"/>
      <c r="M367" s="51"/>
      <c r="N367" s="51"/>
      <c r="O367" s="51"/>
      <c r="P367" s="51"/>
      <c r="Q367" s="51"/>
      <c r="R367" s="51"/>
      <c r="S367" s="51"/>
      <c r="T367" s="51"/>
      <c r="U367" s="51"/>
      <c r="V367" s="51"/>
      <c r="W367" s="51"/>
      <c r="X367" s="51"/>
      <c r="Y367" s="51"/>
      <c r="Z367" s="51"/>
      <c r="AA367" s="51"/>
    </row>
    <row r="368" spans="1:27" ht="13.65" customHeight="1" x14ac:dyDescent="0.3">
      <c r="A368" s="49"/>
      <c r="B368" s="57"/>
      <c r="C368" s="51"/>
      <c r="D368" s="51"/>
      <c r="E368" s="51"/>
      <c r="F368" s="51"/>
      <c r="G368" s="58"/>
      <c r="H368" s="51"/>
      <c r="I368" s="58"/>
      <c r="J368" s="51"/>
      <c r="K368" s="51"/>
      <c r="L368" s="51"/>
      <c r="M368" s="51"/>
      <c r="N368" s="51"/>
      <c r="O368" s="51"/>
      <c r="P368" s="51"/>
      <c r="Q368" s="51"/>
      <c r="R368" s="51"/>
      <c r="S368" s="51"/>
      <c r="T368" s="51"/>
      <c r="U368" s="51"/>
      <c r="V368" s="51"/>
      <c r="W368" s="51"/>
      <c r="X368" s="51"/>
      <c r="Y368" s="51"/>
      <c r="Z368" s="51"/>
      <c r="AA368" s="51"/>
    </row>
    <row r="369" spans="1:27" ht="13.65" customHeight="1" x14ac:dyDescent="0.3">
      <c r="A369" s="49"/>
      <c r="B369" s="57"/>
      <c r="C369" s="51"/>
      <c r="D369" s="51"/>
      <c r="E369" s="51"/>
      <c r="F369" s="51"/>
      <c r="G369" s="58"/>
      <c r="H369" s="51"/>
      <c r="I369" s="58"/>
      <c r="J369" s="51"/>
      <c r="K369" s="51"/>
      <c r="L369" s="51"/>
      <c r="M369" s="51"/>
      <c r="N369" s="51"/>
      <c r="O369" s="51"/>
      <c r="P369" s="51"/>
      <c r="Q369" s="51"/>
      <c r="R369" s="51"/>
      <c r="S369" s="51"/>
      <c r="T369" s="51"/>
      <c r="U369" s="51"/>
      <c r="V369" s="51"/>
      <c r="W369" s="51"/>
      <c r="X369" s="51"/>
      <c r="Y369" s="51"/>
      <c r="Z369" s="51"/>
      <c r="AA369" s="51"/>
    </row>
    <row r="370" spans="1:27" ht="13.65" customHeight="1" x14ac:dyDescent="0.3">
      <c r="A370" s="49"/>
      <c r="B370" s="57"/>
      <c r="C370" s="51"/>
      <c r="D370" s="51"/>
      <c r="E370" s="51"/>
      <c r="F370" s="51"/>
      <c r="G370" s="58"/>
      <c r="H370" s="51"/>
      <c r="I370" s="58"/>
      <c r="J370" s="51"/>
      <c r="K370" s="51"/>
      <c r="L370" s="51"/>
      <c r="M370" s="51"/>
      <c r="N370" s="51"/>
      <c r="O370" s="51"/>
      <c r="P370" s="51"/>
      <c r="Q370" s="51"/>
      <c r="R370" s="51"/>
      <c r="S370" s="51"/>
      <c r="T370" s="51"/>
      <c r="U370" s="51"/>
      <c r="V370" s="51"/>
      <c r="W370" s="51"/>
      <c r="X370" s="51"/>
      <c r="Y370" s="51"/>
      <c r="Z370" s="51"/>
      <c r="AA370" s="51"/>
    </row>
    <row r="371" spans="1:27" ht="13.65" customHeight="1" x14ac:dyDescent="0.3">
      <c r="A371" s="49"/>
      <c r="B371" s="57"/>
      <c r="C371" s="51"/>
      <c r="D371" s="51"/>
      <c r="E371" s="51"/>
      <c r="F371" s="51"/>
      <c r="G371" s="58"/>
      <c r="H371" s="51"/>
      <c r="I371" s="58"/>
      <c r="J371" s="51"/>
      <c r="K371" s="51"/>
      <c r="L371" s="51"/>
      <c r="M371" s="51"/>
      <c r="N371" s="51"/>
      <c r="O371" s="51"/>
      <c r="P371" s="51"/>
      <c r="Q371" s="51"/>
      <c r="R371" s="51"/>
      <c r="S371" s="51"/>
      <c r="T371" s="51"/>
      <c r="U371" s="51"/>
      <c r="V371" s="51"/>
      <c r="W371" s="51"/>
      <c r="X371" s="51"/>
      <c r="Y371" s="51"/>
      <c r="Z371" s="51"/>
      <c r="AA371" s="51"/>
    </row>
    <row r="372" spans="1:27" ht="13.65" customHeight="1" x14ac:dyDescent="0.3">
      <c r="A372" s="49"/>
      <c r="B372" s="57"/>
      <c r="C372" s="51"/>
      <c r="D372" s="51"/>
      <c r="E372" s="51"/>
      <c r="F372" s="51"/>
      <c r="G372" s="58"/>
      <c r="H372" s="51"/>
      <c r="I372" s="58"/>
      <c r="J372" s="51"/>
      <c r="K372" s="51"/>
      <c r="L372" s="51"/>
      <c r="M372" s="51"/>
      <c r="N372" s="51"/>
      <c r="O372" s="51"/>
      <c r="P372" s="51"/>
      <c r="Q372" s="51"/>
      <c r="R372" s="51"/>
      <c r="S372" s="51"/>
      <c r="T372" s="51"/>
      <c r="U372" s="51"/>
      <c r="V372" s="51"/>
      <c r="W372" s="51"/>
      <c r="X372" s="51"/>
      <c r="Y372" s="51"/>
      <c r="Z372" s="51"/>
      <c r="AA372" s="51"/>
    </row>
    <row r="373" spans="1:27" ht="13.65" customHeight="1" x14ac:dyDescent="0.3">
      <c r="A373" s="49"/>
      <c r="B373" s="57"/>
      <c r="C373" s="51"/>
      <c r="D373" s="51"/>
      <c r="E373" s="51"/>
      <c r="F373" s="51"/>
      <c r="G373" s="58"/>
      <c r="H373" s="51"/>
      <c r="I373" s="58"/>
      <c r="J373" s="51"/>
      <c r="K373" s="51"/>
      <c r="L373" s="51"/>
      <c r="M373" s="51"/>
      <c r="N373" s="51"/>
      <c r="O373" s="51"/>
      <c r="P373" s="51"/>
      <c r="Q373" s="51"/>
      <c r="R373" s="51"/>
      <c r="S373" s="51"/>
      <c r="T373" s="51"/>
      <c r="U373" s="51"/>
      <c r="V373" s="51"/>
      <c r="W373" s="51"/>
      <c r="X373" s="51"/>
      <c r="Y373" s="51"/>
      <c r="Z373" s="51"/>
      <c r="AA373" s="51"/>
    </row>
    <row r="374" spans="1:27" ht="13.65" customHeight="1" x14ac:dyDescent="0.3">
      <c r="A374" s="49"/>
      <c r="B374" s="57"/>
      <c r="C374" s="51"/>
      <c r="D374" s="51"/>
      <c r="E374" s="51"/>
      <c r="F374" s="51"/>
      <c r="G374" s="58"/>
      <c r="H374" s="51"/>
      <c r="I374" s="58"/>
      <c r="J374" s="51"/>
      <c r="K374" s="51"/>
      <c r="L374" s="51"/>
      <c r="M374" s="51"/>
      <c r="N374" s="51"/>
      <c r="O374" s="51"/>
      <c r="P374" s="51"/>
      <c r="Q374" s="51"/>
      <c r="R374" s="51"/>
      <c r="S374" s="51"/>
      <c r="T374" s="51"/>
      <c r="U374" s="51"/>
      <c r="V374" s="51"/>
      <c r="W374" s="51"/>
      <c r="X374" s="51"/>
      <c r="Y374" s="51"/>
      <c r="Z374" s="51"/>
      <c r="AA374" s="51"/>
    </row>
    <row r="375" spans="1:27" ht="13.65" customHeight="1" x14ac:dyDescent="0.3">
      <c r="A375" s="49"/>
      <c r="B375" s="57"/>
      <c r="C375" s="51"/>
      <c r="D375" s="51"/>
      <c r="E375" s="51"/>
      <c r="F375" s="51"/>
      <c r="G375" s="58"/>
      <c r="H375" s="51"/>
      <c r="I375" s="58"/>
      <c r="J375" s="51"/>
      <c r="K375" s="51"/>
      <c r="L375" s="51"/>
      <c r="M375" s="51"/>
      <c r="N375" s="51"/>
      <c r="O375" s="51"/>
      <c r="P375" s="51"/>
      <c r="Q375" s="51"/>
      <c r="R375" s="51"/>
      <c r="S375" s="51"/>
      <c r="T375" s="51"/>
      <c r="U375" s="51"/>
      <c r="V375" s="51"/>
      <c r="W375" s="51"/>
      <c r="X375" s="51"/>
      <c r="Y375" s="51"/>
      <c r="Z375" s="51"/>
      <c r="AA375" s="51"/>
    </row>
    <row r="376" spans="1:27" ht="13.65" customHeight="1" x14ac:dyDescent="0.3">
      <c r="A376" s="49"/>
      <c r="B376" s="57"/>
      <c r="C376" s="51"/>
      <c r="D376" s="51"/>
      <c r="E376" s="51"/>
      <c r="F376" s="51"/>
      <c r="G376" s="58"/>
      <c r="H376" s="51"/>
      <c r="I376" s="58"/>
      <c r="J376" s="51"/>
      <c r="K376" s="51"/>
      <c r="L376" s="51"/>
      <c r="M376" s="51"/>
      <c r="N376" s="51"/>
      <c r="O376" s="51"/>
      <c r="P376" s="51"/>
      <c r="Q376" s="51"/>
      <c r="R376" s="51"/>
      <c r="S376" s="51"/>
      <c r="T376" s="51"/>
      <c r="U376" s="51"/>
      <c r="V376" s="51"/>
      <c r="W376" s="51"/>
      <c r="X376" s="51"/>
      <c r="Y376" s="51"/>
      <c r="Z376" s="51"/>
      <c r="AA376" s="51"/>
    </row>
    <row r="377" spans="1:27" ht="13.65" customHeight="1" x14ac:dyDescent="0.3">
      <c r="A377" s="49"/>
      <c r="B377" s="57"/>
      <c r="C377" s="51"/>
      <c r="D377" s="51"/>
      <c r="E377" s="51"/>
      <c r="F377" s="51"/>
      <c r="G377" s="58"/>
      <c r="H377" s="51"/>
      <c r="I377" s="58"/>
      <c r="J377" s="51"/>
      <c r="K377" s="51"/>
      <c r="L377" s="51"/>
      <c r="M377" s="51"/>
      <c r="N377" s="51"/>
      <c r="O377" s="51"/>
      <c r="P377" s="51"/>
      <c r="Q377" s="51"/>
      <c r="R377" s="51"/>
      <c r="S377" s="51"/>
      <c r="T377" s="51"/>
      <c r="U377" s="51"/>
      <c r="V377" s="51"/>
      <c r="W377" s="51"/>
      <c r="X377" s="51"/>
      <c r="Y377" s="51"/>
      <c r="Z377" s="51"/>
      <c r="AA377" s="51"/>
    </row>
    <row r="378" spans="1:27" ht="13.65" customHeight="1" x14ac:dyDescent="0.3">
      <c r="A378" s="49"/>
      <c r="B378" s="57"/>
      <c r="C378" s="51"/>
      <c r="D378" s="51"/>
      <c r="E378" s="51"/>
      <c r="F378" s="51"/>
      <c r="G378" s="58"/>
      <c r="H378" s="51"/>
      <c r="I378" s="58"/>
      <c r="J378" s="51"/>
      <c r="K378" s="51"/>
      <c r="L378" s="51"/>
      <c r="M378" s="51"/>
      <c r="N378" s="51"/>
      <c r="O378" s="51"/>
      <c r="P378" s="51"/>
      <c r="Q378" s="51"/>
      <c r="R378" s="51"/>
      <c r="S378" s="51"/>
      <c r="T378" s="51"/>
      <c r="U378" s="51"/>
      <c r="V378" s="51"/>
      <c r="W378" s="51"/>
      <c r="X378" s="51"/>
      <c r="Y378" s="51"/>
      <c r="Z378" s="51"/>
      <c r="AA378" s="51"/>
    </row>
    <row r="379" spans="1:27" ht="13.65" customHeight="1" x14ac:dyDescent="0.3">
      <c r="A379" s="49"/>
      <c r="B379" s="57"/>
      <c r="C379" s="51"/>
      <c r="D379" s="51"/>
      <c r="E379" s="51"/>
      <c r="F379" s="51"/>
      <c r="G379" s="58"/>
      <c r="H379" s="51"/>
      <c r="I379" s="58"/>
      <c r="J379" s="51"/>
      <c r="K379" s="51"/>
      <c r="L379" s="51"/>
      <c r="M379" s="51"/>
      <c r="N379" s="51"/>
      <c r="O379" s="51"/>
      <c r="P379" s="51"/>
      <c r="Q379" s="51"/>
      <c r="R379" s="51"/>
      <c r="S379" s="51"/>
      <c r="T379" s="51"/>
      <c r="U379" s="51"/>
      <c r="V379" s="51"/>
      <c r="W379" s="51"/>
      <c r="X379" s="51"/>
      <c r="Y379" s="51"/>
      <c r="Z379" s="51"/>
      <c r="AA379" s="51"/>
    </row>
    <row r="380" spans="1:27" ht="13.65" customHeight="1" x14ac:dyDescent="0.3">
      <c r="A380" s="49"/>
      <c r="B380" s="57"/>
      <c r="C380" s="51"/>
      <c r="D380" s="51"/>
      <c r="E380" s="51"/>
      <c r="F380" s="51"/>
      <c r="G380" s="58"/>
      <c r="H380" s="51"/>
      <c r="I380" s="58"/>
      <c r="J380" s="51"/>
      <c r="K380" s="51"/>
      <c r="L380" s="51"/>
      <c r="M380" s="51"/>
      <c r="N380" s="51"/>
      <c r="O380" s="51"/>
      <c r="P380" s="51"/>
      <c r="Q380" s="51"/>
      <c r="R380" s="51"/>
      <c r="S380" s="51"/>
      <c r="T380" s="51"/>
      <c r="U380" s="51"/>
      <c r="V380" s="51"/>
      <c r="W380" s="51"/>
      <c r="X380" s="51"/>
      <c r="Y380" s="51"/>
      <c r="Z380" s="51"/>
      <c r="AA380" s="51"/>
    </row>
    <row r="381" spans="1:27" ht="13.65" customHeight="1" x14ac:dyDescent="0.3">
      <c r="A381" s="49"/>
      <c r="B381" s="57"/>
      <c r="C381" s="51"/>
      <c r="D381" s="51"/>
      <c r="E381" s="51"/>
      <c r="F381" s="51"/>
      <c r="G381" s="58"/>
      <c r="H381" s="51"/>
      <c r="I381" s="58"/>
      <c r="J381" s="51"/>
      <c r="K381" s="51"/>
      <c r="L381" s="51"/>
      <c r="M381" s="51"/>
      <c r="N381" s="51"/>
      <c r="O381" s="51"/>
      <c r="P381" s="51"/>
      <c r="Q381" s="51"/>
      <c r="R381" s="51"/>
      <c r="S381" s="51"/>
      <c r="T381" s="51"/>
      <c r="U381" s="51"/>
      <c r="V381" s="51"/>
      <c r="W381" s="51"/>
      <c r="X381" s="51"/>
      <c r="Y381" s="51"/>
      <c r="Z381" s="51"/>
      <c r="AA381" s="51"/>
    </row>
    <row r="382" spans="1:27" ht="13.65" customHeight="1" x14ac:dyDescent="0.3">
      <c r="A382" s="49"/>
      <c r="B382" s="57"/>
      <c r="C382" s="51"/>
      <c r="D382" s="51"/>
      <c r="E382" s="51"/>
      <c r="F382" s="51"/>
      <c r="G382" s="58"/>
      <c r="H382" s="51"/>
      <c r="I382" s="58"/>
      <c r="J382" s="51"/>
      <c r="K382" s="51"/>
      <c r="L382" s="51"/>
      <c r="M382" s="51"/>
      <c r="N382" s="51"/>
      <c r="O382" s="51"/>
      <c r="P382" s="51"/>
      <c r="Q382" s="51"/>
      <c r="R382" s="51"/>
      <c r="S382" s="51"/>
      <c r="T382" s="51"/>
      <c r="U382" s="51"/>
      <c r="V382" s="51"/>
      <c r="W382" s="51"/>
      <c r="X382" s="51"/>
      <c r="Y382" s="51"/>
      <c r="Z382" s="51"/>
      <c r="AA382" s="51"/>
    </row>
    <row r="383" spans="1:27" ht="13.65" customHeight="1" x14ac:dyDescent="0.3">
      <c r="A383" s="49"/>
      <c r="B383" s="57"/>
      <c r="C383" s="51"/>
      <c r="D383" s="51"/>
      <c r="E383" s="51"/>
      <c r="F383" s="51"/>
      <c r="G383" s="58"/>
      <c r="H383" s="51"/>
      <c r="I383" s="58"/>
      <c r="J383" s="51"/>
      <c r="K383" s="51"/>
      <c r="L383" s="51"/>
      <c r="M383" s="51"/>
      <c r="N383" s="51"/>
      <c r="O383" s="51"/>
      <c r="P383" s="51"/>
      <c r="Q383" s="51"/>
      <c r="R383" s="51"/>
      <c r="S383" s="51"/>
      <c r="T383" s="51"/>
      <c r="U383" s="51"/>
      <c r="V383" s="51"/>
      <c r="W383" s="51"/>
      <c r="X383" s="51"/>
      <c r="Y383" s="51"/>
      <c r="Z383" s="51"/>
      <c r="AA383" s="51"/>
    </row>
    <row r="384" spans="1:27" ht="13.65" customHeight="1" x14ac:dyDescent="0.3">
      <c r="A384" s="49"/>
      <c r="B384" s="57"/>
      <c r="C384" s="51"/>
      <c r="D384" s="51"/>
      <c r="E384" s="51"/>
      <c r="F384" s="51"/>
      <c r="G384" s="58"/>
      <c r="H384" s="51"/>
      <c r="I384" s="58"/>
      <c r="J384" s="51"/>
      <c r="K384" s="51"/>
      <c r="L384" s="51"/>
      <c r="M384" s="51"/>
      <c r="N384" s="51"/>
      <c r="O384" s="51"/>
      <c r="P384" s="51"/>
      <c r="Q384" s="51"/>
      <c r="R384" s="51"/>
      <c r="S384" s="51"/>
      <c r="T384" s="51"/>
      <c r="U384" s="51"/>
      <c r="V384" s="51"/>
      <c r="W384" s="51"/>
      <c r="X384" s="51"/>
      <c r="Y384" s="51"/>
      <c r="Z384" s="51"/>
      <c r="AA384" s="51"/>
    </row>
    <row r="385" spans="1:27" ht="13.65" customHeight="1" x14ac:dyDescent="0.3">
      <c r="A385" s="49"/>
      <c r="B385" s="57"/>
      <c r="C385" s="51"/>
      <c r="D385" s="51"/>
      <c r="E385" s="51"/>
      <c r="F385" s="51"/>
      <c r="G385" s="58"/>
      <c r="H385" s="51"/>
      <c r="I385" s="58"/>
      <c r="J385" s="51"/>
      <c r="K385" s="51"/>
      <c r="L385" s="51"/>
      <c r="M385" s="51"/>
      <c r="N385" s="51"/>
      <c r="O385" s="51"/>
      <c r="P385" s="51"/>
      <c r="Q385" s="51"/>
      <c r="R385" s="51"/>
      <c r="S385" s="51"/>
      <c r="T385" s="51"/>
      <c r="U385" s="51"/>
      <c r="V385" s="51"/>
      <c r="W385" s="51"/>
      <c r="X385" s="51"/>
      <c r="Y385" s="51"/>
      <c r="Z385" s="51"/>
      <c r="AA385" s="51"/>
    </row>
    <row r="386" spans="1:27" ht="13.65" customHeight="1" x14ac:dyDescent="0.3">
      <c r="A386" s="49"/>
      <c r="B386" s="57"/>
      <c r="C386" s="51"/>
      <c r="D386" s="51"/>
      <c r="E386" s="51"/>
      <c r="F386" s="51"/>
      <c r="G386" s="58"/>
      <c r="H386" s="51"/>
      <c r="I386" s="58"/>
      <c r="J386" s="51"/>
      <c r="K386" s="51"/>
      <c r="L386" s="51"/>
      <c r="M386" s="51"/>
      <c r="N386" s="51"/>
      <c r="O386" s="51"/>
      <c r="P386" s="51"/>
      <c r="Q386" s="51"/>
      <c r="R386" s="51"/>
      <c r="S386" s="51"/>
      <c r="T386" s="51"/>
      <c r="U386" s="51"/>
      <c r="V386" s="51"/>
      <c r="W386" s="51"/>
      <c r="X386" s="51"/>
      <c r="Y386" s="51"/>
      <c r="Z386" s="51"/>
      <c r="AA386" s="51"/>
    </row>
    <row r="387" spans="1:27" ht="13.65" customHeight="1" x14ac:dyDescent="0.3">
      <c r="A387" s="49"/>
      <c r="B387" s="57"/>
      <c r="C387" s="51"/>
      <c r="D387" s="51"/>
      <c r="E387" s="51"/>
      <c r="F387" s="51"/>
      <c r="G387" s="58"/>
      <c r="H387" s="51"/>
      <c r="I387" s="58"/>
      <c r="J387" s="51"/>
      <c r="K387" s="51"/>
      <c r="L387" s="51"/>
      <c r="M387" s="51"/>
      <c r="N387" s="51"/>
      <c r="O387" s="51"/>
      <c r="P387" s="51"/>
      <c r="Q387" s="51"/>
      <c r="R387" s="51"/>
      <c r="S387" s="51"/>
      <c r="T387" s="51"/>
      <c r="U387" s="51"/>
      <c r="V387" s="51"/>
      <c r="W387" s="51"/>
      <c r="X387" s="51"/>
      <c r="Y387" s="51"/>
      <c r="Z387" s="51"/>
      <c r="AA387" s="51"/>
    </row>
    <row r="388" spans="1:27" ht="13.65" customHeight="1" x14ac:dyDescent="0.3">
      <c r="A388" s="49"/>
      <c r="B388" s="57"/>
      <c r="C388" s="51"/>
      <c r="D388" s="51"/>
      <c r="E388" s="51"/>
      <c r="F388" s="51"/>
      <c r="G388" s="58"/>
      <c r="H388" s="51"/>
      <c r="I388" s="58"/>
      <c r="J388" s="51"/>
      <c r="K388" s="51"/>
      <c r="L388" s="51"/>
      <c r="M388" s="51"/>
      <c r="N388" s="51"/>
      <c r="O388" s="51"/>
      <c r="P388" s="51"/>
      <c r="Q388" s="51"/>
      <c r="R388" s="51"/>
      <c r="S388" s="51"/>
      <c r="T388" s="51"/>
      <c r="U388" s="51"/>
      <c r="V388" s="51"/>
      <c r="W388" s="51"/>
      <c r="X388" s="51"/>
      <c r="Y388" s="51"/>
      <c r="Z388" s="51"/>
      <c r="AA388" s="51"/>
    </row>
    <row r="389" spans="1:27" ht="13.65" customHeight="1" x14ac:dyDescent="0.3">
      <c r="A389" s="49"/>
      <c r="B389" s="57"/>
      <c r="C389" s="51"/>
      <c r="D389" s="51"/>
      <c r="E389" s="51"/>
      <c r="F389" s="51"/>
      <c r="G389" s="58"/>
      <c r="H389" s="51"/>
      <c r="I389" s="58"/>
      <c r="J389" s="51"/>
      <c r="K389" s="51"/>
      <c r="L389" s="51"/>
      <c r="M389" s="51"/>
      <c r="N389" s="51"/>
      <c r="O389" s="51"/>
      <c r="P389" s="51"/>
      <c r="Q389" s="51"/>
      <c r="R389" s="51"/>
      <c r="S389" s="51"/>
      <c r="T389" s="51"/>
      <c r="U389" s="51"/>
      <c r="V389" s="51"/>
      <c r="W389" s="51"/>
      <c r="X389" s="51"/>
      <c r="Y389" s="51"/>
      <c r="Z389" s="51"/>
      <c r="AA389" s="51"/>
    </row>
    <row r="390" spans="1:27" ht="13.65" customHeight="1" x14ac:dyDescent="0.3">
      <c r="A390" s="49"/>
      <c r="B390" s="57"/>
      <c r="C390" s="51"/>
      <c r="D390" s="51"/>
      <c r="E390" s="51"/>
      <c r="F390" s="51"/>
      <c r="G390" s="58"/>
      <c r="H390" s="51"/>
      <c r="I390" s="58"/>
      <c r="J390" s="51"/>
      <c r="K390" s="51"/>
      <c r="L390" s="51"/>
      <c r="M390" s="51"/>
      <c r="N390" s="51"/>
      <c r="O390" s="51"/>
      <c r="P390" s="51"/>
      <c r="Q390" s="51"/>
      <c r="R390" s="51"/>
      <c r="S390" s="51"/>
      <c r="T390" s="51"/>
      <c r="U390" s="51"/>
      <c r="V390" s="51"/>
      <c r="W390" s="51"/>
      <c r="X390" s="51"/>
      <c r="Y390" s="51"/>
      <c r="Z390" s="51"/>
      <c r="AA390" s="51"/>
    </row>
    <row r="391" spans="1:27" ht="13.65" customHeight="1" x14ac:dyDescent="0.3">
      <c r="A391" s="49"/>
      <c r="B391" s="57"/>
      <c r="C391" s="51"/>
      <c r="D391" s="51"/>
      <c r="E391" s="51"/>
      <c r="F391" s="51"/>
      <c r="G391" s="58"/>
      <c r="H391" s="51"/>
      <c r="I391" s="58"/>
      <c r="J391" s="51"/>
      <c r="K391" s="51"/>
      <c r="L391" s="51"/>
      <c r="M391" s="51"/>
      <c r="N391" s="51"/>
      <c r="O391" s="51"/>
      <c r="P391" s="51"/>
      <c r="Q391" s="51"/>
      <c r="R391" s="51"/>
      <c r="S391" s="51"/>
      <c r="T391" s="51"/>
      <c r="U391" s="51"/>
      <c r="V391" s="51"/>
      <c r="W391" s="51"/>
      <c r="X391" s="51"/>
      <c r="Y391" s="51"/>
      <c r="Z391" s="51"/>
      <c r="AA391" s="51"/>
    </row>
    <row r="392" spans="1:27" ht="13.65" customHeight="1" x14ac:dyDescent="0.3">
      <c r="A392" s="49"/>
      <c r="B392" s="57"/>
      <c r="C392" s="51"/>
      <c r="D392" s="51"/>
      <c r="E392" s="51"/>
      <c r="F392" s="51"/>
      <c r="G392" s="58"/>
      <c r="H392" s="51"/>
      <c r="I392" s="58"/>
      <c r="J392" s="51"/>
      <c r="K392" s="51"/>
      <c r="L392" s="51"/>
      <c r="M392" s="51"/>
      <c r="N392" s="51"/>
      <c r="O392" s="51"/>
      <c r="P392" s="51"/>
      <c r="Q392" s="51"/>
      <c r="R392" s="51"/>
      <c r="S392" s="51"/>
      <c r="T392" s="51"/>
      <c r="U392" s="51"/>
      <c r="V392" s="51"/>
      <c r="W392" s="51"/>
      <c r="X392" s="51"/>
      <c r="Y392" s="51"/>
      <c r="Z392" s="51"/>
      <c r="AA392" s="51"/>
    </row>
    <row r="393" spans="1:27" ht="13.65" customHeight="1" x14ac:dyDescent="0.3">
      <c r="A393" s="49"/>
      <c r="B393" s="57"/>
      <c r="C393" s="51"/>
      <c r="D393" s="51"/>
      <c r="E393" s="51"/>
      <c r="F393" s="51"/>
      <c r="G393" s="58"/>
      <c r="H393" s="51"/>
      <c r="I393" s="58"/>
      <c r="J393" s="51"/>
      <c r="K393" s="51"/>
      <c r="L393" s="51"/>
      <c r="M393" s="51"/>
      <c r="N393" s="51"/>
      <c r="O393" s="51"/>
      <c r="P393" s="51"/>
      <c r="Q393" s="51"/>
      <c r="R393" s="51"/>
      <c r="S393" s="51"/>
      <c r="T393" s="51"/>
      <c r="U393" s="51"/>
      <c r="V393" s="51"/>
      <c r="W393" s="51"/>
      <c r="X393" s="51"/>
      <c r="Y393" s="51"/>
      <c r="Z393" s="51"/>
      <c r="AA393" s="51"/>
    </row>
    <row r="394" spans="1:27" ht="13.65" customHeight="1" x14ac:dyDescent="0.3">
      <c r="A394" s="49"/>
      <c r="B394" s="57"/>
      <c r="C394" s="51"/>
      <c r="D394" s="51"/>
      <c r="E394" s="51"/>
      <c r="F394" s="51"/>
      <c r="G394" s="58"/>
      <c r="H394" s="51"/>
      <c r="I394" s="58"/>
      <c r="J394" s="51"/>
      <c r="K394" s="51"/>
      <c r="L394" s="51"/>
      <c r="M394" s="51"/>
      <c r="N394" s="51"/>
      <c r="O394" s="51"/>
      <c r="P394" s="51"/>
      <c r="Q394" s="51"/>
      <c r="R394" s="51"/>
      <c r="S394" s="51"/>
      <c r="T394" s="51"/>
      <c r="U394" s="51"/>
      <c r="V394" s="51"/>
      <c r="W394" s="51"/>
      <c r="X394" s="51"/>
      <c r="Y394" s="51"/>
      <c r="Z394" s="51"/>
      <c r="AA394" s="51"/>
    </row>
    <row r="395" spans="1:27" ht="13.65" customHeight="1" x14ac:dyDescent="0.3">
      <c r="A395" s="49"/>
      <c r="B395" s="57"/>
      <c r="C395" s="51"/>
      <c r="D395" s="51"/>
      <c r="E395" s="51"/>
      <c r="F395" s="51"/>
      <c r="G395" s="58"/>
      <c r="H395" s="51"/>
      <c r="I395" s="58"/>
      <c r="J395" s="51"/>
      <c r="K395" s="51"/>
      <c r="L395" s="51"/>
      <c r="M395" s="51"/>
      <c r="N395" s="51"/>
      <c r="O395" s="51"/>
      <c r="P395" s="51"/>
      <c r="Q395" s="51"/>
      <c r="R395" s="51"/>
      <c r="S395" s="51"/>
      <c r="T395" s="51"/>
      <c r="U395" s="51"/>
      <c r="V395" s="51"/>
      <c r="W395" s="51"/>
      <c r="X395" s="51"/>
      <c r="Y395" s="51"/>
      <c r="Z395" s="51"/>
      <c r="AA395" s="51"/>
    </row>
    <row r="396" spans="1:27" ht="13.65" customHeight="1" x14ac:dyDescent="0.3">
      <c r="A396" s="49"/>
      <c r="B396" s="57"/>
      <c r="C396" s="51"/>
      <c r="D396" s="51"/>
      <c r="E396" s="51"/>
      <c r="F396" s="51"/>
      <c r="G396" s="58"/>
      <c r="H396" s="51"/>
      <c r="I396" s="58"/>
      <c r="J396" s="51"/>
      <c r="K396" s="51"/>
      <c r="L396" s="51"/>
      <c r="M396" s="51"/>
      <c r="N396" s="51"/>
      <c r="O396" s="51"/>
      <c r="P396" s="51"/>
      <c r="Q396" s="51"/>
      <c r="R396" s="51"/>
      <c r="S396" s="51"/>
      <c r="T396" s="51"/>
      <c r="U396" s="51"/>
      <c r="V396" s="51"/>
      <c r="W396" s="51"/>
      <c r="X396" s="51"/>
      <c r="Y396" s="51"/>
      <c r="Z396" s="51"/>
      <c r="AA396" s="51"/>
    </row>
    <row r="397" spans="1:27" ht="13.65" customHeight="1" x14ac:dyDescent="0.3">
      <c r="A397" s="49"/>
      <c r="B397" s="57"/>
      <c r="C397" s="51"/>
      <c r="D397" s="51"/>
      <c r="E397" s="51"/>
      <c r="F397" s="51"/>
      <c r="G397" s="58"/>
      <c r="H397" s="51"/>
      <c r="I397" s="58"/>
      <c r="J397" s="51"/>
      <c r="K397" s="51"/>
      <c r="L397" s="51"/>
      <c r="M397" s="51"/>
      <c r="N397" s="51"/>
      <c r="O397" s="51"/>
      <c r="P397" s="51"/>
      <c r="Q397" s="51"/>
      <c r="R397" s="51"/>
      <c r="S397" s="51"/>
      <c r="T397" s="51"/>
      <c r="U397" s="51"/>
      <c r="V397" s="51"/>
      <c r="W397" s="51"/>
      <c r="X397" s="51"/>
      <c r="Y397" s="51"/>
      <c r="Z397" s="51"/>
      <c r="AA397" s="51"/>
    </row>
    <row r="398" spans="1:27" ht="13.65" customHeight="1" x14ac:dyDescent="0.3">
      <c r="A398" s="49"/>
      <c r="B398" s="57"/>
      <c r="C398" s="51"/>
      <c r="D398" s="51"/>
      <c r="E398" s="51"/>
      <c r="F398" s="51"/>
      <c r="G398" s="58"/>
      <c r="H398" s="51"/>
      <c r="I398" s="58"/>
      <c r="J398" s="51"/>
      <c r="K398" s="51"/>
      <c r="L398" s="51"/>
      <c r="M398" s="51"/>
      <c r="N398" s="51"/>
      <c r="O398" s="51"/>
      <c r="P398" s="51"/>
      <c r="Q398" s="51"/>
      <c r="R398" s="51"/>
      <c r="S398" s="51"/>
      <c r="T398" s="51"/>
      <c r="U398" s="51"/>
      <c r="V398" s="51"/>
      <c r="W398" s="51"/>
      <c r="X398" s="51"/>
      <c r="Y398" s="51"/>
      <c r="Z398" s="51"/>
      <c r="AA398" s="51"/>
    </row>
    <row r="399" spans="1:27" ht="13.65" customHeight="1" x14ac:dyDescent="0.3">
      <c r="A399" s="49"/>
      <c r="B399" s="57"/>
      <c r="C399" s="51"/>
      <c r="D399" s="51"/>
      <c r="E399" s="51"/>
      <c r="F399" s="51"/>
      <c r="G399" s="58"/>
      <c r="H399" s="51"/>
      <c r="I399" s="58"/>
      <c r="J399" s="51"/>
      <c r="K399" s="51"/>
      <c r="L399" s="51"/>
      <c r="M399" s="51"/>
      <c r="N399" s="51"/>
      <c r="O399" s="51"/>
      <c r="P399" s="51"/>
      <c r="Q399" s="51"/>
      <c r="R399" s="51"/>
      <c r="S399" s="51"/>
      <c r="T399" s="51"/>
      <c r="U399" s="51"/>
      <c r="V399" s="51"/>
      <c r="W399" s="51"/>
      <c r="X399" s="51"/>
      <c r="Y399" s="51"/>
      <c r="Z399" s="51"/>
      <c r="AA399" s="51"/>
    </row>
    <row r="400" spans="1:27" ht="13.65" customHeight="1" x14ac:dyDescent="0.3">
      <c r="A400" s="49"/>
      <c r="B400" s="57"/>
      <c r="C400" s="51"/>
      <c r="D400" s="51"/>
      <c r="E400" s="51"/>
      <c r="F400" s="51"/>
      <c r="G400" s="58"/>
      <c r="H400" s="51"/>
      <c r="I400" s="58"/>
      <c r="J400" s="51"/>
      <c r="K400" s="51"/>
      <c r="L400" s="51"/>
      <c r="M400" s="51"/>
      <c r="N400" s="51"/>
      <c r="O400" s="51"/>
      <c r="P400" s="51"/>
      <c r="Q400" s="51"/>
      <c r="R400" s="51"/>
      <c r="S400" s="51"/>
      <c r="T400" s="51"/>
      <c r="U400" s="51"/>
      <c r="V400" s="51"/>
      <c r="W400" s="51"/>
      <c r="X400" s="51"/>
      <c r="Y400" s="51"/>
      <c r="Z400" s="51"/>
      <c r="AA400" s="51"/>
    </row>
    <row r="401" spans="1:27" ht="13.65" customHeight="1" x14ac:dyDescent="0.3">
      <c r="A401" s="49"/>
      <c r="B401" s="57"/>
      <c r="C401" s="51"/>
      <c r="D401" s="51"/>
      <c r="E401" s="51"/>
      <c r="F401" s="51"/>
      <c r="G401" s="58"/>
      <c r="H401" s="51"/>
      <c r="I401" s="58"/>
      <c r="J401" s="51"/>
      <c r="K401" s="51"/>
      <c r="L401" s="51"/>
      <c r="M401" s="51"/>
      <c r="N401" s="51"/>
      <c r="O401" s="51"/>
      <c r="P401" s="51"/>
      <c r="Q401" s="51"/>
      <c r="R401" s="51"/>
      <c r="S401" s="51"/>
      <c r="T401" s="51"/>
      <c r="U401" s="51"/>
      <c r="V401" s="51"/>
      <c r="W401" s="51"/>
      <c r="X401" s="51"/>
      <c r="Y401" s="51"/>
      <c r="Z401" s="51"/>
      <c r="AA401" s="51"/>
    </row>
    <row r="402" spans="1:27" ht="13.65" customHeight="1" x14ac:dyDescent="0.3">
      <c r="A402" s="49"/>
      <c r="B402" s="57"/>
      <c r="C402" s="51"/>
      <c r="D402" s="51"/>
      <c r="E402" s="51"/>
      <c r="F402" s="51"/>
      <c r="G402" s="58"/>
      <c r="H402" s="51"/>
      <c r="I402" s="58"/>
      <c r="J402" s="51"/>
      <c r="K402" s="51"/>
      <c r="L402" s="51"/>
      <c r="M402" s="51"/>
      <c r="N402" s="51"/>
      <c r="O402" s="51"/>
      <c r="P402" s="51"/>
      <c r="Q402" s="51"/>
      <c r="R402" s="51"/>
      <c r="S402" s="51"/>
      <c r="T402" s="51"/>
      <c r="U402" s="51"/>
      <c r="V402" s="51"/>
      <c r="W402" s="51"/>
      <c r="X402" s="51"/>
      <c r="Y402" s="51"/>
      <c r="Z402" s="51"/>
      <c r="AA402" s="51"/>
    </row>
    <row r="403" spans="1:27" ht="13.65" customHeight="1" x14ac:dyDescent="0.3">
      <c r="A403" s="49"/>
      <c r="B403" s="57"/>
      <c r="C403" s="51"/>
      <c r="D403" s="51"/>
      <c r="E403" s="51"/>
      <c r="F403" s="51"/>
      <c r="G403" s="58"/>
      <c r="H403" s="51"/>
      <c r="I403" s="58"/>
      <c r="J403" s="51"/>
      <c r="K403" s="51"/>
      <c r="L403" s="51"/>
      <c r="M403" s="51"/>
      <c r="N403" s="51"/>
      <c r="O403" s="51"/>
      <c r="P403" s="51"/>
      <c r="Q403" s="51"/>
      <c r="R403" s="51"/>
      <c r="S403" s="51"/>
      <c r="T403" s="51"/>
      <c r="U403" s="51"/>
      <c r="V403" s="51"/>
      <c r="W403" s="51"/>
      <c r="X403" s="51"/>
      <c r="Y403" s="51"/>
      <c r="Z403" s="51"/>
      <c r="AA403" s="51"/>
    </row>
    <row r="404" spans="1:27" ht="13.65" customHeight="1" x14ac:dyDescent="0.3">
      <c r="A404" s="49"/>
      <c r="B404" s="57"/>
      <c r="C404" s="51"/>
      <c r="D404" s="51"/>
      <c r="E404" s="51"/>
      <c r="F404" s="51"/>
      <c r="G404" s="58"/>
      <c r="H404" s="51"/>
      <c r="I404" s="58"/>
      <c r="J404" s="51"/>
      <c r="K404" s="51"/>
      <c r="L404" s="51"/>
      <c r="M404" s="51"/>
      <c r="N404" s="51"/>
      <c r="O404" s="51"/>
      <c r="P404" s="51"/>
      <c r="Q404" s="51"/>
      <c r="R404" s="51"/>
      <c r="S404" s="51"/>
      <c r="T404" s="51"/>
      <c r="U404" s="51"/>
      <c r="V404" s="51"/>
      <c r="W404" s="51"/>
      <c r="X404" s="51"/>
      <c r="Y404" s="51"/>
      <c r="Z404" s="51"/>
      <c r="AA404" s="51"/>
    </row>
    <row r="405" spans="1:27" ht="13.65" customHeight="1" x14ac:dyDescent="0.3">
      <c r="A405" s="49"/>
      <c r="B405" s="57"/>
      <c r="C405" s="51"/>
      <c r="D405" s="51"/>
      <c r="E405" s="51"/>
      <c r="F405" s="51"/>
      <c r="G405" s="58"/>
      <c r="H405" s="51"/>
      <c r="I405" s="58"/>
      <c r="J405" s="51"/>
      <c r="K405" s="51"/>
      <c r="L405" s="51"/>
      <c r="M405" s="51"/>
      <c r="N405" s="51"/>
      <c r="O405" s="51"/>
      <c r="P405" s="51"/>
      <c r="Q405" s="51"/>
      <c r="R405" s="51"/>
      <c r="S405" s="51"/>
      <c r="T405" s="51"/>
      <c r="U405" s="51"/>
      <c r="V405" s="51"/>
      <c r="W405" s="51"/>
      <c r="X405" s="51"/>
      <c r="Y405" s="51"/>
      <c r="Z405" s="51"/>
      <c r="AA405" s="51"/>
    </row>
    <row r="406" spans="1:27" ht="13.65" customHeight="1" x14ac:dyDescent="0.3">
      <c r="A406" s="49"/>
      <c r="B406" s="57"/>
      <c r="C406" s="51"/>
      <c r="D406" s="51"/>
      <c r="E406" s="51"/>
      <c r="F406" s="51"/>
      <c r="G406" s="58"/>
      <c r="H406" s="51"/>
      <c r="I406" s="58"/>
      <c r="J406" s="51"/>
      <c r="K406" s="51"/>
      <c r="L406" s="51"/>
      <c r="M406" s="51"/>
      <c r="N406" s="51"/>
      <c r="O406" s="51"/>
      <c r="P406" s="51"/>
      <c r="Q406" s="51"/>
      <c r="R406" s="51"/>
      <c r="S406" s="51"/>
      <c r="T406" s="51"/>
      <c r="U406" s="51"/>
      <c r="V406" s="51"/>
      <c r="W406" s="51"/>
      <c r="X406" s="51"/>
      <c r="Y406" s="51"/>
      <c r="Z406" s="51"/>
      <c r="AA406" s="51"/>
    </row>
    <row r="407" spans="1:27" ht="13.65" customHeight="1" x14ac:dyDescent="0.3">
      <c r="A407" s="49"/>
      <c r="B407" s="57"/>
      <c r="C407" s="51"/>
      <c r="D407" s="51"/>
      <c r="E407" s="51"/>
      <c r="F407" s="51"/>
      <c r="G407" s="58"/>
      <c r="H407" s="51"/>
      <c r="I407" s="58"/>
      <c r="J407" s="51"/>
      <c r="K407" s="51"/>
      <c r="L407" s="51"/>
      <c r="M407" s="51"/>
      <c r="N407" s="51"/>
      <c r="O407" s="51"/>
      <c r="P407" s="51"/>
      <c r="Q407" s="51"/>
      <c r="R407" s="51"/>
      <c r="S407" s="51"/>
      <c r="T407" s="51"/>
      <c r="U407" s="51"/>
      <c r="V407" s="51"/>
      <c r="W407" s="51"/>
      <c r="X407" s="51"/>
      <c r="Y407" s="51"/>
      <c r="Z407" s="51"/>
      <c r="AA407" s="51"/>
    </row>
    <row r="408" spans="1:27" ht="13.65" customHeight="1" x14ac:dyDescent="0.3">
      <c r="A408" s="49"/>
      <c r="B408" s="57"/>
      <c r="C408" s="51"/>
      <c r="D408" s="51"/>
      <c r="E408" s="51"/>
      <c r="F408" s="51"/>
      <c r="G408" s="58"/>
      <c r="H408" s="51"/>
      <c r="I408" s="58"/>
      <c r="J408" s="51"/>
      <c r="K408" s="51"/>
      <c r="L408" s="51"/>
      <c r="M408" s="51"/>
      <c r="N408" s="51"/>
      <c r="O408" s="51"/>
      <c r="P408" s="51"/>
      <c r="Q408" s="51"/>
      <c r="R408" s="51"/>
      <c r="S408" s="51"/>
      <c r="T408" s="51"/>
      <c r="U408" s="51"/>
      <c r="V408" s="51"/>
      <c r="W408" s="51"/>
      <c r="X408" s="51"/>
      <c r="Y408" s="51"/>
      <c r="Z408" s="51"/>
      <c r="AA408" s="51"/>
    </row>
    <row r="409" spans="1:27" ht="13.65" customHeight="1" x14ac:dyDescent="0.3">
      <c r="A409" s="49"/>
      <c r="B409" s="57"/>
      <c r="C409" s="51"/>
      <c r="D409" s="51"/>
      <c r="E409" s="51"/>
      <c r="F409" s="51"/>
      <c r="G409" s="58"/>
      <c r="H409" s="51"/>
      <c r="I409" s="58"/>
      <c r="J409" s="51"/>
      <c r="K409" s="51"/>
      <c r="L409" s="51"/>
      <c r="M409" s="51"/>
      <c r="N409" s="51"/>
      <c r="O409" s="51"/>
      <c r="P409" s="51"/>
      <c r="Q409" s="51"/>
      <c r="R409" s="51"/>
      <c r="S409" s="51"/>
      <c r="T409" s="51"/>
      <c r="U409" s="51"/>
      <c r="V409" s="51"/>
      <c r="W409" s="51"/>
      <c r="X409" s="51"/>
      <c r="Y409" s="51"/>
      <c r="Z409" s="51"/>
      <c r="AA409" s="51"/>
    </row>
    <row r="410" spans="1:27" ht="13.65" customHeight="1" x14ac:dyDescent="0.3">
      <c r="A410" s="49"/>
      <c r="B410" s="57"/>
      <c r="C410" s="51"/>
      <c r="D410" s="51"/>
      <c r="E410" s="51"/>
      <c r="F410" s="51"/>
      <c r="G410" s="58"/>
      <c r="H410" s="51"/>
      <c r="I410" s="58"/>
      <c r="J410" s="51"/>
      <c r="K410" s="51"/>
      <c r="L410" s="51"/>
      <c r="M410" s="51"/>
      <c r="N410" s="51"/>
      <c r="O410" s="51"/>
      <c r="P410" s="51"/>
      <c r="Q410" s="51"/>
      <c r="R410" s="51"/>
      <c r="S410" s="51"/>
      <c r="T410" s="51"/>
      <c r="U410" s="51"/>
      <c r="V410" s="51"/>
      <c r="W410" s="51"/>
      <c r="X410" s="51"/>
      <c r="Y410" s="51"/>
      <c r="Z410" s="51"/>
      <c r="AA410" s="51"/>
    </row>
    <row r="411" spans="1:27" ht="13.65" customHeight="1" x14ac:dyDescent="0.3">
      <c r="A411" s="49"/>
      <c r="B411" s="57"/>
      <c r="C411" s="51"/>
      <c r="D411" s="51"/>
      <c r="E411" s="51"/>
      <c r="F411" s="51"/>
      <c r="G411" s="58"/>
      <c r="H411" s="51"/>
      <c r="I411" s="58"/>
      <c r="J411" s="51"/>
      <c r="K411" s="51"/>
      <c r="L411" s="51"/>
      <c r="M411" s="51"/>
      <c r="N411" s="51"/>
      <c r="O411" s="51"/>
      <c r="P411" s="51"/>
      <c r="Q411" s="51"/>
      <c r="R411" s="51"/>
      <c r="S411" s="51"/>
      <c r="T411" s="51"/>
      <c r="U411" s="51"/>
      <c r="V411" s="51"/>
      <c r="W411" s="51"/>
      <c r="X411" s="51"/>
      <c r="Y411" s="51"/>
      <c r="Z411" s="51"/>
      <c r="AA411" s="51"/>
    </row>
    <row r="412" spans="1:27" ht="13.65" customHeight="1" x14ac:dyDescent="0.3">
      <c r="A412" s="49"/>
      <c r="B412" s="57"/>
      <c r="C412" s="51"/>
      <c r="D412" s="51"/>
      <c r="E412" s="51"/>
      <c r="F412" s="51"/>
      <c r="G412" s="58"/>
      <c r="H412" s="51"/>
      <c r="I412" s="58"/>
      <c r="J412" s="51"/>
      <c r="K412" s="51"/>
      <c r="L412" s="51"/>
      <c r="M412" s="51"/>
      <c r="N412" s="51"/>
      <c r="O412" s="51"/>
      <c r="P412" s="51"/>
      <c r="Q412" s="51"/>
      <c r="R412" s="51"/>
      <c r="S412" s="51"/>
      <c r="T412" s="51"/>
      <c r="U412" s="51"/>
      <c r="V412" s="51"/>
      <c r="W412" s="51"/>
      <c r="X412" s="51"/>
      <c r="Y412" s="51"/>
      <c r="Z412" s="51"/>
      <c r="AA412" s="51"/>
    </row>
    <row r="413" spans="1:27" ht="13.65" customHeight="1" x14ac:dyDescent="0.3">
      <c r="A413" s="49"/>
      <c r="B413" s="57"/>
      <c r="C413" s="51"/>
      <c r="D413" s="51"/>
      <c r="E413" s="51"/>
      <c r="F413" s="51"/>
      <c r="G413" s="58"/>
      <c r="H413" s="51"/>
      <c r="I413" s="58"/>
      <c r="J413" s="51"/>
      <c r="K413" s="51"/>
      <c r="L413" s="51"/>
      <c r="M413" s="51"/>
      <c r="N413" s="51"/>
      <c r="O413" s="51"/>
      <c r="P413" s="51"/>
      <c r="Q413" s="51"/>
      <c r="R413" s="51"/>
      <c r="S413" s="51"/>
      <c r="T413" s="51"/>
      <c r="U413" s="51"/>
      <c r="V413" s="51"/>
      <c r="W413" s="51"/>
      <c r="X413" s="51"/>
      <c r="Y413" s="51"/>
      <c r="Z413" s="51"/>
      <c r="AA413" s="51"/>
    </row>
    <row r="414" spans="1:27" ht="13.65" customHeight="1" x14ac:dyDescent="0.3">
      <c r="A414" s="49"/>
      <c r="B414" s="57"/>
      <c r="C414" s="51"/>
      <c r="D414" s="51"/>
      <c r="E414" s="51"/>
      <c r="F414" s="51"/>
      <c r="G414" s="58"/>
      <c r="H414" s="51"/>
      <c r="I414" s="58"/>
      <c r="J414" s="51"/>
      <c r="K414" s="51"/>
      <c r="L414" s="51"/>
      <c r="M414" s="51"/>
      <c r="N414" s="51"/>
      <c r="O414" s="51"/>
      <c r="P414" s="51"/>
      <c r="Q414" s="51"/>
      <c r="R414" s="51"/>
      <c r="S414" s="51"/>
      <c r="T414" s="51"/>
      <c r="U414" s="51"/>
      <c r="V414" s="51"/>
      <c r="W414" s="51"/>
      <c r="X414" s="51"/>
      <c r="Y414" s="51"/>
      <c r="Z414" s="51"/>
      <c r="AA414" s="51"/>
    </row>
    <row r="415" spans="1:27" ht="13.65" customHeight="1" x14ac:dyDescent="0.3">
      <c r="A415" s="49"/>
      <c r="B415" s="57"/>
      <c r="C415" s="51"/>
      <c r="D415" s="51"/>
      <c r="E415" s="51"/>
      <c r="F415" s="51"/>
      <c r="G415" s="58"/>
      <c r="H415" s="51"/>
      <c r="I415" s="58"/>
      <c r="J415" s="51"/>
      <c r="K415" s="51"/>
      <c r="L415" s="51"/>
      <c r="M415" s="51"/>
      <c r="N415" s="51"/>
      <c r="O415" s="51"/>
      <c r="P415" s="51"/>
      <c r="Q415" s="51"/>
      <c r="R415" s="51"/>
      <c r="S415" s="51"/>
      <c r="T415" s="51"/>
      <c r="U415" s="51"/>
      <c r="V415" s="51"/>
      <c r="W415" s="51"/>
      <c r="X415" s="51"/>
      <c r="Y415" s="51"/>
      <c r="Z415" s="51"/>
      <c r="AA415" s="51"/>
    </row>
    <row r="416" spans="1:27" ht="13.65" customHeight="1" x14ac:dyDescent="0.3">
      <c r="A416" s="49"/>
      <c r="B416" s="57"/>
      <c r="C416" s="51"/>
      <c r="D416" s="51"/>
      <c r="E416" s="51"/>
      <c r="F416" s="51"/>
      <c r="G416" s="58"/>
      <c r="H416" s="51"/>
      <c r="I416" s="58"/>
      <c r="J416" s="51"/>
      <c r="K416" s="51"/>
      <c r="L416" s="51"/>
      <c r="M416" s="51"/>
      <c r="N416" s="51"/>
      <c r="O416" s="51"/>
      <c r="P416" s="51"/>
      <c r="Q416" s="51"/>
      <c r="R416" s="51"/>
      <c r="S416" s="51"/>
      <c r="T416" s="51"/>
      <c r="U416" s="51"/>
      <c r="V416" s="51"/>
      <c r="W416" s="51"/>
      <c r="X416" s="51"/>
      <c r="Y416" s="51"/>
      <c r="Z416" s="51"/>
      <c r="AA416" s="51"/>
    </row>
    <row r="417" spans="1:27" ht="13.65" customHeight="1" x14ac:dyDescent="0.3">
      <c r="A417" s="49"/>
      <c r="B417" s="57"/>
      <c r="C417" s="51"/>
      <c r="D417" s="51"/>
      <c r="E417" s="51"/>
      <c r="F417" s="51"/>
      <c r="G417" s="58"/>
      <c r="H417" s="51"/>
      <c r="I417" s="58"/>
      <c r="J417" s="51"/>
      <c r="K417" s="51"/>
      <c r="L417" s="51"/>
      <c r="M417" s="51"/>
      <c r="N417" s="51"/>
      <c r="O417" s="51"/>
      <c r="P417" s="51"/>
      <c r="Q417" s="51"/>
      <c r="R417" s="51"/>
      <c r="S417" s="51"/>
      <c r="T417" s="51"/>
      <c r="U417" s="51"/>
      <c r="V417" s="51"/>
      <c r="W417" s="51"/>
      <c r="X417" s="51"/>
      <c r="Y417" s="51"/>
      <c r="Z417" s="51"/>
      <c r="AA417" s="51"/>
    </row>
    <row r="418" spans="1:27" ht="13.65" customHeight="1" x14ac:dyDescent="0.3">
      <c r="A418" s="49"/>
      <c r="B418" s="57"/>
      <c r="C418" s="51"/>
      <c r="D418" s="51"/>
      <c r="E418" s="51"/>
      <c r="F418" s="51"/>
      <c r="G418" s="58"/>
      <c r="H418" s="51"/>
      <c r="I418" s="58"/>
      <c r="J418" s="51"/>
      <c r="K418" s="51"/>
      <c r="L418" s="51"/>
      <c r="M418" s="51"/>
      <c r="N418" s="51"/>
      <c r="O418" s="51"/>
      <c r="P418" s="51"/>
      <c r="Q418" s="51"/>
      <c r="R418" s="51"/>
      <c r="S418" s="51"/>
      <c r="T418" s="51"/>
      <c r="U418" s="51"/>
      <c r="V418" s="51"/>
      <c r="W418" s="51"/>
      <c r="X418" s="51"/>
      <c r="Y418" s="51"/>
      <c r="Z418" s="51"/>
      <c r="AA418" s="51"/>
    </row>
    <row r="419" spans="1:27" ht="13.65" customHeight="1" x14ac:dyDescent="0.3">
      <c r="A419" s="49"/>
      <c r="B419" s="57"/>
      <c r="C419" s="51"/>
      <c r="D419" s="51"/>
      <c r="E419" s="51"/>
      <c r="F419" s="51"/>
      <c r="G419" s="58"/>
      <c r="H419" s="51"/>
      <c r="I419" s="58"/>
      <c r="J419" s="51"/>
      <c r="K419" s="51"/>
      <c r="L419" s="51"/>
      <c r="M419" s="51"/>
      <c r="N419" s="51"/>
      <c r="O419" s="51"/>
      <c r="P419" s="51"/>
      <c r="Q419" s="51"/>
      <c r="R419" s="51"/>
      <c r="S419" s="51"/>
      <c r="T419" s="51"/>
      <c r="U419" s="51"/>
      <c r="V419" s="51"/>
      <c r="W419" s="51"/>
      <c r="X419" s="51"/>
      <c r="Y419" s="51"/>
      <c r="Z419" s="51"/>
      <c r="AA419" s="51"/>
    </row>
    <row r="420" spans="1:27" ht="13.65" customHeight="1" x14ac:dyDescent="0.3">
      <c r="A420" s="49"/>
      <c r="B420" s="57"/>
      <c r="C420" s="51"/>
      <c r="D420" s="51"/>
      <c r="E420" s="51"/>
      <c r="F420" s="51"/>
      <c r="G420" s="58"/>
      <c r="H420" s="51"/>
      <c r="I420" s="58"/>
      <c r="J420" s="51"/>
      <c r="K420" s="51"/>
      <c r="L420" s="51"/>
      <c r="M420" s="51"/>
      <c r="N420" s="51"/>
      <c r="O420" s="51"/>
      <c r="P420" s="51"/>
      <c r="Q420" s="51"/>
      <c r="R420" s="51"/>
      <c r="S420" s="51"/>
      <c r="T420" s="51"/>
      <c r="U420" s="51"/>
      <c r="V420" s="51"/>
      <c r="W420" s="51"/>
      <c r="X420" s="51"/>
      <c r="Y420" s="51"/>
      <c r="Z420" s="51"/>
      <c r="AA420" s="51"/>
    </row>
    <row r="421" spans="1:27" ht="13.65" customHeight="1" x14ac:dyDescent="0.3">
      <c r="A421" s="49"/>
      <c r="B421" s="57"/>
      <c r="C421" s="51"/>
      <c r="D421" s="51"/>
      <c r="E421" s="51"/>
      <c r="F421" s="51"/>
      <c r="G421" s="58"/>
      <c r="H421" s="51"/>
      <c r="I421" s="58"/>
      <c r="J421" s="51"/>
      <c r="K421" s="51"/>
      <c r="L421" s="51"/>
      <c r="M421" s="51"/>
      <c r="N421" s="51"/>
      <c r="O421" s="51"/>
      <c r="P421" s="51"/>
      <c r="Q421" s="51"/>
      <c r="R421" s="51"/>
      <c r="S421" s="51"/>
      <c r="T421" s="51"/>
      <c r="U421" s="51"/>
      <c r="V421" s="51"/>
      <c r="W421" s="51"/>
      <c r="X421" s="51"/>
      <c r="Y421" s="51"/>
      <c r="Z421" s="51"/>
      <c r="AA421" s="51"/>
    </row>
    <row r="422" spans="1:27" ht="13.65" customHeight="1" x14ac:dyDescent="0.3">
      <c r="A422" s="49"/>
      <c r="B422" s="57"/>
      <c r="C422" s="51"/>
      <c r="D422" s="51"/>
      <c r="E422" s="51"/>
      <c r="F422" s="51"/>
      <c r="G422" s="58"/>
      <c r="H422" s="51"/>
      <c r="I422" s="58"/>
      <c r="J422" s="51"/>
      <c r="K422" s="51"/>
      <c r="L422" s="51"/>
      <c r="M422" s="51"/>
      <c r="N422" s="51"/>
      <c r="O422" s="51"/>
      <c r="P422" s="51"/>
      <c r="Q422" s="51"/>
      <c r="R422" s="51"/>
      <c r="S422" s="51"/>
      <c r="T422" s="51"/>
      <c r="U422" s="51"/>
      <c r="V422" s="51"/>
      <c r="W422" s="51"/>
      <c r="X422" s="51"/>
      <c r="Y422" s="51"/>
      <c r="Z422" s="51"/>
      <c r="AA422" s="51"/>
    </row>
    <row r="423" spans="1:27" ht="13.65" customHeight="1" x14ac:dyDescent="0.3">
      <c r="A423" s="49"/>
      <c r="B423" s="57"/>
      <c r="C423" s="51"/>
      <c r="D423" s="51"/>
      <c r="E423" s="51"/>
      <c r="F423" s="51"/>
      <c r="G423" s="58"/>
      <c r="H423" s="51"/>
      <c r="I423" s="58"/>
      <c r="J423" s="51"/>
      <c r="K423" s="51"/>
      <c r="L423" s="51"/>
      <c r="M423" s="51"/>
      <c r="N423" s="51"/>
      <c r="O423" s="51"/>
      <c r="P423" s="51"/>
      <c r="Q423" s="51"/>
      <c r="R423" s="51"/>
      <c r="S423" s="51"/>
      <c r="T423" s="51"/>
      <c r="U423" s="51"/>
      <c r="V423" s="51"/>
      <c r="W423" s="51"/>
      <c r="X423" s="51"/>
      <c r="Y423" s="51"/>
      <c r="Z423" s="51"/>
      <c r="AA423" s="51"/>
    </row>
    <row r="424" spans="1:27" ht="13.65" customHeight="1" x14ac:dyDescent="0.3">
      <c r="A424" s="49"/>
      <c r="B424" s="57"/>
      <c r="C424" s="51"/>
      <c r="D424" s="51"/>
      <c r="E424" s="51"/>
      <c r="F424" s="51"/>
      <c r="G424" s="58"/>
      <c r="H424" s="51"/>
      <c r="I424" s="58"/>
      <c r="J424" s="51"/>
      <c r="K424" s="51"/>
      <c r="L424" s="51"/>
      <c r="M424" s="51"/>
      <c r="N424" s="51"/>
      <c r="O424" s="51"/>
      <c r="P424" s="51"/>
      <c r="Q424" s="51"/>
      <c r="R424" s="51"/>
      <c r="S424" s="51"/>
      <c r="T424" s="51"/>
      <c r="U424" s="51"/>
      <c r="V424" s="51"/>
      <c r="W424" s="51"/>
      <c r="X424" s="51"/>
      <c r="Y424" s="51"/>
      <c r="Z424" s="51"/>
      <c r="AA424" s="51"/>
    </row>
    <row r="425" spans="1:27" ht="13.65" customHeight="1" x14ac:dyDescent="0.3">
      <c r="A425" s="49"/>
      <c r="B425" s="57"/>
      <c r="C425" s="51"/>
      <c r="D425" s="51"/>
      <c r="E425" s="51"/>
      <c r="F425" s="51"/>
      <c r="G425" s="58"/>
      <c r="H425" s="51"/>
      <c r="I425" s="58"/>
      <c r="J425" s="51"/>
      <c r="K425" s="51"/>
      <c r="L425" s="51"/>
      <c r="M425" s="51"/>
      <c r="N425" s="51"/>
      <c r="O425" s="51"/>
      <c r="P425" s="51"/>
      <c r="Q425" s="51"/>
      <c r="R425" s="51"/>
      <c r="S425" s="51"/>
      <c r="T425" s="51"/>
      <c r="U425" s="51"/>
      <c r="V425" s="51"/>
      <c r="W425" s="51"/>
      <c r="X425" s="51"/>
      <c r="Y425" s="51"/>
      <c r="Z425" s="51"/>
      <c r="AA425" s="51"/>
    </row>
    <row r="426" spans="1:27" ht="13.65" customHeight="1" x14ac:dyDescent="0.3">
      <c r="A426" s="49"/>
      <c r="B426" s="57"/>
      <c r="C426" s="51"/>
      <c r="D426" s="51"/>
      <c r="E426" s="51"/>
      <c r="F426" s="51"/>
      <c r="G426" s="58"/>
      <c r="H426" s="51"/>
      <c r="I426" s="58"/>
      <c r="J426" s="51"/>
      <c r="K426" s="51"/>
      <c r="L426" s="51"/>
      <c r="M426" s="51"/>
      <c r="N426" s="51"/>
      <c r="O426" s="51"/>
      <c r="P426" s="51"/>
      <c r="Q426" s="51"/>
      <c r="R426" s="51"/>
      <c r="S426" s="51"/>
      <c r="T426" s="51"/>
      <c r="U426" s="51"/>
      <c r="V426" s="51"/>
      <c r="W426" s="51"/>
      <c r="X426" s="51"/>
      <c r="Y426" s="51"/>
      <c r="Z426" s="51"/>
      <c r="AA426" s="51"/>
    </row>
    <row r="427" spans="1:27" ht="13.65" customHeight="1" x14ac:dyDescent="0.3">
      <c r="A427" s="49"/>
      <c r="B427" s="57"/>
      <c r="C427" s="51"/>
      <c r="D427" s="51"/>
      <c r="E427" s="51"/>
      <c r="F427" s="51"/>
      <c r="G427" s="58"/>
      <c r="H427" s="51"/>
      <c r="I427" s="58"/>
      <c r="J427" s="51"/>
      <c r="K427" s="51"/>
      <c r="L427" s="51"/>
      <c r="M427" s="51"/>
      <c r="N427" s="51"/>
      <c r="O427" s="51"/>
      <c r="P427" s="51"/>
      <c r="Q427" s="51"/>
      <c r="R427" s="51"/>
      <c r="S427" s="51"/>
      <c r="T427" s="51"/>
      <c r="U427" s="51"/>
      <c r="V427" s="51"/>
      <c r="W427" s="51"/>
      <c r="X427" s="51"/>
      <c r="Y427" s="51"/>
      <c r="Z427" s="51"/>
      <c r="AA427" s="51"/>
    </row>
    <row r="428" spans="1:27" ht="13.65" customHeight="1" x14ac:dyDescent="0.3">
      <c r="A428" s="49"/>
      <c r="B428" s="57"/>
      <c r="C428" s="51"/>
      <c r="D428" s="51"/>
      <c r="E428" s="51"/>
      <c r="F428" s="51"/>
      <c r="G428" s="58"/>
      <c r="H428" s="51"/>
      <c r="I428" s="58"/>
      <c r="J428" s="51"/>
      <c r="K428" s="51"/>
      <c r="L428" s="51"/>
      <c r="M428" s="51"/>
      <c r="N428" s="51"/>
      <c r="O428" s="51"/>
      <c r="P428" s="51"/>
      <c r="Q428" s="51"/>
      <c r="R428" s="51"/>
      <c r="S428" s="51"/>
      <c r="T428" s="51"/>
      <c r="U428" s="51"/>
      <c r="V428" s="51"/>
      <c r="W428" s="51"/>
      <c r="X428" s="51"/>
      <c r="Y428" s="51"/>
      <c r="Z428" s="51"/>
      <c r="AA428" s="51"/>
    </row>
    <row r="429" spans="1:27" ht="13.65" customHeight="1" x14ac:dyDescent="0.3">
      <c r="A429" s="49"/>
      <c r="B429" s="57"/>
      <c r="C429" s="51"/>
      <c r="D429" s="51"/>
      <c r="E429" s="51"/>
      <c r="F429" s="51"/>
      <c r="G429" s="58"/>
      <c r="H429" s="51"/>
      <c r="I429" s="58"/>
      <c r="J429" s="51"/>
      <c r="K429" s="51"/>
      <c r="L429" s="51"/>
      <c r="M429" s="51"/>
      <c r="N429" s="51"/>
      <c r="O429" s="51"/>
      <c r="P429" s="51"/>
      <c r="Q429" s="51"/>
      <c r="R429" s="51"/>
      <c r="S429" s="51"/>
      <c r="T429" s="51"/>
      <c r="U429" s="51"/>
      <c r="V429" s="51"/>
      <c r="W429" s="51"/>
      <c r="X429" s="51"/>
      <c r="Y429" s="51"/>
      <c r="Z429" s="51"/>
      <c r="AA429" s="51"/>
    </row>
    <row r="430" spans="1:27" ht="13.65" customHeight="1" x14ac:dyDescent="0.3">
      <c r="A430" s="49"/>
      <c r="B430" s="57"/>
      <c r="C430" s="51"/>
      <c r="D430" s="51"/>
      <c r="E430" s="51"/>
      <c r="F430" s="51"/>
      <c r="G430" s="58"/>
      <c r="H430" s="51"/>
      <c r="I430" s="58"/>
      <c r="J430" s="51"/>
      <c r="K430" s="51"/>
      <c r="L430" s="51"/>
      <c r="M430" s="51"/>
      <c r="N430" s="51"/>
      <c r="O430" s="51"/>
      <c r="P430" s="51"/>
      <c r="Q430" s="51"/>
      <c r="R430" s="51"/>
      <c r="S430" s="51"/>
      <c r="T430" s="51"/>
      <c r="U430" s="51"/>
      <c r="V430" s="51"/>
      <c r="W430" s="51"/>
      <c r="X430" s="51"/>
      <c r="Y430" s="51"/>
      <c r="Z430" s="51"/>
      <c r="AA430" s="51"/>
    </row>
    <row r="431" spans="1:27" ht="13.65" customHeight="1" x14ac:dyDescent="0.3">
      <c r="A431" s="49"/>
      <c r="B431" s="57"/>
      <c r="C431" s="51"/>
      <c r="D431" s="51"/>
      <c r="E431" s="51"/>
      <c r="F431" s="51"/>
      <c r="G431" s="58"/>
      <c r="H431" s="51"/>
      <c r="I431" s="58"/>
      <c r="J431" s="51"/>
      <c r="K431" s="51"/>
      <c r="L431" s="51"/>
      <c r="M431" s="51"/>
      <c r="N431" s="51"/>
      <c r="O431" s="51"/>
      <c r="P431" s="51"/>
      <c r="Q431" s="51"/>
      <c r="R431" s="51"/>
      <c r="S431" s="51"/>
      <c r="T431" s="51"/>
      <c r="U431" s="51"/>
      <c r="V431" s="51"/>
      <c r="W431" s="51"/>
      <c r="X431" s="51"/>
      <c r="Y431" s="51"/>
      <c r="Z431" s="51"/>
      <c r="AA431" s="51"/>
    </row>
    <row r="432" spans="1:27" ht="13.65" customHeight="1" x14ac:dyDescent="0.3">
      <c r="A432" s="49"/>
      <c r="B432" s="57"/>
      <c r="C432" s="51"/>
      <c r="D432" s="51"/>
      <c r="E432" s="51"/>
      <c r="F432" s="51"/>
      <c r="G432" s="58"/>
      <c r="H432" s="51"/>
      <c r="I432" s="58"/>
      <c r="J432" s="51"/>
      <c r="K432" s="51"/>
      <c r="L432" s="51"/>
      <c r="M432" s="51"/>
      <c r="N432" s="51"/>
      <c r="O432" s="51"/>
      <c r="P432" s="51"/>
      <c r="Q432" s="51"/>
      <c r="R432" s="51"/>
      <c r="S432" s="51"/>
      <c r="T432" s="51"/>
      <c r="U432" s="51"/>
      <c r="V432" s="51"/>
      <c r="W432" s="51"/>
      <c r="X432" s="51"/>
      <c r="Y432" s="51"/>
      <c r="Z432" s="51"/>
      <c r="AA432" s="51"/>
    </row>
    <row r="433" spans="1:27" ht="13.65" customHeight="1" x14ac:dyDescent="0.3">
      <c r="A433" s="49"/>
      <c r="B433" s="57"/>
      <c r="C433" s="51"/>
      <c r="D433" s="51"/>
      <c r="E433" s="51"/>
      <c r="F433" s="51"/>
      <c r="G433" s="58"/>
      <c r="H433" s="51"/>
      <c r="I433" s="58"/>
      <c r="J433" s="51"/>
      <c r="K433" s="51"/>
      <c r="L433" s="51"/>
      <c r="M433" s="51"/>
      <c r="N433" s="51"/>
      <c r="O433" s="51"/>
      <c r="P433" s="51"/>
      <c r="Q433" s="51"/>
      <c r="R433" s="51"/>
      <c r="S433" s="51"/>
      <c r="T433" s="51"/>
      <c r="U433" s="51"/>
      <c r="V433" s="51"/>
      <c r="W433" s="51"/>
      <c r="X433" s="51"/>
      <c r="Y433" s="51"/>
      <c r="Z433" s="51"/>
      <c r="AA433" s="51"/>
    </row>
    <row r="434" spans="1:27" ht="13.65" customHeight="1" x14ac:dyDescent="0.3">
      <c r="A434" s="49"/>
      <c r="B434" s="57"/>
      <c r="C434" s="51"/>
      <c r="D434" s="51"/>
      <c r="E434" s="51"/>
      <c r="F434" s="51"/>
      <c r="G434" s="58"/>
      <c r="H434" s="51"/>
      <c r="I434" s="58"/>
      <c r="J434" s="51"/>
      <c r="K434" s="51"/>
      <c r="L434" s="51"/>
      <c r="M434" s="51"/>
      <c r="N434" s="51"/>
      <c r="O434" s="51"/>
      <c r="P434" s="51"/>
      <c r="Q434" s="51"/>
      <c r="R434" s="51"/>
      <c r="S434" s="51"/>
      <c r="T434" s="51"/>
      <c r="U434" s="51"/>
      <c r="V434" s="51"/>
      <c r="W434" s="51"/>
      <c r="X434" s="51"/>
      <c r="Y434" s="51"/>
      <c r="Z434" s="51"/>
      <c r="AA434" s="51"/>
    </row>
    <row r="435" spans="1:27" ht="13.65" customHeight="1" x14ac:dyDescent="0.3">
      <c r="A435" s="49"/>
      <c r="B435" s="57"/>
      <c r="C435" s="51"/>
      <c r="D435" s="51"/>
      <c r="E435" s="51"/>
      <c r="F435" s="51"/>
      <c r="G435" s="58"/>
      <c r="H435" s="51"/>
      <c r="I435" s="58"/>
      <c r="J435" s="51"/>
      <c r="K435" s="51"/>
      <c r="L435" s="51"/>
      <c r="M435" s="51"/>
      <c r="N435" s="51"/>
      <c r="O435" s="51"/>
      <c r="P435" s="51"/>
      <c r="Q435" s="51"/>
      <c r="R435" s="51"/>
      <c r="S435" s="51"/>
      <c r="T435" s="51"/>
      <c r="U435" s="51"/>
      <c r="V435" s="51"/>
      <c r="W435" s="51"/>
      <c r="X435" s="51"/>
      <c r="Y435" s="51"/>
      <c r="Z435" s="51"/>
      <c r="AA435" s="51"/>
    </row>
    <row r="436" spans="1:27" ht="13.65" customHeight="1" x14ac:dyDescent="0.3">
      <c r="A436" s="49"/>
      <c r="B436" s="57"/>
      <c r="C436" s="51"/>
      <c r="D436" s="51"/>
      <c r="E436" s="51"/>
      <c r="F436" s="51"/>
      <c r="G436" s="58"/>
      <c r="H436" s="51"/>
      <c r="I436" s="58"/>
      <c r="J436" s="51"/>
      <c r="K436" s="51"/>
      <c r="L436" s="51"/>
      <c r="M436" s="51"/>
      <c r="N436" s="51"/>
      <c r="O436" s="51"/>
      <c r="P436" s="51"/>
      <c r="Q436" s="51"/>
      <c r="R436" s="51"/>
      <c r="S436" s="51"/>
      <c r="T436" s="51"/>
      <c r="U436" s="51"/>
      <c r="V436" s="51"/>
      <c r="W436" s="51"/>
      <c r="X436" s="51"/>
      <c r="Y436" s="51"/>
      <c r="Z436" s="51"/>
      <c r="AA436" s="51"/>
    </row>
    <row r="437" spans="1:27" ht="13.65" customHeight="1" x14ac:dyDescent="0.3">
      <c r="A437" s="49"/>
      <c r="B437" s="57"/>
      <c r="C437" s="51"/>
      <c r="D437" s="51"/>
      <c r="E437" s="51"/>
      <c r="F437" s="51"/>
      <c r="G437" s="58"/>
      <c r="H437" s="51"/>
      <c r="I437" s="58"/>
      <c r="J437" s="51"/>
      <c r="K437" s="51"/>
      <c r="L437" s="51"/>
      <c r="M437" s="51"/>
      <c r="N437" s="51"/>
      <c r="O437" s="51"/>
      <c r="P437" s="51"/>
      <c r="Q437" s="51"/>
      <c r="R437" s="51"/>
      <c r="S437" s="51"/>
      <c r="T437" s="51"/>
      <c r="U437" s="51"/>
      <c r="V437" s="51"/>
      <c r="W437" s="51"/>
      <c r="X437" s="51"/>
      <c r="Y437" s="51"/>
      <c r="Z437" s="51"/>
      <c r="AA437" s="51"/>
    </row>
    <row r="438" spans="1:27" ht="13.65" customHeight="1" x14ac:dyDescent="0.3">
      <c r="A438" s="49"/>
      <c r="B438" s="57"/>
      <c r="C438" s="51"/>
      <c r="D438" s="51"/>
      <c r="E438" s="51"/>
      <c r="F438" s="51"/>
      <c r="G438" s="58"/>
      <c r="H438" s="51"/>
      <c r="I438" s="58"/>
      <c r="J438" s="51"/>
      <c r="K438" s="51"/>
      <c r="L438" s="51"/>
      <c r="M438" s="51"/>
      <c r="N438" s="51"/>
      <c r="O438" s="51"/>
      <c r="P438" s="51"/>
      <c r="Q438" s="51"/>
      <c r="R438" s="51"/>
      <c r="S438" s="51"/>
      <c r="T438" s="51"/>
      <c r="U438" s="51"/>
      <c r="V438" s="51"/>
      <c r="W438" s="51"/>
      <c r="X438" s="51"/>
      <c r="Y438" s="51"/>
      <c r="Z438" s="51"/>
      <c r="AA438" s="51"/>
    </row>
    <row r="439" spans="1:27" ht="13.65" customHeight="1" x14ac:dyDescent="0.3">
      <c r="A439" s="49"/>
      <c r="B439" s="57"/>
      <c r="C439" s="51"/>
      <c r="D439" s="51"/>
      <c r="E439" s="51"/>
      <c r="F439" s="51"/>
      <c r="G439" s="58"/>
      <c r="H439" s="51"/>
      <c r="I439" s="58"/>
      <c r="J439" s="51"/>
      <c r="K439" s="51"/>
      <c r="L439" s="51"/>
      <c r="M439" s="51"/>
      <c r="N439" s="51"/>
      <c r="O439" s="51"/>
      <c r="P439" s="51"/>
      <c r="Q439" s="51"/>
      <c r="R439" s="51"/>
      <c r="S439" s="51"/>
      <c r="T439" s="51"/>
      <c r="U439" s="51"/>
      <c r="V439" s="51"/>
      <c r="W439" s="51"/>
      <c r="X439" s="51"/>
      <c r="Y439" s="51"/>
      <c r="Z439" s="51"/>
      <c r="AA439" s="51"/>
    </row>
    <row r="440" spans="1:27" ht="13.65" customHeight="1" x14ac:dyDescent="0.3">
      <c r="A440" s="49"/>
      <c r="B440" s="57"/>
      <c r="C440" s="51"/>
      <c r="D440" s="51"/>
      <c r="E440" s="51"/>
      <c r="F440" s="51"/>
      <c r="G440" s="58"/>
      <c r="H440" s="51"/>
      <c r="I440" s="58"/>
      <c r="J440" s="51"/>
      <c r="K440" s="51"/>
      <c r="L440" s="51"/>
      <c r="M440" s="51"/>
      <c r="N440" s="51"/>
      <c r="O440" s="51"/>
      <c r="P440" s="51"/>
      <c r="Q440" s="51"/>
      <c r="R440" s="51"/>
      <c r="S440" s="51"/>
      <c r="T440" s="51"/>
      <c r="U440" s="51"/>
      <c r="V440" s="51"/>
      <c r="W440" s="51"/>
      <c r="X440" s="51"/>
      <c r="Y440" s="51"/>
      <c r="Z440" s="51"/>
      <c r="AA440" s="51"/>
    </row>
    <row r="441" spans="1:27" ht="13.65" customHeight="1" x14ac:dyDescent="0.3">
      <c r="A441" s="49"/>
      <c r="B441" s="57"/>
      <c r="C441" s="51"/>
      <c r="D441" s="51"/>
      <c r="E441" s="51"/>
      <c r="F441" s="51"/>
      <c r="G441" s="58"/>
      <c r="H441" s="51"/>
      <c r="I441" s="58"/>
      <c r="J441" s="51"/>
      <c r="K441" s="51"/>
      <c r="L441" s="51"/>
      <c r="M441" s="51"/>
      <c r="N441" s="51"/>
      <c r="O441" s="51"/>
      <c r="P441" s="51"/>
      <c r="Q441" s="51"/>
      <c r="R441" s="51"/>
      <c r="S441" s="51"/>
      <c r="T441" s="51"/>
      <c r="U441" s="51"/>
      <c r="V441" s="51"/>
      <c r="W441" s="51"/>
      <c r="X441" s="51"/>
      <c r="Y441" s="51"/>
      <c r="Z441" s="51"/>
      <c r="AA441" s="51"/>
    </row>
    <row r="442" spans="1:27" ht="13.65" customHeight="1" x14ac:dyDescent="0.3">
      <c r="A442" s="49"/>
      <c r="B442" s="57"/>
      <c r="C442" s="51"/>
      <c r="D442" s="51"/>
      <c r="E442" s="51"/>
      <c r="F442" s="51"/>
      <c r="G442" s="58"/>
      <c r="H442" s="51"/>
      <c r="I442" s="58"/>
      <c r="J442" s="51"/>
      <c r="K442" s="51"/>
      <c r="L442" s="51"/>
      <c r="M442" s="51"/>
      <c r="N442" s="51"/>
      <c r="O442" s="51"/>
      <c r="P442" s="51"/>
      <c r="Q442" s="51"/>
      <c r="R442" s="51"/>
      <c r="S442" s="51"/>
      <c r="T442" s="51"/>
      <c r="U442" s="51"/>
      <c r="V442" s="51"/>
      <c r="W442" s="51"/>
      <c r="X442" s="51"/>
      <c r="Y442" s="51"/>
      <c r="Z442" s="51"/>
      <c r="AA442" s="51"/>
    </row>
    <row r="443" spans="1:27" ht="13.65" customHeight="1" x14ac:dyDescent="0.3">
      <c r="A443" s="49"/>
      <c r="B443" s="57"/>
      <c r="C443" s="51"/>
      <c r="D443" s="51"/>
      <c r="E443" s="51"/>
      <c r="F443" s="51"/>
      <c r="G443" s="58"/>
      <c r="H443" s="51"/>
      <c r="I443" s="58"/>
      <c r="J443" s="51"/>
      <c r="K443" s="51"/>
      <c r="L443" s="51"/>
      <c r="M443" s="51"/>
      <c r="N443" s="51"/>
      <c r="O443" s="51"/>
      <c r="P443" s="51"/>
      <c r="Q443" s="51"/>
      <c r="R443" s="51"/>
      <c r="S443" s="51"/>
      <c r="T443" s="51"/>
      <c r="U443" s="51"/>
      <c r="V443" s="51"/>
      <c r="W443" s="51"/>
      <c r="X443" s="51"/>
      <c r="Y443" s="51"/>
      <c r="Z443" s="51"/>
      <c r="AA443" s="51"/>
    </row>
    <row r="444" spans="1:27" ht="13.65" customHeight="1" x14ac:dyDescent="0.3">
      <c r="A444" s="49"/>
      <c r="B444" s="57"/>
      <c r="C444" s="51"/>
      <c r="D444" s="51"/>
      <c r="E444" s="51"/>
      <c r="F444" s="51"/>
      <c r="G444" s="58"/>
      <c r="H444" s="51"/>
      <c r="I444" s="58"/>
      <c r="J444" s="51"/>
      <c r="K444" s="51"/>
      <c r="L444" s="51"/>
      <c r="M444" s="51"/>
      <c r="N444" s="51"/>
      <c r="O444" s="51"/>
      <c r="P444" s="51"/>
      <c r="Q444" s="51"/>
      <c r="R444" s="51"/>
      <c r="S444" s="51"/>
      <c r="T444" s="51"/>
      <c r="U444" s="51"/>
      <c r="V444" s="51"/>
      <c r="W444" s="51"/>
      <c r="X444" s="51"/>
      <c r="Y444" s="51"/>
      <c r="Z444" s="51"/>
      <c r="AA444" s="51"/>
    </row>
    <row r="445" spans="1:27" ht="13.65" customHeight="1" x14ac:dyDescent="0.3">
      <c r="A445" s="49"/>
      <c r="B445" s="57"/>
      <c r="C445" s="51"/>
      <c r="D445" s="51"/>
      <c r="E445" s="51"/>
      <c r="F445" s="51"/>
      <c r="G445" s="58"/>
      <c r="H445" s="51"/>
      <c r="I445" s="58"/>
      <c r="J445" s="51"/>
      <c r="K445" s="51"/>
      <c r="L445" s="51"/>
      <c r="M445" s="51"/>
      <c r="N445" s="51"/>
      <c r="O445" s="51"/>
      <c r="P445" s="51"/>
      <c r="Q445" s="51"/>
      <c r="R445" s="51"/>
      <c r="S445" s="51"/>
      <c r="T445" s="51"/>
      <c r="U445" s="51"/>
      <c r="V445" s="51"/>
      <c r="W445" s="51"/>
      <c r="X445" s="51"/>
      <c r="Y445" s="51"/>
      <c r="Z445" s="51"/>
      <c r="AA445" s="51"/>
    </row>
    <row r="446" spans="1:27" ht="13.65" customHeight="1" x14ac:dyDescent="0.3">
      <c r="A446" s="49"/>
      <c r="B446" s="57"/>
      <c r="C446" s="51"/>
      <c r="D446" s="51"/>
      <c r="E446" s="51"/>
      <c r="F446" s="51"/>
      <c r="G446" s="58"/>
      <c r="H446" s="51"/>
      <c r="I446" s="58"/>
      <c r="J446" s="51"/>
      <c r="K446" s="51"/>
      <c r="L446" s="51"/>
      <c r="M446" s="51"/>
      <c r="N446" s="51"/>
      <c r="O446" s="51"/>
      <c r="P446" s="51"/>
      <c r="Q446" s="51"/>
      <c r="R446" s="51"/>
      <c r="S446" s="51"/>
      <c r="T446" s="51"/>
      <c r="U446" s="51"/>
      <c r="V446" s="51"/>
      <c r="W446" s="51"/>
      <c r="X446" s="51"/>
      <c r="Y446" s="51"/>
      <c r="Z446" s="51"/>
      <c r="AA446" s="51"/>
    </row>
    <row r="447" spans="1:27" ht="13.65" customHeight="1" x14ac:dyDescent="0.3">
      <c r="A447" s="49"/>
      <c r="B447" s="57"/>
      <c r="C447" s="51"/>
      <c r="D447" s="51"/>
      <c r="E447" s="51"/>
      <c r="F447" s="51"/>
      <c r="G447" s="58"/>
      <c r="H447" s="51"/>
      <c r="I447" s="58"/>
      <c r="J447" s="51"/>
      <c r="K447" s="51"/>
      <c r="L447" s="51"/>
      <c r="M447" s="51"/>
      <c r="N447" s="51"/>
      <c r="O447" s="51"/>
      <c r="P447" s="51"/>
      <c r="Q447" s="51"/>
      <c r="R447" s="51"/>
      <c r="S447" s="51"/>
      <c r="T447" s="51"/>
      <c r="U447" s="51"/>
      <c r="V447" s="51"/>
      <c r="W447" s="51"/>
      <c r="X447" s="51"/>
      <c r="Y447" s="51"/>
      <c r="Z447" s="51"/>
      <c r="AA447" s="51"/>
    </row>
    <row r="448" spans="1:27" ht="13.65" customHeight="1" x14ac:dyDescent="0.3">
      <c r="A448" s="49"/>
      <c r="B448" s="57"/>
      <c r="C448" s="51"/>
      <c r="D448" s="51"/>
      <c r="E448" s="51"/>
      <c r="F448" s="51"/>
      <c r="G448" s="58"/>
      <c r="H448" s="51"/>
      <c r="I448" s="58"/>
      <c r="J448" s="51"/>
      <c r="K448" s="51"/>
      <c r="L448" s="51"/>
      <c r="M448" s="51"/>
      <c r="N448" s="51"/>
      <c r="O448" s="51"/>
      <c r="P448" s="51"/>
      <c r="Q448" s="51"/>
      <c r="R448" s="51"/>
      <c r="S448" s="51"/>
      <c r="T448" s="51"/>
      <c r="U448" s="51"/>
      <c r="V448" s="51"/>
      <c r="W448" s="51"/>
      <c r="X448" s="51"/>
      <c r="Y448" s="51"/>
      <c r="Z448" s="51"/>
      <c r="AA448" s="51"/>
    </row>
    <row r="449" spans="1:27" ht="13.65" customHeight="1" x14ac:dyDescent="0.3">
      <c r="A449" s="49"/>
      <c r="B449" s="57"/>
      <c r="C449" s="51"/>
      <c r="D449" s="51"/>
      <c r="E449" s="51"/>
      <c r="F449" s="51"/>
      <c r="G449" s="58"/>
      <c r="H449" s="51"/>
      <c r="I449" s="58"/>
      <c r="J449" s="51"/>
      <c r="K449" s="51"/>
      <c r="L449" s="51"/>
      <c r="M449" s="51"/>
      <c r="N449" s="51"/>
      <c r="O449" s="51"/>
      <c r="P449" s="51"/>
      <c r="Q449" s="51"/>
      <c r="R449" s="51"/>
      <c r="S449" s="51"/>
      <c r="T449" s="51"/>
      <c r="U449" s="51"/>
      <c r="V449" s="51"/>
      <c r="W449" s="51"/>
      <c r="X449" s="51"/>
      <c r="Y449" s="51"/>
      <c r="Z449" s="51"/>
      <c r="AA449" s="51"/>
    </row>
    <row r="450" spans="1:27" ht="13.65" customHeight="1" x14ac:dyDescent="0.3">
      <c r="A450" s="49"/>
      <c r="B450" s="57"/>
      <c r="C450" s="51"/>
      <c r="D450" s="51"/>
      <c r="E450" s="51"/>
      <c r="F450" s="51"/>
      <c r="G450" s="58"/>
      <c r="H450" s="51"/>
      <c r="I450" s="58"/>
      <c r="J450" s="51"/>
      <c r="K450" s="51"/>
      <c r="L450" s="51"/>
      <c r="M450" s="51"/>
      <c r="N450" s="51"/>
      <c r="O450" s="51"/>
      <c r="P450" s="51"/>
      <c r="Q450" s="51"/>
      <c r="R450" s="51"/>
      <c r="S450" s="51"/>
      <c r="T450" s="51"/>
      <c r="U450" s="51"/>
      <c r="V450" s="51"/>
      <c r="W450" s="51"/>
      <c r="X450" s="51"/>
      <c r="Y450" s="51"/>
      <c r="Z450" s="51"/>
      <c r="AA450" s="51"/>
    </row>
    <row r="451" spans="1:27" ht="13.65" customHeight="1" x14ac:dyDescent="0.3">
      <c r="A451" s="49"/>
      <c r="B451" s="57"/>
      <c r="C451" s="51"/>
      <c r="D451" s="51"/>
      <c r="E451" s="51"/>
      <c r="F451" s="51"/>
      <c r="G451" s="58"/>
      <c r="H451" s="51"/>
      <c r="I451" s="58"/>
      <c r="J451" s="51"/>
      <c r="K451" s="51"/>
      <c r="L451" s="51"/>
      <c r="M451" s="51"/>
      <c r="N451" s="51"/>
      <c r="O451" s="51"/>
      <c r="P451" s="51"/>
      <c r="Q451" s="51"/>
      <c r="R451" s="51"/>
      <c r="S451" s="51"/>
      <c r="T451" s="51"/>
      <c r="U451" s="51"/>
      <c r="V451" s="51"/>
      <c r="W451" s="51"/>
      <c r="X451" s="51"/>
      <c r="Y451" s="51"/>
      <c r="Z451" s="51"/>
      <c r="AA451" s="51"/>
    </row>
    <row r="452" spans="1:27" ht="13.65" customHeight="1" x14ac:dyDescent="0.3">
      <c r="A452" s="49"/>
      <c r="B452" s="57"/>
      <c r="C452" s="51"/>
      <c r="D452" s="51"/>
      <c r="E452" s="51"/>
      <c r="F452" s="51"/>
      <c r="G452" s="58"/>
      <c r="H452" s="51"/>
      <c r="I452" s="58"/>
      <c r="J452" s="51"/>
      <c r="K452" s="51"/>
      <c r="L452" s="51"/>
      <c r="M452" s="51"/>
      <c r="N452" s="51"/>
      <c r="O452" s="51"/>
      <c r="P452" s="51"/>
      <c r="Q452" s="51"/>
      <c r="R452" s="51"/>
      <c r="S452" s="51"/>
      <c r="T452" s="51"/>
      <c r="U452" s="51"/>
      <c r="V452" s="51"/>
      <c r="W452" s="51"/>
      <c r="X452" s="51"/>
      <c r="Y452" s="51"/>
      <c r="Z452" s="51"/>
      <c r="AA452" s="51"/>
    </row>
    <row r="453" spans="1:27" ht="13.65" customHeight="1" x14ac:dyDescent="0.3">
      <c r="A453" s="49"/>
      <c r="B453" s="57"/>
      <c r="C453" s="51"/>
      <c r="D453" s="51"/>
      <c r="E453" s="51"/>
      <c r="F453" s="51"/>
      <c r="G453" s="58"/>
      <c r="H453" s="51"/>
      <c r="I453" s="58"/>
      <c r="J453" s="51"/>
      <c r="K453" s="51"/>
      <c r="L453" s="51"/>
      <c r="M453" s="51"/>
      <c r="N453" s="51"/>
      <c r="O453" s="51"/>
      <c r="P453" s="51"/>
      <c r="Q453" s="51"/>
      <c r="R453" s="51"/>
      <c r="S453" s="51"/>
      <c r="T453" s="51"/>
      <c r="U453" s="51"/>
      <c r="V453" s="51"/>
      <c r="W453" s="51"/>
      <c r="X453" s="51"/>
      <c r="Y453" s="51"/>
      <c r="Z453" s="51"/>
      <c r="AA453" s="51"/>
    </row>
    <row r="454" spans="1:27" ht="13.65" customHeight="1" x14ac:dyDescent="0.3">
      <c r="A454" s="49"/>
      <c r="B454" s="57"/>
      <c r="C454" s="51"/>
      <c r="D454" s="51"/>
      <c r="E454" s="51"/>
      <c r="F454" s="51"/>
      <c r="G454" s="58"/>
      <c r="H454" s="51"/>
      <c r="I454" s="58"/>
      <c r="J454" s="51"/>
      <c r="K454" s="51"/>
      <c r="L454" s="51"/>
      <c r="M454" s="51"/>
      <c r="N454" s="51"/>
      <c r="O454" s="51"/>
      <c r="P454" s="51"/>
      <c r="Q454" s="51"/>
      <c r="R454" s="51"/>
      <c r="S454" s="51"/>
      <c r="T454" s="51"/>
      <c r="U454" s="51"/>
      <c r="V454" s="51"/>
      <c r="W454" s="51"/>
      <c r="X454" s="51"/>
      <c r="Y454" s="51"/>
      <c r="Z454" s="51"/>
      <c r="AA454" s="51"/>
    </row>
    <row r="455" spans="1:27" ht="13.65" customHeight="1" x14ac:dyDescent="0.3">
      <c r="A455" s="49"/>
      <c r="B455" s="57"/>
      <c r="C455" s="51"/>
      <c r="D455" s="51"/>
      <c r="E455" s="51"/>
      <c r="F455" s="51"/>
      <c r="G455" s="58"/>
      <c r="H455" s="51"/>
      <c r="I455" s="58"/>
      <c r="J455" s="51"/>
      <c r="K455" s="51"/>
      <c r="L455" s="51"/>
      <c r="M455" s="51"/>
      <c r="N455" s="51"/>
      <c r="O455" s="51"/>
      <c r="P455" s="51"/>
      <c r="Q455" s="51"/>
      <c r="R455" s="51"/>
      <c r="S455" s="51"/>
      <c r="T455" s="51"/>
      <c r="U455" s="51"/>
      <c r="V455" s="51"/>
      <c r="W455" s="51"/>
      <c r="X455" s="51"/>
      <c r="Y455" s="51"/>
      <c r="Z455" s="51"/>
      <c r="AA455" s="51"/>
    </row>
    <row r="456" spans="1:27" ht="13.65" customHeight="1" x14ac:dyDescent="0.3">
      <c r="A456" s="49"/>
      <c r="B456" s="57"/>
      <c r="C456" s="51"/>
      <c r="D456" s="51"/>
      <c r="E456" s="51"/>
      <c r="F456" s="51"/>
      <c r="G456" s="58"/>
      <c r="H456" s="51"/>
      <c r="I456" s="58"/>
      <c r="J456" s="51"/>
      <c r="K456" s="51"/>
      <c r="L456" s="51"/>
      <c r="M456" s="51"/>
      <c r="N456" s="51"/>
      <c r="O456" s="51"/>
      <c r="P456" s="51"/>
      <c r="Q456" s="51"/>
      <c r="R456" s="51"/>
      <c r="S456" s="51"/>
      <c r="T456" s="51"/>
      <c r="U456" s="51"/>
      <c r="V456" s="51"/>
      <c r="W456" s="51"/>
      <c r="X456" s="51"/>
      <c r="Y456" s="51"/>
      <c r="Z456" s="51"/>
      <c r="AA456" s="51"/>
    </row>
    <row r="457" spans="1:27" ht="13.65" customHeight="1" x14ac:dyDescent="0.3">
      <c r="A457" s="49"/>
      <c r="B457" s="57"/>
      <c r="C457" s="51"/>
      <c r="D457" s="51"/>
      <c r="E457" s="51"/>
      <c r="F457" s="51"/>
      <c r="G457" s="58"/>
      <c r="H457" s="51"/>
      <c r="I457" s="58"/>
      <c r="J457" s="51"/>
      <c r="K457" s="51"/>
      <c r="L457" s="51"/>
      <c r="M457" s="51"/>
      <c r="N457" s="51"/>
      <c r="O457" s="51"/>
      <c r="P457" s="51"/>
      <c r="Q457" s="51"/>
      <c r="R457" s="51"/>
      <c r="S457" s="51"/>
      <c r="T457" s="51"/>
      <c r="U457" s="51"/>
      <c r="V457" s="51"/>
      <c r="W457" s="51"/>
      <c r="X457" s="51"/>
      <c r="Y457" s="51"/>
      <c r="Z457" s="51"/>
      <c r="AA457" s="51"/>
    </row>
    <row r="458" spans="1:27" ht="13.65" customHeight="1" x14ac:dyDescent="0.3">
      <c r="A458" s="49"/>
      <c r="B458" s="57"/>
      <c r="C458" s="51"/>
      <c r="D458" s="51"/>
      <c r="E458" s="51"/>
      <c r="F458" s="51"/>
      <c r="G458" s="58"/>
      <c r="H458" s="51"/>
      <c r="I458" s="58"/>
      <c r="J458" s="51"/>
      <c r="K458" s="51"/>
      <c r="L458" s="51"/>
      <c r="M458" s="51"/>
      <c r="N458" s="51"/>
      <c r="O458" s="51"/>
      <c r="P458" s="51"/>
      <c r="Q458" s="51"/>
      <c r="R458" s="51"/>
      <c r="S458" s="51"/>
      <c r="T458" s="51"/>
      <c r="U458" s="51"/>
      <c r="V458" s="51"/>
      <c r="W458" s="51"/>
      <c r="X458" s="51"/>
      <c r="Y458" s="51"/>
      <c r="Z458" s="51"/>
      <c r="AA458" s="51"/>
    </row>
    <row r="459" spans="1:27" ht="13.65" customHeight="1" x14ac:dyDescent="0.3">
      <c r="A459" s="49"/>
      <c r="B459" s="57"/>
      <c r="C459" s="51"/>
      <c r="D459" s="51"/>
      <c r="E459" s="51"/>
      <c r="F459" s="51"/>
      <c r="G459" s="58"/>
      <c r="H459" s="51"/>
      <c r="I459" s="58"/>
      <c r="J459" s="51"/>
      <c r="K459" s="51"/>
      <c r="L459" s="51"/>
      <c r="M459" s="51"/>
      <c r="N459" s="51"/>
      <c r="O459" s="51"/>
      <c r="P459" s="51"/>
      <c r="Q459" s="51"/>
      <c r="R459" s="51"/>
      <c r="S459" s="51"/>
      <c r="T459" s="51"/>
      <c r="U459" s="51"/>
      <c r="V459" s="51"/>
      <c r="W459" s="51"/>
      <c r="X459" s="51"/>
      <c r="Y459" s="51"/>
      <c r="Z459" s="51"/>
      <c r="AA459" s="51"/>
    </row>
    <row r="460" spans="1:27" ht="13.65" customHeight="1" x14ac:dyDescent="0.3">
      <c r="A460" s="49"/>
      <c r="B460" s="57"/>
      <c r="C460" s="51"/>
      <c r="D460" s="51"/>
      <c r="E460" s="51"/>
      <c r="F460" s="51"/>
      <c r="G460" s="58"/>
      <c r="H460" s="51"/>
      <c r="I460" s="58"/>
      <c r="J460" s="51"/>
      <c r="K460" s="51"/>
      <c r="L460" s="51"/>
      <c r="M460" s="51"/>
      <c r="N460" s="51"/>
      <c r="O460" s="51"/>
      <c r="P460" s="51"/>
      <c r="Q460" s="51"/>
      <c r="R460" s="51"/>
      <c r="S460" s="51"/>
      <c r="T460" s="51"/>
      <c r="U460" s="51"/>
      <c r="V460" s="51"/>
      <c r="W460" s="51"/>
      <c r="X460" s="51"/>
      <c r="Y460" s="51"/>
      <c r="Z460" s="51"/>
      <c r="AA460" s="51"/>
    </row>
    <row r="461" spans="1:27" ht="13.65" customHeight="1" x14ac:dyDescent="0.3">
      <c r="A461" s="49"/>
      <c r="B461" s="57"/>
      <c r="C461" s="51"/>
      <c r="D461" s="51"/>
      <c r="E461" s="51"/>
      <c r="F461" s="51"/>
      <c r="G461" s="58"/>
      <c r="H461" s="51"/>
      <c r="I461" s="58"/>
      <c r="J461" s="51"/>
      <c r="K461" s="51"/>
      <c r="L461" s="51"/>
      <c r="M461" s="51"/>
      <c r="N461" s="51"/>
      <c r="O461" s="51"/>
      <c r="P461" s="51"/>
      <c r="Q461" s="51"/>
      <c r="R461" s="51"/>
      <c r="S461" s="51"/>
      <c r="T461" s="51"/>
      <c r="U461" s="51"/>
      <c r="V461" s="51"/>
      <c r="W461" s="51"/>
      <c r="X461" s="51"/>
      <c r="Y461" s="51"/>
      <c r="Z461" s="51"/>
      <c r="AA461" s="51"/>
    </row>
    <row r="462" spans="1:27" ht="13.65" customHeight="1" x14ac:dyDescent="0.3">
      <c r="A462" s="49"/>
      <c r="B462" s="57"/>
      <c r="C462" s="51"/>
      <c r="D462" s="51"/>
      <c r="E462" s="51"/>
      <c r="F462" s="51"/>
      <c r="G462" s="58"/>
      <c r="H462" s="51"/>
      <c r="I462" s="58"/>
      <c r="J462" s="51"/>
      <c r="K462" s="51"/>
      <c r="L462" s="51"/>
      <c r="M462" s="51"/>
      <c r="N462" s="51"/>
      <c r="O462" s="51"/>
      <c r="P462" s="51"/>
      <c r="Q462" s="51"/>
      <c r="R462" s="51"/>
      <c r="S462" s="51"/>
      <c r="T462" s="51"/>
      <c r="U462" s="51"/>
      <c r="V462" s="51"/>
      <c r="W462" s="51"/>
      <c r="X462" s="51"/>
      <c r="Y462" s="51"/>
      <c r="Z462" s="51"/>
      <c r="AA462" s="51"/>
    </row>
    <row r="463" spans="1:27" ht="13.65" customHeight="1" x14ac:dyDescent="0.3">
      <c r="A463" s="49"/>
      <c r="B463" s="57"/>
      <c r="C463" s="51"/>
      <c r="D463" s="51"/>
      <c r="E463" s="51"/>
      <c r="F463" s="51"/>
      <c r="G463" s="58"/>
      <c r="H463" s="51"/>
      <c r="I463" s="58"/>
      <c r="J463" s="51"/>
      <c r="K463" s="51"/>
      <c r="L463" s="51"/>
      <c r="M463" s="51"/>
      <c r="N463" s="51"/>
      <c r="O463" s="51"/>
      <c r="P463" s="51"/>
      <c r="Q463" s="51"/>
      <c r="R463" s="51"/>
      <c r="S463" s="51"/>
      <c r="T463" s="51"/>
      <c r="U463" s="51"/>
      <c r="V463" s="51"/>
      <c r="W463" s="51"/>
      <c r="X463" s="51"/>
      <c r="Y463" s="51"/>
      <c r="Z463" s="51"/>
      <c r="AA463" s="51"/>
    </row>
    <row r="464" spans="1:27" ht="13.65" customHeight="1" x14ac:dyDescent="0.3">
      <c r="A464" s="49"/>
      <c r="B464" s="57"/>
      <c r="C464" s="51"/>
      <c r="D464" s="51"/>
      <c r="E464" s="51"/>
      <c r="F464" s="51"/>
      <c r="G464" s="58"/>
      <c r="H464" s="51"/>
      <c r="I464" s="58"/>
      <c r="J464" s="51"/>
      <c r="K464" s="51"/>
      <c r="L464" s="51"/>
      <c r="M464" s="51"/>
      <c r="N464" s="51"/>
      <c r="O464" s="51"/>
      <c r="P464" s="51"/>
      <c r="Q464" s="51"/>
      <c r="R464" s="51"/>
      <c r="S464" s="51"/>
      <c r="T464" s="51"/>
      <c r="U464" s="51"/>
      <c r="V464" s="51"/>
      <c r="W464" s="51"/>
      <c r="X464" s="51"/>
      <c r="Y464" s="51"/>
      <c r="Z464" s="51"/>
      <c r="AA464" s="51"/>
    </row>
    <row r="465" spans="1:27" ht="13.65" customHeight="1" x14ac:dyDescent="0.3">
      <c r="A465" s="49"/>
      <c r="B465" s="57"/>
      <c r="C465" s="51"/>
      <c r="D465" s="51"/>
      <c r="E465" s="51"/>
      <c r="F465" s="51"/>
      <c r="G465" s="58"/>
      <c r="H465" s="51"/>
      <c r="I465" s="58"/>
      <c r="J465" s="51"/>
      <c r="K465" s="51"/>
      <c r="L465" s="51"/>
      <c r="M465" s="51"/>
      <c r="N465" s="51"/>
      <c r="O465" s="51"/>
      <c r="P465" s="51"/>
      <c r="Q465" s="51"/>
      <c r="R465" s="51"/>
      <c r="S465" s="51"/>
      <c r="T465" s="51"/>
      <c r="U465" s="51"/>
      <c r="V465" s="51"/>
      <c r="W465" s="51"/>
      <c r="X465" s="51"/>
      <c r="Y465" s="51"/>
      <c r="Z465" s="51"/>
      <c r="AA465" s="51"/>
    </row>
    <row r="466" spans="1:27" ht="13.65" customHeight="1" x14ac:dyDescent="0.3">
      <c r="A466" s="49"/>
      <c r="B466" s="57"/>
      <c r="C466" s="51"/>
      <c r="D466" s="51"/>
      <c r="E466" s="51"/>
      <c r="F466" s="51"/>
      <c r="G466" s="58"/>
      <c r="H466" s="51"/>
      <c r="I466" s="58"/>
      <c r="J466" s="51"/>
      <c r="K466" s="51"/>
      <c r="L466" s="51"/>
      <c r="M466" s="51"/>
      <c r="N466" s="51"/>
      <c r="O466" s="51"/>
      <c r="P466" s="51"/>
      <c r="Q466" s="51"/>
      <c r="R466" s="51"/>
      <c r="S466" s="51"/>
      <c r="T466" s="51"/>
      <c r="U466" s="51"/>
      <c r="V466" s="51"/>
      <c r="W466" s="51"/>
      <c r="X466" s="51"/>
      <c r="Y466" s="51"/>
      <c r="Z466" s="51"/>
      <c r="AA466" s="51"/>
    </row>
    <row r="467" spans="1:27" ht="13.65" customHeight="1" x14ac:dyDescent="0.3">
      <c r="A467" s="49"/>
      <c r="B467" s="57"/>
      <c r="C467" s="51"/>
      <c r="D467" s="51"/>
      <c r="E467" s="51"/>
      <c r="F467" s="51"/>
      <c r="G467" s="58"/>
      <c r="H467" s="51"/>
      <c r="I467" s="58"/>
      <c r="J467" s="51"/>
      <c r="K467" s="51"/>
      <c r="L467" s="51"/>
      <c r="M467" s="51"/>
      <c r="N467" s="51"/>
      <c r="O467" s="51"/>
      <c r="P467" s="51"/>
      <c r="Q467" s="51"/>
      <c r="R467" s="51"/>
      <c r="S467" s="51"/>
      <c r="T467" s="51"/>
      <c r="U467" s="51"/>
      <c r="V467" s="51"/>
      <c r="W467" s="51"/>
      <c r="X467" s="51"/>
      <c r="Y467" s="51"/>
      <c r="Z467" s="51"/>
      <c r="AA467" s="51"/>
    </row>
    <row r="468" spans="1:27" ht="13.65" customHeight="1" x14ac:dyDescent="0.3">
      <c r="A468" s="49"/>
      <c r="B468" s="57"/>
      <c r="C468" s="51"/>
      <c r="D468" s="51"/>
      <c r="E468" s="51"/>
      <c r="F468" s="51"/>
      <c r="G468" s="58"/>
      <c r="H468" s="51"/>
      <c r="I468" s="58"/>
      <c r="J468" s="51"/>
      <c r="K468" s="51"/>
      <c r="L468" s="51"/>
      <c r="M468" s="51"/>
      <c r="N468" s="51"/>
      <c r="O468" s="51"/>
      <c r="P468" s="51"/>
      <c r="Q468" s="51"/>
      <c r="R468" s="51"/>
      <c r="S468" s="51"/>
      <c r="T468" s="51"/>
      <c r="U468" s="51"/>
      <c r="V468" s="51"/>
      <c r="W468" s="51"/>
      <c r="X468" s="51"/>
      <c r="Y468" s="51"/>
      <c r="Z468" s="51"/>
      <c r="AA468" s="51"/>
    </row>
    <row r="469" spans="1:27" ht="13.65" customHeight="1" x14ac:dyDescent="0.3">
      <c r="A469" s="49"/>
      <c r="B469" s="57"/>
      <c r="C469" s="51"/>
      <c r="D469" s="51"/>
      <c r="E469" s="51"/>
      <c r="F469" s="51"/>
      <c r="G469" s="58"/>
      <c r="H469" s="51"/>
      <c r="I469" s="58"/>
      <c r="J469" s="51"/>
      <c r="K469" s="51"/>
      <c r="L469" s="51"/>
      <c r="M469" s="51"/>
      <c r="N469" s="51"/>
      <c r="O469" s="51"/>
      <c r="P469" s="51"/>
      <c r="Q469" s="51"/>
      <c r="R469" s="51"/>
      <c r="S469" s="51"/>
      <c r="T469" s="51"/>
      <c r="U469" s="51"/>
      <c r="V469" s="51"/>
      <c r="W469" s="51"/>
      <c r="X469" s="51"/>
      <c r="Y469" s="51"/>
      <c r="Z469" s="51"/>
      <c r="AA469" s="51"/>
    </row>
    <row r="470" spans="1:27" ht="13.65" customHeight="1" x14ac:dyDescent="0.3">
      <c r="A470" s="49"/>
      <c r="B470" s="57"/>
      <c r="C470" s="51"/>
      <c r="D470" s="51"/>
      <c r="E470" s="51"/>
      <c r="F470" s="51"/>
      <c r="G470" s="58"/>
      <c r="H470" s="51"/>
      <c r="I470" s="58"/>
      <c r="J470" s="51"/>
      <c r="K470" s="51"/>
      <c r="L470" s="51"/>
      <c r="M470" s="51"/>
      <c r="N470" s="51"/>
      <c r="O470" s="51"/>
      <c r="P470" s="51"/>
      <c r="Q470" s="51"/>
      <c r="R470" s="51"/>
      <c r="S470" s="51"/>
      <c r="T470" s="51"/>
      <c r="U470" s="51"/>
      <c r="V470" s="51"/>
      <c r="W470" s="51"/>
      <c r="X470" s="51"/>
      <c r="Y470" s="51"/>
      <c r="Z470" s="51"/>
      <c r="AA470" s="51"/>
    </row>
    <row r="471" spans="1:27" ht="13.65" customHeight="1" x14ac:dyDescent="0.3">
      <c r="A471" s="49"/>
      <c r="B471" s="57"/>
      <c r="C471" s="51"/>
      <c r="D471" s="51"/>
      <c r="E471" s="51"/>
      <c r="F471" s="51"/>
      <c r="G471" s="58"/>
      <c r="H471" s="51"/>
      <c r="I471" s="58"/>
      <c r="J471" s="51"/>
      <c r="K471" s="51"/>
      <c r="L471" s="51"/>
      <c r="M471" s="51"/>
      <c r="N471" s="51"/>
      <c r="O471" s="51"/>
      <c r="P471" s="51"/>
      <c r="Q471" s="51"/>
      <c r="R471" s="51"/>
      <c r="S471" s="51"/>
      <c r="T471" s="51"/>
      <c r="U471" s="51"/>
      <c r="V471" s="51"/>
      <c r="W471" s="51"/>
      <c r="X471" s="51"/>
      <c r="Y471" s="51"/>
      <c r="Z471" s="51"/>
      <c r="AA471" s="51"/>
    </row>
    <row r="472" spans="1:27" ht="13.65" customHeight="1" x14ac:dyDescent="0.3">
      <c r="A472" s="49"/>
      <c r="B472" s="57"/>
      <c r="C472" s="51"/>
      <c r="D472" s="51"/>
      <c r="E472" s="51"/>
      <c r="F472" s="51"/>
      <c r="G472" s="58"/>
      <c r="H472" s="51"/>
      <c r="I472" s="58"/>
      <c r="J472" s="51"/>
      <c r="K472" s="51"/>
      <c r="L472" s="51"/>
      <c r="M472" s="51"/>
      <c r="N472" s="51"/>
      <c r="O472" s="51"/>
      <c r="P472" s="51"/>
      <c r="Q472" s="51"/>
      <c r="R472" s="51"/>
      <c r="S472" s="51"/>
      <c r="T472" s="51"/>
      <c r="U472" s="51"/>
      <c r="V472" s="51"/>
      <c r="W472" s="51"/>
      <c r="X472" s="51"/>
      <c r="Y472" s="51"/>
      <c r="Z472" s="51"/>
      <c r="AA472" s="51"/>
    </row>
    <row r="473" spans="1:27" ht="13.65" customHeight="1" x14ac:dyDescent="0.3">
      <c r="A473" s="49"/>
      <c r="B473" s="57"/>
      <c r="C473" s="51"/>
      <c r="D473" s="51"/>
      <c r="E473" s="51"/>
      <c r="F473" s="51"/>
      <c r="G473" s="58"/>
      <c r="H473" s="51"/>
      <c r="I473" s="58"/>
      <c r="J473" s="51"/>
      <c r="K473" s="51"/>
      <c r="L473" s="51"/>
      <c r="M473" s="51"/>
      <c r="N473" s="51"/>
      <c r="O473" s="51"/>
      <c r="P473" s="51"/>
      <c r="Q473" s="51"/>
      <c r="R473" s="51"/>
      <c r="S473" s="51"/>
      <c r="T473" s="51"/>
      <c r="U473" s="51"/>
      <c r="V473" s="51"/>
      <c r="W473" s="51"/>
      <c r="X473" s="51"/>
      <c r="Y473" s="51"/>
      <c r="Z473" s="51"/>
      <c r="AA473" s="51"/>
    </row>
    <row r="474" spans="1:27" ht="13.65" customHeight="1" x14ac:dyDescent="0.3">
      <c r="A474" s="49"/>
      <c r="B474" s="57"/>
      <c r="C474" s="51"/>
      <c r="D474" s="51"/>
      <c r="E474" s="51"/>
      <c r="F474" s="51"/>
      <c r="G474" s="58"/>
      <c r="H474" s="51"/>
      <c r="I474" s="58"/>
      <c r="J474" s="51"/>
      <c r="K474" s="51"/>
      <c r="L474" s="51"/>
      <c r="M474" s="51"/>
      <c r="N474" s="51"/>
      <c r="O474" s="51"/>
      <c r="P474" s="51"/>
      <c r="Q474" s="51"/>
      <c r="R474" s="51"/>
      <c r="S474" s="51"/>
      <c r="T474" s="51"/>
      <c r="U474" s="51"/>
      <c r="V474" s="51"/>
      <c r="W474" s="51"/>
      <c r="X474" s="51"/>
      <c r="Y474" s="51"/>
      <c r="Z474" s="51"/>
      <c r="AA474" s="51"/>
    </row>
    <row r="475" spans="1:27" ht="13.65" customHeight="1" x14ac:dyDescent="0.3">
      <c r="A475" s="49"/>
      <c r="B475" s="57"/>
      <c r="C475" s="51"/>
      <c r="D475" s="51"/>
      <c r="E475" s="51"/>
      <c r="F475" s="51"/>
      <c r="G475" s="58"/>
      <c r="H475" s="51"/>
      <c r="I475" s="58"/>
      <c r="J475" s="51"/>
      <c r="K475" s="51"/>
      <c r="L475" s="51"/>
      <c r="M475" s="51"/>
      <c r="N475" s="51"/>
      <c r="O475" s="51"/>
      <c r="P475" s="51"/>
      <c r="Q475" s="51"/>
      <c r="R475" s="51"/>
      <c r="S475" s="51"/>
      <c r="T475" s="51"/>
      <c r="U475" s="51"/>
      <c r="V475" s="51"/>
      <c r="W475" s="51"/>
      <c r="X475" s="51"/>
      <c r="Y475" s="51"/>
      <c r="Z475" s="51"/>
      <c r="AA475" s="51"/>
    </row>
    <row r="476" spans="1:27" ht="13.65" customHeight="1" x14ac:dyDescent="0.3">
      <c r="A476" s="49"/>
      <c r="B476" s="57"/>
      <c r="C476" s="51"/>
      <c r="D476" s="51"/>
      <c r="E476" s="51"/>
      <c r="F476" s="51"/>
      <c r="G476" s="58"/>
      <c r="H476" s="51"/>
      <c r="I476" s="58"/>
      <c r="J476" s="51"/>
      <c r="K476" s="51"/>
      <c r="L476" s="51"/>
      <c r="M476" s="51"/>
      <c r="N476" s="51"/>
      <c r="O476" s="51"/>
      <c r="P476" s="51"/>
      <c r="Q476" s="51"/>
      <c r="R476" s="51"/>
      <c r="S476" s="51"/>
      <c r="T476" s="51"/>
      <c r="U476" s="51"/>
      <c r="V476" s="51"/>
      <c r="W476" s="51"/>
      <c r="X476" s="51"/>
      <c r="Y476" s="51"/>
      <c r="Z476" s="51"/>
      <c r="AA476" s="51"/>
    </row>
    <row r="477" spans="1:27" ht="13.65" customHeight="1" x14ac:dyDescent="0.3">
      <c r="A477" s="49"/>
      <c r="B477" s="57"/>
      <c r="C477" s="51"/>
      <c r="D477" s="51"/>
      <c r="E477" s="51"/>
      <c r="F477" s="51"/>
      <c r="G477" s="58"/>
      <c r="H477" s="51"/>
      <c r="I477" s="58"/>
      <c r="J477" s="51"/>
      <c r="K477" s="51"/>
      <c r="L477" s="51"/>
      <c r="M477" s="51"/>
      <c r="N477" s="51"/>
      <c r="O477" s="51"/>
      <c r="P477" s="51"/>
      <c r="Q477" s="51"/>
      <c r="R477" s="51"/>
      <c r="S477" s="51"/>
      <c r="T477" s="51"/>
      <c r="U477" s="51"/>
      <c r="V477" s="51"/>
      <c r="W477" s="51"/>
      <c r="X477" s="51"/>
      <c r="Y477" s="51"/>
      <c r="Z477" s="51"/>
      <c r="AA477" s="51"/>
    </row>
    <row r="478" spans="1:27" ht="13.65" customHeight="1" x14ac:dyDescent="0.3">
      <c r="A478" s="49"/>
      <c r="B478" s="57"/>
      <c r="C478" s="51"/>
      <c r="D478" s="51"/>
      <c r="E478" s="51"/>
      <c r="F478" s="51"/>
      <c r="G478" s="58"/>
      <c r="H478" s="51"/>
      <c r="I478" s="58"/>
      <c r="J478" s="51"/>
      <c r="K478" s="51"/>
      <c r="L478" s="51"/>
      <c r="M478" s="51"/>
      <c r="N478" s="51"/>
      <c r="O478" s="51"/>
      <c r="P478" s="51"/>
      <c r="Q478" s="51"/>
      <c r="R478" s="51"/>
      <c r="S478" s="51"/>
      <c r="T478" s="51"/>
      <c r="U478" s="51"/>
      <c r="V478" s="51"/>
      <c r="W478" s="51"/>
      <c r="X478" s="51"/>
      <c r="Y478" s="51"/>
      <c r="Z478" s="51"/>
      <c r="AA478" s="51"/>
    </row>
    <row r="479" spans="1:27" ht="13.65" customHeight="1" x14ac:dyDescent="0.3">
      <c r="A479" s="49"/>
      <c r="B479" s="57"/>
      <c r="C479" s="51"/>
      <c r="D479" s="51"/>
      <c r="E479" s="51"/>
      <c r="F479" s="51"/>
      <c r="G479" s="58"/>
      <c r="H479" s="51"/>
      <c r="I479" s="58"/>
      <c r="J479" s="51"/>
      <c r="K479" s="51"/>
      <c r="L479" s="51"/>
      <c r="M479" s="51"/>
      <c r="N479" s="51"/>
      <c r="O479" s="51"/>
      <c r="P479" s="51"/>
      <c r="Q479" s="51"/>
      <c r="R479" s="51"/>
      <c r="S479" s="51"/>
      <c r="T479" s="51"/>
      <c r="U479" s="51"/>
      <c r="V479" s="51"/>
      <c r="W479" s="51"/>
      <c r="X479" s="51"/>
      <c r="Y479" s="51"/>
      <c r="Z479" s="51"/>
      <c r="AA479" s="51"/>
    </row>
    <row r="480" spans="1:27" ht="13.65" customHeight="1" x14ac:dyDescent="0.3">
      <c r="A480" s="49"/>
      <c r="B480" s="57"/>
      <c r="C480" s="51"/>
      <c r="D480" s="51"/>
      <c r="E480" s="51"/>
      <c r="F480" s="51"/>
      <c r="G480" s="58"/>
      <c r="H480" s="51"/>
      <c r="I480" s="58"/>
      <c r="J480" s="51"/>
      <c r="K480" s="51"/>
      <c r="L480" s="51"/>
      <c r="M480" s="51"/>
      <c r="N480" s="51"/>
      <c r="O480" s="51"/>
      <c r="P480" s="51"/>
      <c r="Q480" s="51"/>
      <c r="R480" s="51"/>
      <c r="S480" s="51"/>
      <c r="T480" s="51"/>
      <c r="U480" s="51"/>
      <c r="V480" s="51"/>
      <c r="W480" s="51"/>
      <c r="X480" s="51"/>
      <c r="Y480" s="51"/>
      <c r="Z480" s="51"/>
      <c r="AA480" s="51"/>
    </row>
    <row r="481" spans="1:27" ht="13.65" customHeight="1" x14ac:dyDescent="0.3">
      <c r="A481" s="49"/>
      <c r="B481" s="57"/>
      <c r="C481" s="51"/>
      <c r="D481" s="51"/>
      <c r="E481" s="51"/>
      <c r="F481" s="51"/>
      <c r="G481" s="58"/>
      <c r="H481" s="51"/>
      <c r="I481" s="58"/>
      <c r="J481" s="51"/>
      <c r="K481" s="51"/>
      <c r="L481" s="51"/>
      <c r="M481" s="51"/>
      <c r="N481" s="51"/>
      <c r="O481" s="51"/>
      <c r="P481" s="51"/>
      <c r="Q481" s="51"/>
      <c r="R481" s="51"/>
      <c r="S481" s="51"/>
      <c r="T481" s="51"/>
      <c r="U481" s="51"/>
      <c r="V481" s="51"/>
      <c r="W481" s="51"/>
      <c r="X481" s="51"/>
      <c r="Y481" s="51"/>
      <c r="Z481" s="51"/>
      <c r="AA481" s="51"/>
    </row>
    <row r="482" spans="1:27" ht="13.65" customHeight="1" x14ac:dyDescent="0.3">
      <c r="A482" s="49"/>
      <c r="B482" s="57"/>
      <c r="C482" s="51"/>
      <c r="D482" s="51"/>
      <c r="E482" s="51"/>
      <c r="F482" s="51"/>
      <c r="G482" s="58"/>
      <c r="H482" s="51"/>
      <c r="I482" s="58"/>
      <c r="J482" s="51"/>
      <c r="K482" s="51"/>
      <c r="L482" s="51"/>
      <c r="M482" s="51"/>
      <c r="N482" s="51"/>
      <c r="O482" s="51"/>
      <c r="P482" s="51"/>
      <c r="Q482" s="51"/>
      <c r="R482" s="51"/>
      <c r="S482" s="51"/>
      <c r="T482" s="51"/>
      <c r="U482" s="51"/>
      <c r="V482" s="51"/>
      <c r="W482" s="51"/>
      <c r="X482" s="51"/>
      <c r="Y482" s="51"/>
      <c r="Z482" s="51"/>
      <c r="AA482" s="51"/>
    </row>
    <row r="483" spans="1:27" ht="13.65" customHeight="1" x14ac:dyDescent="0.3">
      <c r="A483" s="49"/>
      <c r="B483" s="57"/>
      <c r="C483" s="51"/>
      <c r="D483" s="51"/>
      <c r="E483" s="51"/>
      <c r="F483" s="51"/>
      <c r="G483" s="58"/>
      <c r="H483" s="51"/>
      <c r="I483" s="58"/>
      <c r="J483" s="51"/>
      <c r="K483" s="51"/>
      <c r="L483" s="51"/>
      <c r="M483" s="51"/>
      <c r="N483" s="51"/>
      <c r="O483" s="51"/>
      <c r="P483" s="51"/>
      <c r="Q483" s="51"/>
      <c r="R483" s="51"/>
      <c r="S483" s="51"/>
      <c r="T483" s="51"/>
      <c r="U483" s="51"/>
      <c r="V483" s="51"/>
      <c r="W483" s="51"/>
      <c r="X483" s="51"/>
      <c r="Y483" s="51"/>
      <c r="Z483" s="51"/>
      <c r="AA483" s="51"/>
    </row>
    <row r="484" spans="1:27" ht="13.65" customHeight="1" x14ac:dyDescent="0.3">
      <c r="A484" s="49"/>
      <c r="B484" s="57"/>
      <c r="C484" s="51"/>
      <c r="D484" s="51"/>
      <c r="E484" s="51"/>
      <c r="F484" s="51"/>
      <c r="G484" s="58"/>
      <c r="H484" s="51"/>
      <c r="I484" s="58"/>
      <c r="J484" s="51"/>
      <c r="K484" s="51"/>
      <c r="L484" s="51"/>
      <c r="M484" s="51"/>
      <c r="N484" s="51"/>
      <c r="O484" s="51"/>
      <c r="P484" s="51"/>
      <c r="Q484" s="51"/>
      <c r="R484" s="51"/>
      <c r="S484" s="51"/>
      <c r="T484" s="51"/>
      <c r="U484" s="51"/>
      <c r="V484" s="51"/>
      <c r="W484" s="51"/>
      <c r="X484" s="51"/>
      <c r="Y484" s="51"/>
      <c r="Z484" s="51"/>
      <c r="AA484" s="51"/>
    </row>
    <row r="485" spans="1:27" ht="13.65" customHeight="1" x14ac:dyDescent="0.3">
      <c r="A485" s="49"/>
      <c r="B485" s="57"/>
      <c r="C485" s="51"/>
      <c r="D485" s="51"/>
      <c r="E485" s="51"/>
      <c r="F485" s="51"/>
      <c r="G485" s="58"/>
      <c r="H485" s="51"/>
      <c r="I485" s="58"/>
      <c r="J485" s="51"/>
      <c r="K485" s="51"/>
      <c r="L485" s="51"/>
      <c r="M485" s="51"/>
      <c r="N485" s="51"/>
      <c r="O485" s="51"/>
      <c r="P485" s="51"/>
      <c r="Q485" s="51"/>
      <c r="R485" s="51"/>
      <c r="S485" s="51"/>
      <c r="T485" s="51"/>
      <c r="U485" s="51"/>
      <c r="V485" s="51"/>
      <c r="W485" s="51"/>
      <c r="X485" s="51"/>
      <c r="Y485" s="51"/>
      <c r="Z485" s="51"/>
      <c r="AA485" s="51"/>
    </row>
    <row r="486" spans="1:27" ht="13.65" customHeight="1" x14ac:dyDescent="0.3">
      <c r="A486" s="49"/>
      <c r="B486" s="57"/>
      <c r="C486" s="51"/>
      <c r="D486" s="51"/>
      <c r="E486" s="51"/>
      <c r="F486" s="51"/>
      <c r="G486" s="58"/>
      <c r="H486" s="51"/>
      <c r="I486" s="58"/>
      <c r="J486" s="51"/>
      <c r="K486" s="51"/>
      <c r="L486" s="51"/>
      <c r="M486" s="51"/>
      <c r="N486" s="51"/>
      <c r="O486" s="51"/>
      <c r="P486" s="51"/>
      <c r="Q486" s="51"/>
      <c r="R486" s="51"/>
      <c r="S486" s="51"/>
      <c r="T486" s="51"/>
      <c r="U486" s="51"/>
      <c r="V486" s="51"/>
      <c r="W486" s="51"/>
      <c r="X486" s="51"/>
      <c r="Y486" s="51"/>
      <c r="Z486" s="51"/>
      <c r="AA486" s="51"/>
    </row>
    <row r="487" spans="1:27" ht="13.65" customHeight="1" x14ac:dyDescent="0.3">
      <c r="A487" s="49"/>
      <c r="B487" s="57"/>
      <c r="C487" s="51"/>
      <c r="D487" s="51"/>
      <c r="E487" s="51"/>
      <c r="F487" s="51"/>
      <c r="G487" s="58"/>
      <c r="H487" s="51"/>
      <c r="I487" s="58"/>
      <c r="J487" s="51"/>
      <c r="K487" s="51"/>
      <c r="L487" s="51"/>
      <c r="M487" s="51"/>
      <c r="N487" s="51"/>
      <c r="O487" s="51"/>
      <c r="P487" s="51"/>
      <c r="Q487" s="51"/>
      <c r="R487" s="51"/>
      <c r="S487" s="51"/>
      <c r="T487" s="51"/>
      <c r="U487" s="51"/>
      <c r="V487" s="51"/>
      <c r="W487" s="51"/>
      <c r="X487" s="51"/>
      <c r="Y487" s="51"/>
      <c r="Z487" s="51"/>
      <c r="AA487" s="51"/>
    </row>
    <row r="488" spans="1:27" ht="13.65" customHeight="1" x14ac:dyDescent="0.3">
      <c r="A488" s="49"/>
      <c r="B488" s="57"/>
      <c r="C488" s="51"/>
      <c r="D488" s="51"/>
      <c r="E488" s="51"/>
      <c r="F488" s="51"/>
      <c r="G488" s="58"/>
      <c r="H488" s="51"/>
      <c r="I488" s="58"/>
      <c r="J488" s="51"/>
      <c r="K488" s="51"/>
      <c r="L488" s="51"/>
      <c r="M488" s="51"/>
      <c r="N488" s="51"/>
      <c r="O488" s="51"/>
      <c r="P488" s="51"/>
      <c r="Q488" s="51"/>
      <c r="R488" s="51"/>
      <c r="S488" s="51"/>
      <c r="T488" s="51"/>
      <c r="U488" s="51"/>
      <c r="V488" s="51"/>
      <c r="W488" s="51"/>
      <c r="X488" s="51"/>
      <c r="Y488" s="51"/>
      <c r="Z488" s="51"/>
      <c r="AA488" s="51"/>
    </row>
    <row r="489" spans="1:27" ht="13.65" customHeight="1" x14ac:dyDescent="0.3">
      <c r="A489" s="49"/>
      <c r="B489" s="57"/>
      <c r="C489" s="51"/>
      <c r="D489" s="51"/>
      <c r="E489" s="51"/>
      <c r="F489" s="51"/>
      <c r="G489" s="58"/>
      <c r="H489" s="51"/>
      <c r="I489" s="58"/>
      <c r="J489" s="51"/>
      <c r="K489" s="51"/>
      <c r="L489" s="51"/>
      <c r="M489" s="51"/>
      <c r="N489" s="51"/>
      <c r="O489" s="51"/>
      <c r="P489" s="51"/>
      <c r="Q489" s="51"/>
      <c r="R489" s="51"/>
      <c r="S489" s="51"/>
      <c r="T489" s="51"/>
      <c r="U489" s="51"/>
      <c r="V489" s="51"/>
      <c r="W489" s="51"/>
      <c r="X489" s="51"/>
      <c r="Y489" s="51"/>
      <c r="Z489" s="51"/>
      <c r="AA489" s="51"/>
    </row>
    <row r="490" spans="1:27" ht="13.65" customHeight="1" x14ac:dyDescent="0.3">
      <c r="A490" s="49"/>
      <c r="B490" s="57"/>
      <c r="C490" s="51"/>
      <c r="D490" s="51"/>
      <c r="E490" s="51"/>
      <c r="F490" s="51"/>
      <c r="G490" s="58"/>
      <c r="H490" s="51"/>
      <c r="I490" s="58"/>
      <c r="J490" s="51"/>
      <c r="K490" s="51"/>
      <c r="L490" s="51"/>
      <c r="M490" s="51"/>
      <c r="N490" s="51"/>
      <c r="O490" s="51"/>
      <c r="P490" s="51"/>
      <c r="Q490" s="51"/>
      <c r="R490" s="51"/>
      <c r="S490" s="51"/>
      <c r="T490" s="51"/>
      <c r="U490" s="51"/>
      <c r="V490" s="51"/>
      <c r="W490" s="51"/>
      <c r="X490" s="51"/>
      <c r="Y490" s="51"/>
      <c r="Z490" s="51"/>
      <c r="AA490" s="51"/>
    </row>
    <row r="491" spans="1:27" ht="13.65" customHeight="1" x14ac:dyDescent="0.3">
      <c r="A491" s="49"/>
      <c r="B491" s="57"/>
      <c r="C491" s="51"/>
      <c r="D491" s="51"/>
      <c r="E491" s="51"/>
      <c r="F491" s="51"/>
      <c r="G491" s="58"/>
      <c r="H491" s="51"/>
      <c r="I491" s="58"/>
      <c r="J491" s="51"/>
      <c r="K491" s="51"/>
      <c r="L491" s="51"/>
      <c r="M491" s="51"/>
      <c r="N491" s="51"/>
      <c r="O491" s="51"/>
      <c r="P491" s="51"/>
      <c r="Q491" s="51"/>
      <c r="R491" s="51"/>
      <c r="S491" s="51"/>
      <c r="T491" s="51"/>
      <c r="U491" s="51"/>
      <c r="V491" s="51"/>
      <c r="W491" s="51"/>
      <c r="X491" s="51"/>
      <c r="Y491" s="51"/>
      <c r="Z491" s="51"/>
      <c r="AA491" s="51"/>
    </row>
    <row r="492" spans="1:27" ht="13.65" customHeight="1" x14ac:dyDescent="0.3">
      <c r="A492" s="49"/>
      <c r="B492" s="57"/>
      <c r="C492" s="51"/>
      <c r="D492" s="51"/>
      <c r="E492" s="51"/>
      <c r="F492" s="51"/>
      <c r="G492" s="58"/>
      <c r="H492" s="51"/>
      <c r="I492" s="58"/>
      <c r="J492" s="51"/>
      <c r="K492" s="51"/>
      <c r="L492" s="51"/>
      <c r="M492" s="51"/>
      <c r="N492" s="51"/>
      <c r="O492" s="51"/>
      <c r="P492" s="51"/>
      <c r="Q492" s="51"/>
      <c r="R492" s="51"/>
      <c r="S492" s="51"/>
      <c r="T492" s="51"/>
      <c r="U492" s="51"/>
      <c r="V492" s="51"/>
      <c r="W492" s="51"/>
      <c r="X492" s="51"/>
      <c r="Y492" s="51"/>
      <c r="Z492" s="51"/>
      <c r="AA492" s="51"/>
    </row>
    <row r="493" spans="1:27" ht="13.65" customHeight="1" x14ac:dyDescent="0.3">
      <c r="A493" s="49"/>
      <c r="B493" s="57"/>
      <c r="C493" s="51"/>
      <c r="D493" s="51"/>
      <c r="E493" s="51"/>
      <c r="F493" s="51"/>
      <c r="G493" s="58"/>
      <c r="H493" s="51"/>
      <c r="I493" s="58"/>
      <c r="J493" s="51"/>
      <c r="K493" s="51"/>
      <c r="L493" s="51"/>
      <c r="M493" s="51"/>
      <c r="N493" s="51"/>
      <c r="O493" s="51"/>
      <c r="P493" s="51"/>
      <c r="Q493" s="51"/>
      <c r="R493" s="51"/>
      <c r="S493" s="51"/>
      <c r="T493" s="51"/>
      <c r="U493" s="51"/>
      <c r="V493" s="51"/>
      <c r="W493" s="51"/>
      <c r="X493" s="51"/>
      <c r="Y493" s="51"/>
      <c r="Z493" s="51"/>
      <c r="AA493" s="51"/>
    </row>
    <row r="494" spans="1:27" ht="13.65" customHeight="1" x14ac:dyDescent="0.3">
      <c r="A494" s="49"/>
      <c r="B494" s="57"/>
      <c r="C494" s="51"/>
      <c r="D494" s="51"/>
      <c r="E494" s="51"/>
      <c r="F494" s="51"/>
      <c r="G494" s="58"/>
      <c r="H494" s="51"/>
      <c r="I494" s="58"/>
      <c r="J494" s="51"/>
      <c r="K494" s="51"/>
      <c r="L494" s="51"/>
      <c r="M494" s="51"/>
      <c r="N494" s="51"/>
      <c r="O494" s="51"/>
      <c r="P494" s="51"/>
      <c r="Q494" s="51"/>
      <c r="R494" s="51"/>
      <c r="S494" s="51"/>
      <c r="T494" s="51"/>
      <c r="U494" s="51"/>
      <c r="V494" s="51"/>
      <c r="W494" s="51"/>
      <c r="X494" s="51"/>
      <c r="Y494" s="51"/>
      <c r="Z494" s="51"/>
      <c r="AA494" s="51"/>
    </row>
    <row r="495" spans="1:27" ht="13.65" customHeight="1" x14ac:dyDescent="0.3">
      <c r="A495" s="49"/>
      <c r="B495" s="57"/>
      <c r="C495" s="51"/>
      <c r="D495" s="51"/>
      <c r="E495" s="51"/>
      <c r="F495" s="51"/>
      <c r="G495" s="58"/>
      <c r="H495" s="51"/>
      <c r="I495" s="58"/>
      <c r="J495" s="51"/>
      <c r="K495" s="51"/>
      <c r="L495" s="51"/>
      <c r="M495" s="51"/>
      <c r="N495" s="51"/>
      <c r="O495" s="51"/>
      <c r="P495" s="51"/>
      <c r="Q495" s="51"/>
      <c r="R495" s="51"/>
      <c r="S495" s="51"/>
      <c r="T495" s="51"/>
      <c r="U495" s="51"/>
      <c r="V495" s="51"/>
      <c r="W495" s="51"/>
      <c r="X495" s="51"/>
      <c r="Y495" s="51"/>
      <c r="Z495" s="51"/>
      <c r="AA495" s="51"/>
    </row>
    <row r="496" spans="1:27" ht="13.65" customHeight="1" x14ac:dyDescent="0.3">
      <c r="A496" s="49"/>
      <c r="B496" s="57"/>
      <c r="C496" s="51"/>
      <c r="D496" s="51"/>
      <c r="E496" s="51"/>
      <c r="F496" s="51"/>
      <c r="G496" s="58"/>
      <c r="H496" s="51"/>
      <c r="I496" s="58"/>
      <c r="J496" s="51"/>
      <c r="K496" s="51"/>
      <c r="L496" s="51"/>
      <c r="M496" s="51"/>
      <c r="N496" s="51"/>
      <c r="O496" s="51"/>
      <c r="P496" s="51"/>
      <c r="Q496" s="51"/>
      <c r="R496" s="51"/>
      <c r="S496" s="51"/>
      <c r="T496" s="51"/>
      <c r="U496" s="51"/>
      <c r="V496" s="51"/>
      <c r="W496" s="51"/>
      <c r="X496" s="51"/>
      <c r="Y496" s="51"/>
      <c r="Z496" s="51"/>
      <c r="AA496" s="51"/>
    </row>
    <row r="497" spans="1:27" ht="13.65" customHeight="1" x14ac:dyDescent="0.3">
      <c r="A497" s="49"/>
      <c r="B497" s="57"/>
      <c r="C497" s="51"/>
      <c r="D497" s="51"/>
      <c r="E497" s="51"/>
      <c r="F497" s="51"/>
      <c r="G497" s="58"/>
      <c r="H497" s="51"/>
      <c r="I497" s="58"/>
      <c r="J497" s="51"/>
      <c r="K497" s="51"/>
      <c r="L497" s="51"/>
      <c r="M497" s="51"/>
      <c r="N497" s="51"/>
      <c r="O497" s="51"/>
      <c r="P497" s="51"/>
      <c r="Q497" s="51"/>
      <c r="R497" s="51"/>
      <c r="S497" s="51"/>
      <c r="T497" s="51"/>
      <c r="U497" s="51"/>
      <c r="V497" s="51"/>
      <c r="W497" s="51"/>
      <c r="X497" s="51"/>
      <c r="Y497" s="51"/>
      <c r="Z497" s="51"/>
      <c r="AA497" s="51"/>
    </row>
    <row r="498" spans="1:27" ht="13.65" customHeight="1" x14ac:dyDescent="0.3">
      <c r="A498" s="49"/>
      <c r="B498" s="57"/>
      <c r="C498" s="51"/>
      <c r="D498" s="51"/>
      <c r="E498" s="51"/>
      <c r="F498" s="51"/>
      <c r="G498" s="58"/>
      <c r="H498" s="51"/>
      <c r="I498" s="58"/>
      <c r="J498" s="51"/>
      <c r="K498" s="51"/>
      <c r="L498" s="51"/>
      <c r="M498" s="51"/>
      <c r="N498" s="51"/>
      <c r="O498" s="51"/>
      <c r="P498" s="51"/>
      <c r="Q498" s="51"/>
      <c r="R498" s="51"/>
      <c r="S498" s="51"/>
      <c r="T498" s="51"/>
      <c r="U498" s="51"/>
      <c r="V498" s="51"/>
      <c r="W498" s="51"/>
      <c r="X498" s="51"/>
      <c r="Y498" s="51"/>
      <c r="Z498" s="51"/>
      <c r="AA498" s="51"/>
    </row>
    <row r="499" spans="1:27" ht="13.65" customHeight="1" x14ac:dyDescent="0.3">
      <c r="A499" s="49"/>
      <c r="B499" s="57"/>
      <c r="C499" s="51"/>
      <c r="D499" s="51"/>
      <c r="E499" s="51"/>
      <c r="F499" s="51"/>
      <c r="G499" s="58"/>
      <c r="H499" s="51"/>
      <c r="I499" s="58"/>
      <c r="J499" s="51"/>
      <c r="K499" s="51"/>
      <c r="L499" s="51"/>
      <c r="M499" s="51"/>
      <c r="N499" s="51"/>
      <c r="O499" s="51"/>
      <c r="P499" s="51"/>
      <c r="Q499" s="51"/>
      <c r="R499" s="51"/>
      <c r="S499" s="51"/>
      <c r="T499" s="51"/>
      <c r="U499" s="51"/>
      <c r="V499" s="51"/>
      <c r="W499" s="51"/>
      <c r="X499" s="51"/>
      <c r="Y499" s="51"/>
      <c r="Z499" s="51"/>
      <c r="AA499" s="51"/>
    </row>
    <row r="500" spans="1:27" ht="13.65" customHeight="1" x14ac:dyDescent="0.3">
      <c r="A500" s="49"/>
      <c r="B500" s="57"/>
      <c r="C500" s="51"/>
      <c r="D500" s="51"/>
      <c r="E500" s="51"/>
      <c r="F500" s="51"/>
      <c r="G500" s="58"/>
      <c r="H500" s="51"/>
      <c r="I500" s="58"/>
      <c r="J500" s="51"/>
      <c r="K500" s="51"/>
      <c r="L500" s="51"/>
      <c r="M500" s="51"/>
      <c r="N500" s="51"/>
      <c r="O500" s="51"/>
      <c r="P500" s="51"/>
      <c r="Q500" s="51"/>
      <c r="R500" s="51"/>
      <c r="S500" s="51"/>
      <c r="T500" s="51"/>
      <c r="U500" s="51"/>
      <c r="V500" s="51"/>
      <c r="W500" s="51"/>
      <c r="X500" s="51"/>
      <c r="Y500" s="51"/>
      <c r="Z500" s="51"/>
      <c r="AA500" s="51"/>
    </row>
    <row r="501" spans="1:27" ht="13.65" customHeight="1" x14ac:dyDescent="0.3">
      <c r="A501" s="49"/>
      <c r="B501" s="57"/>
      <c r="C501" s="51"/>
      <c r="D501" s="51"/>
      <c r="E501" s="51"/>
      <c r="F501" s="51"/>
      <c r="G501" s="58"/>
      <c r="H501" s="51"/>
      <c r="I501" s="58"/>
      <c r="J501" s="51"/>
      <c r="K501" s="51"/>
      <c r="L501" s="51"/>
      <c r="M501" s="51"/>
      <c r="N501" s="51"/>
      <c r="O501" s="51"/>
      <c r="P501" s="51"/>
      <c r="Q501" s="51"/>
      <c r="R501" s="51"/>
      <c r="S501" s="51"/>
      <c r="T501" s="51"/>
      <c r="U501" s="51"/>
      <c r="V501" s="51"/>
      <c r="W501" s="51"/>
      <c r="X501" s="51"/>
      <c r="Y501" s="51"/>
      <c r="Z501" s="51"/>
      <c r="AA501" s="51"/>
    </row>
    <row r="502" spans="1:27" ht="13.65" customHeight="1" x14ac:dyDescent="0.3">
      <c r="A502" s="49"/>
      <c r="B502" s="57"/>
      <c r="C502" s="51"/>
      <c r="D502" s="51"/>
      <c r="E502" s="51"/>
      <c r="F502" s="51"/>
      <c r="G502" s="58"/>
      <c r="H502" s="51"/>
      <c r="I502" s="58"/>
      <c r="J502" s="51"/>
      <c r="K502" s="51"/>
      <c r="L502" s="51"/>
      <c r="M502" s="51"/>
      <c r="N502" s="51"/>
      <c r="O502" s="51"/>
      <c r="P502" s="51"/>
      <c r="Q502" s="51"/>
      <c r="R502" s="51"/>
      <c r="S502" s="51"/>
      <c r="T502" s="51"/>
      <c r="U502" s="51"/>
      <c r="V502" s="51"/>
      <c r="W502" s="51"/>
      <c r="X502" s="51"/>
      <c r="Y502" s="51"/>
      <c r="Z502" s="51"/>
      <c r="AA502" s="51"/>
    </row>
    <row r="503" spans="1:27" ht="13.65" customHeight="1" x14ac:dyDescent="0.3">
      <c r="A503" s="49"/>
      <c r="B503" s="57"/>
      <c r="C503" s="51"/>
      <c r="D503" s="51"/>
      <c r="E503" s="51"/>
      <c r="F503" s="51"/>
      <c r="G503" s="58"/>
      <c r="H503" s="51"/>
      <c r="I503" s="58"/>
      <c r="J503" s="51"/>
      <c r="K503" s="51"/>
      <c r="L503" s="51"/>
      <c r="M503" s="51"/>
      <c r="N503" s="51"/>
      <c r="O503" s="51"/>
      <c r="P503" s="51"/>
      <c r="Q503" s="51"/>
      <c r="R503" s="51"/>
      <c r="S503" s="51"/>
      <c r="T503" s="51"/>
      <c r="U503" s="51"/>
      <c r="V503" s="51"/>
      <c r="W503" s="51"/>
      <c r="X503" s="51"/>
      <c r="Y503" s="51"/>
      <c r="Z503" s="51"/>
      <c r="AA503" s="51"/>
    </row>
    <row r="504" spans="1:27" ht="13.65" customHeight="1" x14ac:dyDescent="0.3">
      <c r="A504" s="49"/>
      <c r="B504" s="57"/>
      <c r="C504" s="51"/>
      <c r="D504" s="51"/>
      <c r="E504" s="51"/>
      <c r="F504" s="51"/>
      <c r="G504" s="58"/>
      <c r="H504" s="51"/>
      <c r="I504" s="58"/>
      <c r="J504" s="51"/>
      <c r="K504" s="51"/>
      <c r="L504" s="51"/>
      <c r="M504" s="51"/>
      <c r="N504" s="51"/>
      <c r="O504" s="51"/>
      <c r="P504" s="51"/>
      <c r="Q504" s="51"/>
      <c r="R504" s="51"/>
      <c r="S504" s="51"/>
      <c r="T504" s="51"/>
      <c r="U504" s="51"/>
      <c r="V504" s="51"/>
      <c r="W504" s="51"/>
      <c r="X504" s="51"/>
      <c r="Y504" s="51"/>
      <c r="Z504" s="51"/>
      <c r="AA504" s="51"/>
    </row>
    <row r="505" spans="1:27" ht="13.65" customHeight="1" x14ac:dyDescent="0.3">
      <c r="A505" s="49"/>
      <c r="B505" s="57"/>
      <c r="C505" s="51"/>
      <c r="D505" s="51"/>
      <c r="E505" s="51"/>
      <c r="F505" s="51"/>
      <c r="G505" s="58"/>
      <c r="H505" s="51"/>
      <c r="I505" s="58"/>
      <c r="J505" s="51"/>
      <c r="K505" s="51"/>
      <c r="L505" s="51"/>
      <c r="M505" s="51"/>
      <c r="N505" s="51"/>
      <c r="O505" s="51"/>
      <c r="P505" s="51"/>
      <c r="Q505" s="51"/>
      <c r="R505" s="51"/>
      <c r="S505" s="51"/>
      <c r="T505" s="51"/>
      <c r="U505" s="51"/>
      <c r="V505" s="51"/>
      <c r="W505" s="51"/>
      <c r="X505" s="51"/>
      <c r="Y505" s="51"/>
      <c r="Z505" s="51"/>
      <c r="AA505" s="51"/>
    </row>
    <row r="506" spans="1:27" ht="13.65" customHeight="1" x14ac:dyDescent="0.3">
      <c r="A506" s="49"/>
      <c r="B506" s="57"/>
      <c r="C506" s="51"/>
      <c r="D506" s="51"/>
      <c r="E506" s="51"/>
      <c r="F506" s="51"/>
      <c r="G506" s="58"/>
      <c r="H506" s="51"/>
      <c r="I506" s="58"/>
      <c r="J506" s="51"/>
      <c r="K506" s="51"/>
      <c r="L506" s="51"/>
      <c r="M506" s="51"/>
      <c r="N506" s="51"/>
      <c r="O506" s="51"/>
      <c r="P506" s="51"/>
      <c r="Q506" s="51"/>
      <c r="R506" s="51"/>
      <c r="S506" s="51"/>
      <c r="T506" s="51"/>
      <c r="U506" s="51"/>
      <c r="V506" s="51"/>
      <c r="W506" s="51"/>
      <c r="X506" s="51"/>
      <c r="Y506" s="51"/>
      <c r="Z506" s="51"/>
      <c r="AA506" s="51"/>
    </row>
    <row r="507" spans="1:27" ht="13.65" customHeight="1" x14ac:dyDescent="0.3">
      <c r="A507" s="49"/>
      <c r="B507" s="57"/>
      <c r="C507" s="51"/>
      <c r="D507" s="51"/>
      <c r="E507" s="51"/>
      <c r="F507" s="51"/>
      <c r="G507" s="58"/>
      <c r="H507" s="51"/>
      <c r="I507" s="58"/>
      <c r="J507" s="51"/>
      <c r="K507" s="51"/>
      <c r="L507" s="51"/>
      <c r="M507" s="51"/>
      <c r="N507" s="51"/>
      <c r="O507" s="51"/>
      <c r="P507" s="51"/>
      <c r="Q507" s="51"/>
      <c r="R507" s="51"/>
      <c r="S507" s="51"/>
      <c r="T507" s="51"/>
      <c r="U507" s="51"/>
      <c r="V507" s="51"/>
      <c r="W507" s="51"/>
      <c r="X507" s="51"/>
      <c r="Y507" s="51"/>
      <c r="Z507" s="51"/>
      <c r="AA507" s="51"/>
    </row>
    <row r="508" spans="1:27" ht="13.65" customHeight="1" x14ac:dyDescent="0.3">
      <c r="A508" s="49"/>
      <c r="B508" s="57"/>
      <c r="C508" s="51"/>
      <c r="D508" s="51"/>
      <c r="E508" s="51"/>
      <c r="F508" s="51"/>
      <c r="G508" s="58"/>
      <c r="H508" s="51"/>
      <c r="I508" s="58"/>
      <c r="J508" s="51"/>
      <c r="K508" s="51"/>
      <c r="L508" s="51"/>
      <c r="M508" s="51"/>
      <c r="N508" s="51"/>
      <c r="O508" s="51"/>
      <c r="P508" s="51"/>
      <c r="Q508" s="51"/>
      <c r="R508" s="51"/>
      <c r="S508" s="51"/>
      <c r="T508" s="51"/>
      <c r="U508" s="51"/>
      <c r="V508" s="51"/>
      <c r="W508" s="51"/>
      <c r="X508" s="51"/>
      <c r="Y508" s="51"/>
      <c r="Z508" s="51"/>
      <c r="AA508" s="51"/>
    </row>
    <row r="509" spans="1:27" ht="13.65" customHeight="1" x14ac:dyDescent="0.3">
      <c r="A509" s="49"/>
      <c r="B509" s="57"/>
      <c r="C509" s="51"/>
      <c r="D509" s="51"/>
      <c r="E509" s="51"/>
      <c r="F509" s="51"/>
      <c r="G509" s="58"/>
      <c r="H509" s="51"/>
      <c r="I509" s="58"/>
      <c r="J509" s="51"/>
      <c r="K509" s="51"/>
      <c r="L509" s="51"/>
      <c r="M509" s="51"/>
      <c r="N509" s="51"/>
      <c r="O509" s="51"/>
      <c r="P509" s="51"/>
      <c r="Q509" s="51"/>
      <c r="R509" s="51"/>
      <c r="S509" s="51"/>
      <c r="T509" s="51"/>
      <c r="U509" s="51"/>
      <c r="V509" s="51"/>
      <c r="W509" s="51"/>
      <c r="X509" s="51"/>
      <c r="Y509" s="51"/>
      <c r="Z509" s="51"/>
      <c r="AA509" s="51"/>
    </row>
    <row r="510" spans="1:27" ht="13.65" customHeight="1" x14ac:dyDescent="0.3">
      <c r="A510" s="49"/>
      <c r="B510" s="57"/>
      <c r="C510" s="51"/>
      <c r="D510" s="51"/>
      <c r="E510" s="51"/>
      <c r="F510" s="51"/>
      <c r="G510" s="58"/>
      <c r="H510" s="51"/>
      <c r="I510" s="58"/>
      <c r="J510" s="51"/>
      <c r="K510" s="51"/>
      <c r="L510" s="51"/>
      <c r="M510" s="51"/>
      <c r="N510" s="51"/>
      <c r="O510" s="51"/>
      <c r="P510" s="51"/>
      <c r="Q510" s="51"/>
      <c r="R510" s="51"/>
      <c r="S510" s="51"/>
      <c r="T510" s="51"/>
      <c r="U510" s="51"/>
      <c r="V510" s="51"/>
      <c r="W510" s="51"/>
      <c r="X510" s="51"/>
      <c r="Y510" s="51"/>
      <c r="Z510" s="51"/>
      <c r="AA510" s="51"/>
    </row>
    <row r="511" spans="1:27" ht="13.65" customHeight="1" x14ac:dyDescent="0.3">
      <c r="A511" s="49"/>
      <c r="B511" s="57"/>
      <c r="C511" s="51"/>
      <c r="D511" s="51"/>
      <c r="E511" s="51"/>
      <c r="F511" s="51"/>
      <c r="G511" s="58"/>
      <c r="H511" s="51"/>
      <c r="I511" s="58"/>
      <c r="J511" s="51"/>
      <c r="K511" s="51"/>
      <c r="L511" s="51"/>
      <c r="M511" s="51"/>
      <c r="N511" s="51"/>
      <c r="O511" s="51"/>
      <c r="P511" s="51"/>
      <c r="Q511" s="51"/>
      <c r="R511" s="51"/>
      <c r="S511" s="51"/>
      <c r="T511" s="51"/>
      <c r="U511" s="51"/>
      <c r="V511" s="51"/>
      <c r="W511" s="51"/>
      <c r="X511" s="51"/>
      <c r="Y511" s="51"/>
      <c r="Z511" s="51"/>
      <c r="AA511" s="51"/>
    </row>
    <row r="512" spans="1:27" ht="13.65" customHeight="1" x14ac:dyDescent="0.3">
      <c r="A512" s="49"/>
      <c r="B512" s="57"/>
      <c r="C512" s="51"/>
      <c r="D512" s="51"/>
      <c r="E512" s="51"/>
      <c r="F512" s="51"/>
      <c r="G512" s="58"/>
      <c r="H512" s="51"/>
      <c r="I512" s="58"/>
      <c r="J512" s="51"/>
      <c r="K512" s="51"/>
      <c r="L512" s="51"/>
      <c r="M512" s="51"/>
      <c r="N512" s="51"/>
      <c r="O512" s="51"/>
      <c r="P512" s="51"/>
      <c r="Q512" s="51"/>
      <c r="R512" s="51"/>
      <c r="S512" s="51"/>
      <c r="T512" s="51"/>
      <c r="U512" s="51"/>
      <c r="V512" s="51"/>
      <c r="W512" s="51"/>
      <c r="X512" s="51"/>
      <c r="Y512" s="51"/>
      <c r="Z512" s="51"/>
      <c r="AA512" s="51"/>
    </row>
    <row r="513" spans="1:27" ht="13.65" customHeight="1" x14ac:dyDescent="0.3">
      <c r="A513" s="49"/>
      <c r="B513" s="57"/>
      <c r="C513" s="51"/>
      <c r="D513" s="51"/>
      <c r="E513" s="51"/>
      <c r="F513" s="51"/>
      <c r="G513" s="58"/>
      <c r="H513" s="51"/>
      <c r="I513" s="58"/>
      <c r="J513" s="51"/>
      <c r="K513" s="51"/>
      <c r="L513" s="51"/>
      <c r="M513" s="51"/>
      <c r="N513" s="51"/>
      <c r="O513" s="51"/>
      <c r="P513" s="51"/>
      <c r="Q513" s="51"/>
      <c r="R513" s="51"/>
      <c r="S513" s="51"/>
      <c r="T513" s="51"/>
      <c r="U513" s="51"/>
      <c r="V513" s="51"/>
      <c r="W513" s="51"/>
      <c r="X513" s="51"/>
      <c r="Y513" s="51"/>
      <c r="Z513" s="51"/>
      <c r="AA513" s="51"/>
    </row>
    <row r="514" spans="1:27" ht="13.65" customHeight="1" x14ac:dyDescent="0.3">
      <c r="A514" s="49"/>
      <c r="B514" s="57"/>
      <c r="C514" s="51"/>
      <c r="D514" s="51"/>
      <c r="E514" s="51"/>
      <c r="F514" s="51"/>
      <c r="G514" s="58"/>
      <c r="H514" s="51"/>
      <c r="I514" s="58"/>
      <c r="J514" s="51"/>
      <c r="K514" s="51"/>
      <c r="L514" s="51"/>
      <c r="M514" s="51"/>
      <c r="N514" s="51"/>
      <c r="O514" s="51"/>
      <c r="P514" s="51"/>
      <c r="Q514" s="51"/>
      <c r="R514" s="51"/>
      <c r="S514" s="51"/>
      <c r="T514" s="51"/>
      <c r="U514" s="51"/>
      <c r="V514" s="51"/>
      <c r="W514" s="51"/>
      <c r="X514" s="51"/>
      <c r="Y514" s="51"/>
      <c r="Z514" s="51"/>
      <c r="AA514" s="51"/>
    </row>
    <row r="515" spans="1:27" ht="13.65" customHeight="1" x14ac:dyDescent="0.3">
      <c r="A515" s="49"/>
      <c r="B515" s="57"/>
      <c r="C515" s="51"/>
      <c r="D515" s="51"/>
      <c r="E515" s="51"/>
      <c r="F515" s="51"/>
      <c r="G515" s="58"/>
      <c r="H515" s="51"/>
      <c r="I515" s="58"/>
      <c r="J515" s="51"/>
      <c r="K515" s="51"/>
      <c r="L515" s="51"/>
      <c r="M515" s="51"/>
      <c r="N515" s="51"/>
      <c r="O515" s="51"/>
      <c r="P515" s="51"/>
      <c r="Q515" s="51"/>
      <c r="R515" s="51"/>
      <c r="S515" s="51"/>
      <c r="T515" s="51"/>
      <c r="U515" s="51"/>
      <c r="V515" s="51"/>
      <c r="W515" s="51"/>
      <c r="X515" s="51"/>
      <c r="Y515" s="51"/>
      <c r="Z515" s="51"/>
      <c r="AA515" s="51"/>
    </row>
    <row r="516" spans="1:27" ht="13.65" customHeight="1" x14ac:dyDescent="0.3">
      <c r="A516" s="49"/>
      <c r="B516" s="57"/>
      <c r="C516" s="51"/>
      <c r="D516" s="51"/>
      <c r="E516" s="51"/>
      <c r="F516" s="51"/>
      <c r="G516" s="58"/>
      <c r="H516" s="51"/>
      <c r="I516" s="58"/>
      <c r="J516" s="51"/>
      <c r="K516" s="51"/>
      <c r="L516" s="51"/>
      <c r="M516" s="51"/>
      <c r="N516" s="51"/>
      <c r="O516" s="51"/>
      <c r="P516" s="51"/>
      <c r="Q516" s="51"/>
      <c r="R516" s="51"/>
      <c r="S516" s="51"/>
      <c r="T516" s="51"/>
      <c r="U516" s="51"/>
      <c r="V516" s="51"/>
      <c r="W516" s="51"/>
      <c r="X516" s="51"/>
      <c r="Y516" s="51"/>
      <c r="Z516" s="51"/>
      <c r="AA516" s="51"/>
    </row>
    <row r="517" spans="1:27" ht="13.65" customHeight="1" x14ac:dyDescent="0.3">
      <c r="A517" s="49"/>
      <c r="B517" s="57"/>
      <c r="C517" s="51"/>
      <c r="D517" s="51"/>
      <c r="E517" s="51"/>
      <c r="F517" s="51"/>
      <c r="G517" s="58"/>
      <c r="H517" s="51"/>
      <c r="I517" s="58"/>
      <c r="J517" s="51"/>
      <c r="K517" s="51"/>
      <c r="L517" s="51"/>
      <c r="M517" s="51"/>
      <c r="N517" s="51"/>
      <c r="O517" s="51"/>
      <c r="P517" s="51"/>
      <c r="Q517" s="51"/>
      <c r="R517" s="51"/>
      <c r="S517" s="51"/>
      <c r="T517" s="51"/>
      <c r="U517" s="51"/>
      <c r="V517" s="51"/>
      <c r="W517" s="51"/>
      <c r="X517" s="51"/>
      <c r="Y517" s="51"/>
      <c r="Z517" s="51"/>
      <c r="AA517" s="51"/>
    </row>
    <row r="518" spans="1:27" ht="13.65" customHeight="1" x14ac:dyDescent="0.3">
      <c r="A518" s="49"/>
      <c r="B518" s="57"/>
      <c r="C518" s="51"/>
      <c r="D518" s="51"/>
      <c r="E518" s="51"/>
      <c r="F518" s="51"/>
      <c r="G518" s="58"/>
      <c r="H518" s="51"/>
      <c r="I518" s="58"/>
      <c r="J518" s="51"/>
      <c r="K518" s="51"/>
      <c r="L518" s="51"/>
      <c r="M518" s="51"/>
      <c r="N518" s="51"/>
      <c r="O518" s="51"/>
      <c r="P518" s="51"/>
      <c r="Q518" s="51"/>
      <c r="R518" s="51"/>
      <c r="S518" s="51"/>
      <c r="T518" s="51"/>
      <c r="U518" s="51"/>
      <c r="V518" s="51"/>
      <c r="W518" s="51"/>
      <c r="X518" s="51"/>
      <c r="Y518" s="51"/>
      <c r="Z518" s="51"/>
      <c r="AA518" s="51"/>
    </row>
    <row r="519" spans="1:27" ht="13.65" customHeight="1" x14ac:dyDescent="0.3">
      <c r="A519" s="49"/>
      <c r="B519" s="57"/>
      <c r="C519" s="51"/>
      <c r="D519" s="51"/>
      <c r="E519" s="51"/>
      <c r="F519" s="51"/>
      <c r="G519" s="58"/>
      <c r="H519" s="51"/>
      <c r="I519" s="58"/>
      <c r="J519" s="51"/>
      <c r="K519" s="51"/>
      <c r="L519" s="51"/>
      <c r="M519" s="51"/>
      <c r="N519" s="51"/>
      <c r="O519" s="51"/>
      <c r="P519" s="51"/>
      <c r="Q519" s="51"/>
      <c r="R519" s="51"/>
      <c r="S519" s="51"/>
      <c r="T519" s="51"/>
      <c r="U519" s="51"/>
      <c r="V519" s="51"/>
      <c r="W519" s="51"/>
      <c r="X519" s="51"/>
      <c r="Y519" s="51"/>
      <c r="Z519" s="51"/>
      <c r="AA519" s="51"/>
    </row>
    <row r="520" spans="1:27" ht="13.65" customHeight="1" x14ac:dyDescent="0.3">
      <c r="A520" s="49"/>
      <c r="B520" s="57"/>
      <c r="C520" s="51"/>
      <c r="D520" s="51"/>
      <c r="E520" s="51"/>
      <c r="F520" s="51"/>
      <c r="G520" s="58"/>
      <c r="H520" s="51"/>
      <c r="I520" s="58"/>
      <c r="J520" s="51"/>
      <c r="K520" s="51"/>
      <c r="L520" s="51"/>
      <c r="M520" s="51"/>
      <c r="N520" s="51"/>
      <c r="O520" s="51"/>
      <c r="P520" s="51"/>
      <c r="Q520" s="51"/>
      <c r="R520" s="51"/>
      <c r="S520" s="51"/>
      <c r="T520" s="51"/>
      <c r="U520" s="51"/>
      <c r="V520" s="51"/>
      <c r="W520" s="51"/>
      <c r="X520" s="51"/>
      <c r="Y520" s="51"/>
      <c r="Z520" s="51"/>
      <c r="AA520" s="51"/>
    </row>
    <row r="521" spans="1:27" ht="13.65" customHeight="1" x14ac:dyDescent="0.3">
      <c r="A521" s="49"/>
      <c r="B521" s="57"/>
      <c r="C521" s="51"/>
      <c r="D521" s="51"/>
      <c r="E521" s="51"/>
      <c r="F521" s="51"/>
      <c r="G521" s="58"/>
      <c r="H521" s="51"/>
      <c r="I521" s="58"/>
      <c r="J521" s="51"/>
      <c r="K521" s="51"/>
      <c r="L521" s="51"/>
      <c r="M521" s="51"/>
      <c r="N521" s="51"/>
      <c r="O521" s="51"/>
      <c r="P521" s="51"/>
      <c r="Q521" s="51"/>
      <c r="R521" s="51"/>
      <c r="S521" s="51"/>
      <c r="T521" s="51"/>
      <c r="U521" s="51"/>
      <c r="V521" s="51"/>
      <c r="W521" s="51"/>
      <c r="X521" s="51"/>
      <c r="Y521" s="51"/>
      <c r="Z521" s="51"/>
      <c r="AA521" s="51"/>
    </row>
    <row r="522" spans="1:27" ht="13.65" customHeight="1" x14ac:dyDescent="0.3">
      <c r="A522" s="49"/>
      <c r="B522" s="57"/>
      <c r="C522" s="51"/>
      <c r="D522" s="51"/>
      <c r="E522" s="51"/>
      <c r="F522" s="51"/>
      <c r="G522" s="58"/>
      <c r="H522" s="51"/>
      <c r="I522" s="58"/>
      <c r="J522" s="51"/>
      <c r="K522" s="51"/>
      <c r="L522" s="51"/>
      <c r="M522" s="51"/>
      <c r="N522" s="51"/>
      <c r="O522" s="51"/>
      <c r="P522" s="51"/>
      <c r="Q522" s="51"/>
      <c r="R522" s="51"/>
      <c r="S522" s="51"/>
      <c r="T522" s="51"/>
      <c r="U522" s="51"/>
      <c r="V522" s="51"/>
      <c r="W522" s="51"/>
      <c r="X522" s="51"/>
      <c r="Y522" s="51"/>
      <c r="Z522" s="51"/>
      <c r="AA522" s="51"/>
    </row>
    <row r="523" spans="1:27" ht="13.65" customHeight="1" x14ac:dyDescent="0.3">
      <c r="A523" s="49"/>
      <c r="B523" s="57"/>
      <c r="C523" s="51"/>
      <c r="D523" s="51"/>
      <c r="E523" s="51"/>
      <c r="F523" s="51"/>
      <c r="G523" s="58"/>
      <c r="H523" s="51"/>
      <c r="I523" s="58"/>
      <c r="J523" s="51"/>
      <c r="K523" s="51"/>
      <c r="L523" s="51"/>
      <c r="M523" s="51"/>
      <c r="N523" s="51"/>
      <c r="O523" s="51"/>
      <c r="P523" s="51"/>
      <c r="Q523" s="51"/>
      <c r="R523" s="51"/>
      <c r="S523" s="51"/>
      <c r="T523" s="51"/>
      <c r="U523" s="51"/>
      <c r="V523" s="51"/>
      <c r="W523" s="51"/>
      <c r="X523" s="51"/>
      <c r="Y523" s="51"/>
      <c r="Z523" s="51"/>
      <c r="AA523" s="51"/>
    </row>
    <row r="524" spans="1:27" ht="13.65" customHeight="1" x14ac:dyDescent="0.3">
      <c r="A524" s="49"/>
      <c r="B524" s="57"/>
      <c r="C524" s="51"/>
      <c r="D524" s="51"/>
      <c r="E524" s="51"/>
      <c r="F524" s="51"/>
      <c r="G524" s="58"/>
      <c r="H524" s="51"/>
      <c r="I524" s="58"/>
      <c r="J524" s="51"/>
      <c r="K524" s="51"/>
      <c r="L524" s="51"/>
      <c r="M524" s="51"/>
      <c r="N524" s="51"/>
      <c r="O524" s="51"/>
      <c r="P524" s="51"/>
      <c r="Q524" s="51"/>
      <c r="R524" s="51"/>
      <c r="S524" s="51"/>
      <c r="T524" s="51"/>
      <c r="U524" s="51"/>
      <c r="V524" s="51"/>
      <c r="W524" s="51"/>
      <c r="X524" s="51"/>
      <c r="Y524" s="51"/>
      <c r="Z524" s="51"/>
      <c r="AA524" s="51"/>
    </row>
    <row r="525" spans="1:27" ht="13.65" customHeight="1" x14ac:dyDescent="0.3">
      <c r="A525" s="49"/>
      <c r="B525" s="57"/>
      <c r="C525" s="51"/>
      <c r="D525" s="51"/>
      <c r="E525" s="51"/>
      <c r="F525" s="51"/>
      <c r="G525" s="58"/>
      <c r="H525" s="51"/>
      <c r="I525" s="58"/>
      <c r="J525" s="51"/>
      <c r="K525" s="51"/>
      <c r="L525" s="51"/>
      <c r="M525" s="51"/>
      <c r="N525" s="51"/>
      <c r="O525" s="51"/>
      <c r="P525" s="51"/>
      <c r="Q525" s="51"/>
      <c r="R525" s="51"/>
      <c r="S525" s="51"/>
      <c r="T525" s="51"/>
      <c r="U525" s="51"/>
      <c r="V525" s="51"/>
      <c r="W525" s="51"/>
      <c r="X525" s="51"/>
      <c r="Y525" s="51"/>
      <c r="Z525" s="51"/>
      <c r="AA525" s="51"/>
    </row>
    <row r="526" spans="1:27" ht="13.65" customHeight="1" x14ac:dyDescent="0.3">
      <c r="A526" s="49"/>
      <c r="B526" s="57"/>
      <c r="C526" s="51"/>
      <c r="D526" s="51"/>
      <c r="E526" s="51"/>
      <c r="F526" s="51"/>
      <c r="G526" s="58"/>
      <c r="H526" s="51"/>
      <c r="I526" s="58"/>
      <c r="J526" s="51"/>
      <c r="K526" s="51"/>
      <c r="L526" s="51"/>
      <c r="M526" s="51"/>
      <c r="N526" s="51"/>
      <c r="O526" s="51"/>
      <c r="P526" s="51"/>
      <c r="Q526" s="51"/>
      <c r="R526" s="51"/>
      <c r="S526" s="51"/>
      <c r="T526" s="51"/>
      <c r="U526" s="51"/>
      <c r="V526" s="51"/>
      <c r="W526" s="51"/>
      <c r="X526" s="51"/>
      <c r="Y526" s="51"/>
      <c r="Z526" s="51"/>
      <c r="AA526" s="51"/>
    </row>
    <row r="527" spans="1:27" ht="13.65" customHeight="1" x14ac:dyDescent="0.3">
      <c r="A527" s="49"/>
      <c r="B527" s="57"/>
      <c r="C527" s="51"/>
      <c r="D527" s="51"/>
      <c r="E527" s="51"/>
      <c r="F527" s="51"/>
      <c r="G527" s="58"/>
      <c r="H527" s="51"/>
      <c r="I527" s="58"/>
      <c r="J527" s="51"/>
      <c r="K527" s="51"/>
      <c r="L527" s="51"/>
      <c r="M527" s="51"/>
      <c r="N527" s="51"/>
      <c r="O527" s="51"/>
      <c r="P527" s="51"/>
      <c r="Q527" s="51"/>
      <c r="R527" s="51"/>
      <c r="S527" s="51"/>
      <c r="T527" s="51"/>
      <c r="U527" s="51"/>
      <c r="V527" s="51"/>
      <c r="W527" s="51"/>
      <c r="X527" s="51"/>
      <c r="Y527" s="51"/>
      <c r="Z527" s="51"/>
      <c r="AA527" s="51"/>
    </row>
    <row r="528" spans="1:27" ht="13.65" customHeight="1" x14ac:dyDescent="0.3">
      <c r="A528" s="49"/>
      <c r="B528" s="57"/>
      <c r="C528" s="51"/>
      <c r="D528" s="51"/>
      <c r="E528" s="51"/>
      <c r="F528" s="51"/>
      <c r="G528" s="58"/>
      <c r="H528" s="51"/>
      <c r="I528" s="58"/>
      <c r="J528" s="51"/>
      <c r="K528" s="51"/>
      <c r="L528" s="51"/>
      <c r="M528" s="51"/>
      <c r="N528" s="51"/>
      <c r="O528" s="51"/>
      <c r="P528" s="51"/>
      <c r="Q528" s="51"/>
      <c r="R528" s="51"/>
      <c r="S528" s="51"/>
      <c r="T528" s="51"/>
      <c r="U528" s="51"/>
      <c r="V528" s="51"/>
      <c r="W528" s="51"/>
      <c r="X528" s="51"/>
      <c r="Y528" s="51"/>
      <c r="Z528" s="51"/>
      <c r="AA528" s="51"/>
    </row>
    <row r="529" spans="1:27" ht="13.65" customHeight="1" x14ac:dyDescent="0.3">
      <c r="A529" s="49"/>
      <c r="B529" s="57"/>
      <c r="C529" s="51"/>
      <c r="D529" s="51"/>
      <c r="E529" s="51"/>
      <c r="F529" s="51"/>
      <c r="G529" s="58"/>
      <c r="H529" s="51"/>
      <c r="I529" s="58"/>
      <c r="J529" s="51"/>
      <c r="K529" s="51"/>
      <c r="L529" s="51"/>
      <c r="M529" s="51"/>
      <c r="N529" s="51"/>
      <c r="O529" s="51"/>
      <c r="P529" s="51"/>
      <c r="Q529" s="51"/>
      <c r="R529" s="51"/>
      <c r="S529" s="51"/>
      <c r="T529" s="51"/>
      <c r="U529" s="51"/>
      <c r="V529" s="51"/>
      <c r="W529" s="51"/>
      <c r="X529" s="51"/>
      <c r="Y529" s="51"/>
      <c r="Z529" s="51"/>
      <c r="AA529" s="51"/>
    </row>
    <row r="530" spans="1:27" ht="13.65" customHeight="1" x14ac:dyDescent="0.3">
      <c r="A530" s="49"/>
      <c r="B530" s="57"/>
      <c r="C530" s="51"/>
      <c r="D530" s="51"/>
      <c r="E530" s="51"/>
      <c r="F530" s="51"/>
      <c r="G530" s="58"/>
      <c r="H530" s="51"/>
      <c r="I530" s="58"/>
      <c r="J530" s="51"/>
      <c r="K530" s="51"/>
      <c r="L530" s="51"/>
      <c r="M530" s="51"/>
      <c r="N530" s="51"/>
      <c r="O530" s="51"/>
      <c r="P530" s="51"/>
      <c r="Q530" s="51"/>
      <c r="R530" s="51"/>
      <c r="S530" s="51"/>
      <c r="T530" s="51"/>
      <c r="U530" s="51"/>
      <c r="V530" s="51"/>
      <c r="W530" s="51"/>
      <c r="X530" s="51"/>
      <c r="Y530" s="51"/>
      <c r="Z530" s="51"/>
      <c r="AA530" s="51"/>
    </row>
    <row r="531" spans="1:27" ht="13.65" customHeight="1" x14ac:dyDescent="0.3">
      <c r="A531" s="49"/>
      <c r="B531" s="57"/>
      <c r="C531" s="51"/>
      <c r="D531" s="51"/>
      <c r="E531" s="51"/>
      <c r="F531" s="51"/>
      <c r="G531" s="58"/>
      <c r="H531" s="51"/>
      <c r="I531" s="58"/>
      <c r="J531" s="51"/>
      <c r="K531" s="51"/>
      <c r="L531" s="51"/>
      <c r="M531" s="51"/>
      <c r="N531" s="51"/>
      <c r="O531" s="51"/>
      <c r="P531" s="51"/>
      <c r="Q531" s="51"/>
      <c r="R531" s="51"/>
      <c r="S531" s="51"/>
      <c r="T531" s="51"/>
      <c r="U531" s="51"/>
      <c r="V531" s="51"/>
      <c r="W531" s="51"/>
      <c r="X531" s="51"/>
      <c r="Y531" s="51"/>
      <c r="Z531" s="51"/>
      <c r="AA531" s="51"/>
    </row>
    <row r="532" spans="1:27" ht="13.65" customHeight="1" x14ac:dyDescent="0.3">
      <c r="A532" s="49"/>
      <c r="B532" s="57"/>
      <c r="C532" s="51"/>
      <c r="D532" s="51"/>
      <c r="E532" s="51"/>
      <c r="F532" s="51"/>
      <c r="G532" s="58"/>
      <c r="H532" s="51"/>
      <c r="I532" s="58"/>
      <c r="J532" s="51"/>
      <c r="K532" s="51"/>
      <c r="L532" s="51"/>
      <c r="M532" s="51"/>
      <c r="N532" s="51"/>
      <c r="O532" s="51"/>
      <c r="P532" s="51"/>
      <c r="Q532" s="51"/>
      <c r="R532" s="51"/>
      <c r="S532" s="51"/>
      <c r="T532" s="51"/>
      <c r="U532" s="51"/>
      <c r="V532" s="51"/>
      <c r="W532" s="51"/>
      <c r="X532" s="51"/>
      <c r="Y532" s="51"/>
      <c r="Z532" s="51"/>
      <c r="AA532" s="51"/>
    </row>
    <row r="533" spans="1:27" ht="13.65" customHeight="1" x14ac:dyDescent="0.3">
      <c r="A533" s="49"/>
      <c r="B533" s="57"/>
      <c r="C533" s="51"/>
      <c r="D533" s="51"/>
      <c r="E533" s="51"/>
      <c r="F533" s="51"/>
      <c r="G533" s="58"/>
      <c r="H533" s="51"/>
      <c r="I533" s="58"/>
      <c r="J533" s="51"/>
      <c r="K533" s="51"/>
      <c r="L533" s="51"/>
      <c r="M533" s="51"/>
      <c r="N533" s="51"/>
      <c r="O533" s="51"/>
      <c r="P533" s="51"/>
      <c r="Q533" s="51"/>
      <c r="R533" s="51"/>
      <c r="S533" s="51"/>
      <c r="T533" s="51"/>
      <c r="U533" s="51"/>
      <c r="V533" s="51"/>
      <c r="W533" s="51"/>
      <c r="X533" s="51"/>
      <c r="Y533" s="51"/>
      <c r="Z533" s="51"/>
      <c r="AA533" s="51"/>
    </row>
    <row r="534" spans="1:27" ht="13.65" customHeight="1" x14ac:dyDescent="0.3">
      <c r="A534" s="49"/>
      <c r="B534" s="57"/>
      <c r="C534" s="51"/>
      <c r="D534" s="51"/>
      <c r="E534" s="51"/>
      <c r="F534" s="51"/>
      <c r="G534" s="58"/>
      <c r="H534" s="51"/>
      <c r="I534" s="58"/>
      <c r="J534" s="51"/>
      <c r="K534" s="51"/>
      <c r="L534" s="51"/>
      <c r="M534" s="51"/>
      <c r="N534" s="51"/>
      <c r="O534" s="51"/>
      <c r="P534" s="51"/>
      <c r="Q534" s="51"/>
      <c r="R534" s="51"/>
      <c r="S534" s="51"/>
      <c r="T534" s="51"/>
      <c r="U534" s="51"/>
      <c r="V534" s="51"/>
      <c r="W534" s="51"/>
      <c r="X534" s="51"/>
      <c r="Y534" s="51"/>
      <c r="Z534" s="51"/>
      <c r="AA534" s="51"/>
    </row>
    <row r="535" spans="1:27" ht="13.65" customHeight="1" x14ac:dyDescent="0.3">
      <c r="A535" s="49"/>
      <c r="B535" s="57"/>
      <c r="C535" s="51"/>
      <c r="D535" s="51"/>
      <c r="E535" s="51"/>
      <c r="F535" s="51"/>
      <c r="G535" s="58"/>
      <c r="H535" s="51"/>
      <c r="I535" s="58"/>
      <c r="J535" s="51"/>
      <c r="K535" s="51"/>
      <c r="L535" s="51"/>
      <c r="M535" s="51"/>
      <c r="N535" s="51"/>
      <c r="O535" s="51"/>
      <c r="P535" s="51"/>
      <c r="Q535" s="51"/>
      <c r="R535" s="51"/>
      <c r="S535" s="51"/>
      <c r="T535" s="51"/>
      <c r="U535" s="51"/>
      <c r="V535" s="51"/>
      <c r="W535" s="51"/>
      <c r="X535" s="51"/>
      <c r="Y535" s="51"/>
      <c r="Z535" s="51"/>
      <c r="AA535" s="51"/>
    </row>
    <row r="536" spans="1:27" ht="13.65" customHeight="1" x14ac:dyDescent="0.3">
      <c r="A536" s="49"/>
      <c r="B536" s="57"/>
      <c r="C536" s="51"/>
      <c r="D536" s="51"/>
      <c r="E536" s="51"/>
      <c r="F536" s="51"/>
      <c r="G536" s="58"/>
      <c r="H536" s="51"/>
      <c r="I536" s="58"/>
      <c r="J536" s="51"/>
      <c r="K536" s="51"/>
      <c r="L536" s="51"/>
      <c r="M536" s="51"/>
      <c r="N536" s="51"/>
      <c r="O536" s="51"/>
      <c r="P536" s="51"/>
      <c r="Q536" s="51"/>
      <c r="R536" s="51"/>
      <c r="S536" s="51"/>
      <c r="T536" s="51"/>
      <c r="U536" s="51"/>
      <c r="V536" s="51"/>
      <c r="W536" s="51"/>
      <c r="X536" s="51"/>
      <c r="Y536" s="51"/>
      <c r="Z536" s="51"/>
      <c r="AA536" s="51"/>
    </row>
    <row r="537" spans="1:27" ht="13.65" customHeight="1" x14ac:dyDescent="0.3">
      <c r="A537" s="49"/>
      <c r="B537" s="57"/>
      <c r="C537" s="51"/>
      <c r="D537" s="51"/>
      <c r="E537" s="51"/>
      <c r="F537" s="51"/>
      <c r="G537" s="58"/>
      <c r="H537" s="51"/>
      <c r="I537" s="58"/>
      <c r="J537" s="51"/>
      <c r="K537" s="51"/>
      <c r="L537" s="51"/>
      <c r="M537" s="51"/>
      <c r="N537" s="51"/>
      <c r="O537" s="51"/>
      <c r="P537" s="51"/>
      <c r="Q537" s="51"/>
      <c r="R537" s="51"/>
      <c r="S537" s="51"/>
      <c r="T537" s="51"/>
      <c r="U537" s="51"/>
      <c r="V537" s="51"/>
      <c r="W537" s="51"/>
      <c r="X537" s="51"/>
      <c r="Y537" s="51"/>
      <c r="Z537" s="51"/>
      <c r="AA537" s="51"/>
    </row>
    <row r="538" spans="1:27" ht="13.65" customHeight="1" x14ac:dyDescent="0.3">
      <c r="A538" s="49"/>
      <c r="B538" s="57"/>
      <c r="C538" s="51"/>
      <c r="D538" s="51"/>
      <c r="E538" s="51"/>
      <c r="F538" s="51"/>
      <c r="G538" s="58"/>
      <c r="H538" s="51"/>
      <c r="I538" s="58"/>
      <c r="J538" s="51"/>
      <c r="K538" s="51"/>
      <c r="L538" s="51"/>
      <c r="M538" s="51"/>
      <c r="N538" s="51"/>
      <c r="O538" s="51"/>
      <c r="P538" s="51"/>
      <c r="Q538" s="51"/>
      <c r="R538" s="51"/>
      <c r="S538" s="51"/>
      <c r="T538" s="51"/>
      <c r="U538" s="51"/>
      <c r="V538" s="51"/>
      <c r="W538" s="51"/>
      <c r="X538" s="51"/>
      <c r="Y538" s="51"/>
      <c r="Z538" s="51"/>
      <c r="AA538" s="51"/>
    </row>
    <row r="539" spans="1:27" ht="13.65" customHeight="1" x14ac:dyDescent="0.3">
      <c r="A539" s="49"/>
      <c r="B539" s="57"/>
      <c r="C539" s="51"/>
      <c r="D539" s="51"/>
      <c r="E539" s="51"/>
      <c r="F539" s="51"/>
      <c r="G539" s="58"/>
      <c r="H539" s="51"/>
      <c r="I539" s="58"/>
      <c r="J539" s="51"/>
      <c r="K539" s="51"/>
      <c r="L539" s="51"/>
      <c r="M539" s="51"/>
      <c r="N539" s="51"/>
      <c r="O539" s="51"/>
      <c r="P539" s="51"/>
      <c r="Q539" s="51"/>
      <c r="R539" s="51"/>
      <c r="S539" s="51"/>
      <c r="T539" s="51"/>
      <c r="U539" s="51"/>
      <c r="V539" s="51"/>
      <c r="W539" s="51"/>
      <c r="X539" s="51"/>
      <c r="Y539" s="51"/>
      <c r="Z539" s="51"/>
      <c r="AA539" s="51"/>
    </row>
    <row r="540" spans="1:27" ht="13.65" customHeight="1" x14ac:dyDescent="0.3">
      <c r="A540" s="49"/>
      <c r="B540" s="57"/>
      <c r="C540" s="51"/>
      <c r="D540" s="51"/>
      <c r="E540" s="51"/>
      <c r="F540" s="51"/>
      <c r="G540" s="58"/>
      <c r="H540" s="51"/>
      <c r="I540" s="58"/>
      <c r="J540" s="51"/>
      <c r="K540" s="51"/>
      <c r="L540" s="51"/>
      <c r="M540" s="51"/>
      <c r="N540" s="51"/>
      <c r="O540" s="51"/>
      <c r="P540" s="51"/>
      <c r="Q540" s="51"/>
      <c r="R540" s="51"/>
      <c r="S540" s="51"/>
      <c r="T540" s="51"/>
      <c r="U540" s="51"/>
      <c r="V540" s="51"/>
      <c r="W540" s="51"/>
      <c r="X540" s="51"/>
      <c r="Y540" s="51"/>
      <c r="Z540" s="51"/>
      <c r="AA540" s="51"/>
    </row>
    <row r="541" spans="1:27" ht="13.65" customHeight="1" x14ac:dyDescent="0.3">
      <c r="A541" s="49"/>
      <c r="B541" s="57"/>
      <c r="C541" s="51"/>
      <c r="D541" s="51"/>
      <c r="E541" s="51"/>
      <c r="F541" s="51"/>
      <c r="G541" s="58"/>
      <c r="H541" s="51"/>
      <c r="I541" s="58"/>
      <c r="J541" s="51"/>
      <c r="K541" s="51"/>
      <c r="L541" s="51"/>
      <c r="M541" s="51"/>
      <c r="N541" s="51"/>
      <c r="O541" s="51"/>
      <c r="P541" s="51"/>
      <c r="Q541" s="51"/>
      <c r="R541" s="51"/>
      <c r="S541" s="51"/>
      <c r="T541" s="51"/>
      <c r="U541" s="51"/>
      <c r="V541" s="51"/>
      <c r="W541" s="51"/>
      <c r="X541" s="51"/>
      <c r="Y541" s="51"/>
      <c r="Z541" s="51"/>
      <c r="AA541" s="51"/>
    </row>
    <row r="542" spans="1:27" ht="13.65" customHeight="1" x14ac:dyDescent="0.3">
      <c r="A542" s="49"/>
      <c r="B542" s="57"/>
      <c r="C542" s="51"/>
      <c r="D542" s="51"/>
      <c r="E542" s="51"/>
      <c r="F542" s="51"/>
      <c r="G542" s="58"/>
      <c r="H542" s="51"/>
      <c r="I542" s="58"/>
      <c r="J542" s="51"/>
      <c r="K542" s="51"/>
      <c r="L542" s="51"/>
      <c r="M542" s="51"/>
      <c r="N542" s="51"/>
      <c r="O542" s="51"/>
      <c r="P542" s="51"/>
      <c r="Q542" s="51"/>
      <c r="R542" s="51"/>
      <c r="S542" s="51"/>
      <c r="T542" s="51"/>
      <c r="U542" s="51"/>
      <c r="V542" s="51"/>
      <c r="W542" s="51"/>
      <c r="X542" s="51"/>
      <c r="Y542" s="51"/>
      <c r="Z542" s="51"/>
      <c r="AA542" s="51"/>
    </row>
    <row r="543" spans="1:27" ht="13.65" customHeight="1" x14ac:dyDescent="0.3">
      <c r="A543" s="49"/>
      <c r="B543" s="57"/>
      <c r="C543" s="51"/>
      <c r="D543" s="51"/>
      <c r="E543" s="51"/>
      <c r="F543" s="51"/>
      <c r="G543" s="58"/>
      <c r="H543" s="51"/>
      <c r="I543" s="58"/>
      <c r="J543" s="51"/>
      <c r="K543" s="51"/>
      <c r="L543" s="51"/>
      <c r="M543" s="51"/>
      <c r="N543" s="51"/>
      <c r="O543" s="51"/>
      <c r="P543" s="51"/>
      <c r="Q543" s="51"/>
      <c r="R543" s="51"/>
      <c r="S543" s="51"/>
      <c r="T543" s="51"/>
      <c r="U543" s="51"/>
      <c r="V543" s="51"/>
      <c r="W543" s="51"/>
      <c r="X543" s="51"/>
      <c r="Y543" s="51"/>
      <c r="Z543" s="51"/>
      <c r="AA543" s="51"/>
    </row>
    <row r="544" spans="1:27" ht="13.65" customHeight="1" x14ac:dyDescent="0.3">
      <c r="A544" s="49"/>
      <c r="B544" s="57"/>
      <c r="C544" s="51"/>
      <c r="D544" s="51"/>
      <c r="E544" s="51"/>
      <c r="F544" s="51"/>
      <c r="G544" s="58"/>
      <c r="H544" s="51"/>
      <c r="I544" s="58"/>
      <c r="J544" s="51"/>
      <c r="K544" s="51"/>
      <c r="L544" s="51"/>
      <c r="M544" s="51"/>
      <c r="N544" s="51"/>
      <c r="O544" s="51"/>
      <c r="P544" s="51"/>
      <c r="Q544" s="51"/>
      <c r="R544" s="51"/>
      <c r="S544" s="51"/>
      <c r="T544" s="51"/>
      <c r="U544" s="51"/>
      <c r="V544" s="51"/>
      <c r="W544" s="51"/>
      <c r="X544" s="51"/>
      <c r="Y544" s="51"/>
      <c r="Z544" s="51"/>
      <c r="AA544" s="51"/>
    </row>
    <row r="545" spans="1:27" ht="13.65" customHeight="1" x14ac:dyDescent="0.3">
      <c r="A545" s="49"/>
      <c r="B545" s="57"/>
      <c r="C545" s="51"/>
      <c r="D545" s="51"/>
      <c r="E545" s="51"/>
      <c r="F545" s="51"/>
      <c r="G545" s="58"/>
      <c r="H545" s="51"/>
      <c r="I545" s="58"/>
      <c r="J545" s="51"/>
      <c r="K545" s="51"/>
      <c r="L545" s="51"/>
      <c r="M545" s="51"/>
      <c r="N545" s="51"/>
      <c r="O545" s="51"/>
      <c r="P545" s="51"/>
      <c r="Q545" s="51"/>
      <c r="R545" s="51"/>
      <c r="S545" s="51"/>
      <c r="T545" s="51"/>
      <c r="U545" s="51"/>
      <c r="V545" s="51"/>
      <c r="W545" s="51"/>
      <c r="X545" s="51"/>
      <c r="Y545" s="51"/>
      <c r="Z545" s="51"/>
      <c r="AA545" s="51"/>
    </row>
    <row r="546" spans="1:27" ht="13.65" customHeight="1" x14ac:dyDescent="0.3">
      <c r="A546" s="49"/>
      <c r="B546" s="57"/>
      <c r="C546" s="51"/>
      <c r="D546" s="51"/>
      <c r="E546" s="51"/>
      <c r="F546" s="51"/>
      <c r="G546" s="58"/>
      <c r="H546" s="51"/>
      <c r="I546" s="58"/>
      <c r="J546" s="51"/>
      <c r="K546" s="51"/>
      <c r="L546" s="51"/>
      <c r="M546" s="51"/>
      <c r="N546" s="51"/>
      <c r="O546" s="51"/>
      <c r="P546" s="51"/>
      <c r="Q546" s="51"/>
      <c r="R546" s="51"/>
      <c r="S546" s="51"/>
      <c r="T546" s="51"/>
      <c r="U546" s="51"/>
      <c r="V546" s="51"/>
      <c r="W546" s="51"/>
      <c r="X546" s="51"/>
      <c r="Y546" s="51"/>
      <c r="Z546" s="51"/>
      <c r="AA546" s="51"/>
    </row>
    <row r="547" spans="1:27" ht="13.65" customHeight="1" x14ac:dyDescent="0.3">
      <c r="A547" s="49"/>
      <c r="B547" s="57"/>
      <c r="C547" s="51"/>
      <c r="D547" s="51"/>
      <c r="E547" s="51"/>
      <c r="F547" s="51"/>
      <c r="G547" s="58"/>
      <c r="H547" s="51"/>
      <c r="I547" s="58"/>
      <c r="J547" s="51"/>
      <c r="K547" s="51"/>
      <c r="L547" s="51"/>
      <c r="M547" s="51"/>
      <c r="N547" s="51"/>
      <c r="O547" s="51"/>
      <c r="P547" s="51"/>
      <c r="Q547" s="51"/>
      <c r="R547" s="51"/>
      <c r="S547" s="51"/>
      <c r="T547" s="51"/>
      <c r="U547" s="51"/>
      <c r="V547" s="51"/>
      <c r="W547" s="51"/>
      <c r="X547" s="51"/>
      <c r="Y547" s="51"/>
      <c r="Z547" s="51"/>
      <c r="AA547" s="51"/>
    </row>
    <row r="548" spans="1:27" ht="13.65" customHeight="1" x14ac:dyDescent="0.3">
      <c r="A548" s="49"/>
      <c r="B548" s="57"/>
      <c r="C548" s="51"/>
      <c r="D548" s="51"/>
      <c r="E548" s="51"/>
      <c r="F548" s="51"/>
      <c r="G548" s="58"/>
      <c r="H548" s="51"/>
      <c r="I548" s="58"/>
      <c r="J548" s="51"/>
      <c r="K548" s="51"/>
      <c r="L548" s="51"/>
      <c r="M548" s="51"/>
      <c r="N548" s="51"/>
      <c r="O548" s="51"/>
      <c r="P548" s="51"/>
      <c r="Q548" s="51"/>
      <c r="R548" s="51"/>
      <c r="S548" s="51"/>
      <c r="T548" s="51"/>
      <c r="U548" s="51"/>
      <c r="V548" s="51"/>
      <c r="W548" s="51"/>
      <c r="X548" s="51"/>
      <c r="Y548" s="51"/>
      <c r="Z548" s="51"/>
      <c r="AA548" s="51"/>
    </row>
    <row r="549" spans="1:27" ht="13.65" customHeight="1" x14ac:dyDescent="0.3">
      <c r="A549" s="49"/>
      <c r="B549" s="57"/>
      <c r="C549" s="51"/>
      <c r="D549" s="51"/>
      <c r="E549" s="51"/>
      <c r="F549" s="51"/>
      <c r="G549" s="58"/>
      <c r="H549" s="51"/>
      <c r="I549" s="58"/>
      <c r="J549" s="51"/>
      <c r="K549" s="51"/>
      <c r="L549" s="51"/>
      <c r="M549" s="51"/>
      <c r="N549" s="51"/>
      <c r="O549" s="51"/>
      <c r="P549" s="51"/>
      <c r="Q549" s="51"/>
      <c r="R549" s="51"/>
      <c r="S549" s="51"/>
      <c r="T549" s="51"/>
      <c r="U549" s="51"/>
      <c r="V549" s="51"/>
      <c r="W549" s="51"/>
      <c r="X549" s="51"/>
      <c r="Y549" s="51"/>
      <c r="Z549" s="51"/>
      <c r="AA549" s="51"/>
    </row>
    <row r="550" spans="1:27" ht="13.65" customHeight="1" x14ac:dyDescent="0.3">
      <c r="A550" s="49"/>
      <c r="B550" s="57"/>
      <c r="C550" s="51"/>
      <c r="D550" s="51"/>
      <c r="E550" s="51"/>
      <c r="F550" s="51"/>
      <c r="G550" s="58"/>
      <c r="H550" s="51"/>
      <c r="I550" s="58"/>
      <c r="J550" s="51"/>
      <c r="K550" s="51"/>
      <c r="L550" s="51"/>
      <c r="M550" s="51"/>
      <c r="N550" s="51"/>
      <c r="O550" s="51"/>
      <c r="P550" s="51"/>
      <c r="Q550" s="51"/>
      <c r="R550" s="51"/>
      <c r="S550" s="51"/>
      <c r="T550" s="51"/>
      <c r="U550" s="51"/>
      <c r="V550" s="51"/>
      <c r="W550" s="51"/>
      <c r="X550" s="51"/>
      <c r="Y550" s="51"/>
      <c r="Z550" s="51"/>
      <c r="AA550" s="51"/>
    </row>
    <row r="551" spans="1:27" ht="13.65" customHeight="1" x14ac:dyDescent="0.3">
      <c r="A551" s="49"/>
      <c r="B551" s="57"/>
      <c r="C551" s="51"/>
      <c r="D551" s="51"/>
      <c r="E551" s="51"/>
      <c r="F551" s="51"/>
      <c r="G551" s="58"/>
      <c r="H551" s="51"/>
      <c r="I551" s="58"/>
      <c r="J551" s="51"/>
      <c r="K551" s="51"/>
      <c r="L551" s="51"/>
      <c r="M551" s="51"/>
      <c r="N551" s="51"/>
      <c r="O551" s="51"/>
      <c r="P551" s="51"/>
      <c r="Q551" s="51"/>
      <c r="R551" s="51"/>
      <c r="S551" s="51"/>
      <c r="T551" s="51"/>
      <c r="U551" s="51"/>
      <c r="V551" s="51"/>
      <c r="W551" s="51"/>
      <c r="X551" s="51"/>
      <c r="Y551" s="51"/>
      <c r="Z551" s="51"/>
      <c r="AA551" s="51"/>
    </row>
    <row r="552" spans="1:27" ht="13.65" customHeight="1" x14ac:dyDescent="0.3">
      <c r="A552" s="49"/>
      <c r="B552" s="57"/>
      <c r="C552" s="51"/>
      <c r="D552" s="51"/>
      <c r="E552" s="51"/>
      <c r="F552" s="51"/>
      <c r="G552" s="58"/>
      <c r="H552" s="51"/>
      <c r="I552" s="58"/>
      <c r="J552" s="51"/>
      <c r="K552" s="51"/>
      <c r="L552" s="51"/>
      <c r="M552" s="51"/>
      <c r="N552" s="51"/>
      <c r="O552" s="51"/>
      <c r="P552" s="51"/>
      <c r="Q552" s="51"/>
      <c r="R552" s="51"/>
      <c r="S552" s="51"/>
      <c r="T552" s="51"/>
      <c r="U552" s="51"/>
      <c r="V552" s="51"/>
      <c r="W552" s="51"/>
      <c r="X552" s="51"/>
      <c r="Y552" s="51"/>
      <c r="Z552" s="51"/>
      <c r="AA552" s="51"/>
    </row>
    <row r="553" spans="1:27" ht="13.65" customHeight="1" x14ac:dyDescent="0.3">
      <c r="A553" s="49"/>
      <c r="B553" s="57"/>
      <c r="C553" s="51"/>
      <c r="D553" s="51"/>
      <c r="E553" s="51"/>
      <c r="F553" s="51"/>
      <c r="G553" s="58"/>
      <c r="H553" s="51"/>
      <c r="I553" s="58"/>
      <c r="J553" s="51"/>
      <c r="K553" s="51"/>
      <c r="L553" s="51"/>
      <c r="M553" s="51"/>
      <c r="N553" s="51"/>
      <c r="O553" s="51"/>
      <c r="P553" s="51"/>
      <c r="Q553" s="51"/>
      <c r="R553" s="51"/>
      <c r="S553" s="51"/>
      <c r="T553" s="51"/>
      <c r="U553" s="51"/>
      <c r="V553" s="51"/>
      <c r="W553" s="51"/>
      <c r="X553" s="51"/>
      <c r="Y553" s="51"/>
      <c r="Z553" s="51"/>
      <c r="AA553" s="51"/>
    </row>
    <row r="554" spans="1:27" ht="13.65" customHeight="1" x14ac:dyDescent="0.3">
      <c r="A554" s="49"/>
      <c r="B554" s="57"/>
      <c r="C554" s="51"/>
      <c r="D554" s="51"/>
      <c r="E554" s="51"/>
      <c r="F554" s="51"/>
      <c r="G554" s="58"/>
      <c r="H554" s="51"/>
      <c r="I554" s="58"/>
      <c r="J554" s="51"/>
      <c r="K554" s="51"/>
      <c r="L554" s="51"/>
      <c r="M554" s="51"/>
      <c r="N554" s="51"/>
      <c r="O554" s="51"/>
      <c r="P554" s="51"/>
      <c r="Q554" s="51"/>
      <c r="R554" s="51"/>
      <c r="S554" s="51"/>
      <c r="T554" s="51"/>
      <c r="U554" s="51"/>
      <c r="V554" s="51"/>
      <c r="W554" s="51"/>
      <c r="X554" s="51"/>
      <c r="Y554" s="51"/>
      <c r="Z554" s="51"/>
      <c r="AA554" s="51"/>
    </row>
    <row r="555" spans="1:27" ht="13.65" customHeight="1" x14ac:dyDescent="0.3">
      <c r="A555" s="49"/>
      <c r="B555" s="57"/>
      <c r="C555" s="51"/>
      <c r="D555" s="51"/>
      <c r="E555" s="51"/>
      <c r="F555" s="51"/>
      <c r="G555" s="58"/>
      <c r="H555" s="51"/>
      <c r="I555" s="58"/>
      <c r="J555" s="51"/>
      <c r="K555" s="51"/>
      <c r="L555" s="51"/>
      <c r="M555" s="51"/>
      <c r="N555" s="51"/>
      <c r="O555" s="51"/>
      <c r="P555" s="51"/>
      <c r="Q555" s="51"/>
      <c r="R555" s="51"/>
      <c r="S555" s="51"/>
      <c r="T555" s="51"/>
      <c r="U555" s="51"/>
      <c r="V555" s="51"/>
      <c r="W555" s="51"/>
      <c r="X555" s="51"/>
      <c r="Y555" s="51"/>
      <c r="Z555" s="51"/>
      <c r="AA555" s="51"/>
    </row>
    <row r="556" spans="1:27" ht="13.65" customHeight="1" x14ac:dyDescent="0.3">
      <c r="A556" s="49"/>
      <c r="B556" s="57"/>
      <c r="C556" s="51"/>
      <c r="D556" s="51"/>
      <c r="E556" s="51"/>
      <c r="F556" s="51"/>
      <c r="G556" s="58"/>
      <c r="H556" s="51"/>
      <c r="I556" s="58"/>
      <c r="J556" s="51"/>
      <c r="K556" s="51"/>
      <c r="L556" s="51"/>
      <c r="M556" s="51"/>
      <c r="N556" s="51"/>
      <c r="O556" s="51"/>
      <c r="P556" s="51"/>
      <c r="Q556" s="51"/>
      <c r="R556" s="51"/>
      <c r="S556" s="51"/>
      <c r="T556" s="51"/>
      <c r="U556" s="51"/>
      <c r="V556" s="51"/>
      <c r="W556" s="51"/>
      <c r="X556" s="51"/>
      <c r="Y556" s="51"/>
      <c r="Z556" s="51"/>
      <c r="AA556" s="51"/>
    </row>
    <row r="557" spans="1:27" ht="13.65" customHeight="1" x14ac:dyDescent="0.3">
      <c r="A557" s="49"/>
      <c r="B557" s="57"/>
      <c r="C557" s="51"/>
      <c r="D557" s="51"/>
      <c r="E557" s="51"/>
      <c r="F557" s="51"/>
      <c r="G557" s="58"/>
      <c r="H557" s="51"/>
      <c r="I557" s="58"/>
      <c r="J557" s="51"/>
      <c r="K557" s="51"/>
      <c r="L557" s="51"/>
      <c r="M557" s="51"/>
      <c r="N557" s="51"/>
      <c r="O557" s="51"/>
      <c r="P557" s="51"/>
      <c r="Q557" s="51"/>
      <c r="R557" s="51"/>
      <c r="S557" s="51"/>
      <c r="T557" s="51"/>
      <c r="U557" s="51"/>
      <c r="V557" s="51"/>
      <c r="W557" s="51"/>
      <c r="X557" s="51"/>
      <c r="Y557" s="51"/>
      <c r="Z557" s="51"/>
      <c r="AA557" s="51"/>
    </row>
    <row r="558" spans="1:27" ht="13.65" customHeight="1" x14ac:dyDescent="0.3">
      <c r="A558" s="49"/>
      <c r="B558" s="57"/>
      <c r="C558" s="51"/>
      <c r="D558" s="51"/>
      <c r="E558" s="51"/>
      <c r="F558" s="51"/>
      <c r="G558" s="58"/>
      <c r="H558" s="51"/>
      <c r="I558" s="58"/>
      <c r="J558" s="51"/>
      <c r="K558" s="51"/>
      <c r="L558" s="51"/>
      <c r="M558" s="51"/>
      <c r="N558" s="51"/>
      <c r="O558" s="51"/>
      <c r="P558" s="51"/>
      <c r="Q558" s="51"/>
      <c r="R558" s="51"/>
      <c r="S558" s="51"/>
      <c r="T558" s="51"/>
      <c r="U558" s="51"/>
      <c r="V558" s="51"/>
      <c r="W558" s="51"/>
      <c r="X558" s="51"/>
      <c r="Y558" s="51"/>
      <c r="Z558" s="51"/>
      <c r="AA558" s="51"/>
    </row>
    <row r="559" spans="1:27" ht="13.65" customHeight="1" x14ac:dyDescent="0.3">
      <c r="A559" s="49"/>
      <c r="B559" s="57"/>
      <c r="C559" s="51"/>
      <c r="D559" s="51"/>
      <c r="E559" s="51"/>
      <c r="F559" s="51"/>
      <c r="G559" s="58"/>
      <c r="H559" s="51"/>
      <c r="I559" s="58"/>
      <c r="J559" s="51"/>
      <c r="K559" s="51"/>
      <c r="L559" s="51"/>
      <c r="M559" s="51"/>
      <c r="N559" s="51"/>
      <c r="O559" s="51"/>
      <c r="P559" s="51"/>
      <c r="Q559" s="51"/>
      <c r="R559" s="51"/>
      <c r="S559" s="51"/>
      <c r="T559" s="51"/>
      <c r="U559" s="51"/>
      <c r="V559" s="51"/>
      <c r="W559" s="51"/>
      <c r="X559" s="51"/>
      <c r="Y559" s="51"/>
      <c r="Z559" s="51"/>
      <c r="AA559" s="51"/>
    </row>
    <row r="560" spans="1:27" ht="13.65" customHeight="1" x14ac:dyDescent="0.3">
      <c r="A560" s="49"/>
      <c r="B560" s="57"/>
      <c r="C560" s="51"/>
      <c r="D560" s="51"/>
      <c r="E560" s="51"/>
      <c r="F560" s="51"/>
      <c r="G560" s="58"/>
      <c r="H560" s="51"/>
      <c r="I560" s="58"/>
      <c r="J560" s="51"/>
      <c r="K560" s="51"/>
      <c r="L560" s="51"/>
      <c r="M560" s="51"/>
      <c r="N560" s="51"/>
      <c r="O560" s="51"/>
      <c r="P560" s="51"/>
      <c r="Q560" s="51"/>
      <c r="R560" s="51"/>
      <c r="S560" s="51"/>
      <c r="T560" s="51"/>
      <c r="U560" s="51"/>
      <c r="V560" s="51"/>
      <c r="W560" s="51"/>
      <c r="X560" s="51"/>
      <c r="Y560" s="51"/>
      <c r="Z560" s="51"/>
      <c r="AA560" s="51"/>
    </row>
    <row r="561" spans="1:27" ht="13.65" customHeight="1" x14ac:dyDescent="0.3">
      <c r="A561" s="49"/>
      <c r="B561" s="57"/>
      <c r="C561" s="51"/>
      <c r="D561" s="51"/>
      <c r="E561" s="51"/>
      <c r="F561" s="51"/>
      <c r="G561" s="58"/>
      <c r="H561" s="51"/>
      <c r="I561" s="58"/>
      <c r="J561" s="51"/>
      <c r="K561" s="51"/>
      <c r="L561" s="51"/>
      <c r="M561" s="51"/>
      <c r="N561" s="51"/>
      <c r="O561" s="51"/>
      <c r="P561" s="51"/>
      <c r="Q561" s="51"/>
      <c r="R561" s="51"/>
      <c r="S561" s="51"/>
      <c r="T561" s="51"/>
      <c r="U561" s="51"/>
      <c r="V561" s="51"/>
      <c r="W561" s="51"/>
      <c r="X561" s="51"/>
      <c r="Y561" s="51"/>
      <c r="Z561" s="51"/>
      <c r="AA561" s="51"/>
    </row>
    <row r="562" spans="1:27" ht="13.65" customHeight="1" x14ac:dyDescent="0.3">
      <c r="A562" s="49"/>
      <c r="B562" s="57"/>
      <c r="C562" s="51"/>
      <c r="D562" s="51"/>
      <c r="E562" s="51"/>
      <c r="F562" s="51"/>
      <c r="G562" s="58"/>
      <c r="H562" s="51"/>
      <c r="I562" s="58"/>
      <c r="J562" s="51"/>
      <c r="K562" s="51"/>
      <c r="L562" s="51"/>
      <c r="M562" s="51"/>
      <c r="N562" s="51"/>
      <c r="O562" s="51"/>
      <c r="P562" s="51"/>
      <c r="Q562" s="51"/>
      <c r="R562" s="51"/>
      <c r="S562" s="51"/>
      <c r="T562" s="51"/>
      <c r="U562" s="51"/>
      <c r="V562" s="51"/>
      <c r="W562" s="51"/>
      <c r="X562" s="51"/>
      <c r="Y562" s="51"/>
      <c r="Z562" s="51"/>
      <c r="AA562" s="51"/>
    </row>
    <row r="563" spans="1:27" ht="13.65" customHeight="1" x14ac:dyDescent="0.3">
      <c r="A563" s="49"/>
      <c r="B563" s="57"/>
      <c r="C563" s="51"/>
      <c r="D563" s="51"/>
      <c r="E563" s="51"/>
      <c r="F563" s="51"/>
      <c r="G563" s="58"/>
      <c r="H563" s="51"/>
      <c r="I563" s="58"/>
      <c r="J563" s="51"/>
      <c r="K563" s="51"/>
      <c r="L563" s="51"/>
      <c r="M563" s="51"/>
      <c r="N563" s="51"/>
      <c r="O563" s="51"/>
      <c r="P563" s="51"/>
      <c r="Q563" s="51"/>
      <c r="R563" s="51"/>
      <c r="S563" s="51"/>
      <c r="T563" s="51"/>
      <c r="U563" s="51"/>
      <c r="V563" s="51"/>
      <c r="W563" s="51"/>
      <c r="X563" s="51"/>
      <c r="Y563" s="51"/>
      <c r="Z563" s="51"/>
      <c r="AA563" s="51"/>
    </row>
    <row r="564" spans="1:27" ht="13.65" customHeight="1" x14ac:dyDescent="0.3">
      <c r="A564" s="49"/>
      <c r="B564" s="57"/>
      <c r="C564" s="51"/>
      <c r="D564" s="51"/>
      <c r="E564" s="51"/>
      <c r="F564" s="51"/>
      <c r="G564" s="58"/>
      <c r="H564" s="51"/>
      <c r="I564" s="58"/>
      <c r="J564" s="51"/>
      <c r="K564" s="51"/>
      <c r="L564" s="51"/>
      <c r="M564" s="51"/>
      <c r="N564" s="51"/>
      <c r="O564" s="51"/>
      <c r="P564" s="51"/>
      <c r="Q564" s="51"/>
      <c r="R564" s="51"/>
      <c r="S564" s="51"/>
      <c r="T564" s="51"/>
      <c r="U564" s="51"/>
      <c r="V564" s="51"/>
      <c r="W564" s="51"/>
      <c r="X564" s="51"/>
      <c r="Y564" s="51"/>
      <c r="Z564" s="51"/>
      <c r="AA564" s="51"/>
    </row>
    <row r="565" spans="1:27" ht="13.65" customHeight="1" x14ac:dyDescent="0.3">
      <c r="A565" s="49"/>
      <c r="B565" s="57"/>
      <c r="C565" s="51"/>
      <c r="D565" s="51"/>
      <c r="E565" s="51"/>
      <c r="F565" s="51"/>
      <c r="G565" s="58"/>
      <c r="H565" s="51"/>
      <c r="I565" s="58"/>
      <c r="J565" s="51"/>
      <c r="K565" s="51"/>
      <c r="L565" s="51"/>
      <c r="M565" s="51"/>
      <c r="N565" s="51"/>
      <c r="O565" s="51"/>
      <c r="P565" s="51"/>
      <c r="Q565" s="51"/>
      <c r="R565" s="51"/>
      <c r="S565" s="51"/>
      <c r="T565" s="51"/>
      <c r="U565" s="51"/>
      <c r="V565" s="51"/>
      <c r="W565" s="51"/>
      <c r="X565" s="51"/>
      <c r="Y565" s="51"/>
      <c r="Z565" s="51"/>
      <c r="AA565" s="51"/>
    </row>
    <row r="566" spans="1:27" ht="13.65" customHeight="1" x14ac:dyDescent="0.3">
      <c r="A566" s="49"/>
      <c r="B566" s="57"/>
      <c r="C566" s="51"/>
      <c r="D566" s="51"/>
      <c r="E566" s="51"/>
      <c r="F566" s="51"/>
      <c r="G566" s="58"/>
      <c r="H566" s="51"/>
      <c r="I566" s="58"/>
      <c r="J566" s="51"/>
      <c r="K566" s="51"/>
      <c r="L566" s="51"/>
      <c r="M566" s="51"/>
      <c r="N566" s="51"/>
      <c r="O566" s="51"/>
      <c r="P566" s="51"/>
      <c r="Q566" s="51"/>
      <c r="R566" s="51"/>
      <c r="S566" s="51"/>
      <c r="T566" s="51"/>
      <c r="U566" s="51"/>
      <c r="V566" s="51"/>
      <c r="W566" s="51"/>
      <c r="X566" s="51"/>
      <c r="Y566" s="51"/>
      <c r="Z566" s="51"/>
      <c r="AA566" s="51"/>
    </row>
    <row r="567" spans="1:27" ht="13.65" customHeight="1" x14ac:dyDescent="0.3">
      <c r="A567" s="49"/>
      <c r="B567" s="57"/>
      <c r="C567" s="51"/>
      <c r="D567" s="51"/>
      <c r="E567" s="51"/>
      <c r="F567" s="51"/>
      <c r="G567" s="58"/>
      <c r="H567" s="51"/>
      <c r="I567" s="58"/>
      <c r="J567" s="51"/>
      <c r="K567" s="51"/>
      <c r="L567" s="51"/>
      <c r="M567" s="51"/>
      <c r="N567" s="51"/>
      <c r="O567" s="51"/>
      <c r="P567" s="51"/>
      <c r="Q567" s="51"/>
      <c r="R567" s="51"/>
      <c r="S567" s="51"/>
      <c r="T567" s="51"/>
      <c r="U567" s="51"/>
      <c r="V567" s="51"/>
      <c r="W567" s="51"/>
      <c r="X567" s="51"/>
      <c r="Y567" s="51"/>
      <c r="Z567" s="51"/>
      <c r="AA567" s="51"/>
    </row>
    <row r="568" spans="1:27" ht="13.65" customHeight="1" x14ac:dyDescent="0.3">
      <c r="A568" s="49"/>
      <c r="B568" s="57"/>
      <c r="C568" s="51"/>
      <c r="D568" s="51"/>
      <c r="E568" s="51"/>
      <c r="F568" s="51"/>
      <c r="G568" s="58"/>
      <c r="H568" s="51"/>
      <c r="I568" s="58"/>
      <c r="J568" s="51"/>
      <c r="K568" s="51"/>
      <c r="L568" s="51"/>
      <c r="M568" s="51"/>
      <c r="N568" s="51"/>
      <c r="O568" s="51"/>
      <c r="P568" s="51"/>
      <c r="Q568" s="51"/>
      <c r="R568" s="51"/>
      <c r="S568" s="51"/>
      <c r="T568" s="51"/>
      <c r="U568" s="51"/>
      <c r="V568" s="51"/>
      <c r="W568" s="51"/>
      <c r="X568" s="51"/>
      <c r="Y568" s="51"/>
      <c r="Z568" s="51"/>
      <c r="AA568" s="51"/>
    </row>
    <row r="569" spans="1:27" ht="13.65" customHeight="1" x14ac:dyDescent="0.3">
      <c r="A569" s="49"/>
      <c r="B569" s="57"/>
      <c r="C569" s="51"/>
      <c r="D569" s="51"/>
      <c r="E569" s="51"/>
      <c r="F569" s="51"/>
      <c r="G569" s="58"/>
      <c r="H569" s="51"/>
      <c r="I569" s="58"/>
      <c r="J569" s="51"/>
      <c r="K569" s="51"/>
      <c r="L569" s="51"/>
      <c r="M569" s="51"/>
      <c r="N569" s="51"/>
      <c r="O569" s="51"/>
      <c r="P569" s="51"/>
      <c r="Q569" s="51"/>
      <c r="R569" s="51"/>
      <c r="S569" s="51"/>
      <c r="T569" s="51"/>
      <c r="U569" s="51"/>
      <c r="V569" s="51"/>
      <c r="W569" s="51"/>
      <c r="X569" s="51"/>
      <c r="Y569" s="51"/>
      <c r="Z569" s="51"/>
      <c r="AA569" s="51"/>
    </row>
    <row r="570" spans="1:27" ht="13.65" customHeight="1" x14ac:dyDescent="0.3">
      <c r="A570" s="49"/>
      <c r="B570" s="57"/>
      <c r="C570" s="51"/>
      <c r="D570" s="51"/>
      <c r="E570" s="51"/>
      <c r="F570" s="51"/>
      <c r="G570" s="58"/>
      <c r="H570" s="51"/>
      <c r="I570" s="58"/>
      <c r="J570" s="51"/>
      <c r="K570" s="51"/>
      <c r="L570" s="51"/>
      <c r="M570" s="51"/>
      <c r="N570" s="51"/>
      <c r="O570" s="51"/>
      <c r="P570" s="51"/>
      <c r="Q570" s="51"/>
      <c r="R570" s="51"/>
      <c r="S570" s="51"/>
      <c r="T570" s="51"/>
      <c r="U570" s="51"/>
      <c r="V570" s="51"/>
      <c r="W570" s="51"/>
      <c r="X570" s="51"/>
      <c r="Y570" s="51"/>
      <c r="Z570" s="51"/>
      <c r="AA570" s="51"/>
    </row>
    <row r="571" spans="1:27" ht="13.65" customHeight="1" x14ac:dyDescent="0.3">
      <c r="A571" s="49"/>
      <c r="B571" s="57"/>
      <c r="C571" s="51"/>
      <c r="D571" s="51"/>
      <c r="E571" s="51"/>
      <c r="F571" s="51"/>
      <c r="G571" s="58"/>
      <c r="H571" s="51"/>
      <c r="I571" s="58"/>
      <c r="J571" s="51"/>
      <c r="K571" s="51"/>
      <c r="L571" s="51"/>
      <c r="M571" s="51"/>
      <c r="N571" s="51"/>
      <c r="O571" s="51"/>
      <c r="P571" s="51"/>
      <c r="Q571" s="51"/>
      <c r="R571" s="51"/>
      <c r="S571" s="51"/>
      <c r="T571" s="51"/>
      <c r="U571" s="51"/>
      <c r="V571" s="51"/>
      <c r="W571" s="51"/>
      <c r="X571" s="51"/>
      <c r="Y571" s="51"/>
      <c r="Z571" s="51"/>
      <c r="AA571" s="51"/>
    </row>
    <row r="572" spans="1:27" ht="13.65" customHeight="1" x14ac:dyDescent="0.3">
      <c r="A572" s="49"/>
      <c r="B572" s="57"/>
      <c r="C572" s="51"/>
      <c r="D572" s="51"/>
      <c r="E572" s="51"/>
      <c r="F572" s="51"/>
      <c r="G572" s="58"/>
      <c r="H572" s="51"/>
      <c r="I572" s="58"/>
      <c r="J572" s="51"/>
      <c r="K572" s="51"/>
      <c r="L572" s="51"/>
      <c r="M572" s="51"/>
      <c r="N572" s="51"/>
      <c r="O572" s="51"/>
      <c r="P572" s="51"/>
      <c r="Q572" s="51"/>
      <c r="R572" s="51"/>
      <c r="S572" s="51"/>
      <c r="T572" s="51"/>
      <c r="U572" s="51"/>
      <c r="V572" s="51"/>
      <c r="W572" s="51"/>
      <c r="X572" s="51"/>
      <c r="Y572" s="51"/>
      <c r="Z572" s="51"/>
      <c r="AA572" s="51"/>
    </row>
    <row r="573" spans="1:27" ht="13.65" customHeight="1" x14ac:dyDescent="0.3">
      <c r="A573" s="49"/>
      <c r="B573" s="57"/>
      <c r="C573" s="51"/>
      <c r="D573" s="51"/>
      <c r="E573" s="51"/>
      <c r="F573" s="51"/>
      <c r="G573" s="58"/>
      <c r="H573" s="51"/>
      <c r="I573" s="58"/>
      <c r="J573" s="51"/>
      <c r="K573" s="51"/>
      <c r="L573" s="51"/>
      <c r="M573" s="51"/>
      <c r="N573" s="51"/>
      <c r="O573" s="51"/>
      <c r="P573" s="51"/>
      <c r="Q573" s="51"/>
      <c r="R573" s="51"/>
      <c r="S573" s="51"/>
      <c r="T573" s="51"/>
      <c r="U573" s="51"/>
      <c r="V573" s="51"/>
      <c r="W573" s="51"/>
      <c r="X573" s="51"/>
      <c r="Y573" s="51"/>
      <c r="Z573" s="51"/>
      <c r="AA573" s="51"/>
    </row>
    <row r="574" spans="1:27" ht="13.65" customHeight="1" x14ac:dyDescent="0.3">
      <c r="A574" s="49"/>
      <c r="B574" s="57"/>
      <c r="C574" s="51"/>
      <c r="D574" s="51"/>
      <c r="E574" s="51"/>
      <c r="F574" s="51"/>
      <c r="G574" s="58"/>
      <c r="H574" s="51"/>
      <c r="I574" s="58"/>
      <c r="J574" s="51"/>
      <c r="K574" s="51"/>
      <c r="L574" s="51"/>
      <c r="M574" s="51"/>
      <c r="N574" s="51"/>
      <c r="O574" s="51"/>
      <c r="P574" s="51"/>
      <c r="Q574" s="51"/>
      <c r="R574" s="51"/>
      <c r="S574" s="51"/>
      <c r="T574" s="51"/>
      <c r="U574" s="51"/>
      <c r="V574" s="51"/>
      <c r="W574" s="51"/>
      <c r="X574" s="51"/>
      <c r="Y574" s="51"/>
      <c r="Z574" s="51"/>
      <c r="AA574" s="51"/>
    </row>
    <row r="575" spans="1:27" ht="13.65" customHeight="1" x14ac:dyDescent="0.3">
      <c r="A575" s="49"/>
      <c r="B575" s="57"/>
      <c r="C575" s="51"/>
      <c r="D575" s="51"/>
      <c r="E575" s="51"/>
      <c r="F575" s="51"/>
      <c r="G575" s="58"/>
      <c r="H575" s="51"/>
      <c r="I575" s="58"/>
      <c r="J575" s="51"/>
      <c r="K575" s="51"/>
      <c r="L575" s="51"/>
      <c r="M575" s="51"/>
      <c r="N575" s="51"/>
      <c r="O575" s="51"/>
      <c r="P575" s="51"/>
      <c r="Q575" s="51"/>
      <c r="R575" s="51"/>
      <c r="S575" s="51"/>
      <c r="T575" s="51"/>
      <c r="U575" s="51"/>
      <c r="V575" s="51"/>
      <c r="W575" s="51"/>
      <c r="X575" s="51"/>
      <c r="Y575" s="51"/>
      <c r="Z575" s="51"/>
      <c r="AA575" s="51"/>
    </row>
    <row r="576" spans="1:27" ht="13.65" customHeight="1" x14ac:dyDescent="0.3">
      <c r="A576" s="49"/>
      <c r="B576" s="57"/>
      <c r="C576" s="51"/>
      <c r="D576" s="51"/>
      <c r="E576" s="51"/>
      <c r="F576" s="51"/>
      <c r="G576" s="58"/>
      <c r="H576" s="51"/>
      <c r="I576" s="58"/>
      <c r="J576" s="51"/>
      <c r="K576" s="51"/>
      <c r="L576" s="51"/>
      <c r="M576" s="51"/>
      <c r="N576" s="51"/>
      <c r="O576" s="51"/>
      <c r="P576" s="51"/>
      <c r="Q576" s="51"/>
      <c r="R576" s="51"/>
      <c r="S576" s="51"/>
      <c r="T576" s="51"/>
      <c r="U576" s="51"/>
      <c r="V576" s="51"/>
      <c r="W576" s="51"/>
      <c r="X576" s="51"/>
      <c r="Y576" s="51"/>
      <c r="Z576" s="51"/>
      <c r="AA576" s="51"/>
    </row>
    <row r="577" spans="1:27" ht="13.65" customHeight="1" x14ac:dyDescent="0.3">
      <c r="A577" s="49"/>
      <c r="B577" s="57"/>
      <c r="C577" s="51"/>
      <c r="D577" s="51"/>
      <c r="E577" s="51"/>
      <c r="F577" s="51"/>
      <c r="G577" s="58"/>
      <c r="H577" s="51"/>
      <c r="I577" s="58"/>
      <c r="J577" s="51"/>
      <c r="K577" s="51"/>
      <c r="L577" s="51"/>
      <c r="M577" s="51"/>
      <c r="N577" s="51"/>
      <c r="O577" s="51"/>
      <c r="P577" s="51"/>
      <c r="Q577" s="51"/>
      <c r="R577" s="51"/>
      <c r="S577" s="51"/>
      <c r="T577" s="51"/>
      <c r="U577" s="51"/>
      <c r="V577" s="51"/>
      <c r="W577" s="51"/>
      <c r="X577" s="51"/>
      <c r="Y577" s="51"/>
      <c r="Z577" s="51"/>
      <c r="AA577" s="51"/>
    </row>
    <row r="578" spans="1:27" ht="13.65" customHeight="1" x14ac:dyDescent="0.3">
      <c r="A578" s="49"/>
      <c r="B578" s="57"/>
      <c r="C578" s="51"/>
      <c r="D578" s="51"/>
      <c r="E578" s="51"/>
      <c r="F578" s="51"/>
      <c r="G578" s="58"/>
      <c r="H578" s="51"/>
      <c r="I578" s="58"/>
      <c r="J578" s="51"/>
      <c r="K578" s="51"/>
      <c r="L578" s="51"/>
      <c r="M578" s="51"/>
      <c r="N578" s="51"/>
      <c r="O578" s="51"/>
      <c r="P578" s="51"/>
      <c r="Q578" s="51"/>
      <c r="R578" s="51"/>
      <c r="S578" s="51"/>
      <c r="T578" s="51"/>
      <c r="U578" s="51"/>
      <c r="V578" s="51"/>
      <c r="W578" s="51"/>
      <c r="X578" s="51"/>
      <c r="Y578" s="51"/>
      <c r="Z578" s="51"/>
      <c r="AA578" s="51"/>
    </row>
    <row r="579" spans="1:27" ht="13.65" customHeight="1" x14ac:dyDescent="0.3">
      <c r="A579" s="49"/>
      <c r="B579" s="57"/>
      <c r="C579" s="51"/>
      <c r="D579" s="51"/>
      <c r="E579" s="51"/>
      <c r="F579" s="51"/>
      <c r="G579" s="58"/>
      <c r="H579" s="51"/>
      <c r="I579" s="58"/>
      <c r="J579" s="51"/>
      <c r="K579" s="51"/>
      <c r="L579" s="51"/>
      <c r="M579" s="51"/>
      <c r="N579" s="51"/>
      <c r="O579" s="51"/>
      <c r="P579" s="51"/>
      <c r="Q579" s="51"/>
      <c r="R579" s="51"/>
      <c r="S579" s="51"/>
      <c r="T579" s="51"/>
      <c r="U579" s="51"/>
      <c r="V579" s="51"/>
      <c r="W579" s="51"/>
      <c r="X579" s="51"/>
      <c r="Y579" s="51"/>
      <c r="Z579" s="51"/>
      <c r="AA579" s="51"/>
    </row>
    <row r="580" spans="1:27" ht="13.65" customHeight="1" x14ac:dyDescent="0.3">
      <c r="A580" s="49"/>
      <c r="B580" s="57"/>
      <c r="C580" s="51"/>
      <c r="D580" s="51"/>
      <c r="E580" s="51"/>
      <c r="F580" s="51"/>
      <c r="G580" s="58"/>
      <c r="H580" s="51"/>
      <c r="I580" s="58"/>
      <c r="J580" s="51"/>
      <c r="K580" s="51"/>
      <c r="L580" s="51"/>
      <c r="M580" s="51"/>
      <c r="N580" s="51"/>
      <c r="O580" s="51"/>
      <c r="P580" s="51"/>
      <c r="Q580" s="51"/>
      <c r="R580" s="51"/>
      <c r="S580" s="51"/>
      <c r="T580" s="51"/>
      <c r="U580" s="51"/>
      <c r="V580" s="51"/>
      <c r="W580" s="51"/>
      <c r="X580" s="51"/>
      <c r="Y580" s="51"/>
      <c r="Z580" s="51"/>
      <c r="AA580" s="51"/>
    </row>
    <row r="581" spans="1:27" ht="13.65" customHeight="1" x14ac:dyDescent="0.3">
      <c r="A581" s="49"/>
      <c r="B581" s="57"/>
      <c r="C581" s="51"/>
      <c r="D581" s="51"/>
      <c r="E581" s="51"/>
      <c r="F581" s="51"/>
      <c r="G581" s="58"/>
      <c r="H581" s="51"/>
      <c r="I581" s="58"/>
      <c r="J581" s="51"/>
      <c r="K581" s="51"/>
      <c r="L581" s="51"/>
      <c r="M581" s="51"/>
      <c r="N581" s="51"/>
      <c r="O581" s="51"/>
      <c r="P581" s="51"/>
      <c r="Q581" s="51"/>
      <c r="R581" s="51"/>
      <c r="S581" s="51"/>
      <c r="T581" s="51"/>
      <c r="U581" s="51"/>
      <c r="V581" s="51"/>
      <c r="W581" s="51"/>
      <c r="X581" s="51"/>
      <c r="Y581" s="51"/>
      <c r="Z581" s="51"/>
      <c r="AA581" s="51"/>
    </row>
    <row r="582" spans="1:27" ht="13.65" customHeight="1" x14ac:dyDescent="0.3">
      <c r="A582" s="49"/>
      <c r="B582" s="57"/>
      <c r="C582" s="51"/>
      <c r="D582" s="51"/>
      <c r="E582" s="51"/>
      <c r="F582" s="51"/>
      <c r="G582" s="58"/>
      <c r="H582" s="51"/>
      <c r="I582" s="58"/>
      <c r="J582" s="51"/>
      <c r="K582" s="51"/>
      <c r="L582" s="51"/>
      <c r="M582" s="51"/>
      <c r="N582" s="51"/>
      <c r="O582" s="51"/>
      <c r="P582" s="51"/>
      <c r="Q582" s="51"/>
      <c r="R582" s="51"/>
      <c r="S582" s="51"/>
      <c r="T582" s="51"/>
      <c r="U582" s="51"/>
      <c r="V582" s="51"/>
      <c r="W582" s="51"/>
      <c r="X582" s="51"/>
      <c r="Y582" s="51"/>
      <c r="Z582" s="51"/>
      <c r="AA582" s="51"/>
    </row>
    <row r="583" spans="1:27" ht="13.65" customHeight="1" x14ac:dyDescent="0.3">
      <c r="A583" s="49"/>
      <c r="B583" s="57"/>
      <c r="C583" s="51"/>
      <c r="D583" s="51"/>
      <c r="E583" s="51"/>
      <c r="F583" s="51"/>
      <c r="G583" s="58"/>
      <c r="H583" s="51"/>
      <c r="I583" s="58"/>
      <c r="J583" s="51"/>
      <c r="K583" s="51"/>
      <c r="L583" s="51"/>
      <c r="M583" s="51"/>
      <c r="N583" s="51"/>
      <c r="O583" s="51"/>
      <c r="P583" s="51"/>
      <c r="Q583" s="51"/>
      <c r="R583" s="51"/>
      <c r="S583" s="51"/>
      <c r="T583" s="51"/>
      <c r="U583" s="51"/>
      <c r="V583" s="51"/>
      <c r="W583" s="51"/>
      <c r="X583" s="51"/>
      <c r="Y583" s="51"/>
      <c r="Z583" s="51"/>
      <c r="AA583" s="51"/>
    </row>
    <row r="584" spans="1:27" ht="13.65" customHeight="1" x14ac:dyDescent="0.3">
      <c r="A584" s="49"/>
      <c r="B584" s="57"/>
      <c r="C584" s="51"/>
      <c r="D584" s="51"/>
      <c r="E584" s="51"/>
      <c r="F584" s="51"/>
      <c r="G584" s="58"/>
      <c r="H584" s="51"/>
      <c r="I584" s="58"/>
      <c r="J584" s="51"/>
      <c r="K584" s="51"/>
      <c r="L584" s="51"/>
      <c r="M584" s="51"/>
      <c r="N584" s="51"/>
      <c r="O584" s="51"/>
      <c r="P584" s="51"/>
      <c r="Q584" s="51"/>
      <c r="R584" s="51"/>
      <c r="S584" s="51"/>
      <c r="T584" s="51"/>
      <c r="U584" s="51"/>
      <c r="V584" s="51"/>
      <c r="W584" s="51"/>
      <c r="X584" s="51"/>
      <c r="Y584" s="51"/>
      <c r="Z584" s="51"/>
      <c r="AA584" s="51"/>
    </row>
    <row r="585" spans="1:27" ht="13.65" customHeight="1" x14ac:dyDescent="0.3">
      <c r="A585" s="49"/>
      <c r="B585" s="57"/>
      <c r="C585" s="51"/>
      <c r="D585" s="51"/>
      <c r="E585" s="51"/>
      <c r="F585" s="51"/>
      <c r="G585" s="58"/>
      <c r="H585" s="51"/>
      <c r="I585" s="58"/>
      <c r="J585" s="51"/>
      <c r="K585" s="51"/>
      <c r="L585" s="51"/>
      <c r="M585" s="51"/>
      <c r="N585" s="51"/>
      <c r="O585" s="51"/>
      <c r="P585" s="51"/>
      <c r="Q585" s="51"/>
      <c r="R585" s="51"/>
      <c r="S585" s="51"/>
      <c r="T585" s="51"/>
      <c r="U585" s="51"/>
      <c r="V585" s="51"/>
      <c r="W585" s="51"/>
      <c r="X585" s="51"/>
      <c r="Y585" s="51"/>
      <c r="Z585" s="51"/>
      <c r="AA585" s="51"/>
    </row>
    <row r="586" spans="1:27" ht="13.65" customHeight="1" x14ac:dyDescent="0.3">
      <c r="A586" s="49"/>
      <c r="B586" s="57"/>
      <c r="C586" s="51"/>
      <c r="D586" s="51"/>
      <c r="E586" s="51"/>
      <c r="F586" s="51"/>
      <c r="G586" s="58"/>
      <c r="H586" s="51"/>
      <c r="I586" s="58"/>
      <c r="J586" s="51"/>
      <c r="K586" s="51"/>
      <c r="L586" s="51"/>
      <c r="M586" s="51"/>
      <c r="N586" s="51"/>
      <c r="O586" s="51"/>
      <c r="P586" s="51"/>
      <c r="Q586" s="51"/>
      <c r="R586" s="51"/>
      <c r="S586" s="51"/>
      <c r="T586" s="51"/>
      <c r="U586" s="51"/>
      <c r="V586" s="51"/>
      <c r="W586" s="51"/>
      <c r="X586" s="51"/>
      <c r="Y586" s="51"/>
      <c r="Z586" s="51"/>
      <c r="AA586" s="51"/>
    </row>
    <row r="587" spans="1:27" ht="13.65" customHeight="1" x14ac:dyDescent="0.3">
      <c r="A587" s="49"/>
      <c r="B587" s="57"/>
      <c r="C587" s="51"/>
      <c r="D587" s="51"/>
      <c r="E587" s="51"/>
      <c r="F587" s="51"/>
      <c r="G587" s="58"/>
      <c r="H587" s="51"/>
      <c r="I587" s="58"/>
      <c r="J587" s="51"/>
      <c r="K587" s="51"/>
      <c r="L587" s="51"/>
      <c r="M587" s="51"/>
      <c r="N587" s="51"/>
      <c r="O587" s="51"/>
      <c r="P587" s="51"/>
      <c r="Q587" s="51"/>
      <c r="R587" s="51"/>
      <c r="S587" s="51"/>
      <c r="T587" s="51"/>
      <c r="U587" s="51"/>
      <c r="V587" s="51"/>
      <c r="W587" s="51"/>
      <c r="X587" s="51"/>
      <c r="Y587" s="51"/>
      <c r="Z587" s="51"/>
      <c r="AA587" s="51"/>
    </row>
    <row r="588" spans="1:27" ht="13.65" customHeight="1" x14ac:dyDescent="0.3">
      <c r="A588" s="49"/>
      <c r="B588" s="57"/>
      <c r="C588" s="51"/>
      <c r="D588" s="51"/>
      <c r="E588" s="51"/>
      <c r="F588" s="51"/>
      <c r="G588" s="58"/>
      <c r="H588" s="51"/>
      <c r="I588" s="58"/>
      <c r="J588" s="51"/>
      <c r="K588" s="51"/>
      <c r="L588" s="51"/>
      <c r="M588" s="51"/>
      <c r="N588" s="51"/>
      <c r="O588" s="51"/>
      <c r="P588" s="51"/>
      <c r="Q588" s="51"/>
      <c r="R588" s="51"/>
      <c r="S588" s="51"/>
      <c r="T588" s="51"/>
      <c r="U588" s="51"/>
      <c r="V588" s="51"/>
      <c r="W588" s="51"/>
      <c r="X588" s="51"/>
      <c r="Y588" s="51"/>
      <c r="Z588" s="51"/>
      <c r="AA588" s="51"/>
    </row>
    <row r="589" spans="1:27" ht="13.65" customHeight="1" x14ac:dyDescent="0.3">
      <c r="A589" s="49"/>
      <c r="B589" s="57"/>
      <c r="C589" s="51"/>
      <c r="D589" s="51"/>
      <c r="E589" s="51"/>
      <c r="F589" s="51"/>
      <c r="G589" s="58"/>
      <c r="H589" s="51"/>
      <c r="I589" s="58"/>
      <c r="J589" s="51"/>
      <c r="K589" s="51"/>
      <c r="L589" s="51"/>
      <c r="M589" s="51"/>
      <c r="N589" s="51"/>
      <c r="O589" s="51"/>
      <c r="P589" s="51"/>
      <c r="Q589" s="51"/>
      <c r="R589" s="51"/>
      <c r="S589" s="51"/>
      <c r="T589" s="51"/>
      <c r="U589" s="51"/>
      <c r="V589" s="51"/>
      <c r="W589" s="51"/>
      <c r="X589" s="51"/>
      <c r="Y589" s="51"/>
      <c r="Z589" s="51"/>
      <c r="AA589" s="51"/>
    </row>
    <row r="590" spans="1:27" ht="13.65" customHeight="1" x14ac:dyDescent="0.3">
      <c r="A590" s="49"/>
      <c r="B590" s="57"/>
      <c r="C590" s="51"/>
      <c r="D590" s="51"/>
      <c r="E590" s="51"/>
      <c r="F590" s="51"/>
      <c r="G590" s="58"/>
      <c r="H590" s="51"/>
      <c r="I590" s="58"/>
      <c r="J590" s="51"/>
      <c r="K590" s="51"/>
      <c r="L590" s="51"/>
      <c r="M590" s="51"/>
      <c r="N590" s="51"/>
      <c r="O590" s="51"/>
      <c r="P590" s="51"/>
      <c r="Q590" s="51"/>
      <c r="R590" s="51"/>
      <c r="S590" s="51"/>
      <c r="T590" s="51"/>
      <c r="U590" s="51"/>
      <c r="V590" s="51"/>
      <c r="W590" s="51"/>
      <c r="X590" s="51"/>
      <c r="Y590" s="51"/>
      <c r="Z590" s="51"/>
      <c r="AA590" s="51"/>
    </row>
    <row r="591" spans="1:27" ht="13.65" customHeight="1" x14ac:dyDescent="0.3">
      <c r="A591" s="49"/>
      <c r="B591" s="57"/>
      <c r="C591" s="51"/>
      <c r="D591" s="51"/>
      <c r="E591" s="51"/>
      <c r="F591" s="51"/>
      <c r="G591" s="58"/>
      <c r="H591" s="51"/>
      <c r="I591" s="58"/>
      <c r="J591" s="51"/>
      <c r="K591" s="51"/>
      <c r="L591" s="51"/>
      <c r="M591" s="51"/>
      <c r="N591" s="51"/>
      <c r="O591" s="51"/>
      <c r="P591" s="51"/>
      <c r="Q591" s="51"/>
      <c r="R591" s="51"/>
      <c r="S591" s="51"/>
      <c r="T591" s="51"/>
      <c r="U591" s="51"/>
      <c r="V591" s="51"/>
      <c r="W591" s="51"/>
      <c r="X591" s="51"/>
      <c r="Y591" s="51"/>
      <c r="Z591" s="51"/>
      <c r="AA591" s="51"/>
    </row>
    <row r="592" spans="1:27" ht="13.65" customHeight="1" x14ac:dyDescent="0.3">
      <c r="A592" s="49"/>
      <c r="B592" s="57"/>
      <c r="C592" s="51"/>
      <c r="D592" s="51"/>
      <c r="E592" s="51"/>
      <c r="F592" s="51"/>
      <c r="G592" s="58"/>
      <c r="H592" s="51"/>
      <c r="I592" s="58"/>
      <c r="J592" s="51"/>
      <c r="K592" s="51"/>
      <c r="L592" s="51"/>
      <c r="M592" s="51"/>
      <c r="N592" s="51"/>
      <c r="O592" s="51"/>
      <c r="P592" s="51"/>
      <c r="Q592" s="51"/>
      <c r="R592" s="51"/>
      <c r="S592" s="51"/>
      <c r="T592" s="51"/>
      <c r="U592" s="51"/>
      <c r="V592" s="51"/>
      <c r="W592" s="51"/>
      <c r="X592" s="51"/>
      <c r="Y592" s="51"/>
      <c r="Z592" s="51"/>
      <c r="AA592" s="51"/>
    </row>
    <row r="593" spans="1:27" ht="13.65" customHeight="1" x14ac:dyDescent="0.3">
      <c r="A593" s="49"/>
      <c r="B593" s="57"/>
      <c r="C593" s="51"/>
      <c r="D593" s="51"/>
      <c r="E593" s="51"/>
      <c r="F593" s="51"/>
      <c r="G593" s="58"/>
      <c r="H593" s="51"/>
      <c r="I593" s="58"/>
      <c r="J593" s="51"/>
      <c r="K593" s="51"/>
      <c r="L593" s="51"/>
      <c r="M593" s="51"/>
      <c r="N593" s="51"/>
      <c r="O593" s="51"/>
      <c r="P593" s="51"/>
      <c r="Q593" s="51"/>
      <c r="R593" s="51"/>
      <c r="S593" s="51"/>
      <c r="T593" s="51"/>
      <c r="U593" s="51"/>
      <c r="V593" s="51"/>
      <c r="W593" s="51"/>
      <c r="X593" s="51"/>
      <c r="Y593" s="51"/>
      <c r="Z593" s="51"/>
      <c r="AA593" s="51"/>
    </row>
    <row r="594" spans="1:27" ht="13.65" customHeight="1" x14ac:dyDescent="0.3">
      <c r="A594" s="49"/>
      <c r="B594" s="57"/>
      <c r="C594" s="51"/>
      <c r="D594" s="51"/>
      <c r="E594" s="51"/>
      <c r="F594" s="51"/>
      <c r="G594" s="58"/>
      <c r="H594" s="51"/>
      <c r="I594" s="58"/>
      <c r="J594" s="51"/>
      <c r="K594" s="51"/>
      <c r="L594" s="51"/>
      <c r="M594" s="51"/>
      <c r="N594" s="51"/>
      <c r="O594" s="51"/>
      <c r="P594" s="51"/>
      <c r="Q594" s="51"/>
      <c r="R594" s="51"/>
      <c r="S594" s="51"/>
      <c r="T594" s="51"/>
      <c r="U594" s="51"/>
      <c r="V594" s="51"/>
      <c r="W594" s="51"/>
      <c r="X594" s="51"/>
      <c r="Y594" s="51"/>
      <c r="Z594" s="51"/>
      <c r="AA594" s="51"/>
    </row>
    <row r="595" spans="1:27" ht="13.65" customHeight="1" x14ac:dyDescent="0.3">
      <c r="A595" s="49"/>
      <c r="B595" s="57"/>
      <c r="C595" s="51"/>
      <c r="D595" s="51"/>
      <c r="E595" s="51"/>
      <c r="F595" s="51"/>
      <c r="G595" s="58"/>
      <c r="H595" s="51"/>
      <c r="I595" s="58"/>
      <c r="J595" s="51"/>
      <c r="K595" s="51"/>
      <c r="L595" s="51"/>
      <c r="M595" s="51"/>
      <c r="N595" s="51"/>
      <c r="O595" s="51"/>
      <c r="P595" s="51"/>
      <c r="Q595" s="51"/>
      <c r="R595" s="51"/>
      <c r="S595" s="51"/>
      <c r="T595" s="51"/>
      <c r="U595" s="51"/>
      <c r="V595" s="51"/>
      <c r="W595" s="51"/>
      <c r="X595" s="51"/>
      <c r="Y595" s="51"/>
      <c r="Z595" s="51"/>
      <c r="AA595" s="51"/>
    </row>
    <row r="596" spans="1:27" ht="13.65" customHeight="1" x14ac:dyDescent="0.3">
      <c r="A596" s="49"/>
      <c r="B596" s="57"/>
      <c r="C596" s="51"/>
      <c r="D596" s="51"/>
      <c r="E596" s="51"/>
      <c r="F596" s="51"/>
      <c r="G596" s="58"/>
      <c r="H596" s="51"/>
      <c r="I596" s="58"/>
      <c r="J596" s="51"/>
      <c r="K596" s="51"/>
      <c r="L596" s="51"/>
      <c r="M596" s="51"/>
      <c r="N596" s="51"/>
      <c r="O596" s="51"/>
      <c r="P596" s="51"/>
      <c r="Q596" s="51"/>
      <c r="R596" s="51"/>
      <c r="S596" s="51"/>
      <c r="T596" s="51"/>
      <c r="U596" s="51"/>
      <c r="V596" s="51"/>
      <c r="W596" s="51"/>
      <c r="X596" s="51"/>
      <c r="Y596" s="51"/>
      <c r="Z596" s="51"/>
      <c r="AA596" s="51"/>
    </row>
    <row r="597" spans="1:27" ht="13.65" customHeight="1" x14ac:dyDescent="0.3">
      <c r="A597" s="49"/>
      <c r="B597" s="57"/>
      <c r="C597" s="51"/>
      <c r="D597" s="51"/>
      <c r="E597" s="51"/>
      <c r="F597" s="51"/>
      <c r="G597" s="58"/>
      <c r="H597" s="51"/>
      <c r="I597" s="58"/>
      <c r="J597" s="51"/>
      <c r="K597" s="51"/>
      <c r="L597" s="51"/>
      <c r="M597" s="51"/>
      <c r="N597" s="51"/>
      <c r="O597" s="51"/>
      <c r="P597" s="51"/>
      <c r="Q597" s="51"/>
      <c r="R597" s="51"/>
      <c r="S597" s="51"/>
      <c r="T597" s="51"/>
      <c r="U597" s="51"/>
      <c r="V597" s="51"/>
      <c r="W597" s="51"/>
      <c r="X597" s="51"/>
      <c r="Y597" s="51"/>
      <c r="Z597" s="51"/>
      <c r="AA597" s="51"/>
    </row>
    <row r="598" spans="1:27" ht="13.65" customHeight="1" x14ac:dyDescent="0.3">
      <c r="A598" s="49"/>
      <c r="B598" s="57"/>
      <c r="C598" s="51"/>
      <c r="D598" s="51"/>
      <c r="E598" s="51"/>
      <c r="F598" s="51"/>
      <c r="G598" s="58"/>
      <c r="H598" s="51"/>
      <c r="I598" s="58"/>
      <c r="J598" s="51"/>
      <c r="K598" s="51"/>
      <c r="L598" s="51"/>
      <c r="M598" s="51"/>
      <c r="N598" s="51"/>
      <c r="O598" s="51"/>
      <c r="P598" s="51"/>
      <c r="Q598" s="51"/>
      <c r="R598" s="51"/>
      <c r="S598" s="51"/>
      <c r="T598" s="51"/>
      <c r="U598" s="51"/>
      <c r="V598" s="51"/>
      <c r="W598" s="51"/>
      <c r="X598" s="51"/>
      <c r="Y598" s="51"/>
      <c r="Z598" s="51"/>
      <c r="AA598" s="51"/>
    </row>
    <row r="599" spans="1:27" ht="13.65" customHeight="1" x14ac:dyDescent="0.3">
      <c r="A599" s="49"/>
      <c r="B599" s="57"/>
      <c r="C599" s="51"/>
      <c r="D599" s="51"/>
      <c r="E599" s="51"/>
      <c r="F599" s="51"/>
      <c r="G599" s="58"/>
      <c r="H599" s="51"/>
      <c r="I599" s="58"/>
      <c r="J599" s="51"/>
      <c r="K599" s="51"/>
      <c r="L599" s="51"/>
      <c r="M599" s="51"/>
      <c r="N599" s="51"/>
      <c r="O599" s="51"/>
      <c r="P599" s="51"/>
      <c r="Q599" s="51"/>
      <c r="R599" s="51"/>
      <c r="S599" s="51"/>
      <c r="T599" s="51"/>
      <c r="U599" s="51"/>
      <c r="V599" s="51"/>
      <c r="W599" s="51"/>
      <c r="X599" s="51"/>
      <c r="Y599" s="51"/>
      <c r="Z599" s="51"/>
      <c r="AA599" s="51"/>
    </row>
    <row r="600" spans="1:27" ht="13.65" customHeight="1" x14ac:dyDescent="0.3">
      <c r="A600" s="49"/>
      <c r="B600" s="57"/>
      <c r="C600" s="51"/>
      <c r="D600" s="51"/>
      <c r="E600" s="51"/>
      <c r="F600" s="51"/>
      <c r="G600" s="58"/>
      <c r="H600" s="51"/>
      <c r="I600" s="58"/>
      <c r="J600" s="51"/>
      <c r="K600" s="51"/>
      <c r="L600" s="51"/>
      <c r="M600" s="51"/>
      <c r="N600" s="51"/>
      <c r="O600" s="51"/>
      <c r="P600" s="51"/>
      <c r="Q600" s="51"/>
      <c r="R600" s="51"/>
      <c r="S600" s="51"/>
      <c r="T600" s="51"/>
      <c r="U600" s="51"/>
      <c r="V600" s="51"/>
      <c r="W600" s="51"/>
      <c r="X600" s="51"/>
      <c r="Y600" s="51"/>
      <c r="Z600" s="51"/>
      <c r="AA600" s="51"/>
    </row>
    <row r="601" spans="1:27" ht="13.65" customHeight="1" x14ac:dyDescent="0.3">
      <c r="A601" s="49"/>
      <c r="B601" s="57"/>
      <c r="C601" s="51"/>
      <c r="D601" s="51"/>
      <c r="E601" s="51"/>
      <c r="F601" s="51"/>
      <c r="G601" s="58"/>
      <c r="H601" s="51"/>
      <c r="I601" s="58"/>
      <c r="J601" s="51"/>
      <c r="K601" s="51"/>
      <c r="L601" s="51"/>
      <c r="M601" s="51"/>
      <c r="N601" s="51"/>
      <c r="O601" s="51"/>
      <c r="P601" s="51"/>
      <c r="Q601" s="51"/>
      <c r="R601" s="51"/>
      <c r="S601" s="51"/>
      <c r="T601" s="51"/>
      <c r="U601" s="51"/>
      <c r="V601" s="51"/>
      <c r="W601" s="51"/>
      <c r="X601" s="51"/>
      <c r="Y601" s="51"/>
      <c r="Z601" s="51"/>
      <c r="AA601" s="51"/>
    </row>
    <row r="602" spans="1:27" ht="13.65" customHeight="1" x14ac:dyDescent="0.3">
      <c r="A602" s="49"/>
      <c r="B602" s="57"/>
      <c r="C602" s="51"/>
      <c r="D602" s="51"/>
      <c r="E602" s="51"/>
      <c r="F602" s="51"/>
      <c r="G602" s="58"/>
      <c r="H602" s="51"/>
      <c r="I602" s="58"/>
      <c r="J602" s="51"/>
      <c r="K602" s="51"/>
      <c r="L602" s="51"/>
      <c r="M602" s="51"/>
      <c r="N602" s="51"/>
      <c r="O602" s="51"/>
      <c r="P602" s="51"/>
      <c r="Q602" s="51"/>
      <c r="R602" s="51"/>
      <c r="S602" s="51"/>
      <c r="T602" s="51"/>
      <c r="U602" s="51"/>
      <c r="V602" s="51"/>
      <c r="W602" s="51"/>
      <c r="X602" s="51"/>
      <c r="Y602" s="51"/>
      <c r="Z602" s="51"/>
      <c r="AA602" s="51"/>
    </row>
    <row r="603" spans="1:27" ht="13.65" customHeight="1" x14ac:dyDescent="0.3">
      <c r="A603" s="49"/>
      <c r="B603" s="57"/>
      <c r="C603" s="51"/>
      <c r="D603" s="51"/>
      <c r="E603" s="51"/>
      <c r="F603" s="51"/>
      <c r="G603" s="58"/>
      <c r="H603" s="51"/>
      <c r="I603" s="58"/>
      <c r="J603" s="51"/>
      <c r="K603" s="51"/>
      <c r="L603" s="51"/>
      <c r="M603" s="51"/>
      <c r="N603" s="51"/>
      <c r="O603" s="51"/>
      <c r="P603" s="51"/>
      <c r="Q603" s="51"/>
      <c r="R603" s="51"/>
      <c r="S603" s="51"/>
      <c r="T603" s="51"/>
      <c r="U603" s="51"/>
      <c r="V603" s="51"/>
      <c r="W603" s="51"/>
      <c r="X603" s="51"/>
      <c r="Y603" s="51"/>
      <c r="Z603" s="51"/>
      <c r="AA603" s="51"/>
    </row>
    <row r="604" spans="1:27" ht="13.65" customHeight="1" x14ac:dyDescent="0.3">
      <c r="A604" s="49"/>
      <c r="B604" s="57"/>
      <c r="C604" s="51"/>
      <c r="D604" s="51"/>
      <c r="E604" s="51"/>
      <c r="F604" s="51"/>
      <c r="G604" s="58"/>
      <c r="H604" s="51"/>
      <c r="I604" s="58"/>
      <c r="J604" s="51"/>
      <c r="K604" s="51"/>
      <c r="L604" s="51"/>
      <c r="M604" s="51"/>
      <c r="N604" s="51"/>
      <c r="O604" s="51"/>
      <c r="P604" s="51"/>
      <c r="Q604" s="51"/>
      <c r="R604" s="51"/>
      <c r="S604" s="51"/>
      <c r="T604" s="51"/>
      <c r="U604" s="51"/>
      <c r="V604" s="51"/>
      <c r="W604" s="51"/>
      <c r="X604" s="51"/>
      <c r="Y604" s="51"/>
      <c r="Z604" s="51"/>
      <c r="AA604" s="51"/>
    </row>
    <row r="605" spans="1:27" ht="13.65" customHeight="1" x14ac:dyDescent="0.3">
      <c r="A605" s="49"/>
      <c r="B605" s="57"/>
      <c r="C605" s="51"/>
      <c r="D605" s="51"/>
      <c r="E605" s="51"/>
      <c r="F605" s="51"/>
      <c r="G605" s="58"/>
      <c r="H605" s="51"/>
      <c r="I605" s="58"/>
      <c r="J605" s="51"/>
      <c r="K605" s="51"/>
      <c r="L605" s="51"/>
      <c r="M605" s="51"/>
      <c r="N605" s="51"/>
      <c r="O605" s="51"/>
      <c r="P605" s="51"/>
      <c r="Q605" s="51"/>
      <c r="R605" s="51"/>
      <c r="S605" s="51"/>
      <c r="T605" s="51"/>
      <c r="U605" s="51"/>
      <c r="V605" s="51"/>
      <c r="W605" s="51"/>
      <c r="X605" s="51"/>
      <c r="Y605" s="51"/>
      <c r="Z605" s="51"/>
      <c r="AA605" s="51"/>
    </row>
    <row r="606" spans="1:27" ht="13.65" customHeight="1" x14ac:dyDescent="0.3">
      <c r="A606" s="49"/>
      <c r="B606" s="57"/>
      <c r="C606" s="51"/>
      <c r="D606" s="51"/>
      <c r="E606" s="51"/>
      <c r="F606" s="51"/>
      <c r="G606" s="58"/>
      <c r="H606" s="51"/>
      <c r="I606" s="58"/>
      <c r="J606" s="51"/>
      <c r="K606" s="51"/>
      <c r="L606" s="51"/>
      <c r="M606" s="51"/>
      <c r="N606" s="51"/>
      <c r="O606" s="51"/>
      <c r="P606" s="51"/>
      <c r="Q606" s="51"/>
      <c r="R606" s="51"/>
      <c r="S606" s="51"/>
      <c r="T606" s="51"/>
      <c r="U606" s="51"/>
      <c r="V606" s="51"/>
      <c r="W606" s="51"/>
      <c r="X606" s="51"/>
      <c r="Y606" s="51"/>
      <c r="Z606" s="51"/>
      <c r="AA606" s="51"/>
    </row>
    <row r="607" spans="1:27" ht="13.65" customHeight="1" x14ac:dyDescent="0.3">
      <c r="A607" s="49"/>
      <c r="B607" s="57"/>
      <c r="C607" s="51"/>
      <c r="D607" s="51"/>
      <c r="E607" s="51"/>
      <c r="F607" s="51"/>
      <c r="G607" s="58"/>
      <c r="H607" s="51"/>
      <c r="I607" s="58"/>
      <c r="J607" s="51"/>
      <c r="K607" s="51"/>
      <c r="L607" s="51"/>
      <c r="M607" s="51"/>
      <c r="N607" s="51"/>
      <c r="O607" s="51"/>
      <c r="P607" s="51"/>
      <c r="Q607" s="51"/>
      <c r="R607" s="51"/>
      <c r="S607" s="51"/>
      <c r="T607" s="51"/>
      <c r="U607" s="51"/>
      <c r="V607" s="51"/>
      <c r="W607" s="51"/>
      <c r="X607" s="51"/>
      <c r="Y607" s="51"/>
      <c r="Z607" s="51"/>
      <c r="AA607" s="51"/>
    </row>
    <row r="608" spans="1:27" ht="13.65" customHeight="1" x14ac:dyDescent="0.3">
      <c r="A608" s="49"/>
      <c r="B608" s="57"/>
      <c r="C608" s="51"/>
      <c r="D608" s="51"/>
      <c r="E608" s="51"/>
      <c r="F608" s="51"/>
      <c r="G608" s="58"/>
      <c r="H608" s="51"/>
      <c r="I608" s="58"/>
      <c r="J608" s="51"/>
      <c r="K608" s="51"/>
      <c r="L608" s="51"/>
      <c r="M608" s="51"/>
      <c r="N608" s="51"/>
      <c r="O608" s="51"/>
      <c r="P608" s="51"/>
      <c r="Q608" s="51"/>
      <c r="R608" s="51"/>
      <c r="S608" s="51"/>
      <c r="T608" s="51"/>
      <c r="U608" s="51"/>
      <c r="V608" s="51"/>
      <c r="W608" s="51"/>
      <c r="X608" s="51"/>
      <c r="Y608" s="51"/>
      <c r="Z608" s="51"/>
      <c r="AA608" s="51"/>
    </row>
    <row r="609" spans="1:27" ht="13.65" customHeight="1" x14ac:dyDescent="0.3">
      <c r="A609" s="49"/>
      <c r="B609" s="57"/>
      <c r="C609" s="51"/>
      <c r="D609" s="51"/>
      <c r="E609" s="51"/>
      <c r="F609" s="51"/>
      <c r="G609" s="58"/>
      <c r="H609" s="51"/>
      <c r="I609" s="58"/>
      <c r="J609" s="51"/>
      <c r="K609" s="51"/>
      <c r="L609" s="51"/>
      <c r="M609" s="51"/>
      <c r="N609" s="51"/>
      <c r="O609" s="51"/>
      <c r="P609" s="51"/>
      <c r="Q609" s="51"/>
      <c r="R609" s="51"/>
      <c r="S609" s="51"/>
      <c r="T609" s="51"/>
      <c r="U609" s="51"/>
      <c r="V609" s="51"/>
      <c r="W609" s="51"/>
      <c r="X609" s="51"/>
      <c r="Y609" s="51"/>
      <c r="Z609" s="51"/>
      <c r="AA609" s="51"/>
    </row>
    <row r="610" spans="1:27" ht="13.65" customHeight="1" x14ac:dyDescent="0.3">
      <c r="A610" s="49"/>
      <c r="B610" s="57"/>
      <c r="C610" s="51"/>
      <c r="D610" s="51"/>
      <c r="E610" s="51"/>
      <c r="F610" s="51"/>
      <c r="G610" s="58"/>
      <c r="H610" s="51"/>
      <c r="I610" s="58"/>
      <c r="J610" s="51"/>
      <c r="K610" s="51"/>
      <c r="L610" s="51"/>
      <c r="M610" s="51"/>
      <c r="N610" s="51"/>
      <c r="O610" s="51"/>
      <c r="P610" s="51"/>
      <c r="Q610" s="51"/>
      <c r="R610" s="51"/>
      <c r="S610" s="51"/>
      <c r="T610" s="51"/>
      <c r="U610" s="51"/>
      <c r="V610" s="51"/>
      <c r="W610" s="51"/>
      <c r="X610" s="51"/>
      <c r="Y610" s="51"/>
      <c r="Z610" s="51"/>
      <c r="AA610" s="51"/>
    </row>
    <row r="611" spans="1:27" ht="13.65" customHeight="1" x14ac:dyDescent="0.3">
      <c r="A611" s="49"/>
      <c r="B611" s="57"/>
      <c r="C611" s="51"/>
      <c r="D611" s="51"/>
      <c r="E611" s="51"/>
      <c r="F611" s="51"/>
      <c r="G611" s="58"/>
      <c r="H611" s="51"/>
      <c r="I611" s="58"/>
      <c r="J611" s="51"/>
      <c r="K611" s="51"/>
      <c r="L611" s="51"/>
      <c r="M611" s="51"/>
      <c r="N611" s="51"/>
      <c r="O611" s="51"/>
      <c r="P611" s="51"/>
      <c r="Q611" s="51"/>
      <c r="R611" s="51"/>
      <c r="S611" s="51"/>
      <c r="T611" s="51"/>
      <c r="U611" s="51"/>
      <c r="V611" s="51"/>
      <c r="W611" s="51"/>
      <c r="X611" s="51"/>
      <c r="Y611" s="51"/>
      <c r="Z611" s="51"/>
      <c r="AA611" s="51"/>
    </row>
    <row r="612" spans="1:27" ht="13.65" customHeight="1" x14ac:dyDescent="0.3">
      <c r="A612" s="49"/>
      <c r="B612" s="57"/>
      <c r="C612" s="51"/>
      <c r="D612" s="51"/>
      <c r="E612" s="51"/>
      <c r="F612" s="51"/>
      <c r="G612" s="58"/>
      <c r="H612" s="51"/>
      <c r="I612" s="58"/>
      <c r="J612" s="51"/>
      <c r="K612" s="51"/>
      <c r="L612" s="51"/>
      <c r="M612" s="51"/>
      <c r="N612" s="51"/>
      <c r="O612" s="51"/>
      <c r="P612" s="51"/>
      <c r="Q612" s="51"/>
      <c r="R612" s="51"/>
      <c r="S612" s="51"/>
      <c r="T612" s="51"/>
      <c r="U612" s="51"/>
      <c r="V612" s="51"/>
      <c r="W612" s="51"/>
      <c r="X612" s="51"/>
      <c r="Y612" s="51"/>
      <c r="Z612" s="51"/>
      <c r="AA612" s="51"/>
    </row>
    <row r="613" spans="1:27" ht="13.65" customHeight="1" x14ac:dyDescent="0.3">
      <c r="A613" s="49"/>
      <c r="B613" s="57"/>
      <c r="C613" s="51"/>
      <c r="D613" s="51"/>
      <c r="E613" s="51"/>
      <c r="F613" s="51"/>
      <c r="G613" s="58"/>
      <c r="H613" s="51"/>
      <c r="I613" s="58"/>
      <c r="J613" s="51"/>
      <c r="K613" s="51"/>
      <c r="L613" s="51"/>
      <c r="M613" s="51"/>
      <c r="N613" s="51"/>
      <c r="O613" s="51"/>
      <c r="P613" s="51"/>
      <c r="Q613" s="51"/>
      <c r="R613" s="51"/>
      <c r="S613" s="51"/>
      <c r="T613" s="51"/>
      <c r="U613" s="51"/>
      <c r="V613" s="51"/>
      <c r="W613" s="51"/>
      <c r="X613" s="51"/>
      <c r="Y613" s="51"/>
      <c r="Z613" s="51"/>
      <c r="AA613" s="51"/>
    </row>
    <row r="614" spans="1:27" ht="13.65" customHeight="1" x14ac:dyDescent="0.3">
      <c r="A614" s="49"/>
      <c r="B614" s="57"/>
      <c r="C614" s="51"/>
      <c r="D614" s="51"/>
      <c r="E614" s="51"/>
      <c r="F614" s="51"/>
      <c r="G614" s="58"/>
      <c r="H614" s="51"/>
      <c r="I614" s="58"/>
      <c r="J614" s="51"/>
      <c r="K614" s="51"/>
      <c r="L614" s="51"/>
      <c r="M614" s="51"/>
      <c r="N614" s="51"/>
      <c r="O614" s="51"/>
      <c r="P614" s="51"/>
      <c r="Q614" s="51"/>
      <c r="R614" s="51"/>
      <c r="S614" s="51"/>
      <c r="T614" s="51"/>
      <c r="U614" s="51"/>
      <c r="V614" s="51"/>
      <c r="W614" s="51"/>
      <c r="X614" s="51"/>
      <c r="Y614" s="51"/>
      <c r="Z614" s="51"/>
      <c r="AA614" s="51"/>
    </row>
    <row r="615" spans="1:27" ht="13.65" customHeight="1" x14ac:dyDescent="0.3">
      <c r="A615" s="49"/>
      <c r="B615" s="57"/>
      <c r="C615" s="51"/>
      <c r="D615" s="51"/>
      <c r="E615" s="51"/>
      <c r="F615" s="51"/>
      <c r="G615" s="58"/>
      <c r="H615" s="51"/>
      <c r="I615" s="58"/>
      <c r="J615" s="51"/>
      <c r="K615" s="51"/>
      <c r="L615" s="51"/>
      <c r="M615" s="51"/>
      <c r="N615" s="51"/>
      <c r="O615" s="51"/>
      <c r="P615" s="51"/>
      <c r="Q615" s="51"/>
      <c r="R615" s="51"/>
      <c r="S615" s="51"/>
      <c r="T615" s="51"/>
      <c r="U615" s="51"/>
      <c r="V615" s="51"/>
      <c r="W615" s="51"/>
      <c r="X615" s="51"/>
      <c r="Y615" s="51"/>
      <c r="Z615" s="51"/>
      <c r="AA615" s="51"/>
    </row>
    <row r="616" spans="1:27" ht="13.65" customHeight="1" x14ac:dyDescent="0.3">
      <c r="A616" s="49"/>
      <c r="B616" s="57"/>
      <c r="C616" s="51"/>
      <c r="D616" s="51"/>
      <c r="E616" s="51"/>
      <c r="F616" s="51"/>
      <c r="G616" s="58"/>
      <c r="H616" s="51"/>
      <c r="I616" s="58"/>
      <c r="J616" s="51"/>
      <c r="K616" s="51"/>
      <c r="L616" s="51"/>
      <c r="M616" s="51"/>
      <c r="N616" s="51"/>
      <c r="O616" s="51"/>
      <c r="P616" s="51"/>
      <c r="Q616" s="51"/>
      <c r="R616" s="51"/>
      <c r="S616" s="51"/>
      <c r="T616" s="51"/>
      <c r="U616" s="51"/>
      <c r="V616" s="51"/>
      <c r="W616" s="51"/>
      <c r="X616" s="51"/>
      <c r="Y616" s="51"/>
      <c r="Z616" s="51"/>
      <c r="AA616" s="51"/>
    </row>
    <row r="617" spans="1:27" ht="13.65" customHeight="1" x14ac:dyDescent="0.3">
      <c r="A617" s="49"/>
      <c r="B617" s="57"/>
      <c r="C617" s="51"/>
      <c r="D617" s="51"/>
      <c r="E617" s="51"/>
      <c r="F617" s="51"/>
      <c r="G617" s="58"/>
      <c r="H617" s="51"/>
      <c r="I617" s="58"/>
      <c r="J617" s="51"/>
      <c r="K617" s="51"/>
      <c r="L617" s="51"/>
      <c r="M617" s="51"/>
      <c r="N617" s="51"/>
      <c r="O617" s="51"/>
      <c r="P617" s="51"/>
      <c r="Q617" s="51"/>
      <c r="R617" s="51"/>
      <c r="S617" s="51"/>
      <c r="T617" s="51"/>
      <c r="U617" s="51"/>
      <c r="V617" s="51"/>
      <c r="W617" s="51"/>
      <c r="X617" s="51"/>
      <c r="Y617" s="51"/>
      <c r="Z617" s="51"/>
      <c r="AA617" s="51"/>
    </row>
    <row r="618" spans="1:27" ht="13.65" customHeight="1" x14ac:dyDescent="0.3">
      <c r="A618" s="49"/>
      <c r="B618" s="57"/>
      <c r="C618" s="51"/>
      <c r="D618" s="51"/>
      <c r="E618" s="51"/>
      <c r="F618" s="51"/>
      <c r="G618" s="58"/>
      <c r="H618" s="51"/>
      <c r="I618" s="58"/>
      <c r="J618" s="51"/>
      <c r="K618" s="51"/>
      <c r="L618" s="51"/>
      <c r="M618" s="51"/>
      <c r="N618" s="51"/>
      <c r="O618" s="51"/>
      <c r="P618" s="51"/>
      <c r="Q618" s="51"/>
      <c r="R618" s="51"/>
      <c r="S618" s="51"/>
      <c r="T618" s="51"/>
      <c r="U618" s="51"/>
      <c r="V618" s="51"/>
      <c r="W618" s="51"/>
      <c r="X618" s="51"/>
      <c r="Y618" s="51"/>
      <c r="Z618" s="51"/>
      <c r="AA618" s="51"/>
    </row>
    <row r="619" spans="1:27" ht="13.65" customHeight="1" x14ac:dyDescent="0.3">
      <c r="A619" s="49"/>
      <c r="B619" s="57"/>
      <c r="C619" s="51"/>
      <c r="D619" s="51"/>
      <c r="E619" s="51"/>
      <c r="F619" s="51"/>
      <c r="G619" s="58"/>
      <c r="H619" s="51"/>
      <c r="I619" s="58"/>
      <c r="J619" s="51"/>
      <c r="K619" s="51"/>
      <c r="L619" s="51"/>
      <c r="M619" s="51"/>
      <c r="N619" s="51"/>
      <c r="O619" s="51"/>
      <c r="P619" s="51"/>
      <c r="Q619" s="51"/>
      <c r="R619" s="51"/>
      <c r="S619" s="51"/>
      <c r="T619" s="51"/>
      <c r="U619" s="51"/>
      <c r="V619" s="51"/>
      <c r="W619" s="51"/>
      <c r="X619" s="51"/>
      <c r="Y619" s="51"/>
      <c r="Z619" s="51"/>
      <c r="AA619" s="51"/>
    </row>
    <row r="620" spans="1:27" ht="13.65" customHeight="1" x14ac:dyDescent="0.3">
      <c r="A620" s="49"/>
      <c r="B620" s="57"/>
      <c r="C620" s="51"/>
      <c r="D620" s="51"/>
      <c r="E620" s="51"/>
      <c r="F620" s="51"/>
      <c r="G620" s="58"/>
      <c r="H620" s="51"/>
      <c r="I620" s="58"/>
      <c r="J620" s="51"/>
      <c r="K620" s="51"/>
      <c r="L620" s="51"/>
      <c r="M620" s="51"/>
      <c r="N620" s="51"/>
      <c r="O620" s="51"/>
      <c r="P620" s="51"/>
      <c r="Q620" s="51"/>
      <c r="R620" s="51"/>
      <c r="S620" s="51"/>
      <c r="T620" s="51"/>
      <c r="U620" s="51"/>
      <c r="V620" s="51"/>
      <c r="W620" s="51"/>
      <c r="X620" s="51"/>
      <c r="Y620" s="51"/>
      <c r="Z620" s="51"/>
      <c r="AA620" s="51"/>
    </row>
    <row r="621" spans="1:27" ht="13.65" customHeight="1" x14ac:dyDescent="0.3">
      <c r="A621" s="49"/>
      <c r="B621" s="57"/>
      <c r="C621" s="51"/>
      <c r="D621" s="51"/>
      <c r="E621" s="51"/>
      <c r="F621" s="51"/>
      <c r="G621" s="58"/>
      <c r="H621" s="51"/>
      <c r="I621" s="58"/>
      <c r="J621" s="51"/>
      <c r="K621" s="51"/>
      <c r="L621" s="51"/>
      <c r="M621" s="51"/>
      <c r="N621" s="51"/>
      <c r="O621" s="51"/>
      <c r="P621" s="51"/>
      <c r="Q621" s="51"/>
      <c r="R621" s="51"/>
      <c r="S621" s="51"/>
      <c r="T621" s="51"/>
      <c r="U621" s="51"/>
      <c r="V621" s="51"/>
      <c r="W621" s="51"/>
      <c r="X621" s="51"/>
      <c r="Y621" s="51"/>
      <c r="Z621" s="51"/>
      <c r="AA621" s="51"/>
    </row>
    <row r="622" spans="1:27" ht="13.65" customHeight="1" x14ac:dyDescent="0.3">
      <c r="A622" s="49"/>
      <c r="B622" s="57"/>
      <c r="C622" s="51"/>
      <c r="D622" s="51"/>
      <c r="E622" s="51"/>
      <c r="F622" s="51"/>
      <c r="G622" s="58"/>
      <c r="H622" s="51"/>
      <c r="I622" s="58"/>
      <c r="J622" s="51"/>
      <c r="K622" s="51"/>
      <c r="L622" s="51"/>
      <c r="M622" s="51"/>
      <c r="N622" s="51"/>
      <c r="O622" s="51"/>
      <c r="P622" s="51"/>
      <c r="Q622" s="51"/>
      <c r="R622" s="51"/>
      <c r="S622" s="51"/>
      <c r="T622" s="51"/>
      <c r="U622" s="51"/>
      <c r="V622" s="51"/>
      <c r="W622" s="51"/>
      <c r="X622" s="51"/>
      <c r="Y622" s="51"/>
      <c r="Z622" s="51"/>
      <c r="AA622" s="51"/>
    </row>
    <row r="623" spans="1:27" ht="13.65" customHeight="1" x14ac:dyDescent="0.3">
      <c r="A623" s="49"/>
      <c r="B623" s="57"/>
      <c r="C623" s="51"/>
      <c r="D623" s="51"/>
      <c r="E623" s="51"/>
      <c r="F623" s="51"/>
      <c r="G623" s="58"/>
      <c r="H623" s="51"/>
      <c r="I623" s="58"/>
      <c r="J623" s="51"/>
      <c r="K623" s="51"/>
      <c r="L623" s="51"/>
      <c r="M623" s="51"/>
      <c r="N623" s="51"/>
      <c r="O623" s="51"/>
      <c r="P623" s="51"/>
      <c r="Q623" s="51"/>
      <c r="R623" s="51"/>
      <c r="S623" s="51"/>
      <c r="T623" s="51"/>
      <c r="U623" s="51"/>
      <c r="V623" s="51"/>
      <c r="W623" s="51"/>
      <c r="X623" s="51"/>
      <c r="Y623" s="51"/>
      <c r="Z623" s="51"/>
      <c r="AA623" s="51"/>
    </row>
    <row r="624" spans="1:27" ht="13.65" customHeight="1" x14ac:dyDescent="0.3">
      <c r="A624" s="49"/>
      <c r="B624" s="57"/>
      <c r="C624" s="51"/>
      <c r="D624" s="51"/>
      <c r="E624" s="51"/>
      <c r="F624" s="51"/>
      <c r="G624" s="58"/>
      <c r="H624" s="51"/>
      <c r="I624" s="58"/>
      <c r="J624" s="51"/>
      <c r="K624" s="51"/>
      <c r="L624" s="51"/>
      <c r="M624" s="51"/>
      <c r="N624" s="51"/>
      <c r="O624" s="51"/>
      <c r="P624" s="51"/>
      <c r="Q624" s="51"/>
      <c r="R624" s="51"/>
      <c r="S624" s="51"/>
      <c r="T624" s="51"/>
      <c r="U624" s="51"/>
      <c r="V624" s="51"/>
      <c r="W624" s="51"/>
      <c r="X624" s="51"/>
      <c r="Y624" s="51"/>
      <c r="Z624" s="51"/>
      <c r="AA624" s="51"/>
    </row>
    <row r="625" spans="1:27" ht="13.65" customHeight="1" x14ac:dyDescent="0.3">
      <c r="A625" s="49"/>
      <c r="B625" s="57"/>
      <c r="C625" s="51"/>
      <c r="D625" s="51"/>
      <c r="E625" s="51"/>
      <c r="F625" s="51"/>
      <c r="G625" s="58"/>
      <c r="H625" s="51"/>
      <c r="I625" s="58"/>
      <c r="J625" s="51"/>
      <c r="K625" s="51"/>
      <c r="L625" s="51"/>
      <c r="M625" s="51"/>
      <c r="N625" s="51"/>
      <c r="O625" s="51"/>
      <c r="P625" s="51"/>
      <c r="Q625" s="51"/>
      <c r="R625" s="51"/>
      <c r="S625" s="51"/>
      <c r="T625" s="51"/>
      <c r="U625" s="51"/>
      <c r="V625" s="51"/>
      <c r="W625" s="51"/>
      <c r="X625" s="51"/>
      <c r="Y625" s="51"/>
      <c r="Z625" s="51"/>
      <c r="AA625" s="51"/>
    </row>
    <row r="626" spans="1:27" ht="13.65" customHeight="1" x14ac:dyDescent="0.3">
      <c r="A626" s="49"/>
      <c r="B626" s="57"/>
      <c r="C626" s="51"/>
      <c r="D626" s="51"/>
      <c r="E626" s="51"/>
      <c r="F626" s="51"/>
      <c r="G626" s="58"/>
      <c r="H626" s="51"/>
      <c r="I626" s="58"/>
      <c r="J626" s="51"/>
      <c r="K626" s="51"/>
      <c r="L626" s="51"/>
      <c r="M626" s="51"/>
      <c r="N626" s="51"/>
      <c r="O626" s="51"/>
      <c r="P626" s="51"/>
      <c r="Q626" s="51"/>
      <c r="R626" s="51"/>
      <c r="S626" s="51"/>
      <c r="T626" s="51"/>
      <c r="U626" s="51"/>
      <c r="V626" s="51"/>
      <c r="W626" s="51"/>
      <c r="X626" s="51"/>
      <c r="Y626" s="51"/>
      <c r="Z626" s="51"/>
      <c r="AA626" s="51"/>
    </row>
    <row r="627" spans="1:27" ht="13.65" customHeight="1" x14ac:dyDescent="0.3">
      <c r="A627" s="49"/>
      <c r="B627" s="57"/>
      <c r="C627" s="51"/>
      <c r="D627" s="51"/>
      <c r="E627" s="51"/>
      <c r="F627" s="51"/>
      <c r="G627" s="58"/>
      <c r="H627" s="51"/>
      <c r="I627" s="58"/>
      <c r="J627" s="51"/>
      <c r="K627" s="51"/>
      <c r="L627" s="51"/>
      <c r="M627" s="51"/>
      <c r="N627" s="51"/>
      <c r="O627" s="51"/>
      <c r="P627" s="51"/>
      <c r="Q627" s="51"/>
      <c r="R627" s="51"/>
      <c r="S627" s="51"/>
      <c r="T627" s="51"/>
      <c r="U627" s="51"/>
      <c r="V627" s="51"/>
      <c r="W627" s="51"/>
      <c r="X627" s="51"/>
      <c r="Y627" s="51"/>
      <c r="Z627" s="51"/>
      <c r="AA627" s="51"/>
    </row>
    <row r="628" spans="1:27" ht="13.65" customHeight="1" x14ac:dyDescent="0.3">
      <c r="A628" s="49"/>
      <c r="B628" s="57"/>
      <c r="C628" s="51"/>
      <c r="D628" s="51"/>
      <c r="E628" s="51"/>
      <c r="F628" s="51"/>
      <c r="G628" s="58"/>
      <c r="H628" s="51"/>
      <c r="I628" s="58"/>
      <c r="J628" s="51"/>
      <c r="K628" s="51"/>
      <c r="L628" s="51"/>
      <c r="M628" s="51"/>
      <c r="N628" s="51"/>
      <c r="O628" s="51"/>
      <c r="P628" s="51"/>
      <c r="Q628" s="51"/>
      <c r="R628" s="51"/>
      <c r="S628" s="51"/>
      <c r="T628" s="51"/>
      <c r="U628" s="51"/>
      <c r="V628" s="51"/>
      <c r="W628" s="51"/>
      <c r="X628" s="51"/>
      <c r="Y628" s="51"/>
      <c r="Z628" s="51"/>
      <c r="AA628" s="51"/>
    </row>
    <row r="629" spans="1:27" ht="13.65" customHeight="1" x14ac:dyDescent="0.3">
      <c r="A629" s="49"/>
      <c r="B629" s="57"/>
      <c r="C629" s="51"/>
      <c r="D629" s="51"/>
      <c r="E629" s="51"/>
      <c r="F629" s="51"/>
      <c r="G629" s="58"/>
      <c r="H629" s="51"/>
      <c r="I629" s="58"/>
      <c r="J629" s="51"/>
      <c r="K629" s="51"/>
      <c r="L629" s="51"/>
      <c r="M629" s="51"/>
      <c r="N629" s="51"/>
      <c r="O629" s="51"/>
      <c r="P629" s="51"/>
      <c r="Q629" s="51"/>
      <c r="R629" s="51"/>
      <c r="S629" s="51"/>
      <c r="T629" s="51"/>
      <c r="U629" s="51"/>
      <c r="V629" s="51"/>
      <c r="W629" s="51"/>
      <c r="X629" s="51"/>
      <c r="Y629" s="51"/>
      <c r="Z629" s="51"/>
      <c r="AA629" s="51"/>
    </row>
    <row r="630" spans="1:27" ht="13.65" customHeight="1" x14ac:dyDescent="0.3">
      <c r="A630" s="49"/>
      <c r="B630" s="57"/>
      <c r="C630" s="51"/>
      <c r="D630" s="51"/>
      <c r="E630" s="51"/>
      <c r="F630" s="51"/>
      <c r="G630" s="58"/>
      <c r="H630" s="51"/>
      <c r="I630" s="58"/>
      <c r="J630" s="51"/>
      <c r="K630" s="51"/>
      <c r="L630" s="51"/>
      <c r="M630" s="51"/>
      <c r="N630" s="51"/>
      <c r="O630" s="51"/>
      <c r="P630" s="51"/>
      <c r="Q630" s="51"/>
      <c r="R630" s="51"/>
      <c r="S630" s="51"/>
      <c r="T630" s="51"/>
      <c r="U630" s="51"/>
      <c r="V630" s="51"/>
      <c r="W630" s="51"/>
      <c r="X630" s="51"/>
      <c r="Y630" s="51"/>
      <c r="Z630" s="51"/>
      <c r="AA630" s="51"/>
    </row>
    <row r="631" spans="1:27" ht="13.65" customHeight="1" x14ac:dyDescent="0.3">
      <c r="A631" s="49"/>
      <c r="B631" s="57"/>
      <c r="C631" s="51"/>
      <c r="D631" s="51"/>
      <c r="E631" s="51"/>
      <c r="F631" s="51"/>
      <c r="G631" s="58"/>
      <c r="H631" s="51"/>
      <c r="I631" s="58"/>
      <c r="J631" s="51"/>
      <c r="K631" s="51"/>
      <c r="L631" s="51"/>
      <c r="M631" s="51"/>
      <c r="N631" s="51"/>
      <c r="O631" s="51"/>
      <c r="P631" s="51"/>
      <c r="Q631" s="51"/>
      <c r="R631" s="51"/>
      <c r="S631" s="51"/>
      <c r="T631" s="51"/>
      <c r="U631" s="51"/>
      <c r="V631" s="51"/>
      <c r="W631" s="51"/>
      <c r="X631" s="51"/>
      <c r="Y631" s="51"/>
      <c r="Z631" s="51"/>
      <c r="AA631" s="51"/>
    </row>
    <row r="632" spans="1:27" ht="13.65" customHeight="1" x14ac:dyDescent="0.3">
      <c r="A632" s="49"/>
      <c r="B632" s="57"/>
      <c r="C632" s="51"/>
      <c r="D632" s="51"/>
      <c r="E632" s="51"/>
      <c r="F632" s="51"/>
      <c r="G632" s="58"/>
      <c r="H632" s="51"/>
      <c r="I632" s="58"/>
      <c r="J632" s="51"/>
      <c r="K632" s="51"/>
      <c r="L632" s="51"/>
      <c r="M632" s="51"/>
      <c r="N632" s="51"/>
      <c r="O632" s="51"/>
      <c r="P632" s="51"/>
      <c r="Q632" s="51"/>
      <c r="R632" s="51"/>
      <c r="S632" s="51"/>
      <c r="T632" s="51"/>
      <c r="U632" s="51"/>
      <c r="V632" s="51"/>
      <c r="W632" s="51"/>
      <c r="X632" s="51"/>
      <c r="Y632" s="51"/>
      <c r="Z632" s="51"/>
      <c r="AA632" s="51"/>
    </row>
    <row r="633" spans="1:27" ht="13.65" customHeight="1" x14ac:dyDescent="0.3">
      <c r="A633" s="49"/>
      <c r="B633" s="57"/>
      <c r="C633" s="51"/>
      <c r="D633" s="51"/>
      <c r="E633" s="51"/>
      <c r="F633" s="51"/>
      <c r="G633" s="58"/>
      <c r="H633" s="51"/>
      <c r="I633" s="58"/>
      <c r="J633" s="51"/>
      <c r="K633" s="51"/>
      <c r="L633" s="51"/>
      <c r="M633" s="51"/>
      <c r="N633" s="51"/>
      <c r="O633" s="51"/>
      <c r="P633" s="51"/>
      <c r="Q633" s="51"/>
      <c r="R633" s="51"/>
      <c r="S633" s="51"/>
      <c r="T633" s="51"/>
      <c r="U633" s="51"/>
      <c r="V633" s="51"/>
      <c r="W633" s="51"/>
      <c r="X633" s="51"/>
      <c r="Y633" s="51"/>
      <c r="Z633" s="51"/>
      <c r="AA633" s="51"/>
    </row>
    <row r="634" spans="1:27" ht="13.65" customHeight="1" x14ac:dyDescent="0.3">
      <c r="A634" s="49"/>
      <c r="B634" s="57"/>
      <c r="C634" s="51"/>
      <c r="D634" s="51"/>
      <c r="E634" s="51"/>
      <c r="F634" s="51"/>
      <c r="G634" s="58"/>
      <c r="H634" s="51"/>
      <c r="I634" s="58"/>
      <c r="J634" s="51"/>
      <c r="K634" s="51"/>
      <c r="L634" s="51"/>
      <c r="M634" s="51"/>
      <c r="N634" s="51"/>
      <c r="O634" s="51"/>
      <c r="P634" s="51"/>
      <c r="Q634" s="51"/>
      <c r="R634" s="51"/>
      <c r="S634" s="51"/>
      <c r="T634" s="51"/>
      <c r="U634" s="51"/>
      <c r="V634" s="51"/>
      <c r="W634" s="51"/>
      <c r="X634" s="51"/>
      <c r="Y634" s="51"/>
      <c r="Z634" s="51"/>
      <c r="AA634" s="51"/>
    </row>
    <row r="635" spans="1:27" ht="13.65" customHeight="1" x14ac:dyDescent="0.3">
      <c r="A635" s="49"/>
      <c r="B635" s="57"/>
      <c r="C635" s="51"/>
      <c r="D635" s="51"/>
      <c r="E635" s="51"/>
      <c r="F635" s="51"/>
      <c r="G635" s="58"/>
      <c r="H635" s="51"/>
      <c r="I635" s="58"/>
      <c r="J635" s="51"/>
      <c r="K635" s="51"/>
      <c r="L635" s="51"/>
      <c r="M635" s="51"/>
      <c r="N635" s="51"/>
      <c r="O635" s="51"/>
      <c r="P635" s="51"/>
      <c r="Q635" s="51"/>
      <c r="R635" s="51"/>
      <c r="S635" s="51"/>
      <c r="T635" s="51"/>
      <c r="U635" s="51"/>
      <c r="V635" s="51"/>
      <c r="W635" s="51"/>
      <c r="X635" s="51"/>
      <c r="Y635" s="51"/>
      <c r="Z635" s="51"/>
      <c r="AA635" s="51"/>
    </row>
    <row r="636" spans="1:27" ht="13.65" customHeight="1" x14ac:dyDescent="0.3">
      <c r="A636" s="49"/>
      <c r="B636" s="57"/>
      <c r="C636" s="51"/>
      <c r="D636" s="51"/>
      <c r="E636" s="51"/>
      <c r="F636" s="51"/>
      <c r="G636" s="58"/>
      <c r="H636" s="51"/>
      <c r="I636" s="58"/>
      <c r="J636" s="51"/>
      <c r="K636" s="51"/>
      <c r="L636" s="51"/>
      <c r="M636" s="51"/>
      <c r="N636" s="51"/>
      <c r="O636" s="51"/>
      <c r="P636" s="51"/>
      <c r="Q636" s="51"/>
      <c r="R636" s="51"/>
      <c r="S636" s="51"/>
      <c r="T636" s="51"/>
      <c r="U636" s="51"/>
      <c r="V636" s="51"/>
      <c r="W636" s="51"/>
      <c r="X636" s="51"/>
      <c r="Y636" s="51"/>
      <c r="Z636" s="51"/>
      <c r="AA636" s="51"/>
    </row>
    <row r="637" spans="1:27" ht="13.65" customHeight="1" x14ac:dyDescent="0.3">
      <c r="A637" s="49"/>
      <c r="B637" s="57"/>
      <c r="C637" s="51"/>
      <c r="D637" s="51"/>
      <c r="E637" s="51"/>
      <c r="F637" s="51"/>
      <c r="G637" s="58"/>
      <c r="H637" s="51"/>
      <c r="I637" s="58"/>
      <c r="J637" s="51"/>
      <c r="K637" s="51"/>
      <c r="L637" s="51"/>
      <c r="M637" s="51"/>
      <c r="N637" s="51"/>
      <c r="O637" s="51"/>
      <c r="P637" s="51"/>
      <c r="Q637" s="51"/>
      <c r="R637" s="51"/>
      <c r="S637" s="51"/>
      <c r="T637" s="51"/>
      <c r="U637" s="51"/>
      <c r="V637" s="51"/>
      <c r="W637" s="51"/>
      <c r="X637" s="51"/>
      <c r="Y637" s="51"/>
      <c r="Z637" s="51"/>
      <c r="AA637" s="51"/>
    </row>
    <row r="638" spans="1:27" ht="13.65" customHeight="1" x14ac:dyDescent="0.3">
      <c r="A638" s="49"/>
      <c r="B638" s="57"/>
      <c r="C638" s="51"/>
      <c r="D638" s="51"/>
      <c r="E638" s="51"/>
      <c r="F638" s="51"/>
      <c r="G638" s="58"/>
      <c r="H638" s="51"/>
      <c r="I638" s="58"/>
      <c r="J638" s="51"/>
      <c r="K638" s="51"/>
      <c r="L638" s="51"/>
      <c r="M638" s="51"/>
      <c r="N638" s="51"/>
      <c r="O638" s="51"/>
      <c r="P638" s="51"/>
      <c r="Q638" s="51"/>
      <c r="R638" s="51"/>
      <c r="S638" s="51"/>
      <c r="T638" s="51"/>
      <c r="U638" s="51"/>
      <c r="V638" s="51"/>
      <c r="W638" s="51"/>
      <c r="X638" s="51"/>
      <c r="Y638" s="51"/>
      <c r="Z638" s="51"/>
      <c r="AA638" s="51"/>
    </row>
    <row r="639" spans="1:27" ht="13.65" customHeight="1" x14ac:dyDescent="0.3">
      <c r="A639" s="49"/>
      <c r="B639" s="57"/>
      <c r="C639" s="51"/>
      <c r="D639" s="51"/>
      <c r="E639" s="51"/>
      <c r="F639" s="51"/>
      <c r="G639" s="58"/>
      <c r="H639" s="51"/>
      <c r="I639" s="58"/>
      <c r="J639" s="51"/>
      <c r="K639" s="51"/>
      <c r="L639" s="51"/>
      <c r="M639" s="51"/>
      <c r="N639" s="51"/>
      <c r="O639" s="51"/>
      <c r="P639" s="51"/>
      <c r="Q639" s="51"/>
      <c r="R639" s="51"/>
      <c r="S639" s="51"/>
      <c r="T639" s="51"/>
      <c r="U639" s="51"/>
      <c r="V639" s="51"/>
      <c r="W639" s="51"/>
      <c r="X639" s="51"/>
      <c r="Y639" s="51"/>
      <c r="Z639" s="51"/>
      <c r="AA639" s="51"/>
    </row>
    <row r="640" spans="1:27" ht="13.65" customHeight="1" x14ac:dyDescent="0.3">
      <c r="A640" s="49"/>
      <c r="B640" s="57"/>
      <c r="C640" s="51"/>
      <c r="D640" s="51"/>
      <c r="E640" s="51"/>
      <c r="F640" s="51"/>
      <c r="G640" s="58"/>
      <c r="H640" s="51"/>
      <c r="I640" s="58"/>
      <c r="J640" s="51"/>
      <c r="K640" s="51"/>
      <c r="L640" s="51"/>
      <c r="M640" s="51"/>
      <c r="N640" s="51"/>
      <c r="O640" s="51"/>
      <c r="P640" s="51"/>
      <c r="Q640" s="51"/>
      <c r="R640" s="51"/>
      <c r="S640" s="51"/>
      <c r="T640" s="51"/>
      <c r="U640" s="51"/>
      <c r="V640" s="51"/>
      <c r="W640" s="51"/>
      <c r="X640" s="51"/>
      <c r="Y640" s="51"/>
      <c r="Z640" s="51"/>
      <c r="AA640" s="51"/>
    </row>
    <row r="641" spans="1:27" ht="13.65" customHeight="1" x14ac:dyDescent="0.3">
      <c r="A641" s="49"/>
      <c r="B641" s="57"/>
      <c r="C641" s="51"/>
      <c r="D641" s="51"/>
      <c r="E641" s="51"/>
      <c r="F641" s="51"/>
      <c r="G641" s="58"/>
      <c r="H641" s="51"/>
      <c r="I641" s="58"/>
      <c r="J641" s="51"/>
      <c r="K641" s="51"/>
      <c r="L641" s="51"/>
      <c r="M641" s="51"/>
      <c r="N641" s="51"/>
      <c r="O641" s="51"/>
      <c r="P641" s="51"/>
      <c r="Q641" s="51"/>
      <c r="R641" s="51"/>
      <c r="S641" s="51"/>
      <c r="T641" s="51"/>
      <c r="U641" s="51"/>
      <c r="V641" s="51"/>
      <c r="W641" s="51"/>
      <c r="X641" s="51"/>
      <c r="Y641" s="51"/>
      <c r="Z641" s="51"/>
      <c r="AA641" s="51"/>
    </row>
    <row r="642" spans="1:27" ht="13.65" customHeight="1" x14ac:dyDescent="0.3">
      <c r="A642" s="49"/>
      <c r="B642" s="57"/>
      <c r="C642" s="51"/>
      <c r="D642" s="51"/>
      <c r="E642" s="51"/>
      <c r="F642" s="51"/>
      <c r="G642" s="58"/>
      <c r="H642" s="51"/>
      <c r="I642" s="58"/>
      <c r="J642" s="51"/>
      <c r="K642" s="51"/>
      <c r="L642" s="51"/>
      <c r="M642" s="51"/>
      <c r="N642" s="51"/>
      <c r="O642" s="51"/>
      <c r="P642" s="51"/>
      <c r="Q642" s="51"/>
      <c r="R642" s="51"/>
      <c r="S642" s="51"/>
      <c r="T642" s="51"/>
      <c r="U642" s="51"/>
      <c r="V642" s="51"/>
      <c r="W642" s="51"/>
      <c r="X642" s="51"/>
      <c r="Y642" s="51"/>
      <c r="Z642" s="51"/>
      <c r="AA642" s="51"/>
    </row>
    <row r="643" spans="1:27" ht="13.65" customHeight="1" x14ac:dyDescent="0.3">
      <c r="A643" s="49"/>
      <c r="B643" s="57"/>
      <c r="C643" s="51"/>
      <c r="D643" s="51"/>
      <c r="E643" s="51"/>
      <c r="F643" s="51"/>
      <c r="G643" s="58"/>
      <c r="H643" s="51"/>
      <c r="I643" s="58"/>
      <c r="J643" s="51"/>
      <c r="K643" s="51"/>
      <c r="L643" s="51"/>
      <c r="M643" s="51"/>
      <c r="N643" s="51"/>
      <c r="O643" s="51"/>
      <c r="P643" s="51"/>
      <c r="Q643" s="51"/>
      <c r="R643" s="51"/>
      <c r="S643" s="51"/>
      <c r="T643" s="51"/>
      <c r="U643" s="51"/>
      <c r="V643" s="51"/>
      <c r="W643" s="51"/>
      <c r="X643" s="51"/>
      <c r="Y643" s="51"/>
      <c r="Z643" s="51"/>
      <c r="AA643" s="51"/>
    </row>
    <row r="644" spans="1:27" ht="13.65" customHeight="1" x14ac:dyDescent="0.3">
      <c r="A644" s="49"/>
      <c r="B644" s="57"/>
      <c r="C644" s="51"/>
      <c r="D644" s="51"/>
      <c r="E644" s="51"/>
      <c r="F644" s="51"/>
      <c r="G644" s="58"/>
      <c r="H644" s="51"/>
      <c r="I644" s="58"/>
      <c r="J644" s="51"/>
      <c r="K644" s="51"/>
      <c r="L644" s="51"/>
      <c r="M644" s="51"/>
      <c r="N644" s="51"/>
      <c r="O644" s="51"/>
      <c r="P644" s="51"/>
      <c r="Q644" s="51"/>
      <c r="R644" s="51"/>
      <c r="S644" s="51"/>
      <c r="T644" s="51"/>
      <c r="U644" s="51"/>
      <c r="V644" s="51"/>
      <c r="W644" s="51"/>
      <c r="X644" s="51"/>
      <c r="Y644" s="51"/>
      <c r="Z644" s="51"/>
      <c r="AA644" s="51"/>
    </row>
    <row r="645" spans="1:27" ht="13.65" customHeight="1" x14ac:dyDescent="0.3">
      <c r="A645" s="49"/>
      <c r="B645" s="57"/>
      <c r="C645" s="51"/>
      <c r="D645" s="51"/>
      <c r="E645" s="51"/>
      <c r="F645" s="51"/>
      <c r="G645" s="58"/>
      <c r="H645" s="51"/>
      <c r="I645" s="58"/>
      <c r="J645" s="51"/>
      <c r="K645" s="51"/>
      <c r="L645" s="51"/>
      <c r="M645" s="51"/>
      <c r="N645" s="51"/>
      <c r="O645" s="51"/>
      <c r="P645" s="51"/>
      <c r="Q645" s="51"/>
      <c r="R645" s="51"/>
      <c r="S645" s="51"/>
      <c r="T645" s="51"/>
      <c r="U645" s="51"/>
      <c r="V645" s="51"/>
      <c r="W645" s="51"/>
      <c r="X645" s="51"/>
      <c r="Y645" s="51"/>
      <c r="Z645" s="51"/>
      <c r="AA645" s="51"/>
    </row>
    <row r="646" spans="1:27" ht="13.65" customHeight="1" x14ac:dyDescent="0.3">
      <c r="A646" s="49"/>
      <c r="B646" s="57"/>
      <c r="C646" s="51"/>
      <c r="D646" s="51"/>
      <c r="E646" s="51"/>
      <c r="F646" s="51"/>
      <c r="G646" s="58"/>
      <c r="H646" s="51"/>
      <c r="I646" s="58"/>
      <c r="J646" s="51"/>
      <c r="K646" s="51"/>
      <c r="L646" s="51"/>
      <c r="M646" s="51"/>
      <c r="N646" s="51"/>
      <c r="O646" s="51"/>
      <c r="P646" s="51"/>
      <c r="Q646" s="51"/>
      <c r="R646" s="51"/>
      <c r="S646" s="51"/>
      <c r="T646" s="51"/>
      <c r="U646" s="51"/>
      <c r="V646" s="51"/>
      <c r="W646" s="51"/>
      <c r="X646" s="51"/>
      <c r="Y646" s="51"/>
      <c r="Z646" s="51"/>
      <c r="AA646" s="51"/>
    </row>
    <row r="647" spans="1:27" ht="13.65" customHeight="1" x14ac:dyDescent="0.3">
      <c r="A647" s="49"/>
      <c r="B647" s="57"/>
      <c r="C647" s="51"/>
      <c r="D647" s="51"/>
      <c r="E647" s="51"/>
      <c r="F647" s="51"/>
      <c r="G647" s="58"/>
      <c r="H647" s="51"/>
      <c r="I647" s="58"/>
      <c r="J647" s="51"/>
      <c r="K647" s="51"/>
      <c r="L647" s="51"/>
      <c r="M647" s="51"/>
      <c r="N647" s="51"/>
      <c r="O647" s="51"/>
      <c r="P647" s="51"/>
      <c r="Q647" s="51"/>
      <c r="R647" s="51"/>
      <c r="S647" s="51"/>
      <c r="T647" s="51"/>
      <c r="U647" s="51"/>
      <c r="V647" s="51"/>
      <c r="W647" s="51"/>
      <c r="X647" s="51"/>
      <c r="Y647" s="51"/>
      <c r="Z647" s="51"/>
      <c r="AA647" s="51"/>
    </row>
    <row r="648" spans="1:27" ht="13.65" customHeight="1" x14ac:dyDescent="0.3">
      <c r="A648" s="49"/>
      <c r="B648" s="57"/>
      <c r="C648" s="51"/>
      <c r="D648" s="51"/>
      <c r="E648" s="51"/>
      <c r="F648" s="51"/>
      <c r="G648" s="58"/>
      <c r="H648" s="51"/>
      <c r="I648" s="58"/>
      <c r="J648" s="51"/>
      <c r="K648" s="51"/>
      <c r="L648" s="51"/>
      <c r="M648" s="51"/>
      <c r="N648" s="51"/>
      <c r="O648" s="51"/>
      <c r="P648" s="51"/>
      <c r="Q648" s="51"/>
      <c r="R648" s="51"/>
      <c r="S648" s="51"/>
      <c r="T648" s="51"/>
      <c r="U648" s="51"/>
      <c r="V648" s="51"/>
      <c r="W648" s="51"/>
      <c r="X648" s="51"/>
      <c r="Y648" s="51"/>
      <c r="Z648" s="51"/>
      <c r="AA648" s="51"/>
    </row>
    <row r="649" spans="1:27" ht="13.65" customHeight="1" x14ac:dyDescent="0.3">
      <c r="A649" s="49"/>
      <c r="B649" s="57"/>
      <c r="C649" s="51"/>
      <c r="D649" s="51"/>
      <c r="E649" s="51"/>
      <c r="F649" s="51"/>
      <c r="G649" s="58"/>
      <c r="H649" s="51"/>
      <c r="I649" s="58"/>
      <c r="J649" s="51"/>
      <c r="K649" s="51"/>
      <c r="L649" s="51"/>
      <c r="M649" s="51"/>
      <c r="N649" s="51"/>
      <c r="O649" s="51"/>
      <c r="P649" s="51"/>
      <c r="Q649" s="51"/>
      <c r="R649" s="51"/>
      <c r="S649" s="51"/>
      <c r="T649" s="51"/>
      <c r="U649" s="51"/>
      <c r="V649" s="51"/>
      <c r="W649" s="51"/>
      <c r="X649" s="51"/>
      <c r="Y649" s="51"/>
      <c r="Z649" s="51"/>
      <c r="AA649" s="51"/>
    </row>
    <row r="650" spans="1:27" ht="13.65" customHeight="1" x14ac:dyDescent="0.3">
      <c r="A650" s="49"/>
      <c r="B650" s="57"/>
      <c r="C650" s="51"/>
      <c r="D650" s="51"/>
      <c r="E650" s="51"/>
      <c r="F650" s="51"/>
      <c r="G650" s="58"/>
      <c r="H650" s="51"/>
      <c r="I650" s="58"/>
      <c r="J650" s="51"/>
      <c r="K650" s="51"/>
      <c r="L650" s="51"/>
      <c r="M650" s="51"/>
      <c r="N650" s="51"/>
      <c r="O650" s="51"/>
      <c r="P650" s="51"/>
      <c r="Q650" s="51"/>
      <c r="R650" s="51"/>
      <c r="S650" s="51"/>
      <c r="T650" s="51"/>
      <c r="U650" s="51"/>
      <c r="V650" s="51"/>
      <c r="W650" s="51"/>
      <c r="X650" s="51"/>
      <c r="Y650" s="51"/>
      <c r="Z650" s="51"/>
      <c r="AA650" s="51"/>
    </row>
    <row r="651" spans="1:27" ht="13.65" customHeight="1" x14ac:dyDescent="0.3">
      <c r="A651" s="49"/>
      <c r="B651" s="57"/>
      <c r="C651" s="51"/>
      <c r="D651" s="51"/>
      <c r="E651" s="51"/>
      <c r="F651" s="51"/>
      <c r="G651" s="58"/>
      <c r="H651" s="51"/>
      <c r="I651" s="58"/>
      <c r="J651" s="51"/>
      <c r="K651" s="51"/>
      <c r="L651" s="51"/>
      <c r="M651" s="51"/>
      <c r="N651" s="51"/>
      <c r="O651" s="51"/>
      <c r="P651" s="51"/>
      <c r="Q651" s="51"/>
      <c r="R651" s="51"/>
      <c r="S651" s="51"/>
      <c r="T651" s="51"/>
      <c r="U651" s="51"/>
      <c r="V651" s="51"/>
      <c r="W651" s="51"/>
      <c r="X651" s="51"/>
      <c r="Y651" s="51"/>
      <c r="Z651" s="51"/>
      <c r="AA651" s="51"/>
    </row>
    <row r="652" spans="1:27" ht="13.65" customHeight="1" x14ac:dyDescent="0.3">
      <c r="A652" s="49"/>
      <c r="B652" s="57"/>
      <c r="C652" s="51"/>
      <c r="D652" s="51"/>
      <c r="E652" s="51"/>
      <c r="F652" s="51"/>
      <c r="G652" s="58"/>
      <c r="H652" s="51"/>
      <c r="I652" s="58"/>
      <c r="J652" s="51"/>
      <c r="K652" s="51"/>
      <c r="L652" s="51"/>
      <c r="M652" s="51"/>
      <c r="N652" s="51"/>
      <c r="O652" s="51"/>
      <c r="P652" s="51"/>
      <c r="Q652" s="51"/>
      <c r="R652" s="51"/>
      <c r="S652" s="51"/>
      <c r="T652" s="51"/>
      <c r="U652" s="51"/>
      <c r="V652" s="51"/>
      <c r="W652" s="51"/>
      <c r="X652" s="51"/>
      <c r="Y652" s="51"/>
      <c r="Z652" s="51"/>
      <c r="AA652" s="51"/>
    </row>
    <row r="653" spans="1:27" ht="13.65" customHeight="1" x14ac:dyDescent="0.3">
      <c r="A653" s="49"/>
      <c r="B653" s="57"/>
      <c r="C653" s="51"/>
      <c r="D653" s="51"/>
      <c r="E653" s="51"/>
      <c r="F653" s="51"/>
      <c r="G653" s="58"/>
      <c r="H653" s="51"/>
      <c r="I653" s="58"/>
      <c r="J653" s="51"/>
      <c r="K653" s="51"/>
      <c r="L653" s="51"/>
      <c r="M653" s="51"/>
      <c r="N653" s="51"/>
      <c r="O653" s="51"/>
      <c r="P653" s="51"/>
      <c r="Q653" s="51"/>
      <c r="R653" s="51"/>
      <c r="S653" s="51"/>
      <c r="T653" s="51"/>
      <c r="U653" s="51"/>
      <c r="V653" s="51"/>
      <c r="W653" s="51"/>
      <c r="X653" s="51"/>
      <c r="Y653" s="51"/>
      <c r="Z653" s="51"/>
      <c r="AA653" s="51"/>
    </row>
    <row r="654" spans="1:27" ht="13.65" customHeight="1" x14ac:dyDescent="0.3">
      <c r="A654" s="49"/>
      <c r="B654" s="57"/>
      <c r="C654" s="51"/>
      <c r="D654" s="51"/>
      <c r="E654" s="51"/>
      <c r="F654" s="51"/>
      <c r="G654" s="58"/>
      <c r="H654" s="51"/>
      <c r="I654" s="58"/>
      <c r="J654" s="51"/>
      <c r="K654" s="51"/>
      <c r="L654" s="51"/>
      <c r="M654" s="51"/>
      <c r="N654" s="51"/>
      <c r="O654" s="51"/>
      <c r="P654" s="51"/>
      <c r="Q654" s="51"/>
      <c r="R654" s="51"/>
      <c r="S654" s="51"/>
      <c r="T654" s="51"/>
      <c r="U654" s="51"/>
      <c r="V654" s="51"/>
      <c r="W654" s="51"/>
      <c r="X654" s="51"/>
      <c r="Y654" s="51"/>
      <c r="Z654" s="51"/>
      <c r="AA654" s="51"/>
    </row>
    <row r="655" spans="1:27" ht="13.65" customHeight="1" x14ac:dyDescent="0.3">
      <c r="A655" s="49"/>
      <c r="B655" s="57"/>
      <c r="C655" s="51"/>
      <c r="D655" s="51"/>
      <c r="E655" s="51"/>
      <c r="F655" s="51"/>
      <c r="G655" s="58"/>
      <c r="H655" s="51"/>
      <c r="I655" s="58"/>
      <c r="J655" s="51"/>
      <c r="K655" s="51"/>
      <c r="L655" s="51"/>
      <c r="M655" s="51"/>
      <c r="N655" s="51"/>
      <c r="O655" s="51"/>
      <c r="P655" s="51"/>
      <c r="Q655" s="51"/>
      <c r="R655" s="51"/>
      <c r="S655" s="51"/>
      <c r="T655" s="51"/>
      <c r="U655" s="51"/>
      <c r="V655" s="51"/>
      <c r="W655" s="51"/>
      <c r="X655" s="51"/>
      <c r="Y655" s="51"/>
      <c r="Z655" s="51"/>
      <c r="AA655" s="51"/>
    </row>
    <row r="656" spans="1:27" ht="13.65" customHeight="1" x14ac:dyDescent="0.3">
      <c r="A656" s="49"/>
      <c r="B656" s="57"/>
      <c r="C656" s="51"/>
      <c r="D656" s="51"/>
      <c r="E656" s="51"/>
      <c r="F656" s="51"/>
      <c r="G656" s="58"/>
      <c r="H656" s="51"/>
      <c r="I656" s="58"/>
      <c r="J656" s="51"/>
      <c r="K656" s="51"/>
      <c r="L656" s="51"/>
      <c r="M656" s="51"/>
      <c r="N656" s="51"/>
      <c r="O656" s="51"/>
      <c r="P656" s="51"/>
      <c r="Q656" s="51"/>
      <c r="R656" s="51"/>
      <c r="S656" s="51"/>
      <c r="T656" s="51"/>
      <c r="U656" s="51"/>
      <c r="V656" s="51"/>
      <c r="W656" s="51"/>
      <c r="X656" s="51"/>
      <c r="Y656" s="51"/>
      <c r="Z656" s="51"/>
      <c r="AA656" s="51"/>
    </row>
    <row r="657" spans="1:27" ht="13.65" customHeight="1" x14ac:dyDescent="0.3">
      <c r="A657" s="49"/>
      <c r="B657" s="57"/>
      <c r="C657" s="51"/>
      <c r="D657" s="51"/>
      <c r="E657" s="51"/>
      <c r="F657" s="51"/>
      <c r="G657" s="58"/>
      <c r="H657" s="51"/>
      <c r="I657" s="58"/>
      <c r="J657" s="51"/>
      <c r="K657" s="51"/>
      <c r="L657" s="51"/>
      <c r="M657" s="51"/>
      <c r="N657" s="51"/>
      <c r="O657" s="51"/>
      <c r="P657" s="51"/>
      <c r="Q657" s="51"/>
      <c r="R657" s="51"/>
      <c r="S657" s="51"/>
      <c r="T657" s="51"/>
      <c r="U657" s="51"/>
      <c r="V657" s="51"/>
      <c r="W657" s="51"/>
      <c r="X657" s="51"/>
      <c r="Y657" s="51"/>
      <c r="Z657" s="51"/>
      <c r="AA657" s="51"/>
    </row>
    <row r="658" spans="1:27" ht="13.65" customHeight="1" x14ac:dyDescent="0.3">
      <c r="A658" s="49"/>
      <c r="B658" s="57"/>
      <c r="C658" s="51"/>
      <c r="D658" s="51"/>
      <c r="E658" s="51"/>
      <c r="F658" s="51"/>
      <c r="G658" s="58"/>
      <c r="H658" s="51"/>
      <c r="I658" s="58"/>
      <c r="J658" s="51"/>
      <c r="K658" s="51"/>
      <c r="L658" s="51"/>
      <c r="M658" s="51"/>
      <c r="N658" s="51"/>
      <c r="O658" s="51"/>
      <c r="P658" s="51"/>
      <c r="Q658" s="51"/>
      <c r="R658" s="51"/>
      <c r="S658" s="51"/>
      <c r="T658" s="51"/>
      <c r="U658" s="51"/>
      <c r="V658" s="51"/>
      <c r="W658" s="51"/>
      <c r="X658" s="51"/>
      <c r="Y658" s="51"/>
      <c r="Z658" s="51"/>
      <c r="AA658" s="51"/>
    </row>
    <row r="659" spans="1:27" ht="13.65" customHeight="1" x14ac:dyDescent="0.3">
      <c r="A659" s="49"/>
      <c r="B659" s="57"/>
      <c r="C659" s="51"/>
      <c r="D659" s="51"/>
      <c r="E659" s="51"/>
      <c r="F659" s="51"/>
      <c r="G659" s="58"/>
      <c r="H659" s="51"/>
      <c r="I659" s="58"/>
      <c r="J659" s="51"/>
      <c r="K659" s="51"/>
      <c r="L659" s="51"/>
      <c r="M659" s="51"/>
      <c r="N659" s="51"/>
      <c r="O659" s="51"/>
      <c r="P659" s="51"/>
      <c r="Q659" s="51"/>
      <c r="R659" s="51"/>
      <c r="S659" s="51"/>
      <c r="T659" s="51"/>
      <c r="U659" s="51"/>
      <c r="V659" s="51"/>
      <c r="W659" s="51"/>
      <c r="X659" s="51"/>
      <c r="Y659" s="51"/>
      <c r="Z659" s="51"/>
      <c r="AA659" s="51"/>
    </row>
    <row r="660" spans="1:27" ht="13.65" customHeight="1" x14ac:dyDescent="0.3">
      <c r="A660" s="49"/>
      <c r="B660" s="57"/>
      <c r="C660" s="51"/>
      <c r="D660" s="51"/>
      <c r="E660" s="51"/>
      <c r="F660" s="51"/>
      <c r="G660" s="58"/>
      <c r="H660" s="51"/>
      <c r="I660" s="58"/>
      <c r="J660" s="51"/>
      <c r="K660" s="51"/>
      <c r="L660" s="51"/>
      <c r="M660" s="51"/>
      <c r="N660" s="51"/>
      <c r="O660" s="51"/>
      <c r="P660" s="51"/>
      <c r="Q660" s="51"/>
      <c r="R660" s="51"/>
      <c r="S660" s="51"/>
      <c r="T660" s="51"/>
      <c r="U660" s="51"/>
      <c r="V660" s="51"/>
      <c r="W660" s="51"/>
      <c r="X660" s="51"/>
      <c r="Y660" s="51"/>
      <c r="Z660" s="51"/>
      <c r="AA660" s="51"/>
    </row>
    <row r="661" spans="1:27" ht="13.65" customHeight="1" x14ac:dyDescent="0.3">
      <c r="A661" s="49"/>
      <c r="B661" s="57"/>
      <c r="C661" s="51"/>
      <c r="D661" s="51"/>
      <c r="E661" s="51"/>
      <c r="F661" s="51"/>
      <c r="G661" s="58"/>
      <c r="H661" s="51"/>
      <c r="I661" s="58"/>
      <c r="J661" s="51"/>
      <c r="K661" s="51"/>
      <c r="L661" s="51"/>
      <c r="M661" s="51"/>
      <c r="N661" s="51"/>
      <c r="O661" s="51"/>
      <c r="P661" s="51"/>
      <c r="Q661" s="51"/>
      <c r="R661" s="51"/>
      <c r="S661" s="51"/>
      <c r="T661" s="51"/>
      <c r="U661" s="51"/>
      <c r="V661" s="51"/>
      <c r="W661" s="51"/>
      <c r="X661" s="51"/>
      <c r="Y661" s="51"/>
      <c r="Z661" s="51"/>
      <c r="AA661" s="51"/>
    </row>
    <row r="662" spans="1:27" ht="13.65" customHeight="1" x14ac:dyDescent="0.3">
      <c r="A662" s="49"/>
      <c r="B662" s="57"/>
      <c r="C662" s="51"/>
      <c r="D662" s="51"/>
      <c r="E662" s="51"/>
      <c r="F662" s="51"/>
      <c r="G662" s="58"/>
      <c r="H662" s="51"/>
      <c r="I662" s="58"/>
      <c r="J662" s="51"/>
      <c r="K662" s="51"/>
      <c r="L662" s="51"/>
      <c r="M662" s="51"/>
      <c r="N662" s="51"/>
      <c r="O662" s="51"/>
      <c r="P662" s="51"/>
      <c r="Q662" s="51"/>
      <c r="R662" s="51"/>
      <c r="S662" s="51"/>
      <c r="T662" s="51"/>
      <c r="U662" s="51"/>
      <c r="V662" s="51"/>
      <c r="W662" s="51"/>
      <c r="X662" s="51"/>
      <c r="Y662" s="51"/>
      <c r="Z662" s="51"/>
      <c r="AA662" s="51"/>
    </row>
    <row r="663" spans="1:27" ht="13.65" customHeight="1" x14ac:dyDescent="0.3">
      <c r="A663" s="49"/>
      <c r="B663" s="57"/>
      <c r="C663" s="51"/>
      <c r="D663" s="51"/>
      <c r="E663" s="51"/>
      <c r="F663" s="51"/>
      <c r="G663" s="58"/>
      <c r="H663" s="51"/>
      <c r="I663" s="58"/>
      <c r="J663" s="51"/>
      <c r="K663" s="51"/>
      <c r="L663" s="51"/>
      <c r="M663" s="51"/>
      <c r="N663" s="51"/>
      <c r="O663" s="51"/>
      <c r="P663" s="51"/>
      <c r="Q663" s="51"/>
      <c r="R663" s="51"/>
      <c r="S663" s="51"/>
      <c r="T663" s="51"/>
      <c r="U663" s="51"/>
      <c r="V663" s="51"/>
      <c r="W663" s="51"/>
      <c r="X663" s="51"/>
      <c r="Y663" s="51"/>
      <c r="Z663" s="51"/>
      <c r="AA663" s="51"/>
    </row>
    <row r="664" spans="1:27" ht="13.65" customHeight="1" x14ac:dyDescent="0.3">
      <c r="A664" s="49"/>
      <c r="B664" s="57"/>
      <c r="C664" s="51"/>
      <c r="D664" s="51"/>
      <c r="E664" s="51"/>
      <c r="F664" s="51"/>
      <c r="G664" s="58"/>
      <c r="H664" s="51"/>
      <c r="I664" s="58"/>
      <c r="J664" s="51"/>
      <c r="K664" s="51"/>
      <c r="L664" s="51"/>
      <c r="M664" s="51"/>
      <c r="N664" s="51"/>
      <c r="O664" s="51"/>
      <c r="P664" s="51"/>
      <c r="Q664" s="51"/>
      <c r="R664" s="51"/>
      <c r="S664" s="51"/>
      <c r="T664" s="51"/>
      <c r="U664" s="51"/>
      <c r="V664" s="51"/>
      <c r="W664" s="51"/>
      <c r="X664" s="51"/>
      <c r="Y664" s="51"/>
      <c r="Z664" s="51"/>
      <c r="AA664" s="51"/>
    </row>
    <row r="665" spans="1:27" ht="13.65" customHeight="1" x14ac:dyDescent="0.3">
      <c r="A665" s="49"/>
      <c r="B665" s="57"/>
      <c r="C665" s="51"/>
      <c r="D665" s="51"/>
      <c r="E665" s="51"/>
      <c r="F665" s="51"/>
      <c r="G665" s="58"/>
      <c r="H665" s="51"/>
      <c r="I665" s="58"/>
      <c r="J665" s="51"/>
      <c r="K665" s="51"/>
      <c r="L665" s="51"/>
      <c r="M665" s="51"/>
      <c r="N665" s="51"/>
      <c r="O665" s="51"/>
      <c r="P665" s="51"/>
      <c r="Q665" s="51"/>
      <c r="R665" s="51"/>
      <c r="S665" s="51"/>
      <c r="T665" s="51"/>
      <c r="U665" s="51"/>
      <c r="V665" s="51"/>
      <c r="W665" s="51"/>
      <c r="X665" s="51"/>
      <c r="Y665" s="51"/>
      <c r="Z665" s="51"/>
      <c r="AA665" s="51"/>
    </row>
    <row r="666" spans="1:27" ht="13.65" customHeight="1" x14ac:dyDescent="0.3">
      <c r="A666" s="49"/>
      <c r="B666" s="57"/>
      <c r="C666" s="51"/>
      <c r="D666" s="51"/>
      <c r="E666" s="51"/>
      <c r="F666" s="51"/>
      <c r="G666" s="58"/>
      <c r="H666" s="51"/>
      <c r="I666" s="58"/>
      <c r="J666" s="51"/>
      <c r="K666" s="51"/>
      <c r="L666" s="51"/>
      <c r="M666" s="51"/>
      <c r="N666" s="51"/>
      <c r="O666" s="51"/>
      <c r="P666" s="51"/>
      <c r="Q666" s="51"/>
      <c r="R666" s="51"/>
      <c r="S666" s="51"/>
      <c r="T666" s="51"/>
      <c r="U666" s="51"/>
      <c r="V666" s="51"/>
      <c r="W666" s="51"/>
      <c r="X666" s="51"/>
      <c r="Y666" s="51"/>
      <c r="Z666" s="51"/>
      <c r="AA666" s="51"/>
    </row>
    <row r="667" spans="1:27" ht="13.65" customHeight="1" x14ac:dyDescent="0.3">
      <c r="A667" s="49"/>
      <c r="B667" s="57"/>
      <c r="C667" s="51"/>
      <c r="D667" s="51"/>
      <c r="E667" s="51"/>
      <c r="F667" s="51"/>
      <c r="G667" s="58"/>
      <c r="H667" s="51"/>
      <c r="I667" s="58"/>
      <c r="J667" s="51"/>
      <c r="K667" s="51"/>
      <c r="L667" s="51"/>
      <c r="M667" s="51"/>
      <c r="N667" s="51"/>
      <c r="O667" s="51"/>
      <c r="P667" s="51"/>
      <c r="Q667" s="51"/>
      <c r="R667" s="51"/>
      <c r="S667" s="51"/>
      <c r="T667" s="51"/>
      <c r="U667" s="51"/>
      <c r="V667" s="51"/>
      <c r="W667" s="51"/>
      <c r="X667" s="51"/>
      <c r="Y667" s="51"/>
      <c r="Z667" s="51"/>
      <c r="AA667" s="51"/>
    </row>
    <row r="668" spans="1:27" ht="13.65" customHeight="1" x14ac:dyDescent="0.3">
      <c r="A668" s="49"/>
      <c r="B668" s="57"/>
      <c r="C668" s="51"/>
      <c r="D668" s="51"/>
      <c r="E668" s="51"/>
      <c r="F668" s="51"/>
      <c r="G668" s="58"/>
      <c r="H668" s="51"/>
      <c r="I668" s="58"/>
      <c r="J668" s="51"/>
      <c r="K668" s="51"/>
      <c r="L668" s="51"/>
      <c r="M668" s="51"/>
      <c r="N668" s="51"/>
      <c r="O668" s="51"/>
      <c r="P668" s="51"/>
      <c r="Q668" s="51"/>
      <c r="R668" s="51"/>
      <c r="S668" s="51"/>
      <c r="T668" s="51"/>
      <c r="U668" s="51"/>
      <c r="V668" s="51"/>
      <c r="W668" s="51"/>
      <c r="X668" s="51"/>
      <c r="Y668" s="51"/>
      <c r="Z668" s="51"/>
      <c r="AA668" s="51"/>
    </row>
    <row r="669" spans="1:27" ht="13.65" customHeight="1" x14ac:dyDescent="0.3">
      <c r="A669" s="49"/>
      <c r="B669" s="57"/>
      <c r="C669" s="51"/>
      <c r="D669" s="51"/>
      <c r="E669" s="51"/>
      <c r="F669" s="51"/>
      <c r="G669" s="58"/>
      <c r="H669" s="51"/>
      <c r="I669" s="58"/>
      <c r="J669" s="51"/>
      <c r="K669" s="51"/>
      <c r="L669" s="51"/>
      <c r="M669" s="51"/>
      <c r="N669" s="51"/>
      <c r="O669" s="51"/>
      <c r="P669" s="51"/>
      <c r="Q669" s="51"/>
      <c r="R669" s="51"/>
      <c r="S669" s="51"/>
      <c r="T669" s="51"/>
      <c r="U669" s="51"/>
      <c r="V669" s="51"/>
      <c r="W669" s="51"/>
      <c r="X669" s="51"/>
      <c r="Y669" s="51"/>
      <c r="Z669" s="51"/>
      <c r="AA669" s="51"/>
    </row>
    <row r="670" spans="1:27" ht="13.65" customHeight="1" x14ac:dyDescent="0.3">
      <c r="A670" s="49"/>
      <c r="B670" s="57"/>
      <c r="C670" s="51"/>
      <c r="D670" s="51"/>
      <c r="E670" s="51"/>
      <c r="F670" s="51"/>
      <c r="G670" s="58"/>
      <c r="H670" s="51"/>
      <c r="I670" s="58"/>
      <c r="J670" s="51"/>
      <c r="K670" s="51"/>
      <c r="L670" s="51"/>
      <c r="M670" s="51"/>
      <c r="N670" s="51"/>
      <c r="O670" s="51"/>
      <c r="P670" s="51"/>
      <c r="Q670" s="51"/>
      <c r="R670" s="51"/>
      <c r="S670" s="51"/>
      <c r="T670" s="51"/>
      <c r="U670" s="51"/>
      <c r="V670" s="51"/>
      <c r="W670" s="51"/>
      <c r="X670" s="51"/>
      <c r="Y670" s="51"/>
      <c r="Z670" s="51"/>
      <c r="AA670" s="51"/>
    </row>
    <row r="671" spans="1:27" ht="13.65" customHeight="1" x14ac:dyDescent="0.3">
      <c r="A671" s="49"/>
      <c r="B671" s="57"/>
      <c r="C671" s="51"/>
      <c r="D671" s="51"/>
      <c r="E671" s="51"/>
      <c r="F671" s="51"/>
      <c r="G671" s="58"/>
      <c r="H671" s="51"/>
      <c r="I671" s="58"/>
      <c r="J671" s="51"/>
      <c r="K671" s="51"/>
      <c r="L671" s="51"/>
      <c r="M671" s="51"/>
      <c r="N671" s="51"/>
      <c r="O671" s="51"/>
      <c r="P671" s="51"/>
      <c r="Q671" s="51"/>
      <c r="R671" s="51"/>
      <c r="S671" s="51"/>
      <c r="T671" s="51"/>
      <c r="U671" s="51"/>
      <c r="V671" s="51"/>
      <c r="W671" s="51"/>
      <c r="X671" s="51"/>
      <c r="Y671" s="51"/>
      <c r="Z671" s="51"/>
      <c r="AA671" s="51"/>
    </row>
    <row r="672" spans="1:27" ht="13.65" customHeight="1" x14ac:dyDescent="0.3">
      <c r="A672" s="49"/>
      <c r="B672" s="57"/>
      <c r="C672" s="51"/>
      <c r="D672" s="51"/>
      <c r="E672" s="51"/>
      <c r="F672" s="51"/>
      <c r="G672" s="58"/>
      <c r="H672" s="51"/>
      <c r="I672" s="58"/>
      <c r="J672" s="51"/>
      <c r="K672" s="51"/>
      <c r="L672" s="51"/>
      <c r="M672" s="51"/>
      <c r="N672" s="51"/>
      <c r="O672" s="51"/>
      <c r="P672" s="51"/>
      <c r="Q672" s="51"/>
      <c r="R672" s="51"/>
      <c r="S672" s="51"/>
      <c r="T672" s="51"/>
      <c r="U672" s="51"/>
      <c r="V672" s="51"/>
      <c r="W672" s="51"/>
      <c r="X672" s="51"/>
      <c r="Y672" s="51"/>
      <c r="Z672" s="51"/>
      <c r="AA672" s="51"/>
    </row>
    <row r="673" spans="1:27" ht="13.65" customHeight="1" x14ac:dyDescent="0.3">
      <c r="A673" s="49"/>
      <c r="B673" s="57"/>
      <c r="C673" s="51"/>
      <c r="D673" s="51"/>
      <c r="E673" s="51"/>
      <c r="F673" s="51"/>
      <c r="G673" s="58"/>
      <c r="H673" s="51"/>
      <c r="I673" s="58"/>
      <c r="J673" s="51"/>
      <c r="K673" s="51"/>
      <c r="L673" s="51"/>
      <c r="M673" s="51"/>
      <c r="N673" s="51"/>
      <c r="O673" s="51"/>
      <c r="P673" s="51"/>
      <c r="Q673" s="51"/>
      <c r="R673" s="51"/>
      <c r="S673" s="51"/>
      <c r="T673" s="51"/>
      <c r="U673" s="51"/>
      <c r="V673" s="51"/>
      <c r="W673" s="51"/>
      <c r="X673" s="51"/>
      <c r="Y673" s="51"/>
      <c r="Z673" s="51"/>
      <c r="AA673" s="51"/>
    </row>
    <row r="674" spans="1:27" ht="13.65" customHeight="1" x14ac:dyDescent="0.3">
      <c r="A674" s="49"/>
      <c r="B674" s="57"/>
      <c r="C674" s="51"/>
      <c r="D674" s="51"/>
      <c r="E674" s="51"/>
      <c r="F674" s="51"/>
      <c r="G674" s="58"/>
      <c r="H674" s="51"/>
      <c r="I674" s="58"/>
      <c r="J674" s="51"/>
      <c r="K674" s="51"/>
      <c r="L674" s="51"/>
      <c r="M674" s="51"/>
      <c r="N674" s="51"/>
      <c r="O674" s="51"/>
      <c r="P674" s="51"/>
      <c r="Q674" s="51"/>
      <c r="R674" s="51"/>
      <c r="S674" s="51"/>
      <c r="T674" s="51"/>
      <c r="U674" s="51"/>
      <c r="V674" s="51"/>
      <c r="W674" s="51"/>
      <c r="X674" s="51"/>
      <c r="Y674" s="51"/>
      <c r="Z674" s="51"/>
      <c r="AA674" s="51"/>
    </row>
    <row r="675" spans="1:27" ht="13.65" customHeight="1" x14ac:dyDescent="0.3">
      <c r="A675" s="49"/>
      <c r="B675" s="57"/>
      <c r="C675" s="51"/>
      <c r="D675" s="51"/>
      <c r="E675" s="51"/>
      <c r="F675" s="51"/>
      <c r="G675" s="58"/>
      <c r="H675" s="51"/>
      <c r="I675" s="58"/>
      <c r="J675" s="51"/>
      <c r="K675" s="51"/>
      <c r="L675" s="51"/>
      <c r="M675" s="51"/>
      <c r="N675" s="51"/>
      <c r="O675" s="51"/>
      <c r="P675" s="51"/>
      <c r="Q675" s="51"/>
      <c r="R675" s="51"/>
      <c r="S675" s="51"/>
      <c r="T675" s="51"/>
      <c r="U675" s="51"/>
      <c r="V675" s="51"/>
      <c r="W675" s="51"/>
      <c r="X675" s="51"/>
      <c r="Y675" s="51"/>
      <c r="Z675" s="51"/>
      <c r="AA675" s="51"/>
    </row>
    <row r="676" spans="1:27" ht="13.65" customHeight="1" x14ac:dyDescent="0.3">
      <c r="A676" s="49"/>
      <c r="B676" s="57"/>
      <c r="C676" s="51"/>
      <c r="D676" s="51"/>
      <c r="E676" s="51"/>
      <c r="F676" s="51"/>
      <c r="G676" s="58"/>
      <c r="H676" s="51"/>
      <c r="I676" s="58"/>
      <c r="J676" s="51"/>
      <c r="K676" s="51"/>
      <c r="L676" s="51"/>
      <c r="M676" s="51"/>
      <c r="N676" s="51"/>
      <c r="O676" s="51"/>
      <c r="P676" s="51"/>
      <c r="Q676" s="51"/>
      <c r="R676" s="51"/>
      <c r="S676" s="51"/>
      <c r="T676" s="51"/>
      <c r="U676" s="51"/>
      <c r="V676" s="51"/>
      <c r="W676" s="51"/>
      <c r="X676" s="51"/>
      <c r="Y676" s="51"/>
      <c r="Z676" s="51"/>
      <c r="AA676" s="51"/>
    </row>
    <row r="677" spans="1:27" ht="13.65" customHeight="1" x14ac:dyDescent="0.3">
      <c r="A677" s="49"/>
      <c r="B677" s="57"/>
      <c r="C677" s="51"/>
      <c r="D677" s="51"/>
      <c r="E677" s="51"/>
      <c r="F677" s="51"/>
      <c r="G677" s="58"/>
      <c r="H677" s="51"/>
      <c r="I677" s="58"/>
      <c r="J677" s="51"/>
      <c r="K677" s="51"/>
      <c r="L677" s="51"/>
      <c r="M677" s="51"/>
      <c r="N677" s="51"/>
      <c r="O677" s="51"/>
      <c r="P677" s="51"/>
      <c r="Q677" s="51"/>
      <c r="R677" s="51"/>
      <c r="S677" s="51"/>
      <c r="T677" s="51"/>
      <c r="U677" s="51"/>
      <c r="V677" s="51"/>
      <c r="W677" s="51"/>
      <c r="X677" s="51"/>
      <c r="Y677" s="51"/>
      <c r="Z677" s="51"/>
      <c r="AA677" s="51"/>
    </row>
    <row r="678" spans="1:27" ht="13.65" customHeight="1" x14ac:dyDescent="0.3">
      <c r="A678" s="49"/>
      <c r="B678" s="57"/>
      <c r="C678" s="51"/>
      <c r="D678" s="51"/>
      <c r="E678" s="51"/>
      <c r="F678" s="51"/>
      <c r="G678" s="58"/>
      <c r="H678" s="51"/>
      <c r="I678" s="58"/>
      <c r="J678" s="51"/>
      <c r="K678" s="51"/>
      <c r="L678" s="51"/>
      <c r="M678" s="51"/>
      <c r="N678" s="51"/>
      <c r="O678" s="51"/>
      <c r="P678" s="51"/>
      <c r="Q678" s="51"/>
      <c r="R678" s="51"/>
      <c r="S678" s="51"/>
      <c r="T678" s="51"/>
      <c r="U678" s="51"/>
      <c r="V678" s="51"/>
      <c r="W678" s="51"/>
      <c r="X678" s="51"/>
      <c r="Y678" s="51"/>
      <c r="Z678" s="51"/>
      <c r="AA678" s="51"/>
    </row>
    <row r="679" spans="1:27" ht="13.65" customHeight="1" x14ac:dyDescent="0.3">
      <c r="A679" s="49"/>
      <c r="B679" s="57"/>
      <c r="C679" s="51"/>
      <c r="D679" s="51"/>
      <c r="E679" s="51"/>
      <c r="F679" s="51"/>
      <c r="G679" s="58"/>
      <c r="H679" s="51"/>
      <c r="I679" s="58"/>
      <c r="J679" s="51"/>
      <c r="K679" s="51"/>
      <c r="L679" s="51"/>
      <c r="M679" s="51"/>
      <c r="N679" s="51"/>
      <c r="O679" s="51"/>
      <c r="P679" s="51"/>
      <c r="Q679" s="51"/>
      <c r="R679" s="51"/>
      <c r="S679" s="51"/>
      <c r="T679" s="51"/>
      <c r="U679" s="51"/>
      <c r="V679" s="51"/>
      <c r="W679" s="51"/>
      <c r="X679" s="51"/>
      <c r="Y679" s="51"/>
      <c r="Z679" s="51"/>
      <c r="AA679" s="51"/>
    </row>
    <row r="680" spans="1:27" ht="13.65" customHeight="1" x14ac:dyDescent="0.3">
      <c r="A680" s="49"/>
      <c r="B680" s="57"/>
      <c r="C680" s="51"/>
      <c r="D680" s="51"/>
      <c r="E680" s="51"/>
      <c r="F680" s="51"/>
      <c r="G680" s="58"/>
      <c r="H680" s="51"/>
      <c r="I680" s="58"/>
      <c r="J680" s="51"/>
      <c r="K680" s="51"/>
      <c r="L680" s="51"/>
      <c r="M680" s="51"/>
      <c r="N680" s="51"/>
      <c r="O680" s="51"/>
      <c r="P680" s="51"/>
      <c r="Q680" s="51"/>
      <c r="R680" s="51"/>
      <c r="S680" s="51"/>
      <c r="T680" s="51"/>
      <c r="U680" s="51"/>
      <c r="V680" s="51"/>
      <c r="W680" s="51"/>
      <c r="X680" s="51"/>
      <c r="Y680" s="51"/>
      <c r="Z680" s="51"/>
      <c r="AA680" s="51"/>
    </row>
    <row r="681" spans="1:27" ht="13.65" customHeight="1" x14ac:dyDescent="0.3">
      <c r="A681" s="49"/>
      <c r="B681" s="57"/>
      <c r="C681" s="51"/>
      <c r="D681" s="51"/>
      <c r="E681" s="51"/>
      <c r="F681" s="51"/>
      <c r="G681" s="58"/>
      <c r="H681" s="51"/>
      <c r="I681" s="58"/>
      <c r="J681" s="51"/>
      <c r="K681" s="51"/>
      <c r="L681" s="51"/>
      <c r="M681" s="51"/>
      <c r="N681" s="51"/>
      <c r="O681" s="51"/>
      <c r="P681" s="51"/>
      <c r="Q681" s="51"/>
      <c r="R681" s="51"/>
      <c r="S681" s="51"/>
      <c r="T681" s="51"/>
      <c r="U681" s="51"/>
      <c r="V681" s="51"/>
      <c r="W681" s="51"/>
      <c r="X681" s="51"/>
      <c r="Y681" s="51"/>
      <c r="Z681" s="51"/>
      <c r="AA681" s="51"/>
    </row>
    <row r="682" spans="1:27" ht="13.65" customHeight="1" x14ac:dyDescent="0.3">
      <c r="A682" s="49"/>
      <c r="B682" s="57"/>
      <c r="C682" s="51"/>
      <c r="D682" s="51"/>
      <c r="E682" s="51"/>
      <c r="F682" s="51"/>
      <c r="G682" s="58"/>
      <c r="H682" s="51"/>
      <c r="I682" s="58"/>
      <c r="J682" s="51"/>
      <c r="K682" s="51"/>
      <c r="L682" s="51"/>
      <c r="M682" s="51"/>
      <c r="N682" s="51"/>
      <c r="O682" s="51"/>
      <c r="P682" s="51"/>
      <c r="Q682" s="51"/>
      <c r="R682" s="51"/>
      <c r="S682" s="51"/>
      <c r="T682" s="51"/>
      <c r="U682" s="51"/>
      <c r="V682" s="51"/>
      <c r="W682" s="51"/>
      <c r="X682" s="51"/>
      <c r="Y682" s="51"/>
      <c r="Z682" s="51"/>
      <c r="AA682" s="51"/>
    </row>
    <row r="683" spans="1:27" ht="13.65" customHeight="1" x14ac:dyDescent="0.3">
      <c r="A683" s="49"/>
      <c r="B683" s="57"/>
      <c r="C683" s="51"/>
      <c r="D683" s="51"/>
      <c r="E683" s="51"/>
      <c r="F683" s="51"/>
      <c r="G683" s="58"/>
      <c r="H683" s="51"/>
      <c r="I683" s="58"/>
      <c r="J683" s="51"/>
      <c r="K683" s="51"/>
      <c r="L683" s="51"/>
      <c r="M683" s="51"/>
      <c r="N683" s="51"/>
      <c r="O683" s="51"/>
      <c r="P683" s="51"/>
      <c r="Q683" s="51"/>
      <c r="R683" s="51"/>
      <c r="S683" s="51"/>
      <c r="T683" s="51"/>
      <c r="U683" s="51"/>
      <c r="V683" s="51"/>
      <c r="W683" s="51"/>
      <c r="X683" s="51"/>
      <c r="Y683" s="51"/>
      <c r="Z683" s="51"/>
      <c r="AA683" s="51"/>
    </row>
    <row r="684" spans="1:27" ht="13.65" customHeight="1" x14ac:dyDescent="0.3">
      <c r="A684" s="49"/>
      <c r="B684" s="57"/>
      <c r="C684" s="51"/>
      <c r="D684" s="51"/>
      <c r="E684" s="51"/>
      <c r="F684" s="51"/>
      <c r="G684" s="58"/>
      <c r="H684" s="51"/>
      <c r="I684" s="58"/>
      <c r="J684" s="51"/>
      <c r="K684" s="51"/>
      <c r="L684" s="51"/>
      <c r="M684" s="51"/>
      <c r="N684" s="51"/>
      <c r="O684" s="51"/>
      <c r="P684" s="51"/>
      <c r="Q684" s="51"/>
      <c r="R684" s="51"/>
      <c r="S684" s="51"/>
      <c r="T684" s="51"/>
      <c r="U684" s="51"/>
      <c r="V684" s="51"/>
      <c r="W684" s="51"/>
      <c r="X684" s="51"/>
      <c r="Y684" s="51"/>
      <c r="Z684" s="51"/>
      <c r="AA684" s="51"/>
    </row>
    <row r="685" spans="1:27" ht="13.65" customHeight="1" x14ac:dyDescent="0.3">
      <c r="A685" s="49"/>
      <c r="B685" s="57"/>
      <c r="C685" s="51"/>
      <c r="D685" s="51"/>
      <c r="E685" s="51"/>
      <c r="F685" s="51"/>
      <c r="G685" s="58"/>
      <c r="H685" s="51"/>
      <c r="I685" s="58"/>
      <c r="J685" s="51"/>
      <c r="K685" s="51"/>
      <c r="L685" s="51"/>
      <c r="M685" s="51"/>
      <c r="N685" s="51"/>
      <c r="O685" s="51"/>
      <c r="P685" s="51"/>
      <c r="Q685" s="51"/>
      <c r="R685" s="51"/>
      <c r="S685" s="51"/>
      <c r="T685" s="51"/>
      <c r="U685" s="51"/>
      <c r="V685" s="51"/>
      <c r="W685" s="51"/>
      <c r="X685" s="51"/>
      <c r="Y685" s="51"/>
      <c r="Z685" s="51"/>
      <c r="AA685" s="51"/>
    </row>
    <row r="686" spans="1:27" ht="13.65" customHeight="1" x14ac:dyDescent="0.3">
      <c r="A686" s="49"/>
      <c r="B686" s="57"/>
      <c r="C686" s="51"/>
      <c r="D686" s="51"/>
      <c r="E686" s="51"/>
      <c r="F686" s="51"/>
      <c r="G686" s="58"/>
      <c r="H686" s="51"/>
      <c r="I686" s="58"/>
      <c r="J686" s="51"/>
      <c r="K686" s="51"/>
      <c r="L686" s="51"/>
      <c r="M686" s="51"/>
      <c r="N686" s="51"/>
      <c r="O686" s="51"/>
      <c r="P686" s="51"/>
      <c r="Q686" s="51"/>
      <c r="R686" s="51"/>
      <c r="S686" s="51"/>
      <c r="T686" s="51"/>
      <c r="U686" s="51"/>
      <c r="V686" s="51"/>
      <c r="W686" s="51"/>
      <c r="X686" s="51"/>
      <c r="Y686" s="51"/>
      <c r="Z686" s="51"/>
      <c r="AA686" s="51"/>
    </row>
    <row r="687" spans="1:27" ht="13.65" customHeight="1" x14ac:dyDescent="0.3">
      <c r="A687" s="49"/>
      <c r="B687" s="57"/>
      <c r="C687" s="51"/>
      <c r="D687" s="51"/>
      <c r="E687" s="51"/>
      <c r="F687" s="51"/>
      <c r="G687" s="58"/>
      <c r="H687" s="51"/>
      <c r="I687" s="58"/>
      <c r="J687" s="51"/>
      <c r="K687" s="51"/>
      <c r="L687" s="51"/>
      <c r="M687" s="51"/>
      <c r="N687" s="51"/>
      <c r="O687" s="51"/>
      <c r="P687" s="51"/>
      <c r="Q687" s="51"/>
      <c r="R687" s="51"/>
      <c r="S687" s="51"/>
      <c r="T687" s="51"/>
      <c r="U687" s="51"/>
      <c r="V687" s="51"/>
      <c r="W687" s="51"/>
      <c r="X687" s="51"/>
      <c r="Y687" s="51"/>
      <c r="Z687" s="51"/>
      <c r="AA687" s="51"/>
    </row>
    <row r="688" spans="1:27" ht="13.65" customHeight="1" x14ac:dyDescent="0.3">
      <c r="A688" s="49"/>
      <c r="B688" s="57"/>
      <c r="C688" s="51"/>
      <c r="D688" s="51"/>
      <c r="E688" s="51"/>
      <c r="F688" s="51"/>
      <c r="G688" s="58"/>
      <c r="H688" s="51"/>
      <c r="I688" s="58"/>
      <c r="J688" s="51"/>
      <c r="K688" s="51"/>
      <c r="L688" s="51"/>
      <c r="M688" s="51"/>
      <c r="N688" s="51"/>
      <c r="O688" s="51"/>
      <c r="P688" s="51"/>
      <c r="Q688" s="51"/>
      <c r="R688" s="51"/>
      <c r="S688" s="51"/>
      <c r="T688" s="51"/>
      <c r="U688" s="51"/>
      <c r="V688" s="51"/>
      <c r="W688" s="51"/>
      <c r="X688" s="51"/>
      <c r="Y688" s="51"/>
      <c r="Z688" s="51"/>
      <c r="AA688" s="51"/>
    </row>
    <row r="689" spans="1:27" ht="13.65" customHeight="1" x14ac:dyDescent="0.3">
      <c r="A689" s="49"/>
      <c r="B689" s="57"/>
      <c r="C689" s="51"/>
      <c r="D689" s="51"/>
      <c r="E689" s="51"/>
      <c r="F689" s="51"/>
      <c r="G689" s="58"/>
      <c r="H689" s="51"/>
      <c r="I689" s="58"/>
      <c r="J689" s="51"/>
      <c r="K689" s="51"/>
      <c r="L689" s="51"/>
      <c r="M689" s="51"/>
      <c r="N689" s="51"/>
      <c r="O689" s="51"/>
      <c r="P689" s="51"/>
      <c r="Q689" s="51"/>
      <c r="R689" s="51"/>
      <c r="S689" s="51"/>
      <c r="T689" s="51"/>
      <c r="U689" s="51"/>
      <c r="V689" s="51"/>
      <c r="W689" s="51"/>
      <c r="X689" s="51"/>
      <c r="Y689" s="51"/>
      <c r="Z689" s="51"/>
      <c r="AA689" s="51"/>
    </row>
    <row r="690" spans="1:27" ht="13.65" customHeight="1" x14ac:dyDescent="0.3">
      <c r="A690" s="49"/>
      <c r="B690" s="57"/>
      <c r="C690" s="51"/>
      <c r="D690" s="51"/>
      <c r="E690" s="51"/>
      <c r="F690" s="51"/>
      <c r="G690" s="58"/>
      <c r="H690" s="51"/>
      <c r="I690" s="58"/>
      <c r="J690" s="51"/>
      <c r="K690" s="51"/>
      <c r="L690" s="51"/>
      <c r="M690" s="51"/>
      <c r="N690" s="51"/>
      <c r="O690" s="51"/>
      <c r="P690" s="51"/>
      <c r="Q690" s="51"/>
      <c r="R690" s="51"/>
      <c r="S690" s="51"/>
      <c r="T690" s="51"/>
      <c r="U690" s="51"/>
      <c r="V690" s="51"/>
      <c r="W690" s="51"/>
      <c r="X690" s="51"/>
      <c r="Y690" s="51"/>
      <c r="Z690" s="51"/>
      <c r="AA690" s="51"/>
    </row>
    <row r="691" spans="1:27" ht="13.65" customHeight="1" x14ac:dyDescent="0.3">
      <c r="A691" s="49"/>
      <c r="B691" s="57"/>
      <c r="C691" s="51"/>
      <c r="D691" s="51"/>
      <c r="E691" s="51"/>
      <c r="F691" s="51"/>
      <c r="G691" s="58"/>
      <c r="H691" s="51"/>
      <c r="I691" s="58"/>
      <c r="J691" s="51"/>
      <c r="K691" s="51"/>
      <c r="L691" s="51"/>
      <c r="M691" s="51"/>
      <c r="N691" s="51"/>
      <c r="O691" s="51"/>
      <c r="P691" s="51"/>
      <c r="Q691" s="51"/>
      <c r="R691" s="51"/>
      <c r="S691" s="51"/>
      <c r="T691" s="51"/>
      <c r="U691" s="51"/>
      <c r="V691" s="51"/>
      <c r="W691" s="51"/>
      <c r="X691" s="51"/>
      <c r="Y691" s="51"/>
      <c r="Z691" s="51"/>
      <c r="AA691" s="51"/>
    </row>
    <row r="692" spans="1:27" ht="13.65" customHeight="1" x14ac:dyDescent="0.3">
      <c r="A692" s="49"/>
      <c r="B692" s="57"/>
      <c r="C692" s="51"/>
      <c r="D692" s="51"/>
      <c r="E692" s="51"/>
      <c r="F692" s="51"/>
      <c r="G692" s="58"/>
      <c r="H692" s="51"/>
      <c r="I692" s="58"/>
      <c r="J692" s="51"/>
      <c r="K692" s="51"/>
      <c r="L692" s="51"/>
      <c r="M692" s="51"/>
      <c r="N692" s="51"/>
      <c r="O692" s="51"/>
      <c r="P692" s="51"/>
      <c r="Q692" s="51"/>
      <c r="R692" s="51"/>
      <c r="S692" s="51"/>
      <c r="T692" s="51"/>
      <c r="U692" s="51"/>
      <c r="V692" s="51"/>
      <c r="W692" s="51"/>
      <c r="X692" s="51"/>
      <c r="Y692" s="51"/>
      <c r="Z692" s="51"/>
      <c r="AA692" s="51"/>
    </row>
    <row r="693" spans="1:27" ht="13.65" customHeight="1" x14ac:dyDescent="0.3">
      <c r="A693" s="49"/>
      <c r="B693" s="57"/>
      <c r="C693" s="51"/>
      <c r="D693" s="51"/>
      <c r="E693" s="51"/>
      <c r="F693" s="51"/>
      <c r="G693" s="58"/>
      <c r="H693" s="51"/>
      <c r="I693" s="58"/>
      <c r="J693" s="51"/>
      <c r="K693" s="51"/>
      <c r="L693" s="51"/>
      <c r="M693" s="51"/>
      <c r="N693" s="51"/>
      <c r="O693" s="51"/>
      <c r="P693" s="51"/>
      <c r="Q693" s="51"/>
      <c r="R693" s="51"/>
      <c r="S693" s="51"/>
      <c r="T693" s="51"/>
      <c r="U693" s="51"/>
      <c r="V693" s="51"/>
      <c r="W693" s="51"/>
      <c r="X693" s="51"/>
      <c r="Y693" s="51"/>
      <c r="Z693" s="51"/>
      <c r="AA693" s="51"/>
    </row>
    <row r="694" spans="1:27" ht="13.65" customHeight="1" x14ac:dyDescent="0.3">
      <c r="A694" s="49"/>
      <c r="B694" s="57"/>
      <c r="C694" s="51"/>
      <c r="D694" s="51"/>
      <c r="E694" s="51"/>
      <c r="F694" s="51"/>
      <c r="G694" s="58"/>
      <c r="H694" s="51"/>
      <c r="I694" s="58"/>
      <c r="J694" s="51"/>
      <c r="K694" s="51"/>
      <c r="L694" s="51"/>
      <c r="M694" s="51"/>
      <c r="N694" s="51"/>
      <c r="O694" s="51"/>
      <c r="P694" s="51"/>
      <c r="Q694" s="51"/>
      <c r="R694" s="51"/>
      <c r="S694" s="51"/>
      <c r="T694" s="51"/>
      <c r="U694" s="51"/>
      <c r="V694" s="51"/>
      <c r="W694" s="51"/>
      <c r="X694" s="51"/>
      <c r="Y694" s="51"/>
      <c r="Z694" s="51"/>
      <c r="AA694" s="51"/>
    </row>
    <row r="695" spans="1:27" ht="13.65" customHeight="1" x14ac:dyDescent="0.3">
      <c r="A695" s="49"/>
      <c r="B695" s="57"/>
      <c r="C695" s="51"/>
      <c r="D695" s="51"/>
      <c r="E695" s="51"/>
      <c r="F695" s="51"/>
      <c r="G695" s="58"/>
      <c r="H695" s="51"/>
      <c r="I695" s="58"/>
      <c r="J695" s="51"/>
      <c r="K695" s="51"/>
      <c r="L695" s="51"/>
      <c r="M695" s="51"/>
      <c r="N695" s="51"/>
      <c r="O695" s="51"/>
      <c r="P695" s="51"/>
      <c r="Q695" s="51"/>
      <c r="R695" s="51"/>
      <c r="S695" s="51"/>
      <c r="T695" s="51"/>
      <c r="U695" s="51"/>
      <c r="V695" s="51"/>
      <c r="W695" s="51"/>
      <c r="X695" s="51"/>
      <c r="Y695" s="51"/>
      <c r="Z695" s="51"/>
      <c r="AA695" s="51"/>
    </row>
    <row r="696" spans="1:27" ht="13.65" customHeight="1" x14ac:dyDescent="0.3">
      <c r="A696" s="49"/>
      <c r="B696" s="57"/>
      <c r="C696" s="51"/>
      <c r="D696" s="51"/>
      <c r="E696" s="51"/>
      <c r="F696" s="51"/>
      <c r="G696" s="58"/>
      <c r="H696" s="51"/>
      <c r="I696" s="58"/>
      <c r="J696" s="51"/>
      <c r="K696" s="51"/>
      <c r="L696" s="51"/>
      <c r="M696" s="51"/>
      <c r="N696" s="51"/>
      <c r="O696" s="51"/>
      <c r="P696" s="51"/>
      <c r="Q696" s="51"/>
      <c r="R696" s="51"/>
      <c r="S696" s="51"/>
      <c r="T696" s="51"/>
      <c r="U696" s="51"/>
      <c r="V696" s="51"/>
      <c r="W696" s="51"/>
      <c r="X696" s="51"/>
      <c r="Y696" s="51"/>
      <c r="Z696" s="51"/>
      <c r="AA696" s="51"/>
    </row>
    <row r="697" spans="1:27" ht="13.65" customHeight="1" x14ac:dyDescent="0.3">
      <c r="A697" s="49"/>
      <c r="B697" s="57"/>
      <c r="C697" s="51"/>
      <c r="D697" s="51"/>
      <c r="E697" s="51"/>
      <c r="F697" s="51"/>
      <c r="G697" s="58"/>
      <c r="H697" s="51"/>
      <c r="I697" s="58"/>
      <c r="J697" s="51"/>
      <c r="K697" s="51"/>
      <c r="L697" s="51"/>
      <c r="M697" s="51"/>
      <c r="N697" s="51"/>
      <c r="O697" s="51"/>
      <c r="P697" s="51"/>
      <c r="Q697" s="51"/>
      <c r="R697" s="51"/>
      <c r="S697" s="51"/>
      <c r="T697" s="51"/>
      <c r="U697" s="51"/>
      <c r="V697" s="51"/>
      <c r="W697" s="51"/>
      <c r="X697" s="51"/>
      <c r="Y697" s="51"/>
      <c r="Z697" s="51"/>
      <c r="AA697" s="51"/>
    </row>
    <row r="698" spans="1:27" ht="13.65" customHeight="1" x14ac:dyDescent="0.3">
      <c r="A698" s="49"/>
      <c r="B698" s="57"/>
      <c r="C698" s="51"/>
      <c r="D698" s="51"/>
      <c r="E698" s="51"/>
      <c r="F698" s="51"/>
      <c r="G698" s="58"/>
      <c r="H698" s="51"/>
      <c r="I698" s="58"/>
      <c r="J698" s="51"/>
      <c r="K698" s="51"/>
      <c r="L698" s="51"/>
      <c r="M698" s="51"/>
      <c r="N698" s="51"/>
      <c r="O698" s="51"/>
      <c r="P698" s="51"/>
      <c r="Q698" s="51"/>
      <c r="R698" s="51"/>
      <c r="S698" s="51"/>
      <c r="T698" s="51"/>
      <c r="U698" s="51"/>
      <c r="V698" s="51"/>
      <c r="W698" s="51"/>
      <c r="X698" s="51"/>
      <c r="Y698" s="51"/>
      <c r="Z698" s="51"/>
      <c r="AA698" s="51"/>
    </row>
    <row r="699" spans="1:27" ht="13.65" customHeight="1" x14ac:dyDescent="0.3">
      <c r="A699" s="49"/>
      <c r="B699" s="57"/>
      <c r="C699" s="51"/>
      <c r="D699" s="51"/>
      <c r="E699" s="51"/>
      <c r="F699" s="51"/>
      <c r="G699" s="58"/>
      <c r="H699" s="51"/>
      <c r="I699" s="58"/>
      <c r="J699" s="51"/>
      <c r="K699" s="51"/>
      <c r="L699" s="51"/>
      <c r="M699" s="51"/>
      <c r="N699" s="51"/>
      <c r="O699" s="51"/>
      <c r="P699" s="51"/>
      <c r="Q699" s="51"/>
      <c r="R699" s="51"/>
      <c r="S699" s="51"/>
      <c r="T699" s="51"/>
      <c r="U699" s="51"/>
      <c r="V699" s="51"/>
      <c r="W699" s="51"/>
      <c r="X699" s="51"/>
      <c r="Y699" s="51"/>
      <c r="Z699" s="51"/>
      <c r="AA699" s="51"/>
    </row>
    <row r="700" spans="1:27" ht="13.65" customHeight="1" x14ac:dyDescent="0.3">
      <c r="A700" s="49"/>
      <c r="B700" s="57"/>
      <c r="C700" s="51"/>
      <c r="D700" s="51"/>
      <c r="E700" s="51"/>
      <c r="F700" s="51"/>
      <c r="G700" s="58"/>
      <c r="H700" s="51"/>
      <c r="I700" s="58"/>
      <c r="J700" s="51"/>
      <c r="K700" s="51"/>
      <c r="L700" s="51"/>
      <c r="M700" s="51"/>
      <c r="N700" s="51"/>
      <c r="O700" s="51"/>
      <c r="P700" s="51"/>
      <c r="Q700" s="51"/>
      <c r="R700" s="51"/>
      <c r="S700" s="51"/>
      <c r="T700" s="51"/>
      <c r="U700" s="51"/>
      <c r="V700" s="51"/>
      <c r="W700" s="51"/>
      <c r="X700" s="51"/>
      <c r="Y700" s="51"/>
      <c r="Z700" s="51"/>
      <c r="AA700" s="51"/>
    </row>
    <row r="701" spans="1:27" ht="13.65" customHeight="1" x14ac:dyDescent="0.3">
      <c r="A701" s="49"/>
      <c r="B701" s="57"/>
      <c r="C701" s="51"/>
      <c r="D701" s="51"/>
      <c r="E701" s="51"/>
      <c r="F701" s="51"/>
      <c r="G701" s="58"/>
      <c r="H701" s="51"/>
      <c r="I701" s="58"/>
      <c r="J701" s="51"/>
      <c r="K701" s="51"/>
      <c r="L701" s="51"/>
      <c r="M701" s="51"/>
      <c r="N701" s="51"/>
      <c r="O701" s="51"/>
      <c r="P701" s="51"/>
      <c r="Q701" s="51"/>
      <c r="R701" s="51"/>
      <c r="S701" s="51"/>
      <c r="T701" s="51"/>
      <c r="U701" s="51"/>
      <c r="V701" s="51"/>
      <c r="W701" s="51"/>
      <c r="X701" s="51"/>
      <c r="Y701" s="51"/>
      <c r="Z701" s="51"/>
      <c r="AA701" s="51"/>
    </row>
    <row r="702" spans="1:27" ht="13.65" customHeight="1" x14ac:dyDescent="0.3">
      <c r="A702" s="49"/>
      <c r="B702" s="57"/>
      <c r="C702" s="51"/>
      <c r="D702" s="51"/>
      <c r="E702" s="51"/>
      <c r="F702" s="51"/>
      <c r="G702" s="58"/>
      <c r="H702" s="51"/>
      <c r="I702" s="58"/>
      <c r="J702" s="51"/>
      <c r="K702" s="51"/>
      <c r="L702" s="51"/>
      <c r="M702" s="51"/>
      <c r="N702" s="51"/>
      <c r="O702" s="51"/>
      <c r="P702" s="51"/>
      <c r="Q702" s="51"/>
      <c r="R702" s="51"/>
      <c r="S702" s="51"/>
      <c r="T702" s="51"/>
      <c r="U702" s="51"/>
      <c r="V702" s="51"/>
      <c r="W702" s="51"/>
      <c r="X702" s="51"/>
      <c r="Y702" s="51"/>
      <c r="Z702" s="51"/>
      <c r="AA702" s="51"/>
    </row>
    <row r="703" spans="1:27" ht="13.65" customHeight="1" x14ac:dyDescent="0.3">
      <c r="A703" s="49"/>
      <c r="B703" s="57"/>
      <c r="C703" s="51"/>
      <c r="D703" s="51"/>
      <c r="E703" s="51"/>
      <c r="F703" s="51"/>
      <c r="G703" s="58"/>
      <c r="H703" s="51"/>
      <c r="I703" s="58"/>
      <c r="J703" s="51"/>
      <c r="K703" s="51"/>
      <c r="L703" s="51"/>
      <c r="M703" s="51"/>
      <c r="N703" s="51"/>
      <c r="O703" s="51"/>
      <c r="P703" s="51"/>
      <c r="Q703" s="51"/>
      <c r="R703" s="51"/>
      <c r="S703" s="51"/>
      <c r="T703" s="51"/>
      <c r="U703" s="51"/>
      <c r="V703" s="51"/>
      <c r="W703" s="51"/>
      <c r="X703" s="51"/>
      <c r="Y703" s="51"/>
      <c r="Z703" s="51"/>
      <c r="AA703" s="51"/>
    </row>
    <row r="704" spans="1:27" ht="13.65" customHeight="1" x14ac:dyDescent="0.3">
      <c r="A704" s="49"/>
      <c r="B704" s="57"/>
      <c r="C704" s="51"/>
      <c r="D704" s="51"/>
      <c r="E704" s="51"/>
      <c r="F704" s="51"/>
      <c r="G704" s="58"/>
      <c r="H704" s="51"/>
      <c r="I704" s="58"/>
      <c r="J704" s="51"/>
      <c r="K704" s="51"/>
      <c r="L704" s="51"/>
      <c r="M704" s="51"/>
      <c r="N704" s="51"/>
      <c r="O704" s="51"/>
      <c r="P704" s="51"/>
      <c r="Q704" s="51"/>
      <c r="R704" s="51"/>
      <c r="S704" s="51"/>
      <c r="T704" s="51"/>
      <c r="U704" s="51"/>
      <c r="V704" s="51"/>
      <c r="W704" s="51"/>
      <c r="X704" s="51"/>
      <c r="Y704" s="51"/>
      <c r="Z704" s="51"/>
      <c r="AA704" s="51"/>
    </row>
    <row r="705" spans="1:27" ht="13.65" customHeight="1" x14ac:dyDescent="0.3">
      <c r="A705" s="49"/>
      <c r="B705" s="57"/>
      <c r="C705" s="51"/>
      <c r="D705" s="51"/>
      <c r="E705" s="51"/>
      <c r="F705" s="51"/>
      <c r="G705" s="58"/>
      <c r="H705" s="51"/>
      <c r="I705" s="58"/>
      <c r="J705" s="51"/>
      <c r="K705" s="51"/>
      <c r="L705" s="51"/>
      <c r="M705" s="51"/>
      <c r="N705" s="51"/>
      <c r="O705" s="51"/>
      <c r="P705" s="51"/>
      <c r="Q705" s="51"/>
      <c r="R705" s="51"/>
      <c r="S705" s="51"/>
      <c r="T705" s="51"/>
      <c r="U705" s="51"/>
      <c r="V705" s="51"/>
      <c r="W705" s="51"/>
      <c r="X705" s="51"/>
      <c r="Y705" s="51"/>
      <c r="Z705" s="51"/>
      <c r="AA705" s="51"/>
    </row>
    <row r="706" spans="1:27" ht="13.65" customHeight="1" x14ac:dyDescent="0.3">
      <c r="A706" s="49"/>
      <c r="B706" s="57"/>
      <c r="C706" s="51"/>
      <c r="D706" s="51"/>
      <c r="E706" s="51"/>
      <c r="F706" s="51"/>
      <c r="G706" s="58"/>
      <c r="H706" s="51"/>
      <c r="I706" s="58"/>
      <c r="J706" s="51"/>
      <c r="K706" s="51"/>
      <c r="L706" s="51"/>
      <c r="M706" s="51"/>
      <c r="N706" s="51"/>
      <c r="O706" s="51"/>
      <c r="P706" s="51"/>
      <c r="Q706" s="51"/>
      <c r="R706" s="51"/>
      <c r="S706" s="51"/>
      <c r="T706" s="51"/>
      <c r="U706" s="51"/>
      <c r="V706" s="51"/>
      <c r="W706" s="51"/>
      <c r="X706" s="51"/>
      <c r="Y706" s="51"/>
      <c r="Z706" s="51"/>
      <c r="AA706" s="51"/>
    </row>
    <row r="707" spans="1:27" ht="13.65" customHeight="1" x14ac:dyDescent="0.3">
      <c r="A707" s="49"/>
      <c r="B707" s="57"/>
      <c r="C707" s="51"/>
      <c r="D707" s="51"/>
      <c r="E707" s="51"/>
      <c r="F707" s="51"/>
      <c r="G707" s="58"/>
      <c r="H707" s="51"/>
      <c r="I707" s="58"/>
      <c r="J707" s="51"/>
      <c r="K707" s="51"/>
      <c r="L707" s="51"/>
      <c r="M707" s="51"/>
      <c r="N707" s="51"/>
      <c r="O707" s="51"/>
      <c r="P707" s="51"/>
      <c r="Q707" s="51"/>
      <c r="R707" s="51"/>
      <c r="S707" s="51"/>
      <c r="T707" s="51"/>
      <c r="U707" s="51"/>
      <c r="V707" s="51"/>
      <c r="W707" s="51"/>
      <c r="X707" s="51"/>
      <c r="Y707" s="51"/>
      <c r="Z707" s="51"/>
      <c r="AA707" s="51"/>
    </row>
    <row r="708" spans="1:27" ht="13.65" customHeight="1" x14ac:dyDescent="0.3">
      <c r="A708" s="49"/>
      <c r="B708" s="57"/>
      <c r="C708" s="51"/>
      <c r="D708" s="51"/>
      <c r="E708" s="51"/>
      <c r="F708" s="51"/>
      <c r="G708" s="58"/>
      <c r="H708" s="51"/>
      <c r="I708" s="58"/>
      <c r="J708" s="51"/>
      <c r="K708" s="51"/>
      <c r="L708" s="51"/>
      <c r="M708" s="51"/>
      <c r="N708" s="51"/>
      <c r="O708" s="51"/>
      <c r="P708" s="51"/>
      <c r="Q708" s="51"/>
      <c r="R708" s="51"/>
      <c r="S708" s="51"/>
      <c r="T708" s="51"/>
      <c r="U708" s="51"/>
      <c r="V708" s="51"/>
      <c r="W708" s="51"/>
      <c r="X708" s="51"/>
      <c r="Y708" s="51"/>
      <c r="Z708" s="51"/>
      <c r="AA708" s="51"/>
    </row>
    <row r="709" spans="1:27" ht="13.65" customHeight="1" x14ac:dyDescent="0.3">
      <c r="A709" s="49"/>
      <c r="B709" s="57"/>
      <c r="C709" s="51"/>
      <c r="D709" s="51"/>
      <c r="E709" s="51"/>
      <c r="F709" s="51"/>
      <c r="G709" s="58"/>
      <c r="H709" s="51"/>
      <c r="I709" s="58"/>
      <c r="J709" s="51"/>
      <c r="K709" s="51"/>
      <c r="L709" s="51"/>
      <c r="M709" s="51"/>
      <c r="N709" s="51"/>
      <c r="O709" s="51"/>
      <c r="P709" s="51"/>
      <c r="Q709" s="51"/>
      <c r="R709" s="51"/>
      <c r="S709" s="51"/>
      <c r="T709" s="51"/>
      <c r="U709" s="51"/>
      <c r="V709" s="51"/>
      <c r="W709" s="51"/>
      <c r="X709" s="51"/>
      <c r="Y709" s="51"/>
      <c r="Z709" s="51"/>
      <c r="AA709" s="51"/>
    </row>
    <row r="710" spans="1:27" ht="13.65" customHeight="1" x14ac:dyDescent="0.3">
      <c r="A710" s="49"/>
      <c r="B710" s="57"/>
      <c r="C710" s="51"/>
      <c r="D710" s="51"/>
      <c r="E710" s="51"/>
      <c r="F710" s="51"/>
      <c r="G710" s="58"/>
      <c r="H710" s="51"/>
      <c r="I710" s="58"/>
      <c r="J710" s="51"/>
      <c r="K710" s="51"/>
      <c r="L710" s="51"/>
      <c r="M710" s="51"/>
      <c r="N710" s="51"/>
      <c r="O710" s="51"/>
      <c r="P710" s="51"/>
      <c r="Q710" s="51"/>
      <c r="R710" s="51"/>
      <c r="S710" s="51"/>
      <c r="T710" s="51"/>
      <c r="U710" s="51"/>
      <c r="V710" s="51"/>
      <c r="W710" s="51"/>
      <c r="X710" s="51"/>
      <c r="Y710" s="51"/>
      <c r="Z710" s="51"/>
      <c r="AA710" s="51"/>
    </row>
    <row r="711" spans="1:27" ht="13.65" customHeight="1" x14ac:dyDescent="0.3">
      <c r="A711" s="49"/>
      <c r="B711" s="57"/>
      <c r="C711" s="51"/>
      <c r="D711" s="51"/>
      <c r="E711" s="51"/>
      <c r="F711" s="51"/>
      <c r="G711" s="58"/>
      <c r="H711" s="51"/>
      <c r="I711" s="58"/>
      <c r="J711" s="51"/>
      <c r="K711" s="51"/>
      <c r="L711" s="51"/>
      <c r="M711" s="51"/>
      <c r="N711" s="51"/>
      <c r="O711" s="51"/>
      <c r="P711" s="51"/>
      <c r="Q711" s="51"/>
      <c r="R711" s="51"/>
      <c r="S711" s="51"/>
      <c r="T711" s="51"/>
      <c r="U711" s="51"/>
      <c r="V711" s="51"/>
      <c r="W711" s="51"/>
      <c r="X711" s="51"/>
      <c r="Y711" s="51"/>
      <c r="Z711" s="51"/>
      <c r="AA711" s="51"/>
    </row>
    <row r="712" spans="1:27" ht="13.65" customHeight="1" x14ac:dyDescent="0.3">
      <c r="A712" s="49"/>
      <c r="B712" s="57"/>
      <c r="C712" s="51"/>
      <c r="D712" s="51"/>
      <c r="E712" s="51"/>
      <c r="F712" s="51"/>
      <c r="G712" s="58"/>
      <c r="H712" s="51"/>
      <c r="I712" s="58"/>
      <c r="J712" s="51"/>
      <c r="K712" s="51"/>
      <c r="L712" s="51"/>
      <c r="M712" s="51"/>
      <c r="N712" s="51"/>
      <c r="O712" s="51"/>
      <c r="P712" s="51"/>
      <c r="Q712" s="51"/>
      <c r="R712" s="51"/>
      <c r="S712" s="51"/>
      <c r="T712" s="51"/>
      <c r="U712" s="51"/>
      <c r="V712" s="51"/>
      <c r="W712" s="51"/>
      <c r="X712" s="51"/>
      <c r="Y712" s="51"/>
      <c r="Z712" s="51"/>
      <c r="AA712" s="51"/>
    </row>
    <row r="713" spans="1:27" ht="13.65" customHeight="1" x14ac:dyDescent="0.3">
      <c r="A713" s="49"/>
      <c r="B713" s="57"/>
      <c r="C713" s="51"/>
      <c r="D713" s="51"/>
      <c r="E713" s="51"/>
      <c r="F713" s="51"/>
      <c r="G713" s="58"/>
      <c r="H713" s="51"/>
      <c r="I713" s="58"/>
      <c r="J713" s="51"/>
      <c r="K713" s="51"/>
      <c r="L713" s="51"/>
      <c r="M713" s="51"/>
      <c r="N713" s="51"/>
      <c r="O713" s="51"/>
      <c r="P713" s="51"/>
      <c r="Q713" s="51"/>
      <c r="R713" s="51"/>
      <c r="S713" s="51"/>
      <c r="T713" s="51"/>
      <c r="U713" s="51"/>
      <c r="V713" s="51"/>
      <c r="W713" s="51"/>
      <c r="X713" s="51"/>
      <c r="Y713" s="51"/>
      <c r="Z713" s="51"/>
      <c r="AA713" s="51"/>
    </row>
    <row r="714" spans="1:27" ht="13.65" customHeight="1" x14ac:dyDescent="0.3">
      <c r="A714" s="49"/>
      <c r="B714" s="57"/>
      <c r="C714" s="51"/>
      <c r="D714" s="51"/>
      <c r="E714" s="51"/>
      <c r="F714" s="51"/>
      <c r="G714" s="58"/>
      <c r="H714" s="51"/>
      <c r="I714" s="58"/>
      <c r="J714" s="51"/>
      <c r="K714" s="51"/>
      <c r="L714" s="51"/>
      <c r="M714" s="51"/>
      <c r="N714" s="51"/>
      <c r="O714" s="51"/>
      <c r="P714" s="51"/>
      <c r="Q714" s="51"/>
      <c r="R714" s="51"/>
      <c r="S714" s="51"/>
      <c r="T714" s="51"/>
      <c r="U714" s="51"/>
      <c r="V714" s="51"/>
      <c r="W714" s="51"/>
      <c r="X714" s="51"/>
      <c r="Y714" s="51"/>
      <c r="Z714" s="51"/>
      <c r="AA714" s="51"/>
    </row>
    <row r="715" spans="1:27" ht="13.65" customHeight="1" x14ac:dyDescent="0.3">
      <c r="A715" s="49"/>
      <c r="B715" s="57"/>
      <c r="C715" s="51"/>
      <c r="D715" s="51"/>
      <c r="E715" s="51"/>
      <c r="F715" s="51"/>
      <c r="G715" s="58"/>
      <c r="H715" s="51"/>
      <c r="I715" s="58"/>
      <c r="J715" s="51"/>
      <c r="K715" s="51"/>
      <c r="L715" s="51"/>
      <c r="M715" s="51"/>
      <c r="N715" s="51"/>
      <c r="O715" s="51"/>
      <c r="P715" s="51"/>
      <c r="Q715" s="51"/>
      <c r="R715" s="51"/>
      <c r="S715" s="51"/>
      <c r="T715" s="51"/>
      <c r="U715" s="51"/>
      <c r="V715" s="51"/>
      <c r="W715" s="51"/>
      <c r="X715" s="51"/>
      <c r="Y715" s="51"/>
      <c r="Z715" s="51"/>
      <c r="AA715" s="51"/>
    </row>
    <row r="716" spans="1:27" ht="13.65" customHeight="1" x14ac:dyDescent="0.3">
      <c r="A716" s="49"/>
      <c r="B716" s="57"/>
      <c r="C716" s="51"/>
      <c r="D716" s="51"/>
      <c r="E716" s="51"/>
      <c r="F716" s="51"/>
      <c r="G716" s="58"/>
      <c r="H716" s="51"/>
      <c r="I716" s="58"/>
      <c r="J716" s="51"/>
      <c r="K716" s="51"/>
      <c r="L716" s="51"/>
      <c r="M716" s="51"/>
      <c r="N716" s="51"/>
      <c r="O716" s="51"/>
      <c r="P716" s="51"/>
      <c r="Q716" s="51"/>
      <c r="R716" s="51"/>
      <c r="S716" s="51"/>
      <c r="T716" s="51"/>
      <c r="U716" s="51"/>
      <c r="V716" s="51"/>
      <c r="W716" s="51"/>
      <c r="X716" s="51"/>
      <c r="Y716" s="51"/>
      <c r="Z716" s="51"/>
      <c r="AA716" s="51"/>
    </row>
    <row r="717" spans="1:27" ht="13.65" customHeight="1" x14ac:dyDescent="0.3">
      <c r="A717" s="49"/>
      <c r="B717" s="57"/>
      <c r="C717" s="51"/>
      <c r="D717" s="51"/>
      <c r="E717" s="51"/>
      <c r="F717" s="51"/>
      <c r="G717" s="58"/>
      <c r="H717" s="51"/>
      <c r="I717" s="58"/>
      <c r="J717" s="51"/>
      <c r="K717" s="51"/>
      <c r="L717" s="51"/>
      <c r="M717" s="51"/>
      <c r="N717" s="51"/>
      <c r="O717" s="51"/>
      <c r="P717" s="51"/>
      <c r="Q717" s="51"/>
      <c r="R717" s="51"/>
      <c r="S717" s="51"/>
      <c r="T717" s="51"/>
      <c r="U717" s="51"/>
      <c r="V717" s="51"/>
      <c r="W717" s="51"/>
      <c r="X717" s="51"/>
      <c r="Y717" s="51"/>
      <c r="Z717" s="51"/>
      <c r="AA717" s="51"/>
    </row>
    <row r="718" spans="1:27" ht="13.65" customHeight="1" x14ac:dyDescent="0.3">
      <c r="A718" s="49"/>
      <c r="B718" s="57"/>
      <c r="C718" s="51"/>
      <c r="D718" s="51"/>
      <c r="E718" s="51"/>
      <c r="F718" s="51"/>
      <c r="G718" s="58"/>
      <c r="H718" s="51"/>
      <c r="I718" s="58"/>
      <c r="J718" s="51"/>
      <c r="K718" s="51"/>
      <c r="L718" s="51"/>
      <c r="M718" s="51"/>
      <c r="N718" s="51"/>
      <c r="O718" s="51"/>
      <c r="P718" s="51"/>
      <c r="Q718" s="51"/>
      <c r="R718" s="51"/>
      <c r="S718" s="51"/>
      <c r="T718" s="51"/>
      <c r="U718" s="51"/>
      <c r="V718" s="51"/>
      <c r="W718" s="51"/>
      <c r="X718" s="51"/>
      <c r="Y718" s="51"/>
      <c r="Z718" s="51"/>
      <c r="AA718" s="51"/>
    </row>
    <row r="719" spans="1:27" ht="13.65" customHeight="1" x14ac:dyDescent="0.3">
      <c r="A719" s="49"/>
      <c r="B719" s="57"/>
      <c r="C719" s="51"/>
      <c r="D719" s="51"/>
      <c r="E719" s="51"/>
      <c r="F719" s="51"/>
      <c r="G719" s="58"/>
      <c r="H719" s="51"/>
      <c r="I719" s="58"/>
      <c r="J719" s="51"/>
      <c r="K719" s="51"/>
      <c r="L719" s="51"/>
      <c r="M719" s="51"/>
      <c r="N719" s="51"/>
      <c r="O719" s="51"/>
      <c r="P719" s="51"/>
      <c r="Q719" s="51"/>
      <c r="R719" s="51"/>
      <c r="S719" s="51"/>
      <c r="T719" s="51"/>
      <c r="U719" s="51"/>
      <c r="V719" s="51"/>
      <c r="W719" s="51"/>
      <c r="X719" s="51"/>
      <c r="Y719" s="51"/>
      <c r="Z719" s="51"/>
      <c r="AA719" s="51"/>
    </row>
    <row r="720" spans="1:27" ht="13.65" customHeight="1" x14ac:dyDescent="0.3">
      <c r="A720" s="49"/>
      <c r="B720" s="57"/>
      <c r="C720" s="51"/>
      <c r="D720" s="51"/>
      <c r="E720" s="51"/>
      <c r="F720" s="51"/>
      <c r="G720" s="58"/>
      <c r="H720" s="51"/>
      <c r="I720" s="58"/>
      <c r="J720" s="51"/>
      <c r="K720" s="51"/>
      <c r="L720" s="51"/>
      <c r="M720" s="51"/>
      <c r="N720" s="51"/>
      <c r="O720" s="51"/>
      <c r="P720" s="51"/>
      <c r="Q720" s="51"/>
      <c r="R720" s="51"/>
      <c r="S720" s="51"/>
      <c r="T720" s="51"/>
      <c r="U720" s="51"/>
      <c r="V720" s="51"/>
      <c r="W720" s="51"/>
      <c r="X720" s="51"/>
      <c r="Y720" s="51"/>
      <c r="Z720" s="51"/>
      <c r="AA720" s="51"/>
    </row>
    <row r="721" spans="1:27" ht="13.65" customHeight="1" x14ac:dyDescent="0.3">
      <c r="A721" s="49"/>
      <c r="B721" s="57"/>
      <c r="C721" s="51"/>
      <c r="D721" s="51"/>
      <c r="E721" s="51"/>
      <c r="F721" s="51"/>
      <c r="G721" s="58"/>
      <c r="H721" s="51"/>
      <c r="I721" s="58"/>
      <c r="J721" s="51"/>
      <c r="K721" s="51"/>
      <c r="L721" s="51"/>
      <c r="M721" s="51"/>
      <c r="N721" s="51"/>
      <c r="O721" s="51"/>
      <c r="P721" s="51"/>
      <c r="Q721" s="51"/>
      <c r="R721" s="51"/>
      <c r="S721" s="51"/>
      <c r="T721" s="51"/>
      <c r="U721" s="51"/>
      <c r="V721" s="51"/>
      <c r="W721" s="51"/>
      <c r="X721" s="51"/>
      <c r="Y721" s="51"/>
      <c r="Z721" s="51"/>
      <c r="AA721" s="51"/>
    </row>
    <row r="722" spans="1:27" ht="13.65" customHeight="1" x14ac:dyDescent="0.3">
      <c r="A722" s="49"/>
      <c r="B722" s="57"/>
      <c r="C722" s="51"/>
      <c r="D722" s="51"/>
      <c r="E722" s="51"/>
      <c r="F722" s="51"/>
      <c r="G722" s="58"/>
      <c r="H722" s="51"/>
      <c r="I722" s="58"/>
      <c r="J722" s="51"/>
      <c r="K722" s="51"/>
      <c r="L722" s="51"/>
      <c r="M722" s="51"/>
      <c r="N722" s="51"/>
      <c r="O722" s="51"/>
      <c r="P722" s="51"/>
      <c r="Q722" s="51"/>
      <c r="R722" s="51"/>
      <c r="S722" s="51"/>
      <c r="T722" s="51"/>
      <c r="U722" s="51"/>
      <c r="V722" s="51"/>
      <c r="W722" s="51"/>
      <c r="X722" s="51"/>
      <c r="Y722" s="51"/>
      <c r="Z722" s="51"/>
      <c r="AA722" s="51"/>
    </row>
    <row r="723" spans="1:27" ht="13.65" customHeight="1" x14ac:dyDescent="0.3">
      <c r="A723" s="49"/>
      <c r="B723" s="57"/>
      <c r="C723" s="51"/>
      <c r="D723" s="51"/>
      <c r="E723" s="51"/>
      <c r="F723" s="51"/>
      <c r="G723" s="58"/>
      <c r="H723" s="51"/>
      <c r="I723" s="58"/>
      <c r="J723" s="51"/>
      <c r="K723" s="51"/>
      <c r="L723" s="51"/>
      <c r="M723" s="51"/>
      <c r="N723" s="51"/>
      <c r="O723" s="51"/>
      <c r="P723" s="51"/>
      <c r="Q723" s="51"/>
      <c r="R723" s="51"/>
      <c r="S723" s="51"/>
      <c r="T723" s="51"/>
      <c r="U723" s="51"/>
      <c r="V723" s="51"/>
      <c r="W723" s="51"/>
      <c r="X723" s="51"/>
      <c r="Y723" s="51"/>
      <c r="Z723" s="51"/>
      <c r="AA723" s="51"/>
    </row>
    <row r="724" spans="1:27" ht="13.65" customHeight="1" x14ac:dyDescent="0.3">
      <c r="A724" s="49"/>
      <c r="B724" s="57"/>
      <c r="C724" s="51"/>
      <c r="D724" s="51"/>
      <c r="E724" s="51"/>
      <c r="F724" s="51"/>
      <c r="G724" s="58"/>
      <c r="H724" s="51"/>
      <c r="I724" s="58"/>
      <c r="J724" s="51"/>
      <c r="K724" s="51"/>
      <c r="L724" s="51"/>
      <c r="M724" s="51"/>
      <c r="N724" s="51"/>
      <c r="O724" s="51"/>
      <c r="P724" s="51"/>
      <c r="Q724" s="51"/>
      <c r="R724" s="51"/>
      <c r="S724" s="51"/>
      <c r="T724" s="51"/>
      <c r="U724" s="51"/>
      <c r="V724" s="51"/>
      <c r="W724" s="51"/>
      <c r="X724" s="51"/>
      <c r="Y724" s="51"/>
      <c r="Z724" s="51"/>
      <c r="AA724" s="51"/>
    </row>
    <row r="725" spans="1:27" ht="13.65" customHeight="1" x14ac:dyDescent="0.3">
      <c r="A725" s="49"/>
      <c r="B725" s="57"/>
      <c r="C725" s="51"/>
      <c r="D725" s="51"/>
      <c r="E725" s="51"/>
      <c r="F725" s="51"/>
      <c r="G725" s="58"/>
      <c r="H725" s="51"/>
      <c r="I725" s="58"/>
      <c r="J725" s="51"/>
      <c r="K725" s="51"/>
      <c r="L725" s="51"/>
      <c r="M725" s="51"/>
      <c r="N725" s="51"/>
      <c r="O725" s="51"/>
      <c r="P725" s="51"/>
      <c r="Q725" s="51"/>
      <c r="R725" s="51"/>
      <c r="S725" s="51"/>
      <c r="T725" s="51"/>
      <c r="U725" s="51"/>
      <c r="V725" s="51"/>
      <c r="W725" s="51"/>
      <c r="X725" s="51"/>
      <c r="Y725" s="51"/>
      <c r="Z725" s="51"/>
      <c r="AA725" s="51"/>
    </row>
    <row r="726" spans="1:27" ht="13.65" customHeight="1" x14ac:dyDescent="0.3">
      <c r="A726" s="49"/>
      <c r="B726" s="57"/>
      <c r="C726" s="51"/>
      <c r="D726" s="51"/>
      <c r="E726" s="51"/>
      <c r="F726" s="51"/>
      <c r="G726" s="58"/>
      <c r="H726" s="51"/>
      <c r="I726" s="58"/>
      <c r="J726" s="51"/>
      <c r="K726" s="51"/>
      <c r="L726" s="51"/>
      <c r="M726" s="51"/>
      <c r="N726" s="51"/>
      <c r="O726" s="51"/>
      <c r="P726" s="51"/>
      <c r="Q726" s="51"/>
      <c r="R726" s="51"/>
      <c r="S726" s="51"/>
      <c r="T726" s="51"/>
      <c r="U726" s="51"/>
      <c r="V726" s="51"/>
      <c r="W726" s="51"/>
      <c r="X726" s="51"/>
      <c r="Y726" s="51"/>
      <c r="Z726" s="51"/>
      <c r="AA726" s="51"/>
    </row>
    <row r="727" spans="1:27" ht="13.65" customHeight="1" x14ac:dyDescent="0.3">
      <c r="A727" s="49"/>
      <c r="B727" s="57"/>
      <c r="C727" s="51"/>
      <c r="D727" s="51"/>
      <c r="E727" s="51"/>
      <c r="F727" s="51"/>
      <c r="G727" s="58"/>
      <c r="H727" s="51"/>
      <c r="I727" s="58"/>
      <c r="J727" s="51"/>
      <c r="K727" s="51"/>
      <c r="L727" s="51"/>
      <c r="M727" s="51"/>
      <c r="N727" s="51"/>
      <c r="O727" s="51"/>
      <c r="P727" s="51"/>
      <c r="Q727" s="51"/>
      <c r="R727" s="51"/>
      <c r="S727" s="51"/>
      <c r="T727" s="51"/>
      <c r="U727" s="51"/>
      <c r="V727" s="51"/>
      <c r="W727" s="51"/>
      <c r="X727" s="51"/>
      <c r="Y727" s="51"/>
      <c r="Z727" s="51"/>
      <c r="AA727" s="51"/>
    </row>
    <row r="728" spans="1:27" ht="13.65" customHeight="1" x14ac:dyDescent="0.3">
      <c r="A728" s="49"/>
      <c r="B728" s="57"/>
      <c r="C728" s="51"/>
      <c r="D728" s="51"/>
      <c r="E728" s="51"/>
      <c r="F728" s="51"/>
      <c r="G728" s="58"/>
      <c r="H728" s="51"/>
      <c r="I728" s="58"/>
      <c r="J728" s="51"/>
      <c r="K728" s="51"/>
      <c r="L728" s="51"/>
      <c r="M728" s="51"/>
      <c r="N728" s="51"/>
      <c r="O728" s="51"/>
      <c r="P728" s="51"/>
      <c r="Q728" s="51"/>
      <c r="R728" s="51"/>
      <c r="S728" s="51"/>
      <c r="T728" s="51"/>
      <c r="U728" s="51"/>
      <c r="V728" s="51"/>
      <c r="W728" s="51"/>
      <c r="X728" s="51"/>
      <c r="Y728" s="51"/>
      <c r="Z728" s="51"/>
      <c r="AA728" s="51"/>
    </row>
    <row r="729" spans="1:27" ht="13.65" customHeight="1" x14ac:dyDescent="0.3">
      <c r="A729" s="49"/>
      <c r="B729" s="57"/>
      <c r="C729" s="51"/>
      <c r="D729" s="51"/>
      <c r="E729" s="51"/>
      <c r="F729" s="51"/>
      <c r="G729" s="58"/>
      <c r="H729" s="51"/>
      <c r="I729" s="58"/>
      <c r="J729" s="51"/>
      <c r="K729" s="51"/>
      <c r="L729" s="51"/>
      <c r="M729" s="51"/>
      <c r="N729" s="51"/>
      <c r="O729" s="51"/>
      <c r="P729" s="51"/>
      <c r="Q729" s="51"/>
      <c r="R729" s="51"/>
      <c r="S729" s="51"/>
      <c r="T729" s="51"/>
      <c r="U729" s="51"/>
      <c r="V729" s="51"/>
      <c r="W729" s="51"/>
      <c r="X729" s="51"/>
      <c r="Y729" s="51"/>
      <c r="Z729" s="51"/>
      <c r="AA729" s="51"/>
    </row>
    <row r="730" spans="1:27" ht="13.65" customHeight="1" x14ac:dyDescent="0.3">
      <c r="A730" s="49"/>
      <c r="B730" s="57"/>
      <c r="C730" s="51"/>
      <c r="D730" s="51"/>
      <c r="E730" s="51"/>
      <c r="F730" s="51"/>
      <c r="G730" s="58"/>
      <c r="H730" s="51"/>
      <c r="I730" s="58"/>
      <c r="J730" s="51"/>
      <c r="K730" s="51"/>
      <c r="L730" s="51"/>
      <c r="M730" s="51"/>
      <c r="N730" s="51"/>
      <c r="O730" s="51"/>
      <c r="P730" s="51"/>
      <c r="Q730" s="51"/>
      <c r="R730" s="51"/>
      <c r="S730" s="51"/>
      <c r="T730" s="51"/>
      <c r="U730" s="51"/>
      <c r="V730" s="51"/>
      <c r="W730" s="51"/>
      <c r="X730" s="51"/>
      <c r="Y730" s="51"/>
      <c r="Z730" s="51"/>
      <c r="AA730" s="51"/>
    </row>
    <row r="731" spans="1:27" ht="13.65" customHeight="1" x14ac:dyDescent="0.3">
      <c r="A731" s="49"/>
      <c r="B731" s="57"/>
      <c r="C731" s="51"/>
      <c r="D731" s="51"/>
      <c r="E731" s="51"/>
      <c r="F731" s="51"/>
      <c r="G731" s="58"/>
      <c r="H731" s="51"/>
      <c r="I731" s="58"/>
      <c r="J731" s="51"/>
      <c r="K731" s="51"/>
      <c r="L731" s="51"/>
      <c r="M731" s="51"/>
      <c r="N731" s="51"/>
      <c r="O731" s="51"/>
      <c r="P731" s="51"/>
      <c r="Q731" s="51"/>
      <c r="R731" s="51"/>
      <c r="S731" s="51"/>
      <c r="T731" s="51"/>
      <c r="U731" s="51"/>
      <c r="V731" s="51"/>
      <c r="W731" s="51"/>
      <c r="X731" s="51"/>
      <c r="Y731" s="51"/>
      <c r="Z731" s="51"/>
      <c r="AA731" s="51"/>
    </row>
    <row r="732" spans="1:27" ht="13.65" customHeight="1" x14ac:dyDescent="0.3">
      <c r="A732" s="49"/>
      <c r="B732" s="57"/>
      <c r="C732" s="51"/>
      <c r="D732" s="51"/>
      <c r="E732" s="51"/>
      <c r="F732" s="51"/>
      <c r="G732" s="58"/>
      <c r="H732" s="51"/>
      <c r="I732" s="58"/>
      <c r="J732" s="51"/>
      <c r="K732" s="51"/>
      <c r="L732" s="51"/>
      <c r="M732" s="51"/>
      <c r="N732" s="51"/>
      <c r="O732" s="51"/>
      <c r="P732" s="51"/>
      <c r="Q732" s="51"/>
      <c r="R732" s="51"/>
      <c r="S732" s="51"/>
      <c r="T732" s="51"/>
      <c r="U732" s="51"/>
      <c r="V732" s="51"/>
      <c r="W732" s="51"/>
      <c r="X732" s="51"/>
      <c r="Y732" s="51"/>
      <c r="Z732" s="51"/>
      <c r="AA732" s="51"/>
    </row>
    <row r="733" spans="1:27" ht="13.65" customHeight="1" x14ac:dyDescent="0.3">
      <c r="A733" s="49"/>
      <c r="B733" s="57"/>
      <c r="C733" s="51"/>
      <c r="D733" s="51"/>
      <c r="E733" s="51"/>
      <c r="F733" s="51"/>
      <c r="G733" s="58"/>
      <c r="H733" s="51"/>
      <c r="I733" s="58"/>
      <c r="J733" s="51"/>
      <c r="K733" s="51"/>
      <c r="L733" s="51"/>
      <c r="M733" s="51"/>
      <c r="N733" s="51"/>
      <c r="O733" s="51"/>
      <c r="P733" s="51"/>
      <c r="Q733" s="51"/>
      <c r="R733" s="51"/>
      <c r="S733" s="51"/>
      <c r="T733" s="51"/>
      <c r="U733" s="51"/>
      <c r="V733" s="51"/>
      <c r="W733" s="51"/>
      <c r="X733" s="51"/>
      <c r="Y733" s="51"/>
      <c r="Z733" s="51"/>
      <c r="AA733" s="51"/>
    </row>
    <row r="734" spans="1:27" ht="13.65" customHeight="1" x14ac:dyDescent="0.3">
      <c r="A734" s="49"/>
      <c r="B734" s="57"/>
      <c r="C734" s="51"/>
      <c r="D734" s="51"/>
      <c r="E734" s="51"/>
      <c r="F734" s="51"/>
      <c r="G734" s="58"/>
      <c r="H734" s="51"/>
      <c r="I734" s="58"/>
      <c r="J734" s="51"/>
      <c r="K734" s="51"/>
      <c r="L734" s="51"/>
      <c r="M734" s="51"/>
      <c r="N734" s="51"/>
      <c r="O734" s="51"/>
      <c r="P734" s="51"/>
      <c r="Q734" s="51"/>
      <c r="R734" s="51"/>
      <c r="S734" s="51"/>
      <c r="T734" s="51"/>
      <c r="U734" s="51"/>
      <c r="V734" s="51"/>
      <c r="W734" s="51"/>
      <c r="X734" s="51"/>
      <c r="Y734" s="51"/>
      <c r="Z734" s="51"/>
      <c r="AA734" s="51"/>
    </row>
    <row r="735" spans="1:27" ht="13.65" customHeight="1" x14ac:dyDescent="0.3">
      <c r="A735" s="49"/>
      <c r="B735" s="57"/>
      <c r="C735" s="51"/>
      <c r="D735" s="51"/>
      <c r="E735" s="51"/>
      <c r="F735" s="51"/>
      <c r="G735" s="58"/>
      <c r="H735" s="51"/>
      <c r="I735" s="58"/>
      <c r="J735" s="51"/>
      <c r="K735" s="51"/>
      <c r="L735" s="51"/>
      <c r="M735" s="51"/>
      <c r="N735" s="51"/>
      <c r="O735" s="51"/>
      <c r="P735" s="51"/>
      <c r="Q735" s="51"/>
      <c r="R735" s="51"/>
      <c r="S735" s="51"/>
      <c r="T735" s="51"/>
      <c r="U735" s="51"/>
      <c r="V735" s="51"/>
      <c r="W735" s="51"/>
      <c r="X735" s="51"/>
      <c r="Y735" s="51"/>
      <c r="Z735" s="51"/>
      <c r="AA735" s="51"/>
    </row>
    <row r="736" spans="1:27" ht="13.65" customHeight="1" x14ac:dyDescent="0.3">
      <c r="A736" s="49"/>
      <c r="B736" s="57"/>
      <c r="C736" s="51"/>
      <c r="D736" s="51"/>
      <c r="E736" s="51"/>
      <c r="F736" s="51"/>
      <c r="G736" s="58"/>
      <c r="H736" s="51"/>
      <c r="I736" s="58"/>
      <c r="J736" s="51"/>
      <c r="K736" s="51"/>
      <c r="L736" s="51"/>
      <c r="M736" s="51"/>
      <c r="N736" s="51"/>
      <c r="O736" s="51"/>
      <c r="P736" s="51"/>
      <c r="Q736" s="51"/>
      <c r="R736" s="51"/>
      <c r="S736" s="51"/>
      <c r="T736" s="51"/>
      <c r="U736" s="51"/>
      <c r="V736" s="51"/>
      <c r="W736" s="51"/>
      <c r="X736" s="51"/>
      <c r="Y736" s="51"/>
      <c r="Z736" s="51"/>
      <c r="AA736" s="51"/>
    </row>
    <row r="737" spans="1:27" ht="13.65" customHeight="1" x14ac:dyDescent="0.3">
      <c r="A737" s="49"/>
      <c r="B737" s="57"/>
      <c r="C737" s="51"/>
      <c r="D737" s="51"/>
      <c r="E737" s="51"/>
      <c r="F737" s="51"/>
      <c r="G737" s="58"/>
      <c r="H737" s="51"/>
      <c r="I737" s="58"/>
      <c r="J737" s="51"/>
      <c r="K737" s="51"/>
      <c r="L737" s="51"/>
      <c r="M737" s="51"/>
      <c r="N737" s="51"/>
      <c r="O737" s="51"/>
      <c r="P737" s="51"/>
      <c r="Q737" s="51"/>
      <c r="R737" s="51"/>
      <c r="S737" s="51"/>
      <c r="T737" s="51"/>
      <c r="U737" s="51"/>
      <c r="V737" s="51"/>
      <c r="W737" s="51"/>
      <c r="X737" s="51"/>
      <c r="Y737" s="51"/>
      <c r="Z737" s="51"/>
      <c r="AA737" s="51"/>
    </row>
    <row r="738" spans="1:27" ht="13.65" customHeight="1" x14ac:dyDescent="0.3">
      <c r="A738" s="49"/>
      <c r="B738" s="57"/>
      <c r="C738" s="51"/>
      <c r="D738" s="51"/>
      <c r="E738" s="51"/>
      <c r="F738" s="51"/>
      <c r="G738" s="58"/>
      <c r="H738" s="51"/>
      <c r="I738" s="58"/>
      <c r="J738" s="51"/>
      <c r="K738" s="51"/>
      <c r="L738" s="51"/>
      <c r="M738" s="51"/>
      <c r="N738" s="51"/>
      <c r="O738" s="51"/>
      <c r="P738" s="51"/>
      <c r="Q738" s="51"/>
      <c r="R738" s="51"/>
      <c r="S738" s="51"/>
      <c r="T738" s="51"/>
      <c r="U738" s="51"/>
      <c r="V738" s="51"/>
      <c r="W738" s="51"/>
      <c r="X738" s="51"/>
      <c r="Y738" s="51"/>
      <c r="Z738" s="51"/>
      <c r="AA738" s="51"/>
    </row>
    <row r="739" spans="1:27" ht="13.65" customHeight="1" x14ac:dyDescent="0.3">
      <c r="A739" s="49"/>
      <c r="B739" s="57"/>
      <c r="C739" s="51"/>
      <c r="D739" s="51"/>
      <c r="E739" s="51"/>
      <c r="F739" s="51"/>
      <c r="G739" s="58"/>
      <c r="H739" s="51"/>
      <c r="I739" s="58"/>
      <c r="J739" s="51"/>
      <c r="K739" s="51"/>
      <c r="L739" s="51"/>
      <c r="M739" s="51"/>
      <c r="N739" s="51"/>
      <c r="O739" s="51"/>
      <c r="P739" s="51"/>
      <c r="Q739" s="51"/>
      <c r="R739" s="51"/>
      <c r="S739" s="51"/>
      <c r="T739" s="51"/>
      <c r="U739" s="51"/>
      <c r="V739" s="51"/>
      <c r="W739" s="51"/>
      <c r="X739" s="51"/>
      <c r="Y739" s="51"/>
      <c r="Z739" s="51"/>
      <c r="AA739" s="51"/>
    </row>
    <row r="740" spans="1:27" ht="13.65" customHeight="1" x14ac:dyDescent="0.3">
      <c r="A740" s="49"/>
      <c r="B740" s="57"/>
      <c r="C740" s="51"/>
      <c r="D740" s="51"/>
      <c r="E740" s="51"/>
      <c r="F740" s="51"/>
      <c r="G740" s="58"/>
      <c r="H740" s="51"/>
      <c r="I740" s="58"/>
      <c r="J740" s="51"/>
      <c r="K740" s="51"/>
      <c r="L740" s="51"/>
      <c r="M740" s="51"/>
      <c r="N740" s="51"/>
      <c r="O740" s="51"/>
      <c r="P740" s="51"/>
      <c r="Q740" s="51"/>
      <c r="R740" s="51"/>
      <c r="S740" s="51"/>
      <c r="T740" s="51"/>
      <c r="U740" s="51"/>
      <c r="V740" s="51"/>
      <c r="W740" s="51"/>
      <c r="X740" s="51"/>
      <c r="Y740" s="51"/>
      <c r="Z740" s="51"/>
      <c r="AA740" s="51"/>
    </row>
    <row r="741" spans="1:27" ht="13.65" customHeight="1" x14ac:dyDescent="0.3">
      <c r="A741" s="49"/>
      <c r="B741" s="57"/>
      <c r="C741" s="51"/>
      <c r="D741" s="51"/>
      <c r="E741" s="51"/>
      <c r="F741" s="51"/>
      <c r="G741" s="58"/>
      <c r="H741" s="51"/>
      <c r="I741" s="58"/>
      <c r="J741" s="51"/>
      <c r="K741" s="51"/>
      <c r="L741" s="51"/>
      <c r="M741" s="51"/>
      <c r="N741" s="51"/>
      <c r="O741" s="51"/>
      <c r="P741" s="51"/>
      <c r="Q741" s="51"/>
      <c r="R741" s="51"/>
      <c r="S741" s="51"/>
      <c r="T741" s="51"/>
      <c r="U741" s="51"/>
      <c r="V741" s="51"/>
      <c r="W741" s="51"/>
      <c r="X741" s="51"/>
      <c r="Y741" s="51"/>
      <c r="Z741" s="51"/>
      <c r="AA741" s="51"/>
    </row>
    <row r="742" spans="1:27" ht="13.65" customHeight="1" x14ac:dyDescent="0.3">
      <c r="A742" s="49"/>
      <c r="B742" s="57"/>
      <c r="C742" s="51"/>
      <c r="D742" s="51"/>
      <c r="E742" s="51"/>
      <c r="F742" s="51"/>
      <c r="G742" s="58"/>
      <c r="H742" s="51"/>
      <c r="I742" s="58"/>
      <c r="J742" s="51"/>
      <c r="K742" s="51"/>
      <c r="L742" s="51"/>
      <c r="M742" s="51"/>
      <c r="N742" s="51"/>
      <c r="O742" s="51"/>
      <c r="P742" s="51"/>
      <c r="Q742" s="51"/>
      <c r="R742" s="51"/>
      <c r="S742" s="51"/>
      <c r="T742" s="51"/>
      <c r="U742" s="51"/>
      <c r="V742" s="51"/>
      <c r="W742" s="51"/>
      <c r="X742" s="51"/>
      <c r="Y742" s="51"/>
      <c r="Z742" s="51"/>
      <c r="AA742" s="51"/>
    </row>
    <row r="743" spans="1:27" ht="13.65" customHeight="1" x14ac:dyDescent="0.3">
      <c r="A743" s="49"/>
      <c r="B743" s="57"/>
      <c r="C743" s="51"/>
      <c r="D743" s="51"/>
      <c r="E743" s="51"/>
      <c r="F743" s="51"/>
      <c r="G743" s="58"/>
      <c r="H743" s="51"/>
      <c r="I743" s="58"/>
      <c r="J743" s="51"/>
      <c r="K743" s="51"/>
      <c r="L743" s="51"/>
      <c r="M743" s="51"/>
      <c r="N743" s="51"/>
      <c r="O743" s="51"/>
      <c r="P743" s="51"/>
      <c r="Q743" s="51"/>
      <c r="R743" s="51"/>
      <c r="S743" s="51"/>
      <c r="T743" s="51"/>
      <c r="U743" s="51"/>
      <c r="V743" s="51"/>
      <c r="W743" s="51"/>
      <c r="X743" s="51"/>
      <c r="Y743" s="51"/>
      <c r="Z743" s="51"/>
      <c r="AA743" s="51"/>
    </row>
    <row r="744" spans="1:27" ht="13.65" customHeight="1" x14ac:dyDescent="0.3">
      <c r="A744" s="49"/>
      <c r="B744" s="57"/>
      <c r="C744" s="51"/>
      <c r="D744" s="51"/>
      <c r="E744" s="51"/>
      <c r="F744" s="51"/>
      <c r="G744" s="58"/>
      <c r="H744" s="51"/>
      <c r="I744" s="58"/>
      <c r="J744" s="51"/>
      <c r="K744" s="51"/>
      <c r="L744" s="51"/>
      <c r="M744" s="51"/>
      <c r="N744" s="51"/>
      <c r="O744" s="51"/>
      <c r="P744" s="51"/>
      <c r="Q744" s="51"/>
      <c r="R744" s="51"/>
      <c r="S744" s="51"/>
      <c r="T744" s="51"/>
      <c r="U744" s="51"/>
      <c r="V744" s="51"/>
      <c r="W744" s="51"/>
      <c r="X744" s="51"/>
      <c r="Y744" s="51"/>
      <c r="Z744" s="51"/>
      <c r="AA744" s="51"/>
    </row>
    <row r="745" spans="1:27" ht="13.65" customHeight="1" x14ac:dyDescent="0.3">
      <c r="A745" s="49"/>
      <c r="B745" s="57"/>
      <c r="C745" s="51"/>
      <c r="D745" s="51"/>
      <c r="E745" s="51"/>
      <c r="F745" s="51"/>
      <c r="G745" s="58"/>
      <c r="H745" s="51"/>
      <c r="I745" s="58"/>
      <c r="J745" s="51"/>
      <c r="K745" s="51"/>
      <c r="L745" s="51"/>
      <c r="M745" s="51"/>
      <c r="N745" s="51"/>
      <c r="O745" s="51"/>
      <c r="P745" s="51"/>
      <c r="Q745" s="51"/>
      <c r="R745" s="51"/>
      <c r="S745" s="51"/>
      <c r="T745" s="51"/>
      <c r="U745" s="51"/>
      <c r="V745" s="51"/>
      <c r="W745" s="51"/>
      <c r="X745" s="51"/>
      <c r="Y745" s="51"/>
      <c r="Z745" s="51"/>
      <c r="AA745" s="51"/>
    </row>
    <row r="746" spans="1:27" ht="13.65" customHeight="1" x14ac:dyDescent="0.3">
      <c r="A746" s="49"/>
      <c r="B746" s="57"/>
      <c r="C746" s="51"/>
      <c r="D746" s="51"/>
      <c r="E746" s="51"/>
      <c r="F746" s="51"/>
      <c r="G746" s="58"/>
      <c r="H746" s="51"/>
      <c r="I746" s="58"/>
      <c r="J746" s="51"/>
      <c r="K746" s="51"/>
      <c r="L746" s="51"/>
      <c r="M746" s="51"/>
      <c r="N746" s="51"/>
      <c r="O746" s="51"/>
      <c r="P746" s="51"/>
      <c r="Q746" s="51"/>
      <c r="R746" s="51"/>
      <c r="S746" s="51"/>
      <c r="T746" s="51"/>
      <c r="U746" s="51"/>
      <c r="V746" s="51"/>
      <c r="W746" s="51"/>
      <c r="X746" s="51"/>
      <c r="Y746" s="51"/>
      <c r="Z746" s="51"/>
      <c r="AA746" s="51"/>
    </row>
    <row r="747" spans="1:27" ht="13.65" customHeight="1" x14ac:dyDescent="0.3">
      <c r="A747" s="49"/>
      <c r="B747" s="57"/>
      <c r="C747" s="51"/>
      <c r="D747" s="51"/>
      <c r="E747" s="51"/>
      <c r="F747" s="51"/>
      <c r="G747" s="58"/>
      <c r="H747" s="51"/>
      <c r="I747" s="58"/>
      <c r="J747" s="51"/>
      <c r="K747" s="51"/>
      <c r="L747" s="51"/>
      <c r="M747" s="51"/>
      <c r="N747" s="51"/>
      <c r="O747" s="51"/>
      <c r="P747" s="51"/>
      <c r="Q747" s="51"/>
      <c r="R747" s="51"/>
      <c r="S747" s="51"/>
      <c r="T747" s="51"/>
      <c r="U747" s="51"/>
      <c r="V747" s="51"/>
      <c r="W747" s="51"/>
      <c r="X747" s="51"/>
      <c r="Y747" s="51"/>
      <c r="Z747" s="51"/>
      <c r="AA747" s="51"/>
    </row>
    <row r="748" spans="1:27" ht="13.65" customHeight="1" x14ac:dyDescent="0.3">
      <c r="A748" s="49"/>
      <c r="B748" s="57"/>
      <c r="C748" s="51"/>
      <c r="D748" s="51"/>
      <c r="E748" s="51"/>
      <c r="F748" s="51"/>
      <c r="G748" s="58"/>
      <c r="H748" s="51"/>
      <c r="I748" s="58"/>
      <c r="J748" s="51"/>
      <c r="K748" s="51"/>
      <c r="L748" s="51"/>
      <c r="M748" s="51"/>
      <c r="N748" s="51"/>
      <c r="O748" s="51"/>
      <c r="P748" s="51"/>
      <c r="Q748" s="51"/>
      <c r="R748" s="51"/>
      <c r="S748" s="51"/>
      <c r="T748" s="51"/>
      <c r="U748" s="51"/>
      <c r="V748" s="51"/>
      <c r="W748" s="51"/>
      <c r="X748" s="51"/>
      <c r="Y748" s="51"/>
      <c r="Z748" s="51"/>
      <c r="AA748" s="51"/>
    </row>
    <row r="749" spans="1:27" ht="13.65" customHeight="1" x14ac:dyDescent="0.3">
      <c r="A749" s="49"/>
      <c r="B749" s="57"/>
      <c r="C749" s="51"/>
      <c r="D749" s="51"/>
      <c r="E749" s="51"/>
      <c r="F749" s="51"/>
      <c r="G749" s="58"/>
      <c r="H749" s="51"/>
      <c r="I749" s="58"/>
      <c r="J749" s="51"/>
      <c r="K749" s="51"/>
      <c r="L749" s="51"/>
      <c r="M749" s="51"/>
      <c r="N749" s="51"/>
      <c r="O749" s="51"/>
      <c r="P749" s="51"/>
      <c r="Q749" s="51"/>
      <c r="R749" s="51"/>
      <c r="S749" s="51"/>
      <c r="T749" s="51"/>
      <c r="U749" s="51"/>
      <c r="V749" s="51"/>
      <c r="W749" s="51"/>
      <c r="X749" s="51"/>
      <c r="Y749" s="51"/>
      <c r="Z749" s="51"/>
      <c r="AA749" s="51"/>
    </row>
    <row r="750" spans="1:27" ht="13.65" customHeight="1" x14ac:dyDescent="0.3">
      <c r="A750" s="49"/>
      <c r="B750" s="57"/>
      <c r="C750" s="51"/>
      <c r="D750" s="51"/>
      <c r="E750" s="51"/>
      <c r="F750" s="51"/>
      <c r="G750" s="58"/>
      <c r="H750" s="51"/>
      <c r="I750" s="58"/>
      <c r="J750" s="51"/>
      <c r="K750" s="51"/>
      <c r="L750" s="51"/>
      <c r="M750" s="51"/>
      <c r="N750" s="51"/>
      <c r="O750" s="51"/>
      <c r="P750" s="51"/>
      <c r="Q750" s="51"/>
      <c r="R750" s="51"/>
      <c r="S750" s="51"/>
      <c r="T750" s="51"/>
      <c r="U750" s="51"/>
      <c r="V750" s="51"/>
      <c r="W750" s="51"/>
      <c r="X750" s="51"/>
      <c r="Y750" s="51"/>
      <c r="Z750" s="51"/>
      <c r="AA750" s="51"/>
    </row>
    <row r="751" spans="1:27" ht="13.65" customHeight="1" x14ac:dyDescent="0.3">
      <c r="A751" s="49"/>
      <c r="B751" s="57"/>
      <c r="C751" s="51"/>
      <c r="D751" s="51"/>
      <c r="E751" s="51"/>
      <c r="F751" s="51"/>
      <c r="G751" s="58"/>
      <c r="H751" s="51"/>
      <c r="I751" s="58"/>
      <c r="J751" s="51"/>
      <c r="K751" s="51"/>
      <c r="L751" s="51"/>
      <c r="M751" s="51"/>
      <c r="N751" s="51"/>
      <c r="O751" s="51"/>
      <c r="P751" s="51"/>
      <c r="Q751" s="51"/>
      <c r="R751" s="51"/>
      <c r="S751" s="51"/>
      <c r="T751" s="51"/>
      <c r="U751" s="51"/>
      <c r="V751" s="51"/>
      <c r="W751" s="51"/>
      <c r="X751" s="51"/>
      <c r="Y751" s="51"/>
      <c r="Z751" s="51"/>
      <c r="AA751" s="51"/>
    </row>
    <row r="752" spans="1:27" ht="13.65" customHeight="1" x14ac:dyDescent="0.3">
      <c r="A752" s="49"/>
      <c r="B752" s="57"/>
      <c r="C752" s="51"/>
      <c r="D752" s="51"/>
      <c r="E752" s="51"/>
      <c r="F752" s="51"/>
      <c r="G752" s="58"/>
      <c r="H752" s="51"/>
      <c r="I752" s="58"/>
      <c r="J752" s="51"/>
      <c r="K752" s="51"/>
      <c r="L752" s="51"/>
      <c r="M752" s="51"/>
      <c r="N752" s="51"/>
      <c r="O752" s="51"/>
      <c r="P752" s="51"/>
      <c r="Q752" s="51"/>
      <c r="R752" s="51"/>
      <c r="S752" s="51"/>
      <c r="T752" s="51"/>
      <c r="U752" s="51"/>
      <c r="V752" s="51"/>
      <c r="W752" s="51"/>
      <c r="X752" s="51"/>
      <c r="Y752" s="51"/>
      <c r="Z752" s="51"/>
      <c r="AA752" s="51"/>
    </row>
    <row r="753" spans="1:27" ht="13.65" customHeight="1" x14ac:dyDescent="0.3">
      <c r="A753" s="49"/>
      <c r="B753" s="57"/>
      <c r="C753" s="51"/>
      <c r="D753" s="51"/>
      <c r="E753" s="51"/>
      <c r="F753" s="51"/>
      <c r="G753" s="58"/>
      <c r="H753" s="51"/>
      <c r="I753" s="58"/>
      <c r="J753" s="51"/>
      <c r="K753" s="51"/>
      <c r="L753" s="51"/>
      <c r="M753" s="51"/>
      <c r="N753" s="51"/>
      <c r="O753" s="51"/>
      <c r="P753" s="51"/>
      <c r="Q753" s="51"/>
      <c r="R753" s="51"/>
      <c r="S753" s="51"/>
      <c r="T753" s="51"/>
      <c r="U753" s="51"/>
      <c r="V753" s="51"/>
      <c r="W753" s="51"/>
      <c r="X753" s="51"/>
      <c r="Y753" s="51"/>
      <c r="Z753" s="51"/>
      <c r="AA753" s="51"/>
    </row>
    <row r="754" spans="1:27" ht="13.65" customHeight="1" x14ac:dyDescent="0.3">
      <c r="A754" s="49"/>
      <c r="B754" s="57"/>
      <c r="C754" s="51"/>
      <c r="D754" s="51"/>
      <c r="E754" s="51"/>
      <c r="F754" s="51"/>
      <c r="G754" s="58"/>
      <c r="H754" s="51"/>
      <c r="I754" s="58"/>
      <c r="J754" s="51"/>
      <c r="K754" s="51"/>
      <c r="L754" s="51"/>
      <c r="M754" s="51"/>
      <c r="N754" s="51"/>
      <c r="O754" s="51"/>
      <c r="P754" s="51"/>
      <c r="Q754" s="51"/>
      <c r="R754" s="51"/>
      <c r="S754" s="51"/>
      <c r="T754" s="51"/>
      <c r="U754" s="51"/>
      <c r="V754" s="51"/>
      <c r="W754" s="51"/>
      <c r="X754" s="51"/>
      <c r="Y754" s="51"/>
      <c r="Z754" s="51"/>
      <c r="AA754" s="51"/>
    </row>
    <row r="755" spans="1:27" ht="13.65" customHeight="1" x14ac:dyDescent="0.3">
      <c r="A755" s="49"/>
      <c r="B755" s="57"/>
      <c r="C755" s="51"/>
      <c r="D755" s="51"/>
      <c r="E755" s="51"/>
      <c r="F755" s="51"/>
      <c r="G755" s="58"/>
      <c r="H755" s="51"/>
      <c r="I755" s="58"/>
      <c r="J755" s="51"/>
      <c r="K755" s="51"/>
      <c r="L755" s="51"/>
      <c r="M755" s="51"/>
      <c r="N755" s="51"/>
      <c r="O755" s="51"/>
      <c r="P755" s="51"/>
      <c r="Q755" s="51"/>
      <c r="R755" s="51"/>
      <c r="S755" s="51"/>
      <c r="T755" s="51"/>
      <c r="U755" s="51"/>
      <c r="V755" s="51"/>
      <c r="W755" s="51"/>
      <c r="X755" s="51"/>
      <c r="Y755" s="51"/>
      <c r="Z755" s="51"/>
      <c r="AA755" s="51"/>
    </row>
    <row r="756" spans="1:27" ht="13.65" customHeight="1" x14ac:dyDescent="0.3">
      <c r="A756" s="49"/>
      <c r="B756" s="57"/>
      <c r="C756" s="51"/>
      <c r="D756" s="51"/>
      <c r="E756" s="51"/>
      <c r="F756" s="51"/>
      <c r="G756" s="58"/>
      <c r="H756" s="51"/>
      <c r="I756" s="58"/>
      <c r="J756" s="51"/>
      <c r="K756" s="51"/>
      <c r="L756" s="51"/>
      <c r="M756" s="51"/>
      <c r="N756" s="51"/>
      <c r="O756" s="51"/>
      <c r="P756" s="51"/>
      <c r="Q756" s="51"/>
      <c r="R756" s="51"/>
      <c r="S756" s="51"/>
      <c r="T756" s="51"/>
      <c r="U756" s="51"/>
      <c r="V756" s="51"/>
      <c r="W756" s="51"/>
      <c r="X756" s="51"/>
      <c r="Y756" s="51"/>
      <c r="Z756" s="51"/>
      <c r="AA756" s="51"/>
    </row>
    <row r="757" spans="1:27" ht="13.65" customHeight="1" x14ac:dyDescent="0.3">
      <c r="A757" s="49"/>
      <c r="B757" s="57"/>
      <c r="C757" s="51"/>
      <c r="D757" s="51"/>
      <c r="E757" s="51"/>
      <c r="F757" s="51"/>
      <c r="G757" s="58"/>
      <c r="H757" s="51"/>
      <c r="I757" s="58"/>
      <c r="J757" s="51"/>
      <c r="K757" s="51"/>
      <c r="L757" s="51"/>
      <c r="M757" s="51"/>
      <c r="N757" s="51"/>
      <c r="O757" s="51"/>
      <c r="P757" s="51"/>
      <c r="Q757" s="51"/>
      <c r="R757" s="51"/>
      <c r="S757" s="51"/>
      <c r="T757" s="51"/>
      <c r="U757" s="51"/>
      <c r="V757" s="51"/>
      <c r="W757" s="51"/>
      <c r="X757" s="51"/>
      <c r="Y757" s="51"/>
      <c r="Z757" s="51"/>
      <c r="AA757" s="51"/>
    </row>
    <row r="758" spans="1:27" ht="13.65" customHeight="1" x14ac:dyDescent="0.3">
      <c r="A758" s="49"/>
      <c r="B758" s="57"/>
      <c r="C758" s="51"/>
      <c r="D758" s="51"/>
      <c r="E758" s="51"/>
      <c r="F758" s="51"/>
      <c r="G758" s="58"/>
      <c r="H758" s="51"/>
      <c r="I758" s="58"/>
      <c r="J758" s="51"/>
      <c r="K758" s="51"/>
      <c r="L758" s="51"/>
      <c r="M758" s="51"/>
      <c r="N758" s="51"/>
      <c r="O758" s="51"/>
      <c r="P758" s="51"/>
      <c r="Q758" s="51"/>
      <c r="R758" s="51"/>
      <c r="S758" s="51"/>
      <c r="T758" s="51"/>
      <c r="U758" s="51"/>
      <c r="V758" s="51"/>
      <c r="W758" s="51"/>
      <c r="X758" s="51"/>
      <c r="Y758" s="51"/>
      <c r="Z758" s="51"/>
      <c r="AA758" s="51"/>
    </row>
    <row r="759" spans="1:27" ht="13.65" customHeight="1" x14ac:dyDescent="0.3">
      <c r="A759" s="49"/>
      <c r="B759" s="57"/>
      <c r="C759" s="51"/>
      <c r="D759" s="51"/>
      <c r="E759" s="51"/>
      <c r="F759" s="51"/>
      <c r="G759" s="58"/>
      <c r="H759" s="51"/>
      <c r="I759" s="58"/>
      <c r="J759" s="51"/>
      <c r="K759" s="51"/>
      <c r="L759" s="51"/>
      <c r="M759" s="51"/>
      <c r="N759" s="51"/>
      <c r="O759" s="51"/>
      <c r="P759" s="51"/>
      <c r="Q759" s="51"/>
      <c r="R759" s="51"/>
      <c r="S759" s="51"/>
      <c r="T759" s="51"/>
      <c r="U759" s="51"/>
      <c r="V759" s="51"/>
      <c r="W759" s="51"/>
      <c r="X759" s="51"/>
      <c r="Y759" s="51"/>
      <c r="Z759" s="51"/>
      <c r="AA759" s="51"/>
    </row>
    <row r="760" spans="1:27" ht="13.65" customHeight="1" x14ac:dyDescent="0.3">
      <c r="A760" s="49"/>
      <c r="B760" s="57"/>
      <c r="C760" s="51"/>
      <c r="D760" s="51"/>
      <c r="E760" s="51"/>
      <c r="F760" s="51"/>
      <c r="G760" s="58"/>
      <c r="H760" s="51"/>
      <c r="I760" s="58"/>
      <c r="J760" s="51"/>
      <c r="K760" s="51"/>
      <c r="L760" s="51"/>
      <c r="M760" s="51"/>
      <c r="N760" s="51"/>
      <c r="O760" s="51"/>
      <c r="P760" s="51"/>
      <c r="Q760" s="51"/>
      <c r="R760" s="51"/>
      <c r="S760" s="51"/>
      <c r="T760" s="51"/>
      <c r="U760" s="51"/>
      <c r="V760" s="51"/>
      <c r="W760" s="51"/>
      <c r="X760" s="51"/>
      <c r="Y760" s="51"/>
      <c r="Z760" s="51"/>
      <c r="AA760" s="51"/>
    </row>
    <row r="761" spans="1:27" ht="13.65" customHeight="1" x14ac:dyDescent="0.3">
      <c r="A761" s="49"/>
      <c r="B761" s="57"/>
      <c r="C761" s="51"/>
      <c r="D761" s="51"/>
      <c r="E761" s="51"/>
      <c r="F761" s="51"/>
      <c r="G761" s="58"/>
      <c r="H761" s="51"/>
      <c r="I761" s="58"/>
      <c r="J761" s="51"/>
      <c r="K761" s="51"/>
      <c r="L761" s="51"/>
      <c r="M761" s="51"/>
      <c r="N761" s="51"/>
      <c r="O761" s="51"/>
      <c r="P761" s="51"/>
      <c r="Q761" s="51"/>
      <c r="R761" s="51"/>
      <c r="S761" s="51"/>
      <c r="T761" s="51"/>
      <c r="U761" s="51"/>
      <c r="V761" s="51"/>
      <c r="W761" s="51"/>
      <c r="X761" s="51"/>
      <c r="Y761" s="51"/>
      <c r="Z761" s="51"/>
      <c r="AA761" s="51"/>
    </row>
    <row r="762" spans="1:27" ht="13.65" customHeight="1" x14ac:dyDescent="0.3">
      <c r="A762" s="49"/>
      <c r="B762" s="57"/>
      <c r="C762" s="51"/>
      <c r="D762" s="51"/>
      <c r="E762" s="51"/>
      <c r="F762" s="51"/>
      <c r="G762" s="58"/>
      <c r="H762" s="51"/>
      <c r="I762" s="58"/>
      <c r="J762" s="51"/>
      <c r="K762" s="51"/>
      <c r="L762" s="51"/>
      <c r="M762" s="51"/>
      <c r="N762" s="51"/>
      <c r="O762" s="51"/>
      <c r="P762" s="51"/>
      <c r="Q762" s="51"/>
      <c r="R762" s="51"/>
      <c r="S762" s="51"/>
      <c r="T762" s="51"/>
      <c r="U762" s="51"/>
      <c r="V762" s="51"/>
      <c r="W762" s="51"/>
      <c r="X762" s="51"/>
      <c r="Y762" s="51"/>
      <c r="Z762" s="51"/>
      <c r="AA762" s="51"/>
    </row>
    <row r="763" spans="1:27" ht="13.65" customHeight="1" x14ac:dyDescent="0.3">
      <c r="A763" s="49"/>
      <c r="B763" s="57"/>
      <c r="C763" s="51"/>
      <c r="D763" s="51"/>
      <c r="E763" s="51"/>
      <c r="F763" s="51"/>
      <c r="G763" s="58"/>
      <c r="H763" s="51"/>
      <c r="I763" s="58"/>
      <c r="J763" s="51"/>
      <c r="K763" s="51"/>
      <c r="L763" s="51"/>
      <c r="M763" s="51"/>
      <c r="N763" s="51"/>
      <c r="O763" s="51"/>
      <c r="P763" s="51"/>
      <c r="Q763" s="51"/>
      <c r="R763" s="51"/>
      <c r="S763" s="51"/>
      <c r="T763" s="51"/>
      <c r="U763" s="51"/>
      <c r="V763" s="51"/>
      <c r="W763" s="51"/>
      <c r="X763" s="51"/>
      <c r="Y763" s="51"/>
      <c r="Z763" s="51"/>
      <c r="AA763" s="51"/>
    </row>
    <row r="764" spans="1:27" ht="13.65" customHeight="1" x14ac:dyDescent="0.3">
      <c r="A764" s="49"/>
      <c r="B764" s="57"/>
      <c r="C764" s="51"/>
      <c r="D764" s="51"/>
      <c r="E764" s="51"/>
      <c r="F764" s="51"/>
      <c r="G764" s="58"/>
      <c r="H764" s="51"/>
      <c r="I764" s="58"/>
      <c r="J764" s="51"/>
      <c r="K764" s="51"/>
      <c r="L764" s="51"/>
      <c r="M764" s="51"/>
      <c r="N764" s="51"/>
      <c r="O764" s="51"/>
      <c r="P764" s="51"/>
      <c r="Q764" s="51"/>
      <c r="R764" s="51"/>
      <c r="S764" s="51"/>
      <c r="T764" s="51"/>
      <c r="U764" s="51"/>
      <c r="V764" s="51"/>
      <c r="W764" s="51"/>
      <c r="X764" s="51"/>
      <c r="Y764" s="51"/>
      <c r="Z764" s="51"/>
      <c r="AA764" s="51"/>
    </row>
    <row r="765" spans="1:27" ht="13.65" customHeight="1" x14ac:dyDescent="0.3">
      <c r="A765" s="49"/>
      <c r="B765" s="57"/>
      <c r="C765" s="51"/>
      <c r="D765" s="51"/>
      <c r="E765" s="51"/>
      <c r="F765" s="51"/>
      <c r="G765" s="58"/>
      <c r="H765" s="51"/>
      <c r="I765" s="58"/>
      <c r="J765" s="51"/>
      <c r="K765" s="51"/>
      <c r="L765" s="51"/>
      <c r="M765" s="51"/>
      <c r="N765" s="51"/>
      <c r="O765" s="51"/>
      <c r="P765" s="51"/>
      <c r="Q765" s="51"/>
      <c r="R765" s="51"/>
      <c r="S765" s="51"/>
      <c r="T765" s="51"/>
      <c r="U765" s="51"/>
      <c r="V765" s="51"/>
      <c r="W765" s="51"/>
      <c r="X765" s="51"/>
      <c r="Y765" s="51"/>
      <c r="Z765" s="51"/>
      <c r="AA765" s="51"/>
    </row>
    <row r="766" spans="1:27" ht="13.65" customHeight="1" x14ac:dyDescent="0.3">
      <c r="A766" s="49"/>
      <c r="B766" s="57"/>
      <c r="C766" s="51"/>
      <c r="D766" s="51"/>
      <c r="E766" s="51"/>
      <c r="F766" s="51"/>
      <c r="G766" s="58"/>
      <c r="H766" s="51"/>
      <c r="I766" s="58"/>
      <c r="J766" s="51"/>
      <c r="K766" s="51"/>
      <c r="L766" s="51"/>
      <c r="M766" s="51"/>
      <c r="N766" s="51"/>
      <c r="O766" s="51"/>
      <c r="P766" s="51"/>
      <c r="Q766" s="51"/>
      <c r="R766" s="51"/>
      <c r="S766" s="51"/>
      <c r="T766" s="51"/>
      <c r="U766" s="51"/>
      <c r="V766" s="51"/>
      <c r="W766" s="51"/>
      <c r="X766" s="51"/>
      <c r="Y766" s="51"/>
      <c r="Z766" s="51"/>
      <c r="AA766" s="51"/>
    </row>
    <row r="767" spans="1:27" ht="13.65" customHeight="1" x14ac:dyDescent="0.3">
      <c r="A767" s="49"/>
      <c r="B767" s="57"/>
      <c r="C767" s="51"/>
      <c r="D767" s="51"/>
      <c r="E767" s="51"/>
      <c r="F767" s="51"/>
      <c r="G767" s="58"/>
      <c r="H767" s="51"/>
      <c r="I767" s="58"/>
      <c r="J767" s="51"/>
      <c r="K767" s="51"/>
      <c r="L767" s="51"/>
      <c r="M767" s="51"/>
      <c r="N767" s="51"/>
      <c r="O767" s="51"/>
      <c r="P767" s="51"/>
      <c r="Q767" s="51"/>
      <c r="R767" s="51"/>
      <c r="S767" s="51"/>
      <c r="T767" s="51"/>
      <c r="U767" s="51"/>
      <c r="V767" s="51"/>
      <c r="W767" s="51"/>
      <c r="X767" s="51"/>
      <c r="Y767" s="51"/>
      <c r="Z767" s="51"/>
      <c r="AA767" s="51"/>
    </row>
    <row r="768" spans="1:27" ht="13.65" customHeight="1" x14ac:dyDescent="0.3">
      <c r="A768" s="49"/>
      <c r="B768" s="57"/>
      <c r="C768" s="51"/>
      <c r="D768" s="51"/>
      <c r="E768" s="51"/>
      <c r="F768" s="51"/>
      <c r="G768" s="58"/>
      <c r="H768" s="51"/>
      <c r="I768" s="58"/>
      <c r="J768" s="51"/>
      <c r="K768" s="51"/>
      <c r="L768" s="51"/>
      <c r="M768" s="51"/>
      <c r="N768" s="51"/>
      <c r="O768" s="51"/>
      <c r="P768" s="51"/>
      <c r="Q768" s="51"/>
      <c r="R768" s="51"/>
      <c r="S768" s="51"/>
      <c r="T768" s="51"/>
      <c r="U768" s="51"/>
      <c r="V768" s="51"/>
      <c r="W768" s="51"/>
      <c r="X768" s="51"/>
      <c r="Y768" s="51"/>
      <c r="Z768" s="51"/>
      <c r="AA768" s="51"/>
    </row>
    <row r="769" spans="1:27" ht="13.65" customHeight="1" x14ac:dyDescent="0.3">
      <c r="A769" s="49"/>
      <c r="B769" s="57"/>
      <c r="C769" s="51"/>
      <c r="D769" s="51"/>
      <c r="E769" s="51"/>
      <c r="F769" s="51"/>
      <c r="G769" s="58"/>
      <c r="H769" s="51"/>
      <c r="I769" s="58"/>
      <c r="J769" s="51"/>
      <c r="K769" s="51"/>
      <c r="L769" s="51"/>
      <c r="M769" s="51"/>
      <c r="N769" s="51"/>
      <c r="O769" s="51"/>
      <c r="P769" s="51"/>
      <c r="Q769" s="51"/>
      <c r="R769" s="51"/>
      <c r="S769" s="51"/>
      <c r="T769" s="51"/>
      <c r="U769" s="51"/>
      <c r="V769" s="51"/>
      <c r="W769" s="51"/>
      <c r="X769" s="51"/>
      <c r="Y769" s="51"/>
      <c r="Z769" s="51"/>
      <c r="AA769" s="51"/>
    </row>
    <row r="770" spans="1:27" ht="13.65" customHeight="1" x14ac:dyDescent="0.3">
      <c r="A770" s="49"/>
      <c r="B770" s="57"/>
      <c r="C770" s="51"/>
      <c r="D770" s="51"/>
      <c r="E770" s="51"/>
      <c r="F770" s="51"/>
      <c r="G770" s="58"/>
      <c r="H770" s="51"/>
      <c r="I770" s="58"/>
      <c r="J770" s="51"/>
      <c r="K770" s="51"/>
      <c r="L770" s="51"/>
      <c r="M770" s="51"/>
      <c r="N770" s="51"/>
      <c r="O770" s="51"/>
      <c r="P770" s="51"/>
      <c r="Q770" s="51"/>
      <c r="R770" s="51"/>
      <c r="S770" s="51"/>
      <c r="T770" s="51"/>
      <c r="U770" s="51"/>
      <c r="V770" s="51"/>
      <c r="W770" s="51"/>
      <c r="X770" s="51"/>
      <c r="Y770" s="51"/>
      <c r="Z770" s="51"/>
      <c r="AA770" s="51"/>
    </row>
    <row r="771" spans="1:27" ht="13.65" customHeight="1" x14ac:dyDescent="0.3">
      <c r="A771" s="49"/>
      <c r="B771" s="57"/>
      <c r="C771" s="51"/>
      <c r="D771" s="51"/>
      <c r="E771" s="51"/>
      <c r="F771" s="51"/>
      <c r="G771" s="58"/>
      <c r="H771" s="51"/>
      <c r="I771" s="58"/>
      <c r="J771" s="51"/>
      <c r="K771" s="51"/>
      <c r="L771" s="51"/>
      <c r="M771" s="51"/>
      <c r="N771" s="51"/>
      <c r="O771" s="51"/>
      <c r="P771" s="51"/>
      <c r="Q771" s="51"/>
      <c r="R771" s="51"/>
      <c r="S771" s="51"/>
      <c r="T771" s="51"/>
      <c r="U771" s="51"/>
      <c r="V771" s="51"/>
      <c r="W771" s="51"/>
      <c r="X771" s="51"/>
      <c r="Y771" s="51"/>
      <c r="Z771" s="51"/>
      <c r="AA771" s="51"/>
    </row>
    <row r="772" spans="1:27" ht="13.65" customHeight="1" x14ac:dyDescent="0.3">
      <c r="A772" s="49"/>
      <c r="B772" s="57"/>
      <c r="C772" s="51"/>
      <c r="D772" s="51"/>
      <c r="E772" s="51"/>
      <c r="F772" s="51"/>
      <c r="G772" s="58"/>
      <c r="H772" s="51"/>
      <c r="I772" s="58"/>
      <c r="J772" s="51"/>
      <c r="K772" s="51"/>
      <c r="L772" s="51"/>
      <c r="M772" s="51"/>
      <c r="N772" s="51"/>
      <c r="O772" s="51"/>
      <c r="P772" s="51"/>
      <c r="Q772" s="51"/>
      <c r="R772" s="51"/>
      <c r="S772" s="51"/>
      <c r="T772" s="51"/>
      <c r="U772" s="51"/>
      <c r="V772" s="51"/>
      <c r="W772" s="51"/>
      <c r="X772" s="51"/>
      <c r="Y772" s="51"/>
      <c r="Z772" s="51"/>
      <c r="AA772" s="51"/>
    </row>
    <row r="773" spans="1:27" ht="13.65" customHeight="1" x14ac:dyDescent="0.3">
      <c r="A773" s="49"/>
      <c r="B773" s="57"/>
      <c r="C773" s="51"/>
      <c r="D773" s="51"/>
      <c r="E773" s="51"/>
      <c r="F773" s="51"/>
      <c r="G773" s="58"/>
      <c r="H773" s="51"/>
      <c r="I773" s="58"/>
      <c r="J773" s="51"/>
      <c r="K773" s="51"/>
      <c r="L773" s="51"/>
      <c r="M773" s="51"/>
      <c r="N773" s="51"/>
      <c r="O773" s="51"/>
      <c r="P773" s="51"/>
      <c r="Q773" s="51"/>
      <c r="R773" s="51"/>
      <c r="S773" s="51"/>
      <c r="T773" s="51"/>
      <c r="U773" s="51"/>
      <c r="V773" s="51"/>
      <c r="W773" s="51"/>
      <c r="X773" s="51"/>
      <c r="Y773" s="51"/>
      <c r="Z773" s="51"/>
      <c r="AA773" s="51"/>
    </row>
    <row r="774" spans="1:27" ht="13.65" customHeight="1" x14ac:dyDescent="0.3">
      <c r="A774" s="49"/>
      <c r="B774" s="57"/>
      <c r="C774" s="51"/>
      <c r="D774" s="51"/>
      <c r="E774" s="51"/>
      <c r="F774" s="51"/>
      <c r="G774" s="58"/>
      <c r="H774" s="51"/>
      <c r="I774" s="58"/>
      <c r="J774" s="51"/>
      <c r="K774" s="51"/>
      <c r="L774" s="51"/>
      <c r="M774" s="51"/>
      <c r="N774" s="51"/>
      <c r="O774" s="51"/>
      <c r="P774" s="51"/>
      <c r="Q774" s="51"/>
      <c r="R774" s="51"/>
      <c r="S774" s="51"/>
      <c r="T774" s="51"/>
      <c r="U774" s="51"/>
      <c r="V774" s="51"/>
      <c r="W774" s="51"/>
      <c r="X774" s="51"/>
      <c r="Y774" s="51"/>
      <c r="Z774" s="51"/>
      <c r="AA774" s="51"/>
    </row>
    <row r="775" spans="1:27" ht="13.65" customHeight="1" x14ac:dyDescent="0.3">
      <c r="A775" s="49"/>
      <c r="B775" s="57"/>
      <c r="C775" s="51"/>
      <c r="D775" s="51"/>
      <c r="E775" s="51"/>
      <c r="F775" s="51"/>
      <c r="G775" s="58"/>
      <c r="H775" s="51"/>
      <c r="I775" s="58"/>
      <c r="J775" s="51"/>
      <c r="K775" s="51"/>
      <c r="L775" s="51"/>
      <c r="M775" s="51"/>
      <c r="N775" s="51"/>
      <c r="O775" s="51"/>
      <c r="P775" s="51"/>
      <c r="Q775" s="51"/>
      <c r="R775" s="51"/>
      <c r="S775" s="51"/>
      <c r="T775" s="51"/>
      <c r="U775" s="51"/>
      <c r="V775" s="51"/>
      <c r="W775" s="51"/>
      <c r="X775" s="51"/>
      <c r="Y775" s="51"/>
      <c r="Z775" s="51"/>
      <c r="AA775" s="51"/>
    </row>
    <row r="776" spans="1:27" ht="13.65" customHeight="1" x14ac:dyDescent="0.3">
      <c r="A776" s="49"/>
      <c r="B776" s="57"/>
      <c r="C776" s="51"/>
      <c r="D776" s="51"/>
      <c r="E776" s="51"/>
      <c r="F776" s="51"/>
      <c r="G776" s="58"/>
      <c r="H776" s="51"/>
      <c r="I776" s="58"/>
      <c r="J776" s="51"/>
      <c r="K776" s="51"/>
      <c r="L776" s="51"/>
      <c r="M776" s="51"/>
      <c r="N776" s="51"/>
      <c r="O776" s="51"/>
      <c r="P776" s="51"/>
      <c r="Q776" s="51"/>
      <c r="R776" s="51"/>
      <c r="S776" s="51"/>
      <c r="T776" s="51"/>
      <c r="U776" s="51"/>
      <c r="V776" s="51"/>
      <c r="W776" s="51"/>
      <c r="X776" s="51"/>
      <c r="Y776" s="51"/>
      <c r="Z776" s="51"/>
      <c r="AA776" s="51"/>
    </row>
    <row r="777" spans="1:27" ht="13.65" customHeight="1" x14ac:dyDescent="0.3">
      <c r="A777" s="49"/>
      <c r="B777" s="57"/>
      <c r="C777" s="51"/>
      <c r="D777" s="51"/>
      <c r="E777" s="51"/>
      <c r="F777" s="51"/>
      <c r="G777" s="58"/>
      <c r="H777" s="51"/>
      <c r="I777" s="58"/>
      <c r="J777" s="51"/>
      <c r="K777" s="51"/>
      <c r="L777" s="51"/>
      <c r="M777" s="51"/>
      <c r="N777" s="51"/>
      <c r="O777" s="51"/>
      <c r="P777" s="51"/>
      <c r="Q777" s="51"/>
      <c r="R777" s="51"/>
      <c r="S777" s="51"/>
      <c r="T777" s="51"/>
      <c r="U777" s="51"/>
      <c r="V777" s="51"/>
      <c r="W777" s="51"/>
      <c r="X777" s="51"/>
      <c r="Y777" s="51"/>
      <c r="Z777" s="51"/>
      <c r="AA777" s="51"/>
    </row>
    <row r="778" spans="1:27" ht="13.65" customHeight="1" x14ac:dyDescent="0.3">
      <c r="A778" s="49"/>
      <c r="B778" s="57"/>
      <c r="C778" s="51"/>
      <c r="D778" s="51"/>
      <c r="E778" s="51"/>
      <c r="F778" s="51"/>
      <c r="G778" s="58"/>
      <c r="H778" s="51"/>
      <c r="I778" s="58"/>
      <c r="J778" s="51"/>
      <c r="K778" s="51"/>
      <c r="L778" s="51"/>
      <c r="M778" s="51"/>
      <c r="N778" s="51"/>
      <c r="O778" s="51"/>
      <c r="P778" s="51"/>
      <c r="Q778" s="51"/>
      <c r="R778" s="51"/>
      <c r="S778" s="51"/>
      <c r="T778" s="51"/>
      <c r="U778" s="51"/>
      <c r="V778" s="51"/>
      <c r="W778" s="51"/>
      <c r="X778" s="51"/>
      <c r="Y778" s="51"/>
      <c r="Z778" s="51"/>
      <c r="AA778" s="51"/>
    </row>
    <row r="779" spans="1:27" ht="13.65" customHeight="1" x14ac:dyDescent="0.3">
      <c r="A779" s="49"/>
      <c r="B779" s="57"/>
      <c r="C779" s="51"/>
      <c r="D779" s="51"/>
      <c r="E779" s="51"/>
      <c r="F779" s="51"/>
      <c r="G779" s="58"/>
      <c r="H779" s="51"/>
      <c r="I779" s="58"/>
      <c r="J779" s="51"/>
      <c r="K779" s="51"/>
      <c r="L779" s="51"/>
      <c r="M779" s="51"/>
      <c r="N779" s="51"/>
      <c r="O779" s="51"/>
      <c r="P779" s="51"/>
      <c r="Q779" s="51"/>
      <c r="R779" s="51"/>
      <c r="S779" s="51"/>
      <c r="T779" s="51"/>
      <c r="U779" s="51"/>
      <c r="V779" s="51"/>
      <c r="W779" s="51"/>
      <c r="X779" s="51"/>
      <c r="Y779" s="51"/>
      <c r="Z779" s="51"/>
      <c r="AA779" s="51"/>
    </row>
    <row r="780" spans="1:27" ht="13.65" customHeight="1" x14ac:dyDescent="0.3">
      <c r="A780" s="49"/>
      <c r="B780" s="57"/>
      <c r="C780" s="51"/>
      <c r="D780" s="51"/>
      <c r="E780" s="51"/>
      <c r="F780" s="51"/>
      <c r="G780" s="58"/>
      <c r="H780" s="51"/>
      <c r="I780" s="58"/>
      <c r="J780" s="51"/>
      <c r="K780" s="51"/>
      <c r="L780" s="51"/>
      <c r="M780" s="51"/>
      <c r="N780" s="51"/>
      <c r="O780" s="51"/>
      <c r="P780" s="51"/>
      <c r="Q780" s="51"/>
      <c r="R780" s="51"/>
      <c r="S780" s="51"/>
      <c r="T780" s="51"/>
      <c r="U780" s="51"/>
      <c r="V780" s="51"/>
      <c r="W780" s="51"/>
      <c r="X780" s="51"/>
      <c r="Y780" s="51"/>
      <c r="Z780" s="51"/>
      <c r="AA780" s="51"/>
    </row>
    <row r="781" spans="1:27" ht="13.65" customHeight="1" x14ac:dyDescent="0.3">
      <c r="A781" s="49"/>
      <c r="B781" s="57"/>
      <c r="C781" s="51"/>
      <c r="D781" s="51"/>
      <c r="E781" s="51"/>
      <c r="F781" s="51"/>
      <c r="G781" s="58"/>
      <c r="H781" s="51"/>
      <c r="I781" s="58"/>
      <c r="J781" s="51"/>
      <c r="K781" s="51"/>
      <c r="L781" s="51"/>
      <c r="M781" s="51"/>
      <c r="N781" s="51"/>
      <c r="O781" s="51"/>
      <c r="P781" s="51"/>
      <c r="Q781" s="51"/>
      <c r="R781" s="51"/>
      <c r="S781" s="51"/>
      <c r="T781" s="51"/>
      <c r="U781" s="51"/>
      <c r="V781" s="51"/>
      <c r="W781" s="51"/>
      <c r="X781" s="51"/>
      <c r="Y781" s="51"/>
      <c r="Z781" s="51"/>
      <c r="AA781" s="51"/>
    </row>
    <row r="782" spans="1:27" ht="13.65" customHeight="1" x14ac:dyDescent="0.3">
      <c r="A782" s="49"/>
      <c r="B782" s="57"/>
      <c r="C782" s="51"/>
      <c r="D782" s="51"/>
      <c r="E782" s="51"/>
      <c r="F782" s="51"/>
      <c r="G782" s="58"/>
      <c r="H782" s="51"/>
      <c r="I782" s="58"/>
      <c r="J782" s="51"/>
      <c r="K782" s="51"/>
      <c r="L782" s="51"/>
      <c r="M782" s="51"/>
      <c r="N782" s="51"/>
      <c r="O782" s="51"/>
      <c r="P782" s="51"/>
      <c r="Q782" s="51"/>
      <c r="R782" s="51"/>
      <c r="S782" s="51"/>
      <c r="T782" s="51"/>
      <c r="U782" s="51"/>
      <c r="V782" s="51"/>
      <c r="W782" s="51"/>
      <c r="X782" s="51"/>
      <c r="Y782" s="51"/>
      <c r="Z782" s="51"/>
      <c r="AA782" s="51"/>
    </row>
    <row r="783" spans="1:27" ht="13.65" customHeight="1" x14ac:dyDescent="0.3">
      <c r="A783" s="49"/>
      <c r="B783" s="57"/>
      <c r="C783" s="51"/>
      <c r="D783" s="51"/>
      <c r="E783" s="51"/>
      <c r="F783" s="51"/>
      <c r="G783" s="58"/>
      <c r="H783" s="51"/>
      <c r="I783" s="58"/>
      <c r="J783" s="51"/>
      <c r="K783" s="51"/>
      <c r="L783" s="51"/>
      <c r="M783" s="51"/>
      <c r="N783" s="51"/>
      <c r="O783" s="51"/>
      <c r="P783" s="51"/>
      <c r="Q783" s="51"/>
      <c r="R783" s="51"/>
      <c r="S783" s="51"/>
      <c r="T783" s="51"/>
      <c r="U783" s="51"/>
      <c r="V783" s="51"/>
      <c r="W783" s="51"/>
      <c r="X783" s="51"/>
      <c r="Y783" s="51"/>
      <c r="Z783" s="51"/>
      <c r="AA783" s="51"/>
    </row>
    <row r="784" spans="1:27" ht="13.65" customHeight="1" x14ac:dyDescent="0.3">
      <c r="A784" s="49"/>
      <c r="B784" s="57"/>
      <c r="C784" s="51"/>
      <c r="D784" s="51"/>
      <c r="E784" s="51"/>
      <c r="F784" s="51"/>
      <c r="G784" s="58"/>
      <c r="H784" s="51"/>
      <c r="I784" s="58"/>
      <c r="J784" s="51"/>
      <c r="K784" s="51"/>
      <c r="L784" s="51"/>
      <c r="M784" s="51"/>
      <c r="N784" s="51"/>
      <c r="O784" s="51"/>
      <c r="P784" s="51"/>
      <c r="Q784" s="51"/>
      <c r="R784" s="51"/>
      <c r="S784" s="51"/>
      <c r="T784" s="51"/>
      <c r="U784" s="51"/>
      <c r="V784" s="51"/>
      <c r="W784" s="51"/>
      <c r="X784" s="51"/>
      <c r="Y784" s="51"/>
      <c r="Z784" s="51"/>
      <c r="AA784" s="51"/>
    </row>
    <row r="785" spans="1:27" ht="13.65" customHeight="1" x14ac:dyDescent="0.3">
      <c r="A785" s="49"/>
      <c r="B785" s="57"/>
      <c r="C785" s="51"/>
      <c r="D785" s="51"/>
      <c r="E785" s="51"/>
      <c r="F785" s="51"/>
      <c r="G785" s="58"/>
      <c r="H785" s="51"/>
      <c r="I785" s="58"/>
      <c r="J785" s="51"/>
      <c r="K785" s="51"/>
      <c r="L785" s="51"/>
      <c r="M785" s="51"/>
      <c r="N785" s="51"/>
      <c r="O785" s="51"/>
      <c r="P785" s="51"/>
      <c r="Q785" s="51"/>
      <c r="R785" s="51"/>
      <c r="S785" s="51"/>
      <c r="T785" s="51"/>
      <c r="U785" s="51"/>
      <c r="V785" s="51"/>
      <c r="W785" s="51"/>
      <c r="X785" s="51"/>
      <c r="Y785" s="51"/>
      <c r="Z785" s="51"/>
      <c r="AA785" s="51"/>
    </row>
    <row r="786" spans="1:27" ht="13.65" customHeight="1" x14ac:dyDescent="0.3">
      <c r="A786" s="49"/>
      <c r="B786" s="57"/>
      <c r="C786" s="51"/>
      <c r="D786" s="51"/>
      <c r="E786" s="51"/>
      <c r="F786" s="51"/>
      <c r="G786" s="58"/>
      <c r="H786" s="51"/>
      <c r="I786" s="58"/>
      <c r="J786" s="51"/>
      <c r="K786" s="51"/>
      <c r="L786" s="51"/>
      <c r="M786" s="51"/>
      <c r="N786" s="51"/>
      <c r="O786" s="51"/>
      <c r="P786" s="51"/>
      <c r="Q786" s="51"/>
      <c r="R786" s="51"/>
      <c r="S786" s="51"/>
      <c r="T786" s="51"/>
      <c r="U786" s="51"/>
      <c r="V786" s="51"/>
      <c r="W786" s="51"/>
      <c r="X786" s="51"/>
      <c r="Y786" s="51"/>
      <c r="Z786" s="51"/>
      <c r="AA786" s="51"/>
    </row>
    <row r="787" spans="1:27" ht="13.65" customHeight="1" x14ac:dyDescent="0.3">
      <c r="A787" s="49"/>
      <c r="B787" s="57"/>
      <c r="C787" s="51"/>
      <c r="D787" s="51"/>
      <c r="E787" s="51"/>
      <c r="F787" s="51"/>
      <c r="G787" s="58"/>
      <c r="H787" s="51"/>
      <c r="I787" s="58"/>
      <c r="J787" s="51"/>
      <c r="K787" s="51"/>
      <c r="L787" s="51"/>
      <c r="M787" s="51"/>
      <c r="N787" s="51"/>
      <c r="O787" s="51"/>
      <c r="P787" s="51"/>
      <c r="Q787" s="51"/>
      <c r="R787" s="51"/>
      <c r="S787" s="51"/>
      <c r="T787" s="51"/>
      <c r="U787" s="51"/>
      <c r="V787" s="51"/>
      <c r="W787" s="51"/>
      <c r="X787" s="51"/>
      <c r="Y787" s="51"/>
      <c r="Z787" s="51"/>
      <c r="AA787" s="51"/>
    </row>
    <row r="788" spans="1:27" ht="13.65" customHeight="1" x14ac:dyDescent="0.3">
      <c r="A788" s="49"/>
      <c r="B788" s="57"/>
      <c r="C788" s="51"/>
      <c r="D788" s="51"/>
      <c r="E788" s="51"/>
      <c r="F788" s="51"/>
      <c r="G788" s="58"/>
      <c r="H788" s="51"/>
      <c r="I788" s="58"/>
      <c r="J788" s="51"/>
      <c r="K788" s="51"/>
      <c r="L788" s="51"/>
      <c r="M788" s="51"/>
      <c r="N788" s="51"/>
      <c r="O788" s="51"/>
      <c r="P788" s="51"/>
      <c r="Q788" s="51"/>
      <c r="R788" s="51"/>
      <c r="S788" s="51"/>
      <c r="T788" s="51"/>
      <c r="U788" s="51"/>
      <c r="V788" s="51"/>
      <c r="W788" s="51"/>
      <c r="X788" s="51"/>
      <c r="Y788" s="51"/>
      <c r="Z788" s="51"/>
      <c r="AA788" s="51"/>
    </row>
    <row r="789" spans="1:27" ht="13.65" customHeight="1" x14ac:dyDescent="0.3">
      <c r="A789" s="49"/>
      <c r="B789" s="57"/>
      <c r="C789" s="51"/>
      <c r="D789" s="51"/>
      <c r="E789" s="51"/>
      <c r="F789" s="51"/>
      <c r="G789" s="58"/>
      <c r="H789" s="51"/>
      <c r="I789" s="58"/>
      <c r="J789" s="51"/>
      <c r="K789" s="51"/>
      <c r="L789" s="51"/>
      <c r="M789" s="51"/>
      <c r="N789" s="51"/>
      <c r="O789" s="51"/>
      <c r="P789" s="51"/>
      <c r="Q789" s="51"/>
      <c r="R789" s="51"/>
      <c r="S789" s="51"/>
      <c r="T789" s="51"/>
      <c r="U789" s="51"/>
      <c r="V789" s="51"/>
      <c r="W789" s="51"/>
      <c r="X789" s="51"/>
      <c r="Y789" s="51"/>
      <c r="Z789" s="51"/>
      <c r="AA789" s="51"/>
    </row>
    <row r="790" spans="1:27" ht="13.65" customHeight="1" x14ac:dyDescent="0.3">
      <c r="A790" s="49"/>
      <c r="B790" s="57"/>
      <c r="C790" s="51"/>
      <c r="D790" s="51"/>
      <c r="E790" s="51"/>
      <c r="F790" s="51"/>
      <c r="G790" s="58"/>
      <c r="H790" s="51"/>
      <c r="I790" s="58"/>
      <c r="J790" s="51"/>
      <c r="K790" s="51"/>
      <c r="L790" s="51"/>
      <c r="M790" s="51"/>
      <c r="N790" s="51"/>
      <c r="O790" s="51"/>
      <c r="P790" s="51"/>
      <c r="Q790" s="51"/>
      <c r="R790" s="51"/>
      <c r="S790" s="51"/>
      <c r="T790" s="51"/>
      <c r="U790" s="51"/>
      <c r="V790" s="51"/>
      <c r="W790" s="51"/>
      <c r="X790" s="51"/>
      <c r="Y790" s="51"/>
      <c r="Z790" s="51"/>
      <c r="AA790" s="51"/>
    </row>
    <row r="791" spans="1:27" ht="13.65" customHeight="1" x14ac:dyDescent="0.3">
      <c r="A791" s="49"/>
      <c r="B791" s="57"/>
      <c r="C791" s="51"/>
      <c r="D791" s="51"/>
      <c r="E791" s="51"/>
      <c r="F791" s="51"/>
      <c r="G791" s="58"/>
      <c r="H791" s="51"/>
      <c r="I791" s="58"/>
      <c r="J791" s="51"/>
      <c r="K791" s="51"/>
      <c r="L791" s="51"/>
      <c r="M791" s="51"/>
      <c r="N791" s="51"/>
      <c r="O791" s="51"/>
      <c r="P791" s="51"/>
      <c r="Q791" s="51"/>
      <c r="R791" s="51"/>
      <c r="S791" s="51"/>
      <c r="T791" s="51"/>
      <c r="U791" s="51"/>
      <c r="V791" s="51"/>
      <c r="W791" s="51"/>
      <c r="X791" s="51"/>
      <c r="Y791" s="51"/>
      <c r="Z791" s="51"/>
      <c r="AA791" s="51"/>
    </row>
    <row r="792" spans="1:27" ht="13.65" customHeight="1" x14ac:dyDescent="0.3">
      <c r="A792" s="49"/>
      <c r="B792" s="57"/>
      <c r="C792" s="51"/>
      <c r="D792" s="51"/>
      <c r="E792" s="51"/>
      <c r="F792" s="51"/>
      <c r="G792" s="58"/>
      <c r="H792" s="51"/>
      <c r="I792" s="58"/>
      <c r="J792" s="51"/>
      <c r="K792" s="51"/>
      <c r="L792" s="51"/>
      <c r="M792" s="51"/>
      <c r="N792" s="51"/>
      <c r="O792" s="51"/>
      <c r="P792" s="51"/>
      <c r="Q792" s="51"/>
      <c r="R792" s="51"/>
      <c r="S792" s="51"/>
      <c r="T792" s="51"/>
      <c r="U792" s="51"/>
      <c r="V792" s="51"/>
      <c r="W792" s="51"/>
      <c r="X792" s="51"/>
      <c r="Y792" s="51"/>
      <c r="Z792" s="51"/>
      <c r="AA792" s="51"/>
    </row>
    <row r="793" spans="1:27" ht="13.65" customHeight="1" x14ac:dyDescent="0.3">
      <c r="A793" s="49"/>
      <c r="B793" s="57"/>
      <c r="C793" s="51"/>
      <c r="D793" s="51"/>
      <c r="E793" s="51"/>
      <c r="F793" s="51"/>
      <c r="G793" s="58"/>
      <c r="H793" s="51"/>
      <c r="I793" s="58"/>
      <c r="J793" s="51"/>
      <c r="K793" s="51"/>
      <c r="L793" s="51"/>
      <c r="M793" s="51"/>
      <c r="N793" s="51"/>
      <c r="O793" s="51"/>
      <c r="P793" s="51"/>
      <c r="Q793" s="51"/>
      <c r="R793" s="51"/>
      <c r="S793" s="51"/>
      <c r="T793" s="51"/>
      <c r="U793" s="51"/>
      <c r="V793" s="51"/>
      <c r="W793" s="51"/>
      <c r="X793" s="51"/>
      <c r="Y793" s="51"/>
      <c r="Z793" s="51"/>
      <c r="AA793" s="51"/>
    </row>
    <row r="794" spans="1:27" ht="13.65" customHeight="1" x14ac:dyDescent="0.3">
      <c r="A794" s="49"/>
      <c r="B794" s="57"/>
      <c r="C794" s="51"/>
      <c r="D794" s="51"/>
      <c r="E794" s="51"/>
      <c r="F794" s="51"/>
      <c r="G794" s="58"/>
      <c r="H794" s="51"/>
      <c r="I794" s="58"/>
      <c r="J794" s="51"/>
      <c r="K794" s="51"/>
      <c r="L794" s="51"/>
      <c r="M794" s="51"/>
      <c r="N794" s="51"/>
      <c r="O794" s="51"/>
      <c r="P794" s="51"/>
      <c r="Q794" s="51"/>
      <c r="R794" s="51"/>
      <c r="S794" s="51"/>
      <c r="T794" s="51"/>
      <c r="U794" s="51"/>
      <c r="V794" s="51"/>
      <c r="W794" s="51"/>
      <c r="X794" s="51"/>
      <c r="Y794" s="51"/>
      <c r="Z794" s="51"/>
      <c r="AA794" s="51"/>
    </row>
    <row r="795" spans="1:27" ht="13.65" customHeight="1" x14ac:dyDescent="0.3">
      <c r="A795" s="49"/>
      <c r="B795" s="57"/>
      <c r="C795" s="51"/>
      <c r="D795" s="51"/>
      <c r="E795" s="51"/>
      <c r="F795" s="51"/>
      <c r="G795" s="58"/>
      <c r="H795" s="51"/>
      <c r="I795" s="58"/>
      <c r="J795" s="51"/>
      <c r="K795" s="51"/>
      <c r="L795" s="51"/>
      <c r="M795" s="51"/>
      <c r="N795" s="51"/>
      <c r="O795" s="51"/>
      <c r="P795" s="51"/>
      <c r="Q795" s="51"/>
      <c r="R795" s="51"/>
      <c r="S795" s="51"/>
      <c r="T795" s="51"/>
      <c r="U795" s="51"/>
      <c r="V795" s="51"/>
      <c r="W795" s="51"/>
      <c r="X795" s="51"/>
      <c r="Y795" s="51"/>
      <c r="Z795" s="51"/>
      <c r="AA795" s="51"/>
    </row>
    <row r="796" spans="1:27" ht="13.65" customHeight="1" x14ac:dyDescent="0.3">
      <c r="A796" s="49"/>
      <c r="B796" s="57"/>
      <c r="C796" s="51"/>
      <c r="D796" s="51"/>
      <c r="E796" s="51"/>
      <c r="F796" s="51"/>
      <c r="G796" s="58"/>
      <c r="H796" s="51"/>
      <c r="I796" s="58"/>
      <c r="J796" s="51"/>
      <c r="K796" s="51"/>
      <c r="L796" s="51"/>
      <c r="M796" s="51"/>
      <c r="N796" s="51"/>
      <c r="O796" s="51"/>
      <c r="P796" s="51"/>
      <c r="Q796" s="51"/>
      <c r="R796" s="51"/>
      <c r="S796" s="51"/>
      <c r="T796" s="51"/>
      <c r="U796" s="51"/>
      <c r="V796" s="51"/>
      <c r="W796" s="51"/>
      <c r="X796" s="51"/>
      <c r="Y796" s="51"/>
      <c r="Z796" s="51"/>
      <c r="AA796" s="51"/>
    </row>
    <row r="797" spans="1:27" ht="13.65" customHeight="1" x14ac:dyDescent="0.3">
      <c r="A797" s="49"/>
      <c r="B797" s="57"/>
      <c r="C797" s="51"/>
      <c r="D797" s="51"/>
      <c r="E797" s="51"/>
      <c r="F797" s="51"/>
      <c r="G797" s="58"/>
      <c r="H797" s="51"/>
      <c r="I797" s="58"/>
      <c r="J797" s="51"/>
      <c r="K797" s="51"/>
      <c r="L797" s="51"/>
      <c r="M797" s="51"/>
      <c r="N797" s="51"/>
      <c r="O797" s="51"/>
      <c r="P797" s="51"/>
      <c r="Q797" s="51"/>
      <c r="R797" s="51"/>
      <c r="S797" s="51"/>
      <c r="T797" s="51"/>
      <c r="U797" s="51"/>
      <c r="V797" s="51"/>
      <c r="W797" s="51"/>
      <c r="X797" s="51"/>
      <c r="Y797" s="51"/>
      <c r="Z797" s="51"/>
      <c r="AA797" s="51"/>
    </row>
    <row r="798" spans="1:27" ht="13.65" customHeight="1" x14ac:dyDescent="0.3">
      <c r="A798" s="49"/>
      <c r="B798" s="57"/>
      <c r="C798" s="51"/>
      <c r="D798" s="51"/>
      <c r="E798" s="51"/>
      <c r="F798" s="51"/>
      <c r="G798" s="58"/>
      <c r="H798" s="51"/>
      <c r="I798" s="58"/>
      <c r="J798" s="51"/>
      <c r="K798" s="51"/>
      <c r="L798" s="51"/>
      <c r="M798" s="51"/>
      <c r="N798" s="51"/>
      <c r="O798" s="51"/>
      <c r="P798" s="51"/>
      <c r="Q798" s="51"/>
      <c r="R798" s="51"/>
      <c r="S798" s="51"/>
      <c r="T798" s="51"/>
      <c r="U798" s="51"/>
      <c r="V798" s="51"/>
      <c r="W798" s="51"/>
      <c r="X798" s="51"/>
      <c r="Y798" s="51"/>
      <c r="Z798" s="51"/>
      <c r="AA798" s="51"/>
    </row>
    <row r="799" spans="1:27" ht="13.65" customHeight="1" x14ac:dyDescent="0.3">
      <c r="A799" s="49"/>
      <c r="B799" s="57"/>
      <c r="C799" s="51"/>
      <c r="D799" s="51"/>
      <c r="E799" s="51"/>
      <c r="F799" s="51"/>
      <c r="G799" s="58"/>
      <c r="H799" s="51"/>
      <c r="I799" s="58"/>
      <c r="J799" s="51"/>
      <c r="K799" s="51"/>
      <c r="L799" s="51"/>
      <c r="M799" s="51"/>
      <c r="N799" s="51"/>
      <c r="O799" s="51"/>
      <c r="P799" s="51"/>
      <c r="Q799" s="51"/>
      <c r="R799" s="51"/>
      <c r="S799" s="51"/>
      <c r="T799" s="51"/>
      <c r="U799" s="51"/>
      <c r="V799" s="51"/>
      <c r="W799" s="51"/>
      <c r="X799" s="51"/>
      <c r="Y799" s="51"/>
      <c r="Z799" s="51"/>
      <c r="AA799" s="51"/>
    </row>
    <row r="800" spans="1:27" ht="13.65" customHeight="1" x14ac:dyDescent="0.3">
      <c r="A800" s="49"/>
      <c r="B800" s="57"/>
      <c r="C800" s="51"/>
      <c r="D800" s="51"/>
      <c r="E800" s="51"/>
      <c r="F800" s="51"/>
      <c r="G800" s="58"/>
      <c r="H800" s="51"/>
      <c r="I800" s="58"/>
      <c r="J800" s="51"/>
      <c r="K800" s="51"/>
      <c r="L800" s="51"/>
      <c r="M800" s="51"/>
      <c r="N800" s="51"/>
      <c r="O800" s="51"/>
      <c r="P800" s="51"/>
      <c r="Q800" s="51"/>
      <c r="R800" s="51"/>
      <c r="S800" s="51"/>
      <c r="T800" s="51"/>
      <c r="U800" s="51"/>
      <c r="V800" s="51"/>
      <c r="W800" s="51"/>
      <c r="X800" s="51"/>
      <c r="Y800" s="51"/>
      <c r="Z800" s="51"/>
      <c r="AA800" s="51"/>
    </row>
    <row r="801" spans="1:27" ht="13.65" customHeight="1" x14ac:dyDescent="0.3">
      <c r="A801" s="49"/>
      <c r="B801" s="57"/>
      <c r="C801" s="51"/>
      <c r="D801" s="51"/>
      <c r="E801" s="51"/>
      <c r="F801" s="51"/>
      <c r="G801" s="58"/>
      <c r="H801" s="51"/>
      <c r="I801" s="58"/>
      <c r="J801" s="51"/>
      <c r="K801" s="51"/>
      <c r="L801" s="51"/>
      <c r="M801" s="51"/>
      <c r="N801" s="51"/>
      <c r="O801" s="51"/>
      <c r="P801" s="51"/>
      <c r="Q801" s="51"/>
      <c r="R801" s="51"/>
      <c r="S801" s="51"/>
      <c r="T801" s="51"/>
      <c r="U801" s="51"/>
      <c r="V801" s="51"/>
      <c r="W801" s="51"/>
      <c r="X801" s="51"/>
      <c r="Y801" s="51"/>
      <c r="Z801" s="51"/>
      <c r="AA801" s="51"/>
    </row>
    <row r="802" spans="1:27" ht="13.65" customHeight="1" x14ac:dyDescent="0.3">
      <c r="A802" s="49"/>
      <c r="B802" s="57"/>
      <c r="C802" s="51"/>
      <c r="D802" s="51"/>
      <c r="E802" s="51"/>
      <c r="F802" s="51"/>
      <c r="G802" s="58"/>
      <c r="H802" s="51"/>
      <c r="I802" s="58"/>
      <c r="J802" s="51"/>
      <c r="K802" s="51"/>
      <c r="L802" s="51"/>
      <c r="M802" s="51"/>
      <c r="N802" s="51"/>
      <c r="O802" s="51"/>
      <c r="P802" s="51"/>
      <c r="Q802" s="51"/>
      <c r="R802" s="51"/>
      <c r="S802" s="51"/>
      <c r="T802" s="51"/>
      <c r="U802" s="51"/>
      <c r="V802" s="51"/>
      <c r="W802" s="51"/>
      <c r="X802" s="51"/>
      <c r="Y802" s="51"/>
      <c r="Z802" s="51"/>
      <c r="AA802" s="51"/>
    </row>
    <row r="803" spans="1:27" ht="13.65" customHeight="1" x14ac:dyDescent="0.3">
      <c r="A803" s="49"/>
      <c r="B803" s="57"/>
      <c r="C803" s="51"/>
      <c r="D803" s="51"/>
      <c r="E803" s="51"/>
      <c r="F803" s="51"/>
      <c r="G803" s="58"/>
      <c r="H803" s="51"/>
      <c r="I803" s="58"/>
      <c r="J803" s="51"/>
      <c r="K803" s="51"/>
      <c r="L803" s="51"/>
      <c r="M803" s="51"/>
      <c r="N803" s="51"/>
      <c r="O803" s="51"/>
      <c r="P803" s="51"/>
      <c r="Q803" s="51"/>
      <c r="R803" s="51"/>
      <c r="S803" s="51"/>
      <c r="T803" s="51"/>
      <c r="U803" s="51"/>
      <c r="V803" s="51"/>
      <c r="W803" s="51"/>
      <c r="X803" s="51"/>
      <c r="Y803" s="51"/>
      <c r="Z803" s="51"/>
      <c r="AA803" s="51"/>
    </row>
    <row r="804" spans="1:27" ht="13.65" customHeight="1" x14ac:dyDescent="0.3">
      <c r="A804" s="49"/>
      <c r="B804" s="57"/>
      <c r="C804" s="51"/>
      <c r="D804" s="51"/>
      <c r="E804" s="51"/>
      <c r="F804" s="51"/>
      <c r="G804" s="58"/>
      <c r="H804" s="51"/>
      <c r="I804" s="58"/>
      <c r="J804" s="51"/>
      <c r="K804" s="51"/>
      <c r="L804" s="51"/>
      <c r="M804" s="51"/>
      <c r="N804" s="51"/>
      <c r="O804" s="51"/>
      <c r="P804" s="51"/>
      <c r="Q804" s="51"/>
      <c r="R804" s="51"/>
      <c r="S804" s="51"/>
      <c r="T804" s="51"/>
      <c r="U804" s="51"/>
      <c r="V804" s="51"/>
      <c r="W804" s="51"/>
      <c r="X804" s="51"/>
      <c r="Y804" s="51"/>
      <c r="Z804" s="51"/>
      <c r="AA804" s="51"/>
    </row>
    <row r="805" spans="1:27" ht="13.65" customHeight="1" x14ac:dyDescent="0.3">
      <c r="A805" s="49"/>
      <c r="B805" s="57"/>
      <c r="C805" s="51"/>
      <c r="D805" s="51"/>
      <c r="E805" s="51"/>
      <c r="F805" s="51"/>
      <c r="G805" s="58"/>
      <c r="H805" s="51"/>
      <c r="I805" s="58"/>
      <c r="J805" s="51"/>
      <c r="K805" s="51"/>
      <c r="L805" s="51"/>
      <c r="M805" s="51"/>
      <c r="N805" s="51"/>
      <c r="O805" s="51"/>
      <c r="P805" s="51"/>
      <c r="Q805" s="51"/>
      <c r="R805" s="51"/>
      <c r="S805" s="51"/>
      <c r="T805" s="51"/>
      <c r="U805" s="51"/>
      <c r="V805" s="51"/>
      <c r="W805" s="51"/>
      <c r="X805" s="51"/>
      <c r="Y805" s="51"/>
      <c r="Z805" s="51"/>
      <c r="AA805" s="51"/>
    </row>
    <row r="806" spans="1:27" ht="13.65" customHeight="1" x14ac:dyDescent="0.3">
      <c r="A806" s="49"/>
      <c r="B806" s="57"/>
      <c r="C806" s="51"/>
      <c r="D806" s="51"/>
      <c r="E806" s="51"/>
      <c r="F806" s="51"/>
      <c r="G806" s="58"/>
      <c r="H806" s="51"/>
      <c r="I806" s="58"/>
      <c r="J806" s="51"/>
      <c r="K806" s="51"/>
      <c r="L806" s="51"/>
      <c r="M806" s="51"/>
      <c r="N806" s="51"/>
      <c r="O806" s="51"/>
      <c r="P806" s="51"/>
      <c r="Q806" s="51"/>
      <c r="R806" s="51"/>
      <c r="S806" s="51"/>
      <c r="T806" s="51"/>
      <c r="U806" s="51"/>
      <c r="V806" s="51"/>
      <c r="W806" s="51"/>
      <c r="X806" s="51"/>
      <c r="Y806" s="51"/>
      <c r="Z806" s="51"/>
      <c r="AA806" s="51"/>
    </row>
    <row r="807" spans="1:27" ht="13.65" customHeight="1" x14ac:dyDescent="0.3">
      <c r="A807" s="49"/>
      <c r="B807" s="57"/>
      <c r="C807" s="51"/>
      <c r="D807" s="51"/>
      <c r="E807" s="51"/>
      <c r="F807" s="51"/>
      <c r="G807" s="58"/>
      <c r="H807" s="51"/>
      <c r="I807" s="58"/>
      <c r="J807" s="51"/>
      <c r="K807" s="51"/>
      <c r="L807" s="51"/>
      <c r="M807" s="51"/>
      <c r="N807" s="51"/>
      <c r="O807" s="51"/>
      <c r="P807" s="51"/>
      <c r="Q807" s="51"/>
      <c r="R807" s="51"/>
      <c r="S807" s="51"/>
      <c r="T807" s="51"/>
      <c r="U807" s="51"/>
      <c r="V807" s="51"/>
      <c r="W807" s="51"/>
      <c r="X807" s="51"/>
      <c r="Y807" s="51"/>
      <c r="Z807" s="51"/>
      <c r="AA807" s="51"/>
    </row>
    <row r="808" spans="1:27" ht="13.65" customHeight="1" x14ac:dyDescent="0.3">
      <c r="A808" s="49"/>
      <c r="B808" s="57"/>
      <c r="C808" s="51"/>
      <c r="D808" s="51"/>
      <c r="E808" s="51"/>
      <c r="F808" s="51"/>
      <c r="G808" s="58"/>
      <c r="H808" s="51"/>
      <c r="I808" s="58"/>
      <c r="J808" s="51"/>
      <c r="K808" s="51"/>
      <c r="L808" s="51"/>
      <c r="M808" s="51"/>
      <c r="N808" s="51"/>
      <c r="O808" s="51"/>
      <c r="P808" s="51"/>
      <c r="Q808" s="51"/>
      <c r="R808" s="51"/>
      <c r="S808" s="51"/>
      <c r="T808" s="51"/>
      <c r="U808" s="51"/>
      <c r="V808" s="51"/>
      <c r="W808" s="51"/>
      <c r="X808" s="51"/>
      <c r="Y808" s="51"/>
      <c r="Z808" s="51"/>
      <c r="AA808" s="51"/>
    </row>
    <row r="809" spans="1:27" ht="13.65" customHeight="1" x14ac:dyDescent="0.3">
      <c r="A809" s="49"/>
      <c r="B809" s="57"/>
      <c r="C809" s="51"/>
      <c r="D809" s="51"/>
      <c r="E809" s="51"/>
      <c r="F809" s="51"/>
      <c r="G809" s="58"/>
      <c r="H809" s="51"/>
      <c r="I809" s="58"/>
      <c r="J809" s="51"/>
      <c r="K809" s="51"/>
      <c r="L809" s="51"/>
      <c r="M809" s="51"/>
      <c r="N809" s="51"/>
      <c r="O809" s="51"/>
      <c r="P809" s="51"/>
      <c r="Q809" s="51"/>
      <c r="R809" s="51"/>
      <c r="S809" s="51"/>
      <c r="T809" s="51"/>
      <c r="U809" s="51"/>
      <c r="V809" s="51"/>
      <c r="W809" s="51"/>
      <c r="X809" s="51"/>
      <c r="Y809" s="51"/>
      <c r="Z809" s="51"/>
      <c r="AA809" s="51"/>
    </row>
    <row r="810" spans="1:27" ht="13.65" customHeight="1" x14ac:dyDescent="0.3">
      <c r="A810" s="49"/>
      <c r="B810" s="57"/>
      <c r="C810" s="51"/>
      <c r="D810" s="51"/>
      <c r="E810" s="51"/>
      <c r="F810" s="51"/>
      <c r="G810" s="58"/>
      <c r="H810" s="51"/>
      <c r="I810" s="58"/>
      <c r="J810" s="51"/>
      <c r="K810" s="51"/>
      <c r="L810" s="51"/>
      <c r="M810" s="51"/>
      <c r="N810" s="51"/>
      <c r="O810" s="51"/>
      <c r="P810" s="51"/>
      <c r="Q810" s="51"/>
      <c r="R810" s="51"/>
      <c r="S810" s="51"/>
      <c r="T810" s="51"/>
      <c r="U810" s="51"/>
      <c r="V810" s="51"/>
      <c r="W810" s="51"/>
      <c r="X810" s="51"/>
      <c r="Y810" s="51"/>
      <c r="Z810" s="51"/>
      <c r="AA810" s="51"/>
    </row>
    <row r="811" spans="1:27" ht="13.65" customHeight="1" x14ac:dyDescent="0.3">
      <c r="A811" s="49"/>
      <c r="B811" s="57"/>
      <c r="C811" s="51"/>
      <c r="D811" s="51"/>
      <c r="E811" s="51"/>
      <c r="F811" s="51"/>
      <c r="G811" s="58"/>
      <c r="H811" s="51"/>
      <c r="I811" s="58"/>
      <c r="J811" s="51"/>
      <c r="K811" s="51"/>
      <c r="L811" s="51"/>
      <c r="M811" s="51"/>
      <c r="N811" s="51"/>
      <c r="O811" s="51"/>
      <c r="P811" s="51"/>
      <c r="Q811" s="51"/>
      <c r="R811" s="51"/>
      <c r="S811" s="51"/>
      <c r="T811" s="51"/>
      <c r="U811" s="51"/>
      <c r="V811" s="51"/>
      <c r="W811" s="51"/>
      <c r="X811" s="51"/>
      <c r="Y811" s="51"/>
      <c r="Z811" s="51"/>
      <c r="AA811" s="51"/>
    </row>
    <row r="812" spans="1:27" ht="13.65" customHeight="1" x14ac:dyDescent="0.3">
      <c r="A812" s="49"/>
      <c r="B812" s="57"/>
      <c r="C812" s="51"/>
      <c r="D812" s="51"/>
      <c r="E812" s="51"/>
      <c r="F812" s="51"/>
      <c r="G812" s="58"/>
      <c r="H812" s="51"/>
      <c r="I812" s="58"/>
      <c r="J812" s="51"/>
      <c r="K812" s="51"/>
      <c r="L812" s="51"/>
      <c r="M812" s="51"/>
      <c r="N812" s="51"/>
      <c r="O812" s="51"/>
      <c r="P812" s="51"/>
      <c r="Q812" s="51"/>
      <c r="R812" s="51"/>
      <c r="S812" s="51"/>
      <c r="T812" s="51"/>
      <c r="U812" s="51"/>
      <c r="V812" s="51"/>
      <c r="W812" s="51"/>
      <c r="X812" s="51"/>
      <c r="Y812" s="51"/>
      <c r="Z812" s="51"/>
      <c r="AA812" s="51"/>
    </row>
    <row r="813" spans="1:27" ht="13.65" customHeight="1" x14ac:dyDescent="0.3">
      <c r="A813" s="49"/>
      <c r="B813" s="57"/>
      <c r="C813" s="51"/>
      <c r="D813" s="51"/>
      <c r="E813" s="51"/>
      <c r="F813" s="51"/>
      <c r="G813" s="58"/>
      <c r="H813" s="51"/>
      <c r="I813" s="58"/>
      <c r="J813" s="51"/>
      <c r="K813" s="51"/>
      <c r="L813" s="51"/>
      <c r="M813" s="51"/>
      <c r="N813" s="51"/>
      <c r="O813" s="51"/>
      <c r="P813" s="51"/>
      <c r="Q813" s="51"/>
      <c r="R813" s="51"/>
      <c r="S813" s="51"/>
      <c r="T813" s="51"/>
      <c r="U813" s="51"/>
      <c r="V813" s="51"/>
      <c r="W813" s="51"/>
      <c r="X813" s="51"/>
      <c r="Y813" s="51"/>
      <c r="Z813" s="51"/>
      <c r="AA813" s="51"/>
    </row>
    <row r="814" spans="1:27" ht="13.65" customHeight="1" x14ac:dyDescent="0.3">
      <c r="A814" s="49"/>
      <c r="B814" s="57"/>
      <c r="C814" s="51"/>
      <c r="D814" s="51"/>
      <c r="E814" s="51"/>
      <c r="F814" s="51"/>
      <c r="G814" s="58"/>
      <c r="H814" s="51"/>
      <c r="I814" s="58"/>
      <c r="J814" s="51"/>
      <c r="K814" s="51"/>
      <c r="L814" s="51"/>
      <c r="M814" s="51"/>
      <c r="N814" s="51"/>
      <c r="O814" s="51"/>
      <c r="P814" s="51"/>
      <c r="Q814" s="51"/>
      <c r="R814" s="51"/>
      <c r="S814" s="51"/>
      <c r="T814" s="51"/>
      <c r="U814" s="51"/>
      <c r="V814" s="51"/>
      <c r="W814" s="51"/>
      <c r="X814" s="51"/>
      <c r="Y814" s="51"/>
      <c r="Z814" s="51"/>
      <c r="AA814" s="51"/>
    </row>
    <row r="815" spans="1:27" ht="13.65" customHeight="1" x14ac:dyDescent="0.3">
      <c r="A815" s="49"/>
      <c r="B815" s="57"/>
      <c r="C815" s="51"/>
      <c r="D815" s="51"/>
      <c r="E815" s="51"/>
      <c r="F815" s="51"/>
      <c r="G815" s="58"/>
      <c r="H815" s="51"/>
      <c r="I815" s="58"/>
      <c r="J815" s="51"/>
      <c r="K815" s="51"/>
      <c r="L815" s="51"/>
      <c r="M815" s="51"/>
      <c r="N815" s="51"/>
      <c r="O815" s="51"/>
      <c r="P815" s="51"/>
      <c r="Q815" s="51"/>
      <c r="R815" s="51"/>
      <c r="S815" s="51"/>
      <c r="T815" s="51"/>
      <c r="U815" s="51"/>
      <c r="V815" s="51"/>
      <c r="W815" s="51"/>
      <c r="X815" s="51"/>
      <c r="Y815" s="51"/>
      <c r="Z815" s="51"/>
      <c r="AA815" s="51"/>
    </row>
    <row r="816" spans="1:27" ht="13.65" customHeight="1" x14ac:dyDescent="0.3">
      <c r="A816" s="49"/>
      <c r="B816" s="57"/>
      <c r="C816" s="51"/>
      <c r="D816" s="51"/>
      <c r="E816" s="51"/>
      <c r="F816" s="51"/>
      <c r="G816" s="58"/>
      <c r="H816" s="51"/>
      <c r="I816" s="58"/>
      <c r="J816" s="51"/>
      <c r="K816" s="51"/>
      <c r="L816" s="51"/>
      <c r="M816" s="51"/>
      <c r="N816" s="51"/>
      <c r="O816" s="51"/>
      <c r="P816" s="51"/>
      <c r="Q816" s="51"/>
      <c r="R816" s="51"/>
      <c r="S816" s="51"/>
      <c r="T816" s="51"/>
      <c r="U816" s="51"/>
      <c r="V816" s="51"/>
      <c r="W816" s="51"/>
      <c r="X816" s="51"/>
      <c r="Y816" s="51"/>
      <c r="Z816" s="51"/>
      <c r="AA816" s="51"/>
    </row>
    <row r="817" spans="1:27" ht="13.65" customHeight="1" x14ac:dyDescent="0.3">
      <c r="A817" s="49"/>
      <c r="B817" s="57"/>
      <c r="C817" s="51"/>
      <c r="D817" s="51"/>
      <c r="E817" s="51"/>
      <c r="F817" s="51"/>
      <c r="G817" s="58"/>
      <c r="H817" s="51"/>
      <c r="I817" s="58"/>
      <c r="J817" s="51"/>
      <c r="K817" s="51"/>
      <c r="L817" s="51"/>
      <c r="M817" s="51"/>
      <c r="N817" s="51"/>
      <c r="O817" s="51"/>
      <c r="P817" s="51"/>
      <c r="Q817" s="51"/>
      <c r="R817" s="51"/>
      <c r="S817" s="51"/>
      <c r="T817" s="51"/>
      <c r="U817" s="51"/>
      <c r="V817" s="51"/>
      <c r="W817" s="51"/>
      <c r="X817" s="51"/>
      <c r="Y817" s="51"/>
      <c r="Z817" s="51"/>
      <c r="AA817" s="51"/>
    </row>
    <row r="818" spans="1:27" ht="13.65" customHeight="1" x14ac:dyDescent="0.3">
      <c r="A818" s="49"/>
      <c r="B818" s="57"/>
      <c r="C818" s="51"/>
      <c r="D818" s="51"/>
      <c r="E818" s="51"/>
      <c r="F818" s="51"/>
      <c r="G818" s="58"/>
      <c r="H818" s="51"/>
      <c r="I818" s="58"/>
      <c r="J818" s="51"/>
      <c r="K818" s="51"/>
      <c r="L818" s="51"/>
      <c r="M818" s="51"/>
      <c r="N818" s="51"/>
      <c r="O818" s="51"/>
      <c r="P818" s="51"/>
      <c r="Q818" s="51"/>
      <c r="R818" s="51"/>
      <c r="S818" s="51"/>
      <c r="T818" s="51"/>
      <c r="U818" s="51"/>
      <c r="V818" s="51"/>
      <c r="W818" s="51"/>
      <c r="X818" s="51"/>
      <c r="Y818" s="51"/>
      <c r="Z818" s="51"/>
      <c r="AA818" s="51"/>
    </row>
    <row r="819" spans="1:27" ht="13.65" customHeight="1" x14ac:dyDescent="0.3">
      <c r="A819" s="49"/>
      <c r="B819" s="57"/>
      <c r="C819" s="51"/>
      <c r="D819" s="51"/>
      <c r="E819" s="51"/>
      <c r="F819" s="51"/>
      <c r="G819" s="58"/>
      <c r="H819" s="51"/>
      <c r="I819" s="58"/>
      <c r="J819" s="51"/>
      <c r="K819" s="51"/>
      <c r="L819" s="51"/>
      <c r="M819" s="51"/>
      <c r="N819" s="51"/>
      <c r="O819" s="51"/>
      <c r="P819" s="51"/>
      <c r="Q819" s="51"/>
      <c r="R819" s="51"/>
      <c r="S819" s="51"/>
      <c r="T819" s="51"/>
      <c r="U819" s="51"/>
      <c r="V819" s="51"/>
      <c r="W819" s="51"/>
      <c r="X819" s="51"/>
      <c r="Y819" s="51"/>
      <c r="Z819" s="51"/>
      <c r="AA819" s="51"/>
    </row>
    <row r="820" spans="1:27" ht="13.65" customHeight="1" x14ac:dyDescent="0.3">
      <c r="A820" s="49"/>
      <c r="B820" s="57"/>
      <c r="C820" s="51"/>
      <c r="D820" s="51"/>
      <c r="E820" s="51"/>
      <c r="F820" s="51"/>
      <c r="G820" s="58"/>
      <c r="H820" s="51"/>
      <c r="I820" s="58"/>
      <c r="J820" s="51"/>
      <c r="K820" s="51"/>
      <c r="L820" s="51"/>
      <c r="M820" s="51"/>
      <c r="N820" s="51"/>
      <c r="O820" s="51"/>
      <c r="P820" s="51"/>
      <c r="Q820" s="51"/>
      <c r="R820" s="51"/>
      <c r="S820" s="51"/>
      <c r="T820" s="51"/>
      <c r="U820" s="51"/>
      <c r="V820" s="51"/>
      <c r="W820" s="51"/>
      <c r="X820" s="51"/>
      <c r="Y820" s="51"/>
      <c r="Z820" s="51"/>
      <c r="AA820" s="51"/>
    </row>
    <row r="821" spans="1:27" ht="13.65" customHeight="1" x14ac:dyDescent="0.3">
      <c r="A821" s="49"/>
      <c r="B821" s="57"/>
      <c r="C821" s="51"/>
      <c r="D821" s="51"/>
      <c r="E821" s="51"/>
      <c r="F821" s="51"/>
      <c r="G821" s="58"/>
      <c r="H821" s="51"/>
      <c r="I821" s="58"/>
      <c r="J821" s="51"/>
      <c r="K821" s="51"/>
      <c r="L821" s="51"/>
      <c r="M821" s="51"/>
      <c r="N821" s="51"/>
      <c r="O821" s="51"/>
      <c r="P821" s="51"/>
      <c r="Q821" s="51"/>
      <c r="R821" s="51"/>
      <c r="S821" s="51"/>
      <c r="T821" s="51"/>
      <c r="U821" s="51"/>
      <c r="V821" s="51"/>
      <c r="W821" s="51"/>
      <c r="X821" s="51"/>
      <c r="Y821" s="51"/>
      <c r="Z821" s="51"/>
      <c r="AA821" s="51"/>
    </row>
    <row r="822" spans="1:27" ht="13.65" customHeight="1" x14ac:dyDescent="0.3">
      <c r="A822" s="49"/>
      <c r="B822" s="57"/>
      <c r="C822" s="51"/>
      <c r="D822" s="51"/>
      <c r="E822" s="51"/>
      <c r="F822" s="51"/>
      <c r="G822" s="58"/>
      <c r="H822" s="51"/>
      <c r="I822" s="58"/>
      <c r="J822" s="51"/>
      <c r="K822" s="51"/>
      <c r="L822" s="51"/>
      <c r="M822" s="51"/>
      <c r="N822" s="51"/>
      <c r="O822" s="51"/>
      <c r="P822" s="51"/>
      <c r="Q822" s="51"/>
      <c r="R822" s="51"/>
      <c r="S822" s="51"/>
      <c r="T822" s="51"/>
      <c r="U822" s="51"/>
      <c r="V822" s="51"/>
      <c r="W822" s="51"/>
      <c r="X822" s="51"/>
      <c r="Y822" s="51"/>
      <c r="Z822" s="51"/>
      <c r="AA822" s="51"/>
    </row>
    <row r="823" spans="1:27" ht="13.65" customHeight="1" x14ac:dyDescent="0.3">
      <c r="A823" s="49"/>
      <c r="B823" s="57"/>
      <c r="C823" s="51"/>
      <c r="D823" s="51"/>
      <c r="E823" s="51"/>
      <c r="F823" s="51"/>
      <c r="G823" s="58"/>
      <c r="H823" s="51"/>
      <c r="I823" s="58"/>
      <c r="J823" s="51"/>
      <c r="K823" s="51"/>
      <c r="L823" s="51"/>
      <c r="M823" s="51"/>
      <c r="N823" s="51"/>
      <c r="O823" s="51"/>
      <c r="P823" s="51"/>
      <c r="Q823" s="51"/>
      <c r="R823" s="51"/>
      <c r="S823" s="51"/>
      <c r="T823" s="51"/>
      <c r="U823" s="51"/>
      <c r="V823" s="51"/>
      <c r="W823" s="51"/>
      <c r="X823" s="51"/>
      <c r="Y823" s="51"/>
      <c r="Z823" s="51"/>
      <c r="AA823" s="51"/>
    </row>
    <row r="824" spans="1:27" ht="13.65" customHeight="1" x14ac:dyDescent="0.3">
      <c r="A824" s="49"/>
      <c r="B824" s="57"/>
      <c r="C824" s="51"/>
      <c r="D824" s="51"/>
      <c r="E824" s="51"/>
      <c r="F824" s="51"/>
      <c r="G824" s="58"/>
      <c r="H824" s="51"/>
      <c r="I824" s="58"/>
      <c r="J824" s="51"/>
      <c r="K824" s="51"/>
      <c r="L824" s="51"/>
      <c r="M824" s="51"/>
      <c r="N824" s="51"/>
      <c r="O824" s="51"/>
      <c r="P824" s="51"/>
      <c r="Q824" s="51"/>
      <c r="R824" s="51"/>
      <c r="S824" s="51"/>
      <c r="T824" s="51"/>
      <c r="U824" s="51"/>
      <c r="V824" s="51"/>
      <c r="W824" s="51"/>
      <c r="X824" s="51"/>
      <c r="Y824" s="51"/>
      <c r="Z824" s="51"/>
      <c r="AA824" s="51"/>
    </row>
    <row r="825" spans="1:27" ht="13.65" customHeight="1" x14ac:dyDescent="0.3">
      <c r="A825" s="49"/>
      <c r="B825" s="57"/>
      <c r="C825" s="51"/>
      <c r="D825" s="51"/>
      <c r="E825" s="51"/>
      <c r="F825" s="51"/>
      <c r="G825" s="58"/>
      <c r="H825" s="51"/>
      <c r="I825" s="58"/>
      <c r="J825" s="51"/>
      <c r="K825" s="51"/>
      <c r="L825" s="51"/>
      <c r="M825" s="51"/>
      <c r="N825" s="51"/>
      <c r="O825" s="51"/>
      <c r="P825" s="51"/>
      <c r="Q825" s="51"/>
      <c r="R825" s="51"/>
      <c r="S825" s="51"/>
      <c r="T825" s="51"/>
      <c r="U825" s="51"/>
      <c r="V825" s="51"/>
      <c r="W825" s="51"/>
      <c r="X825" s="51"/>
      <c r="Y825" s="51"/>
      <c r="Z825" s="51"/>
      <c r="AA825" s="51"/>
    </row>
    <row r="826" spans="1:27" ht="13.65" customHeight="1" x14ac:dyDescent="0.3">
      <c r="A826" s="49"/>
      <c r="B826" s="57"/>
      <c r="C826" s="51"/>
      <c r="D826" s="51"/>
      <c r="E826" s="51"/>
      <c r="F826" s="51"/>
      <c r="G826" s="58"/>
      <c r="H826" s="51"/>
      <c r="I826" s="58"/>
      <c r="J826" s="51"/>
      <c r="K826" s="51"/>
      <c r="L826" s="51"/>
      <c r="M826" s="51"/>
      <c r="N826" s="51"/>
      <c r="O826" s="51"/>
      <c r="P826" s="51"/>
      <c r="Q826" s="51"/>
      <c r="R826" s="51"/>
      <c r="S826" s="51"/>
      <c r="T826" s="51"/>
      <c r="U826" s="51"/>
      <c r="V826" s="51"/>
      <c r="W826" s="51"/>
      <c r="X826" s="51"/>
      <c r="Y826" s="51"/>
      <c r="Z826" s="51"/>
      <c r="AA826" s="51"/>
    </row>
    <row r="827" spans="1:27" ht="13.65" customHeight="1" x14ac:dyDescent="0.3">
      <c r="A827" s="49"/>
      <c r="B827" s="57"/>
      <c r="C827" s="51"/>
      <c r="D827" s="51"/>
      <c r="E827" s="51"/>
      <c r="F827" s="51"/>
      <c r="G827" s="58"/>
      <c r="H827" s="51"/>
      <c r="I827" s="58"/>
      <c r="J827" s="51"/>
      <c r="K827" s="51"/>
      <c r="L827" s="51"/>
      <c r="M827" s="51"/>
      <c r="N827" s="51"/>
      <c r="O827" s="51"/>
      <c r="P827" s="51"/>
      <c r="Q827" s="51"/>
      <c r="R827" s="51"/>
      <c r="S827" s="51"/>
      <c r="T827" s="51"/>
      <c r="U827" s="51"/>
      <c r="V827" s="51"/>
      <c r="W827" s="51"/>
      <c r="X827" s="51"/>
      <c r="Y827" s="51"/>
      <c r="Z827" s="51"/>
      <c r="AA827" s="51"/>
    </row>
    <row r="828" spans="1:27" ht="13.65" customHeight="1" x14ac:dyDescent="0.3">
      <c r="A828" s="49"/>
      <c r="B828" s="57"/>
      <c r="C828" s="51"/>
      <c r="D828" s="51"/>
      <c r="E828" s="51"/>
      <c r="F828" s="51"/>
      <c r="G828" s="58"/>
      <c r="H828" s="51"/>
      <c r="I828" s="58"/>
      <c r="J828" s="51"/>
      <c r="K828" s="51"/>
      <c r="L828" s="51"/>
      <c r="M828" s="51"/>
      <c r="N828" s="51"/>
      <c r="O828" s="51"/>
      <c r="P828" s="51"/>
      <c r="Q828" s="51"/>
      <c r="R828" s="51"/>
      <c r="S828" s="51"/>
      <c r="T828" s="51"/>
      <c r="U828" s="51"/>
      <c r="V828" s="51"/>
      <c r="W828" s="51"/>
      <c r="X828" s="51"/>
      <c r="Y828" s="51"/>
      <c r="Z828" s="51"/>
      <c r="AA828" s="51"/>
    </row>
    <row r="829" spans="1:27" ht="13.65" customHeight="1" x14ac:dyDescent="0.3">
      <c r="A829" s="49"/>
      <c r="B829" s="57"/>
      <c r="C829" s="51"/>
      <c r="D829" s="51"/>
      <c r="E829" s="51"/>
      <c r="F829" s="51"/>
      <c r="G829" s="58"/>
      <c r="H829" s="51"/>
      <c r="I829" s="58"/>
      <c r="J829" s="51"/>
      <c r="K829" s="51"/>
      <c r="L829" s="51"/>
      <c r="M829" s="51"/>
      <c r="N829" s="51"/>
      <c r="O829" s="51"/>
      <c r="P829" s="51"/>
      <c r="Q829" s="51"/>
      <c r="R829" s="51"/>
      <c r="S829" s="51"/>
      <c r="T829" s="51"/>
      <c r="U829" s="51"/>
      <c r="V829" s="51"/>
      <c r="W829" s="51"/>
      <c r="X829" s="51"/>
      <c r="Y829" s="51"/>
      <c r="Z829" s="51"/>
      <c r="AA829" s="51"/>
    </row>
    <row r="830" spans="1:27" ht="13.65" customHeight="1" x14ac:dyDescent="0.3">
      <c r="A830" s="49"/>
      <c r="B830" s="57"/>
      <c r="C830" s="51"/>
      <c r="D830" s="51"/>
      <c r="E830" s="51"/>
      <c r="F830" s="51"/>
      <c r="G830" s="58"/>
      <c r="H830" s="51"/>
      <c r="I830" s="58"/>
      <c r="J830" s="51"/>
      <c r="K830" s="51"/>
      <c r="L830" s="51"/>
      <c r="M830" s="51"/>
      <c r="N830" s="51"/>
      <c r="O830" s="51"/>
      <c r="P830" s="51"/>
      <c r="Q830" s="51"/>
      <c r="R830" s="51"/>
      <c r="S830" s="51"/>
      <c r="T830" s="51"/>
      <c r="U830" s="51"/>
      <c r="V830" s="51"/>
      <c r="W830" s="51"/>
      <c r="X830" s="51"/>
      <c r="Y830" s="51"/>
      <c r="Z830" s="51"/>
      <c r="AA830" s="51"/>
    </row>
    <row r="831" spans="1:27" ht="13.65" customHeight="1" x14ac:dyDescent="0.3">
      <c r="A831" s="49"/>
      <c r="B831" s="57"/>
      <c r="C831" s="51"/>
      <c r="D831" s="51"/>
      <c r="E831" s="51"/>
      <c r="F831" s="51"/>
      <c r="G831" s="58"/>
      <c r="H831" s="51"/>
      <c r="I831" s="58"/>
      <c r="J831" s="51"/>
      <c r="K831" s="51"/>
      <c r="L831" s="51"/>
      <c r="M831" s="51"/>
      <c r="N831" s="51"/>
      <c r="O831" s="51"/>
      <c r="P831" s="51"/>
      <c r="Q831" s="51"/>
      <c r="R831" s="51"/>
      <c r="S831" s="51"/>
      <c r="T831" s="51"/>
      <c r="U831" s="51"/>
      <c r="V831" s="51"/>
      <c r="W831" s="51"/>
      <c r="X831" s="51"/>
      <c r="Y831" s="51"/>
      <c r="Z831" s="51"/>
      <c r="AA831" s="51"/>
    </row>
    <row r="832" spans="1:27" ht="13.65" customHeight="1" x14ac:dyDescent="0.3">
      <c r="A832" s="49"/>
      <c r="B832" s="57"/>
      <c r="C832" s="51"/>
      <c r="D832" s="51"/>
      <c r="E832" s="51"/>
      <c r="F832" s="51"/>
      <c r="G832" s="58"/>
      <c r="H832" s="51"/>
      <c r="I832" s="58"/>
      <c r="J832" s="51"/>
      <c r="K832" s="51"/>
      <c r="L832" s="51"/>
      <c r="M832" s="51"/>
      <c r="N832" s="51"/>
      <c r="O832" s="51"/>
      <c r="P832" s="51"/>
      <c r="Q832" s="51"/>
      <c r="R832" s="51"/>
      <c r="S832" s="51"/>
      <c r="T832" s="51"/>
      <c r="U832" s="51"/>
      <c r="V832" s="51"/>
      <c r="W832" s="51"/>
      <c r="X832" s="51"/>
      <c r="Y832" s="51"/>
      <c r="Z832" s="51"/>
      <c r="AA832" s="51"/>
    </row>
    <row r="833" spans="1:27" ht="13.65" customHeight="1" x14ac:dyDescent="0.3">
      <c r="A833" s="49"/>
      <c r="B833" s="57"/>
      <c r="C833" s="51"/>
      <c r="D833" s="51"/>
      <c r="E833" s="51"/>
      <c r="F833" s="51"/>
      <c r="G833" s="58"/>
      <c r="H833" s="51"/>
      <c r="I833" s="58"/>
      <c r="J833" s="51"/>
      <c r="K833" s="51"/>
      <c r="L833" s="51"/>
      <c r="M833" s="51"/>
      <c r="N833" s="51"/>
      <c r="O833" s="51"/>
      <c r="P833" s="51"/>
      <c r="Q833" s="51"/>
      <c r="R833" s="51"/>
      <c r="S833" s="51"/>
      <c r="T833" s="51"/>
      <c r="U833" s="51"/>
      <c r="V833" s="51"/>
      <c r="W833" s="51"/>
      <c r="X833" s="51"/>
      <c r="Y833" s="51"/>
      <c r="Z833" s="51"/>
      <c r="AA833" s="51"/>
    </row>
    <row r="834" spans="1:27" ht="13.65" customHeight="1" x14ac:dyDescent="0.3">
      <c r="A834" s="49"/>
      <c r="B834" s="57"/>
      <c r="C834" s="51"/>
      <c r="D834" s="51"/>
      <c r="E834" s="51"/>
      <c r="F834" s="51"/>
      <c r="G834" s="58"/>
      <c r="H834" s="51"/>
      <c r="I834" s="58"/>
      <c r="J834" s="51"/>
      <c r="K834" s="51"/>
      <c r="L834" s="51"/>
      <c r="M834" s="51"/>
      <c r="N834" s="51"/>
      <c r="O834" s="51"/>
      <c r="P834" s="51"/>
      <c r="Q834" s="51"/>
      <c r="R834" s="51"/>
      <c r="S834" s="51"/>
      <c r="T834" s="51"/>
      <c r="U834" s="51"/>
      <c r="V834" s="51"/>
      <c r="W834" s="51"/>
      <c r="X834" s="51"/>
      <c r="Y834" s="51"/>
      <c r="Z834" s="51"/>
      <c r="AA834" s="51"/>
    </row>
    <row r="835" spans="1:27" ht="13.65" customHeight="1" x14ac:dyDescent="0.3">
      <c r="A835" s="49"/>
      <c r="B835" s="57"/>
      <c r="C835" s="51"/>
      <c r="D835" s="51"/>
      <c r="E835" s="51"/>
      <c r="F835" s="51"/>
      <c r="G835" s="58"/>
      <c r="H835" s="51"/>
      <c r="I835" s="58"/>
      <c r="J835" s="51"/>
      <c r="K835" s="51"/>
      <c r="L835" s="51"/>
      <c r="M835" s="51"/>
      <c r="N835" s="51"/>
      <c r="O835" s="51"/>
      <c r="P835" s="51"/>
      <c r="Q835" s="51"/>
      <c r="R835" s="51"/>
      <c r="S835" s="51"/>
      <c r="T835" s="51"/>
      <c r="U835" s="51"/>
      <c r="V835" s="51"/>
      <c r="W835" s="51"/>
      <c r="X835" s="51"/>
      <c r="Y835" s="51"/>
      <c r="Z835" s="51"/>
      <c r="AA835" s="51"/>
    </row>
    <row r="836" spans="1:27" ht="13.65" customHeight="1" x14ac:dyDescent="0.3">
      <c r="A836" s="49"/>
      <c r="B836" s="57"/>
      <c r="C836" s="51"/>
      <c r="D836" s="51"/>
      <c r="E836" s="51"/>
      <c r="F836" s="51"/>
      <c r="G836" s="58"/>
      <c r="H836" s="51"/>
      <c r="I836" s="58"/>
      <c r="J836" s="51"/>
      <c r="K836" s="51"/>
      <c r="L836" s="51"/>
      <c r="M836" s="51"/>
      <c r="N836" s="51"/>
      <c r="O836" s="51"/>
      <c r="P836" s="51"/>
      <c r="Q836" s="51"/>
      <c r="R836" s="51"/>
      <c r="S836" s="51"/>
      <c r="T836" s="51"/>
      <c r="U836" s="51"/>
      <c r="V836" s="51"/>
      <c r="W836" s="51"/>
      <c r="X836" s="51"/>
      <c r="Y836" s="51"/>
      <c r="Z836" s="51"/>
      <c r="AA836" s="51"/>
    </row>
    <row r="837" spans="1:27" ht="13.65" customHeight="1" x14ac:dyDescent="0.3">
      <c r="A837" s="49"/>
      <c r="B837" s="57"/>
      <c r="C837" s="51"/>
      <c r="D837" s="51"/>
      <c r="E837" s="51"/>
      <c r="F837" s="51"/>
      <c r="G837" s="58"/>
      <c r="H837" s="51"/>
      <c r="I837" s="58"/>
      <c r="J837" s="51"/>
      <c r="K837" s="51"/>
      <c r="L837" s="51"/>
      <c r="M837" s="51"/>
      <c r="N837" s="51"/>
      <c r="O837" s="51"/>
      <c r="P837" s="51"/>
      <c r="Q837" s="51"/>
      <c r="R837" s="51"/>
      <c r="S837" s="51"/>
      <c r="T837" s="51"/>
      <c r="U837" s="51"/>
      <c r="V837" s="51"/>
      <c r="W837" s="51"/>
      <c r="X837" s="51"/>
      <c r="Y837" s="51"/>
      <c r="Z837" s="51"/>
      <c r="AA837" s="51"/>
    </row>
    <row r="838" spans="1:27" ht="13.65" customHeight="1" x14ac:dyDescent="0.3">
      <c r="A838" s="49"/>
      <c r="B838" s="57"/>
      <c r="C838" s="51"/>
      <c r="D838" s="51"/>
      <c r="E838" s="51"/>
      <c r="F838" s="51"/>
      <c r="G838" s="58"/>
      <c r="H838" s="51"/>
      <c r="I838" s="58"/>
      <c r="J838" s="51"/>
      <c r="K838" s="51"/>
      <c r="L838" s="51"/>
      <c r="M838" s="51"/>
      <c r="N838" s="51"/>
      <c r="O838" s="51"/>
      <c r="P838" s="51"/>
      <c r="Q838" s="51"/>
      <c r="R838" s="51"/>
      <c r="S838" s="51"/>
      <c r="T838" s="51"/>
      <c r="U838" s="51"/>
      <c r="V838" s="51"/>
      <c r="W838" s="51"/>
      <c r="X838" s="51"/>
      <c r="Y838" s="51"/>
      <c r="Z838" s="51"/>
      <c r="AA838" s="51"/>
    </row>
    <row r="839" spans="1:27" ht="13.65" customHeight="1" x14ac:dyDescent="0.3">
      <c r="A839" s="49"/>
      <c r="B839" s="57"/>
      <c r="C839" s="51"/>
      <c r="D839" s="51"/>
      <c r="E839" s="51"/>
      <c r="F839" s="51"/>
      <c r="G839" s="58"/>
      <c r="H839" s="51"/>
      <c r="I839" s="58"/>
      <c r="J839" s="51"/>
      <c r="K839" s="51"/>
      <c r="L839" s="51"/>
      <c r="M839" s="51"/>
      <c r="N839" s="51"/>
      <c r="O839" s="51"/>
      <c r="P839" s="51"/>
      <c r="Q839" s="51"/>
      <c r="R839" s="51"/>
      <c r="S839" s="51"/>
      <c r="T839" s="51"/>
      <c r="U839" s="51"/>
      <c r="V839" s="51"/>
      <c r="W839" s="51"/>
      <c r="X839" s="51"/>
      <c r="Y839" s="51"/>
      <c r="Z839" s="51"/>
      <c r="AA839" s="51"/>
    </row>
    <row r="840" spans="1:27" ht="13.65" customHeight="1" x14ac:dyDescent="0.3">
      <c r="A840" s="49"/>
      <c r="B840" s="57"/>
      <c r="C840" s="51"/>
      <c r="D840" s="51"/>
      <c r="E840" s="51"/>
      <c r="F840" s="51"/>
      <c r="G840" s="58"/>
      <c r="H840" s="51"/>
      <c r="I840" s="58"/>
      <c r="J840" s="51"/>
      <c r="K840" s="51"/>
      <c r="L840" s="51"/>
      <c r="M840" s="51"/>
      <c r="N840" s="51"/>
      <c r="O840" s="51"/>
      <c r="P840" s="51"/>
      <c r="Q840" s="51"/>
      <c r="R840" s="51"/>
      <c r="S840" s="51"/>
      <c r="T840" s="51"/>
      <c r="U840" s="51"/>
      <c r="V840" s="51"/>
      <c r="W840" s="51"/>
      <c r="X840" s="51"/>
      <c r="Y840" s="51"/>
      <c r="Z840" s="51"/>
      <c r="AA840" s="51"/>
    </row>
    <row r="841" spans="1:27" ht="13.65" customHeight="1" x14ac:dyDescent="0.3">
      <c r="A841" s="49"/>
      <c r="B841" s="57"/>
      <c r="C841" s="51"/>
      <c r="D841" s="51"/>
      <c r="E841" s="51"/>
      <c r="F841" s="51"/>
      <c r="G841" s="58"/>
      <c r="H841" s="51"/>
      <c r="I841" s="58"/>
      <c r="J841" s="51"/>
      <c r="K841" s="51"/>
      <c r="L841" s="51"/>
      <c r="M841" s="51"/>
      <c r="N841" s="51"/>
      <c r="O841" s="51"/>
      <c r="P841" s="51"/>
      <c r="Q841" s="51"/>
      <c r="R841" s="51"/>
      <c r="S841" s="51"/>
      <c r="T841" s="51"/>
      <c r="U841" s="51"/>
      <c r="V841" s="51"/>
      <c r="W841" s="51"/>
      <c r="X841" s="51"/>
      <c r="Y841" s="51"/>
      <c r="Z841" s="51"/>
      <c r="AA841" s="51"/>
    </row>
    <row r="842" spans="1:27" ht="13.65" customHeight="1" x14ac:dyDescent="0.3">
      <c r="A842" s="49"/>
      <c r="B842" s="57"/>
      <c r="C842" s="51"/>
      <c r="D842" s="51"/>
      <c r="E842" s="51"/>
      <c r="F842" s="51"/>
      <c r="G842" s="58"/>
      <c r="H842" s="51"/>
      <c r="I842" s="58"/>
      <c r="J842" s="51"/>
      <c r="K842" s="51"/>
      <c r="L842" s="51"/>
      <c r="M842" s="51"/>
      <c r="N842" s="51"/>
      <c r="O842" s="51"/>
      <c r="P842" s="51"/>
      <c r="Q842" s="51"/>
      <c r="R842" s="51"/>
      <c r="S842" s="51"/>
      <c r="T842" s="51"/>
      <c r="U842" s="51"/>
      <c r="V842" s="51"/>
      <c r="W842" s="51"/>
      <c r="X842" s="51"/>
      <c r="Y842" s="51"/>
      <c r="Z842" s="51"/>
      <c r="AA842" s="51"/>
    </row>
    <row r="843" spans="1:27" ht="13.65" customHeight="1" x14ac:dyDescent="0.3">
      <c r="A843" s="49"/>
      <c r="B843" s="57"/>
      <c r="C843" s="51"/>
      <c r="D843" s="51"/>
      <c r="E843" s="51"/>
      <c r="F843" s="51"/>
      <c r="G843" s="58"/>
      <c r="H843" s="51"/>
      <c r="I843" s="58"/>
      <c r="J843" s="51"/>
      <c r="K843" s="51"/>
      <c r="L843" s="51"/>
      <c r="M843" s="51"/>
      <c r="N843" s="51"/>
      <c r="O843" s="51"/>
      <c r="P843" s="51"/>
      <c r="Q843" s="51"/>
      <c r="R843" s="51"/>
      <c r="S843" s="51"/>
      <c r="T843" s="51"/>
      <c r="U843" s="51"/>
      <c r="V843" s="51"/>
      <c r="W843" s="51"/>
      <c r="X843" s="51"/>
      <c r="Y843" s="51"/>
      <c r="Z843" s="51"/>
      <c r="AA843" s="51"/>
    </row>
    <row r="844" spans="1:27" ht="13.65" customHeight="1" x14ac:dyDescent="0.3">
      <c r="A844" s="49"/>
      <c r="B844" s="57"/>
      <c r="C844" s="51"/>
      <c r="D844" s="51"/>
      <c r="E844" s="51"/>
      <c r="F844" s="51"/>
      <c r="G844" s="58"/>
      <c r="H844" s="51"/>
      <c r="I844" s="58"/>
      <c r="J844" s="51"/>
      <c r="K844" s="51"/>
      <c r="L844" s="51"/>
      <c r="M844" s="51"/>
      <c r="N844" s="51"/>
      <c r="O844" s="51"/>
      <c r="P844" s="51"/>
      <c r="Q844" s="51"/>
      <c r="R844" s="51"/>
      <c r="S844" s="51"/>
      <c r="T844" s="51"/>
      <c r="U844" s="51"/>
      <c r="V844" s="51"/>
      <c r="W844" s="51"/>
      <c r="X844" s="51"/>
      <c r="Y844" s="51"/>
      <c r="Z844" s="51"/>
      <c r="AA844" s="51"/>
    </row>
    <row r="845" spans="1:27" ht="13.65" customHeight="1" x14ac:dyDescent="0.3">
      <c r="A845" s="49"/>
      <c r="B845" s="57"/>
      <c r="C845" s="51"/>
      <c r="D845" s="51"/>
      <c r="E845" s="51"/>
      <c r="F845" s="51"/>
      <c r="G845" s="58"/>
      <c r="H845" s="51"/>
      <c r="I845" s="58"/>
      <c r="J845" s="51"/>
      <c r="K845" s="51"/>
      <c r="L845" s="51"/>
      <c r="M845" s="51"/>
      <c r="N845" s="51"/>
      <c r="O845" s="51"/>
      <c r="P845" s="51"/>
      <c r="Q845" s="51"/>
      <c r="R845" s="51"/>
      <c r="S845" s="51"/>
      <c r="T845" s="51"/>
      <c r="U845" s="51"/>
      <c r="V845" s="51"/>
      <c r="W845" s="51"/>
      <c r="X845" s="51"/>
      <c r="Y845" s="51"/>
      <c r="Z845" s="51"/>
      <c r="AA845" s="51"/>
    </row>
    <row r="846" spans="1:27" ht="13.65" customHeight="1" x14ac:dyDescent="0.3">
      <c r="A846" s="49"/>
      <c r="B846" s="57"/>
      <c r="C846" s="51"/>
      <c r="D846" s="51"/>
      <c r="E846" s="51"/>
      <c r="F846" s="51"/>
      <c r="G846" s="58"/>
      <c r="H846" s="51"/>
      <c r="I846" s="58"/>
      <c r="J846" s="51"/>
      <c r="K846" s="51"/>
      <c r="L846" s="51"/>
      <c r="M846" s="51"/>
      <c r="N846" s="51"/>
      <c r="O846" s="51"/>
      <c r="P846" s="51"/>
      <c r="Q846" s="51"/>
      <c r="R846" s="51"/>
      <c r="S846" s="51"/>
      <c r="T846" s="51"/>
      <c r="U846" s="51"/>
      <c r="V846" s="51"/>
      <c r="W846" s="51"/>
      <c r="X846" s="51"/>
      <c r="Y846" s="51"/>
      <c r="Z846" s="51"/>
      <c r="AA846" s="51"/>
    </row>
    <row r="847" spans="1:27" ht="13.65" customHeight="1" x14ac:dyDescent="0.3">
      <c r="A847" s="49"/>
      <c r="B847" s="57"/>
      <c r="C847" s="51"/>
      <c r="D847" s="51"/>
      <c r="E847" s="51"/>
      <c r="F847" s="51"/>
      <c r="G847" s="58"/>
      <c r="H847" s="51"/>
      <c r="I847" s="58"/>
      <c r="J847" s="51"/>
      <c r="K847" s="51"/>
      <c r="L847" s="51"/>
      <c r="M847" s="51"/>
      <c r="N847" s="51"/>
      <c r="O847" s="51"/>
      <c r="P847" s="51"/>
      <c r="Q847" s="51"/>
      <c r="R847" s="51"/>
      <c r="S847" s="51"/>
      <c r="T847" s="51"/>
      <c r="U847" s="51"/>
      <c r="V847" s="51"/>
      <c r="W847" s="51"/>
      <c r="X847" s="51"/>
      <c r="Y847" s="51"/>
      <c r="Z847" s="51"/>
      <c r="AA847" s="51"/>
    </row>
    <row r="848" spans="1:27" ht="13.65" customHeight="1" x14ac:dyDescent="0.3">
      <c r="A848" s="49"/>
      <c r="B848" s="57"/>
      <c r="C848" s="51"/>
      <c r="D848" s="51"/>
      <c r="E848" s="51"/>
      <c r="F848" s="51"/>
      <c r="G848" s="58"/>
      <c r="H848" s="51"/>
      <c r="I848" s="58"/>
      <c r="J848" s="51"/>
      <c r="K848" s="51"/>
      <c r="L848" s="51"/>
      <c r="M848" s="51"/>
      <c r="N848" s="51"/>
      <c r="O848" s="51"/>
      <c r="P848" s="51"/>
      <c r="Q848" s="51"/>
      <c r="R848" s="51"/>
      <c r="S848" s="51"/>
      <c r="T848" s="51"/>
      <c r="U848" s="51"/>
      <c r="V848" s="51"/>
      <c r="W848" s="51"/>
      <c r="X848" s="51"/>
      <c r="Y848" s="51"/>
      <c r="Z848" s="51"/>
      <c r="AA848" s="51"/>
    </row>
    <row r="849" spans="1:27" ht="13.65" customHeight="1" x14ac:dyDescent="0.3">
      <c r="A849" s="49"/>
      <c r="B849" s="57"/>
      <c r="C849" s="51"/>
      <c r="D849" s="51"/>
      <c r="E849" s="51"/>
      <c r="F849" s="51"/>
      <c r="G849" s="58"/>
      <c r="H849" s="51"/>
      <c r="I849" s="58"/>
      <c r="J849" s="51"/>
      <c r="K849" s="51"/>
      <c r="L849" s="51"/>
      <c r="M849" s="51"/>
      <c r="N849" s="51"/>
      <c r="O849" s="51"/>
      <c r="P849" s="51"/>
      <c r="Q849" s="51"/>
      <c r="R849" s="51"/>
      <c r="S849" s="51"/>
      <c r="T849" s="51"/>
      <c r="U849" s="51"/>
      <c r="V849" s="51"/>
      <c r="W849" s="51"/>
      <c r="X849" s="51"/>
      <c r="Y849" s="51"/>
      <c r="Z849" s="51"/>
      <c r="AA849" s="51"/>
    </row>
    <row r="850" spans="1:27" ht="13.65" customHeight="1" x14ac:dyDescent="0.3">
      <c r="A850" s="49"/>
      <c r="B850" s="57"/>
      <c r="C850" s="51"/>
      <c r="D850" s="51"/>
      <c r="E850" s="51"/>
      <c r="F850" s="51"/>
      <c r="G850" s="58"/>
      <c r="H850" s="51"/>
      <c r="I850" s="58"/>
      <c r="J850" s="51"/>
      <c r="K850" s="51"/>
      <c r="L850" s="51"/>
      <c r="M850" s="51"/>
      <c r="N850" s="51"/>
      <c r="O850" s="51"/>
      <c r="P850" s="51"/>
      <c r="Q850" s="51"/>
      <c r="R850" s="51"/>
      <c r="S850" s="51"/>
      <c r="T850" s="51"/>
      <c r="U850" s="51"/>
      <c r="V850" s="51"/>
      <c r="W850" s="51"/>
      <c r="X850" s="51"/>
      <c r="Y850" s="51"/>
      <c r="Z850" s="51"/>
      <c r="AA850" s="51"/>
    </row>
    <row r="851" spans="1:27" ht="13.65" customHeight="1" x14ac:dyDescent="0.3">
      <c r="A851" s="49"/>
      <c r="B851" s="57"/>
      <c r="C851" s="51"/>
      <c r="D851" s="51"/>
      <c r="E851" s="51"/>
      <c r="F851" s="51"/>
      <c r="G851" s="58"/>
      <c r="H851" s="51"/>
      <c r="I851" s="58"/>
      <c r="J851" s="51"/>
      <c r="K851" s="51"/>
      <c r="L851" s="51"/>
      <c r="M851" s="51"/>
      <c r="N851" s="51"/>
      <c r="O851" s="51"/>
      <c r="P851" s="51"/>
      <c r="Q851" s="51"/>
      <c r="R851" s="51"/>
      <c r="S851" s="51"/>
      <c r="T851" s="51"/>
      <c r="U851" s="51"/>
      <c r="V851" s="51"/>
      <c r="W851" s="51"/>
      <c r="X851" s="51"/>
      <c r="Y851" s="51"/>
      <c r="Z851" s="51"/>
      <c r="AA851" s="51"/>
    </row>
    <row r="852" spans="1:27" ht="13.65" customHeight="1" x14ac:dyDescent="0.3">
      <c r="A852" s="49"/>
      <c r="B852" s="57"/>
      <c r="C852" s="51"/>
      <c r="D852" s="51"/>
      <c r="E852" s="51"/>
      <c r="F852" s="51"/>
      <c r="G852" s="58"/>
      <c r="H852" s="51"/>
      <c r="I852" s="58"/>
      <c r="J852" s="51"/>
      <c r="K852" s="51"/>
      <c r="L852" s="51"/>
      <c r="M852" s="51"/>
      <c r="N852" s="51"/>
      <c r="O852" s="51"/>
      <c r="P852" s="51"/>
      <c r="Q852" s="51"/>
      <c r="R852" s="51"/>
      <c r="S852" s="51"/>
      <c r="T852" s="51"/>
      <c r="U852" s="51"/>
      <c r="V852" s="51"/>
      <c r="W852" s="51"/>
      <c r="X852" s="51"/>
      <c r="Y852" s="51"/>
      <c r="Z852" s="51"/>
      <c r="AA852" s="51"/>
    </row>
    <row r="853" spans="1:27" ht="13.65" customHeight="1" x14ac:dyDescent="0.3">
      <c r="A853" s="49"/>
      <c r="B853" s="57"/>
      <c r="C853" s="51"/>
      <c r="D853" s="51"/>
      <c r="E853" s="51"/>
      <c r="F853" s="51"/>
      <c r="G853" s="58"/>
      <c r="H853" s="51"/>
      <c r="I853" s="58"/>
      <c r="J853" s="51"/>
      <c r="K853" s="51"/>
      <c r="L853" s="51"/>
      <c r="M853" s="51"/>
      <c r="N853" s="51"/>
      <c r="O853" s="51"/>
      <c r="P853" s="51"/>
      <c r="Q853" s="51"/>
      <c r="R853" s="51"/>
      <c r="S853" s="51"/>
      <c r="T853" s="51"/>
      <c r="U853" s="51"/>
      <c r="V853" s="51"/>
      <c r="W853" s="51"/>
      <c r="X853" s="51"/>
      <c r="Y853" s="51"/>
      <c r="Z853" s="51"/>
      <c r="AA853" s="51"/>
    </row>
    <row r="854" spans="1:27" ht="13.65" customHeight="1" x14ac:dyDescent="0.3">
      <c r="A854" s="49"/>
      <c r="B854" s="57"/>
      <c r="C854" s="51"/>
      <c r="D854" s="51"/>
      <c r="E854" s="51"/>
      <c r="F854" s="51"/>
      <c r="G854" s="58"/>
      <c r="H854" s="51"/>
      <c r="I854" s="58"/>
      <c r="J854" s="51"/>
      <c r="K854" s="51"/>
      <c r="L854" s="51"/>
      <c r="M854" s="51"/>
      <c r="N854" s="51"/>
      <c r="O854" s="51"/>
      <c r="P854" s="51"/>
      <c r="Q854" s="51"/>
      <c r="R854" s="51"/>
      <c r="S854" s="51"/>
      <c r="T854" s="51"/>
      <c r="U854" s="51"/>
      <c r="V854" s="51"/>
      <c r="W854" s="51"/>
      <c r="X854" s="51"/>
      <c r="Y854" s="51"/>
      <c r="Z854" s="51"/>
      <c r="AA854" s="51"/>
    </row>
    <row r="855" spans="1:27" ht="13.65" customHeight="1" x14ac:dyDescent="0.3">
      <c r="A855" s="49"/>
      <c r="B855" s="57"/>
      <c r="C855" s="51"/>
      <c r="D855" s="51"/>
      <c r="E855" s="51"/>
      <c r="F855" s="51"/>
      <c r="G855" s="58"/>
      <c r="H855" s="51"/>
      <c r="I855" s="58"/>
      <c r="J855" s="51"/>
      <c r="K855" s="51"/>
      <c r="L855" s="51"/>
      <c r="M855" s="51"/>
      <c r="N855" s="51"/>
      <c r="O855" s="51"/>
      <c r="P855" s="51"/>
      <c r="Q855" s="51"/>
      <c r="R855" s="51"/>
      <c r="S855" s="51"/>
      <c r="T855" s="51"/>
      <c r="U855" s="51"/>
      <c r="V855" s="51"/>
      <c r="W855" s="51"/>
      <c r="X855" s="51"/>
      <c r="Y855" s="51"/>
      <c r="Z855" s="51"/>
      <c r="AA855" s="51"/>
    </row>
    <row r="856" spans="1:27" ht="13.65" customHeight="1" x14ac:dyDescent="0.3">
      <c r="A856" s="49"/>
      <c r="B856" s="57"/>
      <c r="C856" s="51"/>
      <c r="D856" s="51"/>
      <c r="E856" s="51"/>
      <c r="F856" s="51"/>
      <c r="G856" s="58"/>
      <c r="H856" s="51"/>
      <c r="I856" s="58"/>
      <c r="J856" s="51"/>
      <c r="K856" s="51"/>
      <c r="L856" s="51"/>
      <c r="M856" s="51"/>
      <c r="N856" s="51"/>
      <c r="O856" s="51"/>
      <c r="P856" s="51"/>
      <c r="Q856" s="51"/>
      <c r="R856" s="51"/>
      <c r="S856" s="51"/>
      <c r="T856" s="51"/>
      <c r="U856" s="51"/>
      <c r="V856" s="51"/>
      <c r="W856" s="51"/>
      <c r="X856" s="51"/>
      <c r="Y856" s="51"/>
      <c r="Z856" s="51"/>
      <c r="AA856" s="51"/>
    </row>
    <row r="857" spans="1:27" ht="13.65" customHeight="1" x14ac:dyDescent="0.3">
      <c r="A857" s="49"/>
      <c r="B857" s="57"/>
      <c r="C857" s="51"/>
      <c r="D857" s="51"/>
      <c r="E857" s="51"/>
      <c r="F857" s="51"/>
      <c r="G857" s="58"/>
      <c r="H857" s="51"/>
      <c r="I857" s="58"/>
      <c r="J857" s="51"/>
      <c r="K857" s="51"/>
      <c r="L857" s="51"/>
      <c r="M857" s="51"/>
      <c r="N857" s="51"/>
      <c r="O857" s="51"/>
      <c r="P857" s="51"/>
      <c r="Q857" s="51"/>
      <c r="R857" s="51"/>
      <c r="S857" s="51"/>
      <c r="T857" s="51"/>
      <c r="U857" s="51"/>
      <c r="V857" s="51"/>
      <c r="W857" s="51"/>
      <c r="X857" s="51"/>
      <c r="Y857" s="51"/>
      <c r="Z857" s="51"/>
      <c r="AA857" s="51"/>
    </row>
    <row r="858" spans="1:27" ht="13.65" customHeight="1" x14ac:dyDescent="0.3">
      <c r="A858" s="49"/>
      <c r="B858" s="57"/>
      <c r="C858" s="51"/>
      <c r="D858" s="51"/>
      <c r="E858" s="51"/>
      <c r="F858" s="51"/>
      <c r="G858" s="58"/>
      <c r="H858" s="51"/>
      <c r="I858" s="58"/>
      <c r="J858" s="51"/>
      <c r="K858" s="51"/>
      <c r="L858" s="51"/>
      <c r="M858" s="51"/>
      <c r="N858" s="51"/>
      <c r="O858" s="51"/>
      <c r="P858" s="51"/>
      <c r="Q858" s="51"/>
      <c r="R858" s="51"/>
      <c r="S858" s="51"/>
      <c r="T858" s="51"/>
      <c r="U858" s="51"/>
      <c r="V858" s="51"/>
      <c r="W858" s="51"/>
      <c r="X858" s="51"/>
      <c r="Y858" s="51"/>
      <c r="Z858" s="51"/>
      <c r="AA858" s="51"/>
    </row>
    <row r="859" spans="1:27" ht="13.65" customHeight="1" x14ac:dyDescent="0.3">
      <c r="A859" s="49"/>
      <c r="B859" s="57"/>
      <c r="C859" s="51"/>
      <c r="D859" s="51"/>
      <c r="E859" s="51"/>
      <c r="F859" s="51"/>
      <c r="G859" s="58"/>
      <c r="H859" s="51"/>
      <c r="I859" s="58"/>
      <c r="J859" s="51"/>
      <c r="K859" s="51"/>
      <c r="L859" s="51"/>
      <c r="M859" s="51"/>
      <c r="N859" s="51"/>
      <c r="O859" s="51"/>
      <c r="P859" s="51"/>
      <c r="Q859" s="51"/>
      <c r="R859" s="51"/>
      <c r="S859" s="51"/>
      <c r="T859" s="51"/>
      <c r="U859" s="51"/>
      <c r="V859" s="51"/>
      <c r="W859" s="51"/>
      <c r="X859" s="51"/>
      <c r="Y859" s="51"/>
      <c r="Z859" s="51"/>
      <c r="AA859" s="51"/>
    </row>
    <row r="860" spans="1:27" ht="13.65" customHeight="1" x14ac:dyDescent="0.3">
      <c r="A860" s="49"/>
      <c r="B860" s="57"/>
      <c r="C860" s="51"/>
      <c r="D860" s="51"/>
      <c r="E860" s="51"/>
      <c r="F860" s="51"/>
      <c r="G860" s="58"/>
      <c r="H860" s="51"/>
      <c r="I860" s="58"/>
      <c r="J860" s="51"/>
      <c r="K860" s="51"/>
      <c r="L860" s="51"/>
      <c r="M860" s="51"/>
      <c r="N860" s="51"/>
      <c r="O860" s="51"/>
      <c r="P860" s="51"/>
      <c r="Q860" s="51"/>
      <c r="R860" s="51"/>
      <c r="S860" s="51"/>
      <c r="T860" s="51"/>
      <c r="U860" s="51"/>
      <c r="V860" s="51"/>
      <c r="W860" s="51"/>
      <c r="X860" s="51"/>
      <c r="Y860" s="51"/>
      <c r="Z860" s="51"/>
      <c r="AA860" s="51"/>
    </row>
    <row r="861" spans="1:27" ht="13.65" customHeight="1" x14ac:dyDescent="0.3">
      <c r="A861" s="49"/>
      <c r="B861" s="57"/>
      <c r="C861" s="51"/>
      <c r="D861" s="51"/>
      <c r="E861" s="51"/>
      <c r="F861" s="51"/>
      <c r="G861" s="58"/>
      <c r="H861" s="51"/>
      <c r="I861" s="58"/>
      <c r="J861" s="51"/>
      <c r="K861" s="51"/>
      <c r="L861" s="51"/>
      <c r="M861" s="51"/>
      <c r="N861" s="51"/>
      <c r="O861" s="51"/>
      <c r="P861" s="51"/>
      <c r="Q861" s="51"/>
      <c r="R861" s="51"/>
      <c r="S861" s="51"/>
      <c r="T861" s="51"/>
      <c r="U861" s="51"/>
      <c r="V861" s="51"/>
      <c r="W861" s="51"/>
      <c r="X861" s="51"/>
      <c r="Y861" s="51"/>
      <c r="Z861" s="51"/>
      <c r="AA861" s="51"/>
    </row>
    <row r="862" spans="1:27" ht="13.65" customHeight="1" x14ac:dyDescent="0.3">
      <c r="A862" s="49"/>
      <c r="B862" s="57"/>
      <c r="C862" s="51"/>
      <c r="D862" s="51"/>
      <c r="E862" s="51"/>
      <c r="F862" s="51"/>
      <c r="G862" s="58"/>
      <c r="H862" s="51"/>
      <c r="I862" s="58"/>
      <c r="J862" s="51"/>
      <c r="K862" s="51"/>
      <c r="L862" s="51"/>
      <c r="M862" s="51"/>
      <c r="N862" s="51"/>
      <c r="O862" s="51"/>
      <c r="P862" s="51"/>
      <c r="Q862" s="51"/>
      <c r="R862" s="51"/>
      <c r="S862" s="51"/>
      <c r="T862" s="51"/>
      <c r="U862" s="51"/>
      <c r="V862" s="51"/>
      <c r="W862" s="51"/>
      <c r="X862" s="51"/>
      <c r="Y862" s="51"/>
      <c r="Z862" s="51"/>
      <c r="AA862" s="51"/>
    </row>
    <row r="863" spans="1:27" ht="13.65" customHeight="1" x14ac:dyDescent="0.3">
      <c r="A863" s="49"/>
      <c r="B863" s="57"/>
      <c r="C863" s="51"/>
      <c r="D863" s="51"/>
      <c r="E863" s="51"/>
      <c r="F863" s="51"/>
      <c r="G863" s="58"/>
      <c r="H863" s="51"/>
      <c r="I863" s="58"/>
      <c r="J863" s="51"/>
      <c r="K863" s="51"/>
      <c r="L863" s="51"/>
      <c r="M863" s="51"/>
      <c r="N863" s="51"/>
      <c r="O863" s="51"/>
      <c r="P863" s="51"/>
      <c r="Q863" s="51"/>
      <c r="R863" s="51"/>
      <c r="S863" s="51"/>
      <c r="T863" s="51"/>
      <c r="U863" s="51"/>
      <c r="V863" s="51"/>
      <c r="W863" s="51"/>
      <c r="X863" s="51"/>
      <c r="Y863" s="51"/>
      <c r="Z863" s="51"/>
      <c r="AA863" s="51"/>
    </row>
    <row r="864" spans="1:27" ht="13.65" customHeight="1" x14ac:dyDescent="0.3">
      <c r="A864" s="49"/>
      <c r="B864" s="57"/>
      <c r="C864" s="51"/>
      <c r="D864" s="51"/>
      <c r="E864" s="51"/>
      <c r="F864" s="51"/>
      <c r="G864" s="58"/>
      <c r="H864" s="51"/>
      <c r="I864" s="58"/>
      <c r="J864" s="51"/>
      <c r="K864" s="51"/>
      <c r="L864" s="51"/>
      <c r="M864" s="51"/>
      <c r="N864" s="51"/>
      <c r="O864" s="51"/>
      <c r="P864" s="51"/>
      <c r="Q864" s="51"/>
      <c r="R864" s="51"/>
      <c r="S864" s="51"/>
      <c r="T864" s="51"/>
      <c r="U864" s="51"/>
      <c r="V864" s="51"/>
      <c r="W864" s="51"/>
      <c r="X864" s="51"/>
      <c r="Y864" s="51"/>
      <c r="Z864" s="51"/>
      <c r="AA864" s="51"/>
    </row>
    <row r="865" spans="1:27" ht="13.65" customHeight="1" x14ac:dyDescent="0.3">
      <c r="A865" s="49"/>
      <c r="B865" s="57"/>
      <c r="C865" s="51"/>
      <c r="D865" s="51"/>
      <c r="E865" s="51"/>
      <c r="F865" s="51"/>
      <c r="G865" s="58"/>
      <c r="H865" s="51"/>
      <c r="I865" s="58"/>
      <c r="J865" s="51"/>
      <c r="K865" s="51"/>
      <c r="L865" s="51"/>
      <c r="M865" s="51"/>
      <c r="N865" s="51"/>
      <c r="O865" s="51"/>
      <c r="P865" s="51"/>
      <c r="Q865" s="51"/>
      <c r="R865" s="51"/>
      <c r="S865" s="51"/>
      <c r="T865" s="51"/>
      <c r="U865" s="51"/>
      <c r="V865" s="51"/>
      <c r="W865" s="51"/>
      <c r="X865" s="51"/>
      <c r="Y865" s="51"/>
      <c r="Z865" s="51"/>
      <c r="AA865" s="51"/>
    </row>
    <row r="866" spans="1:27" ht="13.65" customHeight="1" x14ac:dyDescent="0.3">
      <c r="A866" s="49"/>
      <c r="B866" s="57"/>
      <c r="C866" s="51"/>
      <c r="D866" s="51"/>
      <c r="E866" s="51"/>
      <c r="F866" s="51"/>
      <c r="G866" s="58"/>
      <c r="H866" s="51"/>
      <c r="I866" s="58"/>
      <c r="J866" s="51"/>
      <c r="K866" s="51"/>
      <c r="L866" s="51"/>
      <c r="M866" s="51"/>
      <c r="N866" s="51"/>
      <c r="O866" s="51"/>
      <c r="P866" s="51"/>
      <c r="Q866" s="51"/>
      <c r="R866" s="51"/>
      <c r="S866" s="51"/>
      <c r="T866" s="51"/>
      <c r="U866" s="51"/>
      <c r="V866" s="51"/>
      <c r="W866" s="51"/>
      <c r="X866" s="51"/>
      <c r="Y866" s="51"/>
      <c r="Z866" s="51"/>
      <c r="AA866" s="51"/>
    </row>
    <row r="867" spans="1:27" ht="13.65" customHeight="1" x14ac:dyDescent="0.3">
      <c r="A867" s="49"/>
      <c r="B867" s="57"/>
      <c r="C867" s="51"/>
      <c r="D867" s="51"/>
      <c r="E867" s="51"/>
      <c r="F867" s="51"/>
      <c r="G867" s="58"/>
      <c r="H867" s="51"/>
      <c r="I867" s="58"/>
      <c r="J867" s="51"/>
      <c r="K867" s="51"/>
      <c r="L867" s="51"/>
      <c r="M867" s="51"/>
      <c r="N867" s="51"/>
      <c r="O867" s="51"/>
      <c r="P867" s="51"/>
      <c r="Q867" s="51"/>
      <c r="R867" s="51"/>
      <c r="S867" s="51"/>
      <c r="T867" s="51"/>
      <c r="U867" s="51"/>
      <c r="V867" s="51"/>
      <c r="W867" s="51"/>
      <c r="X867" s="51"/>
      <c r="Y867" s="51"/>
      <c r="Z867" s="51"/>
      <c r="AA867" s="51"/>
    </row>
    <row r="868" spans="1:27" ht="13.65" customHeight="1" x14ac:dyDescent="0.3">
      <c r="A868" s="49"/>
      <c r="B868" s="57"/>
      <c r="C868" s="51"/>
      <c r="D868" s="51"/>
      <c r="E868" s="51"/>
      <c r="F868" s="51"/>
      <c r="G868" s="58"/>
      <c r="H868" s="51"/>
      <c r="I868" s="58"/>
      <c r="J868" s="51"/>
      <c r="K868" s="51"/>
      <c r="L868" s="51"/>
      <c r="M868" s="51"/>
      <c r="N868" s="51"/>
      <c r="O868" s="51"/>
      <c r="P868" s="51"/>
      <c r="Q868" s="51"/>
      <c r="R868" s="51"/>
      <c r="S868" s="51"/>
      <c r="T868" s="51"/>
      <c r="U868" s="51"/>
      <c r="V868" s="51"/>
      <c r="W868" s="51"/>
      <c r="X868" s="51"/>
      <c r="Y868" s="51"/>
      <c r="Z868" s="51"/>
      <c r="AA868" s="51"/>
    </row>
    <row r="869" spans="1:27" ht="13.65" customHeight="1" x14ac:dyDescent="0.3">
      <c r="A869" s="49"/>
      <c r="B869" s="57"/>
      <c r="C869" s="51"/>
      <c r="D869" s="51"/>
      <c r="E869" s="51"/>
      <c r="F869" s="51"/>
      <c r="G869" s="58"/>
      <c r="H869" s="51"/>
      <c r="I869" s="58"/>
      <c r="J869" s="51"/>
      <c r="K869" s="51"/>
      <c r="L869" s="51"/>
      <c r="M869" s="51"/>
      <c r="N869" s="51"/>
      <c r="O869" s="51"/>
      <c r="P869" s="51"/>
      <c r="Q869" s="51"/>
      <c r="R869" s="51"/>
      <c r="S869" s="51"/>
      <c r="T869" s="51"/>
      <c r="U869" s="51"/>
      <c r="V869" s="51"/>
      <c r="W869" s="51"/>
      <c r="X869" s="51"/>
      <c r="Y869" s="51"/>
      <c r="Z869" s="51"/>
      <c r="AA869" s="51"/>
    </row>
    <row r="870" spans="1:27" ht="13.65" customHeight="1" x14ac:dyDescent="0.3">
      <c r="A870" s="49"/>
      <c r="B870" s="57"/>
      <c r="C870" s="51"/>
      <c r="D870" s="51"/>
      <c r="E870" s="51"/>
      <c r="F870" s="51"/>
      <c r="G870" s="58"/>
      <c r="H870" s="51"/>
      <c r="I870" s="58"/>
      <c r="J870" s="51"/>
      <c r="K870" s="51"/>
      <c r="L870" s="51"/>
      <c r="M870" s="51"/>
      <c r="N870" s="51"/>
      <c r="O870" s="51"/>
      <c r="P870" s="51"/>
      <c r="Q870" s="51"/>
      <c r="R870" s="51"/>
      <c r="S870" s="51"/>
      <c r="T870" s="51"/>
      <c r="U870" s="51"/>
      <c r="V870" s="51"/>
      <c r="W870" s="51"/>
      <c r="X870" s="51"/>
      <c r="Y870" s="51"/>
      <c r="Z870" s="51"/>
      <c r="AA870" s="51"/>
    </row>
    <row r="871" spans="1:27" ht="13.65" customHeight="1" x14ac:dyDescent="0.3">
      <c r="A871" s="49"/>
      <c r="B871" s="57"/>
      <c r="C871" s="51"/>
      <c r="D871" s="51"/>
      <c r="E871" s="51"/>
      <c r="F871" s="51"/>
      <c r="G871" s="58"/>
      <c r="H871" s="51"/>
      <c r="I871" s="58"/>
      <c r="J871" s="51"/>
      <c r="K871" s="51"/>
      <c r="L871" s="51"/>
      <c r="M871" s="51"/>
      <c r="N871" s="51"/>
      <c r="O871" s="51"/>
      <c r="P871" s="51"/>
      <c r="Q871" s="51"/>
      <c r="R871" s="51"/>
      <c r="S871" s="51"/>
      <c r="T871" s="51"/>
      <c r="U871" s="51"/>
      <c r="V871" s="51"/>
      <c r="W871" s="51"/>
      <c r="X871" s="51"/>
      <c r="Y871" s="51"/>
      <c r="Z871" s="51"/>
      <c r="AA871" s="51"/>
    </row>
    <row r="872" spans="1:27" ht="13.65" customHeight="1" x14ac:dyDescent="0.3">
      <c r="A872" s="49"/>
      <c r="B872" s="57"/>
      <c r="C872" s="51"/>
      <c r="D872" s="51"/>
      <c r="E872" s="51"/>
      <c r="F872" s="51"/>
      <c r="G872" s="58"/>
      <c r="H872" s="51"/>
      <c r="I872" s="58"/>
      <c r="J872" s="51"/>
      <c r="K872" s="51"/>
      <c r="L872" s="51"/>
      <c r="M872" s="51"/>
      <c r="N872" s="51"/>
      <c r="O872" s="51"/>
      <c r="P872" s="51"/>
      <c r="Q872" s="51"/>
      <c r="R872" s="51"/>
      <c r="S872" s="51"/>
      <c r="T872" s="51"/>
      <c r="U872" s="51"/>
      <c r="V872" s="51"/>
      <c r="W872" s="51"/>
      <c r="X872" s="51"/>
      <c r="Y872" s="51"/>
      <c r="Z872" s="51"/>
      <c r="AA872" s="51"/>
    </row>
    <row r="873" spans="1:27" ht="13.65" customHeight="1" x14ac:dyDescent="0.3">
      <c r="A873" s="49"/>
      <c r="B873" s="57"/>
      <c r="C873" s="51"/>
      <c r="D873" s="51"/>
      <c r="E873" s="51"/>
      <c r="F873" s="51"/>
      <c r="G873" s="58"/>
      <c r="H873" s="51"/>
      <c r="I873" s="58"/>
      <c r="J873" s="51"/>
      <c r="K873" s="51"/>
      <c r="L873" s="51"/>
      <c r="M873" s="51"/>
      <c r="N873" s="51"/>
      <c r="O873" s="51"/>
      <c r="P873" s="51"/>
      <c r="Q873" s="51"/>
      <c r="R873" s="51"/>
      <c r="S873" s="51"/>
      <c r="T873" s="51"/>
      <c r="U873" s="51"/>
      <c r="V873" s="51"/>
      <c r="W873" s="51"/>
      <c r="X873" s="51"/>
      <c r="Y873" s="51"/>
      <c r="Z873" s="51"/>
      <c r="AA873" s="51"/>
    </row>
    <row r="874" spans="1:27" ht="13.65" customHeight="1" x14ac:dyDescent="0.3">
      <c r="A874" s="49"/>
      <c r="B874" s="57"/>
      <c r="C874" s="51"/>
      <c r="D874" s="51"/>
      <c r="E874" s="51"/>
      <c r="F874" s="51"/>
      <c r="G874" s="58"/>
      <c r="H874" s="51"/>
      <c r="I874" s="58"/>
      <c r="J874" s="51"/>
      <c r="K874" s="51"/>
      <c r="L874" s="51"/>
      <c r="M874" s="51"/>
      <c r="N874" s="51"/>
      <c r="O874" s="51"/>
      <c r="P874" s="51"/>
      <c r="Q874" s="51"/>
      <c r="R874" s="51"/>
      <c r="S874" s="51"/>
      <c r="T874" s="51"/>
      <c r="U874" s="51"/>
      <c r="V874" s="51"/>
      <c r="W874" s="51"/>
      <c r="X874" s="51"/>
      <c r="Y874" s="51"/>
      <c r="Z874" s="51"/>
      <c r="AA874" s="51"/>
    </row>
    <row r="875" spans="1:27" ht="13.65" customHeight="1" x14ac:dyDescent="0.3">
      <c r="A875" s="49"/>
      <c r="B875" s="57"/>
      <c r="C875" s="51"/>
      <c r="D875" s="51"/>
      <c r="E875" s="51"/>
      <c r="F875" s="51"/>
      <c r="G875" s="58"/>
      <c r="H875" s="51"/>
      <c r="I875" s="58"/>
      <c r="J875" s="51"/>
      <c r="K875" s="51"/>
      <c r="L875" s="51"/>
      <c r="M875" s="51"/>
      <c r="N875" s="51"/>
      <c r="O875" s="51"/>
      <c r="P875" s="51"/>
      <c r="Q875" s="51"/>
      <c r="R875" s="51"/>
      <c r="S875" s="51"/>
      <c r="T875" s="51"/>
      <c r="U875" s="51"/>
      <c r="V875" s="51"/>
      <c r="W875" s="51"/>
      <c r="X875" s="51"/>
      <c r="Y875" s="51"/>
      <c r="Z875" s="51"/>
      <c r="AA875" s="51"/>
    </row>
    <row r="876" spans="1:27" ht="13.65" customHeight="1" x14ac:dyDescent="0.3">
      <c r="A876" s="49"/>
      <c r="B876" s="57"/>
      <c r="C876" s="51"/>
      <c r="D876" s="51"/>
      <c r="E876" s="51"/>
      <c r="F876" s="51"/>
      <c r="G876" s="58"/>
      <c r="H876" s="51"/>
      <c r="I876" s="58"/>
      <c r="J876" s="51"/>
      <c r="K876" s="51"/>
      <c r="L876" s="51"/>
      <c r="M876" s="51"/>
      <c r="N876" s="51"/>
      <c r="O876" s="51"/>
      <c r="P876" s="51"/>
      <c r="Q876" s="51"/>
      <c r="R876" s="51"/>
      <c r="S876" s="51"/>
      <c r="T876" s="51"/>
      <c r="U876" s="51"/>
      <c r="V876" s="51"/>
      <c r="W876" s="51"/>
      <c r="X876" s="51"/>
      <c r="Y876" s="51"/>
      <c r="Z876" s="51"/>
      <c r="AA876" s="51"/>
    </row>
    <row r="877" spans="1:27" ht="13.65" customHeight="1" x14ac:dyDescent="0.3">
      <c r="A877" s="49"/>
      <c r="B877" s="57"/>
      <c r="C877" s="51"/>
      <c r="D877" s="51"/>
      <c r="E877" s="51"/>
      <c r="F877" s="51"/>
      <c r="G877" s="58"/>
      <c r="H877" s="51"/>
      <c r="I877" s="58"/>
      <c r="J877" s="51"/>
      <c r="K877" s="51"/>
      <c r="L877" s="51"/>
      <c r="M877" s="51"/>
      <c r="N877" s="51"/>
      <c r="O877" s="51"/>
      <c r="P877" s="51"/>
      <c r="Q877" s="51"/>
      <c r="R877" s="51"/>
      <c r="S877" s="51"/>
      <c r="T877" s="51"/>
      <c r="U877" s="51"/>
      <c r="V877" s="51"/>
      <c r="W877" s="51"/>
      <c r="X877" s="51"/>
      <c r="Y877" s="51"/>
      <c r="Z877" s="51"/>
      <c r="AA877" s="51"/>
    </row>
    <row r="878" spans="1:27" ht="13.65" customHeight="1" x14ac:dyDescent="0.3">
      <c r="A878" s="49"/>
      <c r="B878" s="57"/>
      <c r="C878" s="51"/>
      <c r="D878" s="51"/>
      <c r="E878" s="51"/>
      <c r="F878" s="51"/>
      <c r="G878" s="58"/>
      <c r="H878" s="51"/>
      <c r="I878" s="58"/>
      <c r="J878" s="51"/>
      <c r="K878" s="51"/>
      <c r="L878" s="51"/>
      <c r="M878" s="51"/>
      <c r="N878" s="51"/>
      <c r="O878" s="51"/>
      <c r="P878" s="51"/>
      <c r="Q878" s="51"/>
      <c r="R878" s="51"/>
      <c r="S878" s="51"/>
      <c r="T878" s="51"/>
      <c r="U878" s="51"/>
      <c r="V878" s="51"/>
      <c r="W878" s="51"/>
      <c r="X878" s="51"/>
      <c r="Y878" s="51"/>
      <c r="Z878" s="51"/>
      <c r="AA878" s="51"/>
    </row>
    <row r="879" spans="1:27" ht="13.65" customHeight="1" x14ac:dyDescent="0.3">
      <c r="A879" s="49"/>
      <c r="B879" s="57"/>
      <c r="C879" s="51"/>
      <c r="D879" s="51"/>
      <c r="E879" s="51"/>
      <c r="F879" s="51"/>
      <c r="G879" s="58"/>
      <c r="H879" s="51"/>
      <c r="I879" s="58"/>
      <c r="J879" s="51"/>
      <c r="K879" s="51"/>
      <c r="L879" s="51"/>
      <c r="M879" s="51"/>
      <c r="N879" s="51"/>
      <c r="O879" s="51"/>
      <c r="P879" s="51"/>
      <c r="Q879" s="51"/>
      <c r="R879" s="51"/>
      <c r="S879" s="51"/>
      <c r="T879" s="51"/>
      <c r="U879" s="51"/>
      <c r="V879" s="51"/>
      <c r="W879" s="51"/>
      <c r="X879" s="51"/>
      <c r="Y879" s="51"/>
      <c r="Z879" s="51"/>
      <c r="AA879" s="51"/>
    </row>
    <row r="880" spans="1:27" ht="13.65" customHeight="1" x14ac:dyDescent="0.3">
      <c r="A880" s="49"/>
      <c r="B880" s="57"/>
      <c r="C880" s="51"/>
      <c r="D880" s="51"/>
      <c r="E880" s="51"/>
      <c r="F880" s="51"/>
      <c r="G880" s="58"/>
      <c r="H880" s="51"/>
      <c r="I880" s="58"/>
      <c r="J880" s="51"/>
      <c r="K880" s="51"/>
      <c r="L880" s="51"/>
      <c r="M880" s="51"/>
      <c r="N880" s="51"/>
      <c r="O880" s="51"/>
      <c r="P880" s="51"/>
      <c r="Q880" s="51"/>
      <c r="R880" s="51"/>
      <c r="S880" s="51"/>
      <c r="T880" s="51"/>
      <c r="U880" s="51"/>
      <c r="V880" s="51"/>
      <c r="W880" s="51"/>
      <c r="X880" s="51"/>
      <c r="Y880" s="51"/>
      <c r="Z880" s="51"/>
      <c r="AA880" s="51"/>
    </row>
    <row r="881" spans="1:27" ht="13.65" customHeight="1" x14ac:dyDescent="0.3">
      <c r="A881" s="49"/>
      <c r="B881" s="57"/>
      <c r="C881" s="51"/>
      <c r="D881" s="51"/>
      <c r="E881" s="51"/>
      <c r="F881" s="51"/>
      <c r="G881" s="58"/>
      <c r="H881" s="51"/>
      <c r="I881" s="58"/>
      <c r="J881" s="51"/>
      <c r="K881" s="51"/>
      <c r="L881" s="51"/>
      <c r="M881" s="51"/>
      <c r="N881" s="51"/>
      <c r="O881" s="51"/>
      <c r="P881" s="51"/>
      <c r="Q881" s="51"/>
      <c r="R881" s="51"/>
      <c r="S881" s="51"/>
      <c r="T881" s="51"/>
      <c r="U881" s="51"/>
      <c r="V881" s="51"/>
      <c r="W881" s="51"/>
      <c r="X881" s="51"/>
      <c r="Y881" s="51"/>
      <c r="Z881" s="51"/>
      <c r="AA881" s="51"/>
    </row>
    <row r="882" spans="1:27" ht="13.65" customHeight="1" x14ac:dyDescent="0.3">
      <c r="A882" s="49"/>
      <c r="B882" s="57"/>
      <c r="C882" s="51"/>
      <c r="D882" s="51"/>
      <c r="E882" s="51"/>
      <c r="F882" s="51"/>
      <c r="G882" s="58"/>
      <c r="H882" s="51"/>
      <c r="I882" s="58"/>
      <c r="J882" s="51"/>
      <c r="K882" s="51"/>
      <c r="L882" s="51"/>
      <c r="M882" s="51"/>
      <c r="N882" s="51"/>
      <c r="O882" s="51"/>
      <c r="P882" s="51"/>
      <c r="Q882" s="51"/>
      <c r="R882" s="51"/>
      <c r="S882" s="51"/>
      <c r="T882" s="51"/>
      <c r="U882" s="51"/>
      <c r="V882" s="51"/>
      <c r="W882" s="51"/>
      <c r="X882" s="51"/>
      <c r="Y882" s="51"/>
      <c r="Z882" s="51"/>
      <c r="AA882" s="51"/>
    </row>
    <row r="883" spans="1:27" ht="13.65" customHeight="1" x14ac:dyDescent="0.3">
      <c r="A883" s="49"/>
      <c r="B883" s="57"/>
      <c r="C883" s="51"/>
      <c r="D883" s="51"/>
      <c r="E883" s="51"/>
      <c r="F883" s="51"/>
      <c r="G883" s="58"/>
      <c r="H883" s="51"/>
      <c r="I883" s="58"/>
      <c r="J883" s="51"/>
      <c r="K883" s="51"/>
      <c r="L883" s="51"/>
      <c r="M883" s="51"/>
      <c r="N883" s="51"/>
      <c r="O883" s="51"/>
      <c r="P883" s="51"/>
      <c r="Q883" s="51"/>
      <c r="R883" s="51"/>
      <c r="S883" s="51"/>
      <c r="T883" s="51"/>
      <c r="U883" s="51"/>
      <c r="V883" s="51"/>
      <c r="W883" s="51"/>
      <c r="X883" s="51"/>
      <c r="Y883" s="51"/>
      <c r="Z883" s="51"/>
      <c r="AA883" s="51"/>
    </row>
    <row r="884" spans="1:27" ht="13.65" customHeight="1" x14ac:dyDescent="0.3">
      <c r="A884" s="49"/>
      <c r="B884" s="57"/>
      <c r="C884" s="51"/>
      <c r="D884" s="51"/>
      <c r="E884" s="51"/>
      <c r="F884" s="51"/>
      <c r="G884" s="58"/>
      <c r="H884" s="51"/>
      <c r="I884" s="58"/>
      <c r="J884" s="51"/>
      <c r="K884" s="51"/>
      <c r="L884" s="51"/>
      <c r="M884" s="51"/>
      <c r="N884" s="51"/>
      <c r="O884" s="51"/>
      <c r="P884" s="51"/>
      <c r="Q884" s="51"/>
      <c r="R884" s="51"/>
      <c r="S884" s="51"/>
      <c r="T884" s="51"/>
      <c r="U884" s="51"/>
      <c r="V884" s="51"/>
      <c r="W884" s="51"/>
      <c r="X884" s="51"/>
      <c r="Y884" s="51"/>
      <c r="Z884" s="51"/>
      <c r="AA884" s="51"/>
    </row>
    <row r="885" spans="1:27" ht="13.65" customHeight="1" x14ac:dyDescent="0.3">
      <c r="A885" s="49"/>
      <c r="B885" s="57"/>
      <c r="C885" s="51"/>
      <c r="D885" s="51"/>
      <c r="E885" s="51"/>
      <c r="F885" s="51"/>
      <c r="G885" s="58"/>
      <c r="H885" s="51"/>
      <c r="I885" s="58"/>
      <c r="J885" s="51"/>
      <c r="K885" s="51"/>
      <c r="L885" s="51"/>
      <c r="M885" s="51"/>
      <c r="N885" s="51"/>
      <c r="O885" s="51"/>
      <c r="P885" s="51"/>
      <c r="Q885" s="51"/>
      <c r="R885" s="51"/>
      <c r="S885" s="51"/>
      <c r="T885" s="51"/>
      <c r="U885" s="51"/>
      <c r="V885" s="51"/>
      <c r="W885" s="51"/>
      <c r="X885" s="51"/>
      <c r="Y885" s="51"/>
      <c r="Z885" s="51"/>
      <c r="AA885" s="51"/>
    </row>
    <row r="886" spans="1:27" ht="13.65" customHeight="1" x14ac:dyDescent="0.3">
      <c r="A886" s="49"/>
      <c r="B886" s="57"/>
      <c r="C886" s="51"/>
      <c r="D886" s="51"/>
      <c r="E886" s="51"/>
      <c r="F886" s="51"/>
      <c r="G886" s="58"/>
      <c r="H886" s="51"/>
      <c r="I886" s="58"/>
      <c r="J886" s="51"/>
      <c r="K886" s="51"/>
      <c r="L886" s="51"/>
      <c r="M886" s="51"/>
      <c r="N886" s="51"/>
      <c r="O886" s="51"/>
      <c r="P886" s="51"/>
      <c r="Q886" s="51"/>
      <c r="R886" s="51"/>
      <c r="S886" s="51"/>
      <c r="T886" s="51"/>
      <c r="U886" s="51"/>
      <c r="V886" s="51"/>
      <c r="W886" s="51"/>
      <c r="X886" s="51"/>
      <c r="Y886" s="51"/>
      <c r="Z886" s="51"/>
      <c r="AA886" s="51"/>
    </row>
    <row r="887" spans="1:27" ht="13.65" customHeight="1" x14ac:dyDescent="0.3">
      <c r="A887" s="49"/>
      <c r="B887" s="57"/>
      <c r="C887" s="51"/>
      <c r="D887" s="51"/>
      <c r="E887" s="51"/>
      <c r="F887" s="51"/>
      <c r="G887" s="58"/>
      <c r="H887" s="51"/>
      <c r="I887" s="58"/>
      <c r="J887" s="51"/>
      <c r="K887" s="51"/>
      <c r="L887" s="51"/>
      <c r="M887" s="51"/>
      <c r="N887" s="51"/>
      <c r="O887" s="51"/>
      <c r="P887" s="51"/>
      <c r="Q887" s="51"/>
      <c r="R887" s="51"/>
      <c r="S887" s="51"/>
      <c r="T887" s="51"/>
      <c r="U887" s="51"/>
      <c r="V887" s="51"/>
      <c r="W887" s="51"/>
      <c r="X887" s="51"/>
      <c r="Y887" s="51"/>
      <c r="Z887" s="51"/>
      <c r="AA887" s="51"/>
    </row>
    <row r="888" spans="1:27" ht="13.65" customHeight="1" x14ac:dyDescent="0.3">
      <c r="A888" s="49"/>
      <c r="B888" s="57"/>
      <c r="C888" s="51"/>
      <c r="D888" s="51"/>
      <c r="E888" s="51"/>
      <c r="F888" s="51"/>
      <c r="G888" s="58"/>
      <c r="H888" s="51"/>
      <c r="I888" s="58"/>
      <c r="J888" s="51"/>
      <c r="K888" s="51"/>
      <c r="L888" s="51"/>
      <c r="M888" s="51"/>
      <c r="N888" s="51"/>
      <c r="O888" s="51"/>
      <c r="P888" s="51"/>
      <c r="Q888" s="51"/>
      <c r="R888" s="51"/>
      <c r="S888" s="51"/>
      <c r="T888" s="51"/>
      <c r="U888" s="51"/>
      <c r="V888" s="51"/>
      <c r="W888" s="51"/>
      <c r="X888" s="51"/>
      <c r="Y888" s="51"/>
      <c r="Z888" s="51"/>
      <c r="AA888" s="51"/>
    </row>
    <row r="889" spans="1:27" ht="13.65" customHeight="1" x14ac:dyDescent="0.3">
      <c r="A889" s="49"/>
      <c r="B889" s="57"/>
      <c r="C889" s="51"/>
      <c r="D889" s="51"/>
      <c r="E889" s="51"/>
      <c r="F889" s="51"/>
      <c r="G889" s="58"/>
      <c r="H889" s="51"/>
      <c r="I889" s="58"/>
      <c r="J889" s="51"/>
      <c r="K889" s="51"/>
      <c r="L889" s="51"/>
      <c r="M889" s="51"/>
      <c r="N889" s="51"/>
      <c r="O889" s="51"/>
      <c r="P889" s="51"/>
      <c r="Q889" s="51"/>
      <c r="R889" s="51"/>
      <c r="S889" s="51"/>
      <c r="T889" s="51"/>
      <c r="U889" s="51"/>
      <c r="V889" s="51"/>
      <c r="W889" s="51"/>
      <c r="X889" s="51"/>
      <c r="Y889" s="51"/>
      <c r="Z889" s="51"/>
      <c r="AA889" s="51"/>
    </row>
    <row r="890" spans="1:27" ht="13.65" customHeight="1" x14ac:dyDescent="0.3">
      <c r="A890" s="49"/>
      <c r="B890" s="57"/>
      <c r="C890" s="51"/>
      <c r="D890" s="51"/>
      <c r="E890" s="51"/>
      <c r="F890" s="51"/>
      <c r="G890" s="58"/>
      <c r="H890" s="51"/>
      <c r="I890" s="58"/>
      <c r="J890" s="51"/>
      <c r="K890" s="51"/>
      <c r="L890" s="51"/>
      <c r="M890" s="51"/>
      <c r="N890" s="51"/>
      <c r="O890" s="51"/>
      <c r="P890" s="51"/>
      <c r="Q890" s="51"/>
      <c r="R890" s="51"/>
      <c r="S890" s="51"/>
      <c r="T890" s="51"/>
      <c r="U890" s="51"/>
      <c r="V890" s="51"/>
      <c r="W890" s="51"/>
      <c r="X890" s="51"/>
      <c r="Y890" s="51"/>
      <c r="Z890" s="51"/>
      <c r="AA890" s="51"/>
    </row>
    <row r="891" spans="1:27" ht="13.65" customHeight="1" x14ac:dyDescent="0.3">
      <c r="A891" s="49"/>
      <c r="B891" s="57"/>
      <c r="C891" s="51"/>
      <c r="D891" s="51"/>
      <c r="E891" s="51"/>
      <c r="F891" s="51"/>
      <c r="G891" s="58"/>
      <c r="H891" s="51"/>
      <c r="I891" s="58"/>
      <c r="J891" s="51"/>
      <c r="K891" s="51"/>
      <c r="L891" s="51"/>
      <c r="M891" s="51"/>
      <c r="N891" s="51"/>
      <c r="O891" s="51"/>
      <c r="P891" s="51"/>
      <c r="Q891" s="51"/>
      <c r="R891" s="51"/>
      <c r="S891" s="51"/>
      <c r="T891" s="51"/>
      <c r="U891" s="51"/>
      <c r="V891" s="51"/>
      <c r="W891" s="51"/>
      <c r="X891" s="51"/>
      <c r="Y891" s="51"/>
      <c r="Z891" s="51"/>
      <c r="AA891" s="51"/>
    </row>
    <row r="892" spans="1:27" ht="13.65" customHeight="1" x14ac:dyDescent="0.3">
      <c r="A892" s="49"/>
      <c r="B892" s="57"/>
      <c r="C892" s="51"/>
      <c r="D892" s="51"/>
      <c r="E892" s="51"/>
      <c r="F892" s="51"/>
      <c r="G892" s="58"/>
      <c r="H892" s="51"/>
      <c r="I892" s="58"/>
      <c r="J892" s="51"/>
      <c r="K892" s="51"/>
      <c r="L892" s="51"/>
      <c r="M892" s="51"/>
      <c r="N892" s="51"/>
      <c r="O892" s="51"/>
      <c r="P892" s="51"/>
      <c r="Q892" s="51"/>
      <c r="R892" s="51"/>
      <c r="S892" s="51"/>
      <c r="T892" s="51"/>
      <c r="U892" s="51"/>
      <c r="V892" s="51"/>
      <c r="W892" s="51"/>
      <c r="X892" s="51"/>
      <c r="Y892" s="51"/>
      <c r="Z892" s="51"/>
      <c r="AA892" s="51"/>
    </row>
    <row r="893" spans="1:27" ht="13.65" customHeight="1" x14ac:dyDescent="0.3">
      <c r="A893" s="49"/>
      <c r="B893" s="57"/>
      <c r="C893" s="51"/>
      <c r="D893" s="51"/>
      <c r="E893" s="51"/>
      <c r="F893" s="51"/>
      <c r="G893" s="58"/>
      <c r="H893" s="51"/>
      <c r="I893" s="58"/>
      <c r="J893" s="51"/>
      <c r="K893" s="51"/>
      <c r="L893" s="51"/>
      <c r="M893" s="51"/>
      <c r="N893" s="51"/>
      <c r="O893" s="51"/>
      <c r="P893" s="51"/>
      <c r="Q893" s="51"/>
      <c r="R893" s="51"/>
      <c r="S893" s="51"/>
      <c r="T893" s="51"/>
      <c r="U893" s="51"/>
      <c r="V893" s="51"/>
      <c r="W893" s="51"/>
      <c r="X893" s="51"/>
      <c r="Y893" s="51"/>
      <c r="Z893" s="51"/>
      <c r="AA893" s="51"/>
    </row>
    <row r="894" spans="1:27" ht="13.65" customHeight="1" x14ac:dyDescent="0.3">
      <c r="A894" s="49"/>
      <c r="B894" s="57"/>
      <c r="C894" s="51"/>
      <c r="D894" s="51"/>
      <c r="E894" s="51"/>
      <c r="F894" s="51"/>
      <c r="G894" s="58"/>
      <c r="H894" s="51"/>
      <c r="I894" s="58"/>
      <c r="J894" s="51"/>
      <c r="K894" s="51"/>
      <c r="L894" s="51"/>
      <c r="M894" s="51"/>
      <c r="N894" s="51"/>
      <c r="O894" s="51"/>
      <c r="P894" s="51"/>
      <c r="Q894" s="51"/>
      <c r="R894" s="51"/>
      <c r="S894" s="51"/>
      <c r="T894" s="51"/>
      <c r="U894" s="51"/>
      <c r="V894" s="51"/>
      <c r="W894" s="51"/>
      <c r="X894" s="51"/>
      <c r="Y894" s="51"/>
      <c r="Z894" s="51"/>
      <c r="AA894" s="51"/>
    </row>
    <row r="895" spans="1:27" ht="13.65" customHeight="1" x14ac:dyDescent="0.3">
      <c r="A895" s="49"/>
      <c r="B895" s="57"/>
      <c r="C895" s="51"/>
      <c r="D895" s="51"/>
      <c r="E895" s="51"/>
      <c r="F895" s="51"/>
      <c r="G895" s="58"/>
      <c r="H895" s="51"/>
      <c r="I895" s="58"/>
      <c r="J895" s="51"/>
      <c r="K895" s="51"/>
      <c r="L895" s="51"/>
      <c r="M895" s="51"/>
      <c r="N895" s="51"/>
      <c r="O895" s="51"/>
      <c r="P895" s="51"/>
      <c r="Q895" s="51"/>
      <c r="R895" s="51"/>
      <c r="S895" s="51"/>
      <c r="T895" s="51"/>
      <c r="U895" s="51"/>
      <c r="V895" s="51"/>
      <c r="W895" s="51"/>
      <c r="X895" s="51"/>
      <c r="Y895" s="51"/>
      <c r="Z895" s="51"/>
      <c r="AA895" s="51"/>
    </row>
    <row r="896" spans="1:27" ht="13.65" customHeight="1" x14ac:dyDescent="0.3">
      <c r="A896" s="49"/>
      <c r="B896" s="57"/>
      <c r="C896" s="51"/>
      <c r="D896" s="51"/>
      <c r="E896" s="51"/>
      <c r="F896" s="51"/>
      <c r="G896" s="58"/>
      <c r="H896" s="51"/>
      <c r="I896" s="58"/>
      <c r="J896" s="51"/>
      <c r="K896" s="51"/>
      <c r="L896" s="51"/>
      <c r="M896" s="51"/>
      <c r="N896" s="51"/>
      <c r="O896" s="51"/>
      <c r="P896" s="51"/>
      <c r="Q896" s="51"/>
      <c r="R896" s="51"/>
      <c r="S896" s="51"/>
      <c r="T896" s="51"/>
      <c r="U896" s="51"/>
      <c r="V896" s="51"/>
      <c r="W896" s="51"/>
      <c r="X896" s="51"/>
      <c r="Y896" s="51"/>
      <c r="Z896" s="51"/>
      <c r="AA896" s="51"/>
    </row>
    <row r="897" spans="1:27" ht="13.65" customHeight="1" x14ac:dyDescent="0.3">
      <c r="A897" s="49"/>
      <c r="B897" s="57"/>
      <c r="C897" s="51"/>
      <c r="D897" s="51"/>
      <c r="E897" s="51"/>
      <c r="F897" s="51"/>
      <c r="G897" s="58"/>
      <c r="H897" s="51"/>
      <c r="I897" s="58"/>
      <c r="J897" s="51"/>
      <c r="K897" s="51"/>
      <c r="L897" s="51"/>
      <c r="M897" s="51"/>
      <c r="N897" s="51"/>
      <c r="O897" s="51"/>
      <c r="P897" s="51"/>
      <c r="Q897" s="51"/>
      <c r="R897" s="51"/>
      <c r="S897" s="51"/>
      <c r="T897" s="51"/>
      <c r="U897" s="51"/>
      <c r="V897" s="51"/>
      <c r="W897" s="51"/>
      <c r="X897" s="51"/>
      <c r="Y897" s="51"/>
      <c r="Z897" s="51"/>
      <c r="AA897" s="51"/>
    </row>
    <row r="898" spans="1:27" ht="13.65" customHeight="1" x14ac:dyDescent="0.3">
      <c r="A898" s="49"/>
      <c r="B898" s="57"/>
      <c r="C898" s="51"/>
      <c r="D898" s="51"/>
      <c r="E898" s="51"/>
      <c r="F898" s="51"/>
      <c r="G898" s="58"/>
      <c r="H898" s="51"/>
      <c r="I898" s="58"/>
      <c r="J898" s="51"/>
      <c r="K898" s="51"/>
      <c r="L898" s="51"/>
      <c r="M898" s="51"/>
      <c r="N898" s="51"/>
      <c r="O898" s="51"/>
      <c r="P898" s="51"/>
      <c r="Q898" s="51"/>
      <c r="R898" s="51"/>
      <c r="S898" s="51"/>
      <c r="T898" s="51"/>
      <c r="U898" s="51"/>
      <c r="V898" s="51"/>
      <c r="W898" s="51"/>
      <c r="X898" s="51"/>
      <c r="Y898" s="51"/>
      <c r="Z898" s="51"/>
      <c r="AA898" s="51"/>
    </row>
    <row r="899" spans="1:27" ht="13.65" customHeight="1" x14ac:dyDescent="0.3">
      <c r="A899" s="49"/>
      <c r="B899" s="57"/>
      <c r="C899" s="51"/>
      <c r="D899" s="51"/>
      <c r="E899" s="51"/>
      <c r="F899" s="51"/>
      <c r="G899" s="58"/>
      <c r="H899" s="51"/>
      <c r="I899" s="58"/>
      <c r="J899" s="51"/>
      <c r="K899" s="51"/>
      <c r="L899" s="51"/>
      <c r="M899" s="51"/>
      <c r="N899" s="51"/>
      <c r="O899" s="51"/>
      <c r="P899" s="51"/>
      <c r="Q899" s="51"/>
      <c r="R899" s="51"/>
      <c r="S899" s="51"/>
      <c r="T899" s="51"/>
      <c r="U899" s="51"/>
      <c r="V899" s="51"/>
      <c r="W899" s="51"/>
      <c r="X899" s="51"/>
      <c r="Y899" s="51"/>
      <c r="Z899" s="51"/>
      <c r="AA899" s="51"/>
    </row>
    <row r="900" spans="1:27" ht="13.65" customHeight="1" x14ac:dyDescent="0.3">
      <c r="A900" s="49"/>
      <c r="B900" s="57"/>
      <c r="C900" s="51"/>
      <c r="D900" s="51"/>
      <c r="E900" s="51"/>
      <c r="F900" s="51"/>
      <c r="G900" s="58"/>
      <c r="H900" s="51"/>
      <c r="I900" s="58"/>
      <c r="J900" s="51"/>
      <c r="K900" s="51"/>
      <c r="L900" s="51"/>
      <c r="M900" s="51"/>
      <c r="N900" s="51"/>
      <c r="O900" s="51"/>
      <c r="P900" s="51"/>
      <c r="Q900" s="51"/>
      <c r="R900" s="51"/>
      <c r="S900" s="51"/>
      <c r="T900" s="51"/>
      <c r="U900" s="51"/>
      <c r="V900" s="51"/>
      <c r="W900" s="51"/>
      <c r="X900" s="51"/>
      <c r="Y900" s="51"/>
      <c r="Z900" s="51"/>
      <c r="AA900" s="51"/>
    </row>
    <row r="901" spans="1:27" ht="13.65" customHeight="1" x14ac:dyDescent="0.3">
      <c r="A901" s="49"/>
      <c r="B901" s="57"/>
      <c r="C901" s="51"/>
      <c r="D901" s="51"/>
      <c r="E901" s="51"/>
      <c r="F901" s="51"/>
      <c r="G901" s="58"/>
      <c r="H901" s="51"/>
      <c r="I901" s="58"/>
      <c r="J901" s="51"/>
      <c r="K901" s="51"/>
      <c r="L901" s="51"/>
      <c r="M901" s="51"/>
      <c r="N901" s="51"/>
      <c r="O901" s="51"/>
      <c r="P901" s="51"/>
      <c r="Q901" s="51"/>
      <c r="R901" s="51"/>
      <c r="S901" s="51"/>
      <c r="T901" s="51"/>
      <c r="U901" s="51"/>
      <c r="V901" s="51"/>
      <c r="W901" s="51"/>
      <c r="X901" s="51"/>
      <c r="Y901" s="51"/>
      <c r="Z901" s="51"/>
      <c r="AA901" s="51"/>
    </row>
    <row r="902" spans="1:27" ht="13.65" customHeight="1" x14ac:dyDescent="0.3">
      <c r="A902" s="49"/>
      <c r="B902" s="57"/>
      <c r="C902" s="51"/>
      <c r="D902" s="51"/>
      <c r="E902" s="51"/>
      <c r="F902" s="51"/>
      <c r="G902" s="58"/>
      <c r="H902" s="51"/>
      <c r="I902" s="58"/>
      <c r="J902" s="51"/>
      <c r="K902" s="51"/>
      <c r="L902" s="51"/>
      <c r="M902" s="51"/>
      <c r="N902" s="51"/>
      <c r="O902" s="51"/>
      <c r="P902" s="51"/>
      <c r="Q902" s="51"/>
      <c r="R902" s="51"/>
      <c r="S902" s="51"/>
      <c r="T902" s="51"/>
      <c r="U902" s="51"/>
      <c r="V902" s="51"/>
      <c r="W902" s="51"/>
      <c r="X902" s="51"/>
      <c r="Y902" s="51"/>
      <c r="Z902" s="51"/>
      <c r="AA902" s="51"/>
    </row>
    <row r="903" spans="1:27" ht="13.65" customHeight="1" x14ac:dyDescent="0.3">
      <c r="A903" s="49"/>
      <c r="B903" s="57"/>
      <c r="C903" s="51"/>
      <c r="D903" s="51"/>
      <c r="E903" s="51"/>
      <c r="F903" s="51"/>
      <c r="G903" s="58"/>
      <c r="H903" s="51"/>
      <c r="I903" s="58"/>
      <c r="J903" s="51"/>
      <c r="K903" s="51"/>
      <c r="L903" s="51"/>
      <c r="M903" s="51"/>
      <c r="N903" s="51"/>
      <c r="O903" s="51"/>
      <c r="P903" s="51"/>
      <c r="Q903" s="51"/>
      <c r="R903" s="51"/>
      <c r="S903" s="51"/>
      <c r="T903" s="51"/>
      <c r="U903" s="51"/>
      <c r="V903" s="51"/>
      <c r="W903" s="51"/>
      <c r="X903" s="51"/>
      <c r="Y903" s="51"/>
      <c r="Z903" s="51"/>
      <c r="AA903" s="51"/>
    </row>
    <row r="904" spans="1:27" ht="13.65" customHeight="1" x14ac:dyDescent="0.3">
      <c r="A904" s="49"/>
      <c r="B904" s="57"/>
      <c r="C904" s="51"/>
      <c r="D904" s="51"/>
      <c r="E904" s="51"/>
      <c r="F904" s="51"/>
      <c r="G904" s="58"/>
      <c r="H904" s="51"/>
      <c r="I904" s="58"/>
      <c r="J904" s="51"/>
      <c r="K904" s="51"/>
      <c r="L904" s="51"/>
      <c r="M904" s="51"/>
      <c r="N904" s="51"/>
      <c r="O904" s="51"/>
      <c r="P904" s="51"/>
      <c r="Q904" s="51"/>
      <c r="R904" s="51"/>
      <c r="S904" s="51"/>
      <c r="T904" s="51"/>
      <c r="U904" s="51"/>
      <c r="V904" s="51"/>
      <c r="W904" s="51"/>
      <c r="X904" s="51"/>
      <c r="Y904" s="51"/>
      <c r="Z904" s="51"/>
      <c r="AA904" s="51"/>
    </row>
    <row r="905" spans="1:27" ht="13.65" customHeight="1" x14ac:dyDescent="0.3">
      <c r="A905" s="49"/>
      <c r="B905" s="57"/>
      <c r="C905" s="51"/>
      <c r="D905" s="51"/>
      <c r="E905" s="51"/>
      <c r="F905" s="51"/>
      <c r="G905" s="58"/>
      <c r="H905" s="51"/>
      <c r="I905" s="58"/>
      <c r="J905" s="51"/>
      <c r="K905" s="51"/>
      <c r="L905" s="51"/>
      <c r="M905" s="51"/>
      <c r="N905" s="51"/>
      <c r="O905" s="51"/>
      <c r="P905" s="51"/>
      <c r="Q905" s="51"/>
      <c r="R905" s="51"/>
      <c r="S905" s="51"/>
      <c r="T905" s="51"/>
      <c r="U905" s="51"/>
      <c r="V905" s="51"/>
      <c r="W905" s="51"/>
      <c r="X905" s="51"/>
      <c r="Y905" s="51"/>
      <c r="Z905" s="51"/>
      <c r="AA905" s="51"/>
    </row>
    <row r="906" spans="1:27" ht="13.65" customHeight="1" x14ac:dyDescent="0.3">
      <c r="A906" s="49"/>
      <c r="B906" s="57"/>
      <c r="C906" s="51"/>
      <c r="D906" s="51"/>
      <c r="E906" s="51"/>
      <c r="F906" s="51"/>
      <c r="G906" s="58"/>
      <c r="H906" s="51"/>
      <c r="I906" s="58"/>
      <c r="J906" s="51"/>
      <c r="K906" s="51"/>
      <c r="L906" s="51"/>
      <c r="M906" s="51"/>
      <c r="N906" s="51"/>
      <c r="O906" s="51"/>
      <c r="P906" s="51"/>
      <c r="Q906" s="51"/>
      <c r="R906" s="51"/>
      <c r="S906" s="51"/>
      <c r="T906" s="51"/>
      <c r="U906" s="51"/>
      <c r="V906" s="51"/>
      <c r="W906" s="51"/>
      <c r="X906" s="51"/>
      <c r="Y906" s="51"/>
      <c r="Z906" s="51"/>
      <c r="AA906" s="51"/>
    </row>
    <row r="907" spans="1:27" ht="13.65" customHeight="1" x14ac:dyDescent="0.3">
      <c r="A907" s="49"/>
      <c r="B907" s="57"/>
      <c r="C907" s="51"/>
      <c r="D907" s="51"/>
      <c r="E907" s="51"/>
      <c r="F907" s="51"/>
      <c r="G907" s="58"/>
      <c r="H907" s="51"/>
      <c r="I907" s="58"/>
      <c r="J907" s="51"/>
      <c r="K907" s="51"/>
      <c r="L907" s="51"/>
      <c r="M907" s="51"/>
      <c r="N907" s="51"/>
      <c r="O907" s="51"/>
      <c r="P907" s="51"/>
      <c r="Q907" s="51"/>
      <c r="R907" s="51"/>
      <c r="S907" s="51"/>
      <c r="T907" s="51"/>
      <c r="U907" s="51"/>
      <c r="V907" s="51"/>
      <c r="W907" s="51"/>
      <c r="X907" s="51"/>
      <c r="Y907" s="51"/>
      <c r="Z907" s="51"/>
      <c r="AA907" s="51"/>
    </row>
    <row r="908" spans="1:27" ht="13.65" customHeight="1" x14ac:dyDescent="0.3">
      <c r="A908" s="49"/>
      <c r="B908" s="57"/>
      <c r="C908" s="51"/>
      <c r="D908" s="51"/>
      <c r="E908" s="51"/>
      <c r="F908" s="51"/>
      <c r="G908" s="58"/>
      <c r="H908" s="51"/>
      <c r="I908" s="58"/>
      <c r="J908" s="51"/>
      <c r="K908" s="51"/>
      <c r="L908" s="51"/>
      <c r="M908" s="51"/>
      <c r="N908" s="51"/>
      <c r="O908" s="51"/>
      <c r="P908" s="51"/>
      <c r="Q908" s="51"/>
      <c r="R908" s="51"/>
      <c r="S908" s="51"/>
      <c r="T908" s="51"/>
      <c r="U908" s="51"/>
      <c r="V908" s="51"/>
      <c r="W908" s="51"/>
      <c r="X908" s="51"/>
      <c r="Y908" s="51"/>
      <c r="Z908" s="51"/>
      <c r="AA908" s="51"/>
    </row>
    <row r="909" spans="1:27" ht="13.65" customHeight="1" x14ac:dyDescent="0.3">
      <c r="A909" s="49"/>
      <c r="B909" s="57"/>
      <c r="C909" s="51"/>
      <c r="D909" s="51"/>
      <c r="E909" s="51"/>
      <c r="F909" s="51"/>
      <c r="G909" s="58"/>
      <c r="H909" s="51"/>
      <c r="I909" s="58"/>
      <c r="J909" s="51"/>
      <c r="K909" s="51"/>
      <c r="L909" s="51"/>
      <c r="M909" s="51"/>
      <c r="N909" s="51"/>
      <c r="O909" s="51"/>
      <c r="P909" s="51"/>
      <c r="Q909" s="51"/>
      <c r="R909" s="51"/>
      <c r="S909" s="51"/>
      <c r="T909" s="51"/>
      <c r="U909" s="51"/>
      <c r="V909" s="51"/>
      <c r="W909" s="51"/>
      <c r="X909" s="51"/>
      <c r="Y909" s="51"/>
      <c r="Z909" s="51"/>
      <c r="AA909" s="51"/>
    </row>
    <row r="910" spans="1:27" ht="13.65" customHeight="1" x14ac:dyDescent="0.3">
      <c r="A910" s="49"/>
      <c r="B910" s="57"/>
      <c r="C910" s="51"/>
      <c r="D910" s="51"/>
      <c r="E910" s="51"/>
      <c r="F910" s="51"/>
      <c r="G910" s="58"/>
      <c r="H910" s="51"/>
      <c r="I910" s="58"/>
      <c r="J910" s="51"/>
      <c r="K910" s="51"/>
      <c r="L910" s="51"/>
      <c r="M910" s="51"/>
      <c r="N910" s="51"/>
      <c r="O910" s="51"/>
      <c r="P910" s="51"/>
      <c r="Q910" s="51"/>
      <c r="R910" s="51"/>
      <c r="S910" s="51"/>
      <c r="T910" s="51"/>
      <c r="U910" s="51"/>
      <c r="V910" s="51"/>
      <c r="W910" s="51"/>
      <c r="X910" s="51"/>
      <c r="Y910" s="51"/>
      <c r="Z910" s="51"/>
      <c r="AA910" s="51"/>
    </row>
    <row r="911" spans="1:27" ht="13.65" customHeight="1" x14ac:dyDescent="0.3">
      <c r="A911" s="49"/>
      <c r="B911" s="57"/>
      <c r="C911" s="51"/>
      <c r="D911" s="51"/>
      <c r="E911" s="51"/>
      <c r="F911" s="51"/>
      <c r="G911" s="58"/>
      <c r="H911" s="51"/>
      <c r="I911" s="58"/>
      <c r="J911" s="51"/>
      <c r="K911" s="51"/>
      <c r="L911" s="51"/>
      <c r="M911" s="51"/>
      <c r="N911" s="51"/>
      <c r="O911" s="51"/>
      <c r="P911" s="51"/>
      <c r="Q911" s="51"/>
      <c r="R911" s="51"/>
      <c r="S911" s="51"/>
      <c r="T911" s="51"/>
      <c r="U911" s="51"/>
      <c r="V911" s="51"/>
      <c r="W911" s="51"/>
      <c r="X911" s="51"/>
      <c r="Y911" s="51"/>
      <c r="Z911" s="51"/>
      <c r="AA911" s="51"/>
    </row>
    <row r="912" spans="1:27" ht="13.65" customHeight="1" x14ac:dyDescent="0.3">
      <c r="A912" s="49"/>
      <c r="B912" s="57"/>
      <c r="C912" s="51"/>
      <c r="D912" s="51"/>
      <c r="E912" s="51"/>
      <c r="F912" s="51"/>
      <c r="G912" s="58"/>
      <c r="H912" s="51"/>
      <c r="I912" s="58"/>
      <c r="J912" s="51"/>
      <c r="K912" s="51"/>
      <c r="L912" s="51"/>
      <c r="M912" s="51"/>
      <c r="N912" s="51"/>
      <c r="O912" s="51"/>
      <c r="P912" s="51"/>
      <c r="Q912" s="51"/>
      <c r="R912" s="51"/>
      <c r="S912" s="51"/>
      <c r="T912" s="51"/>
      <c r="U912" s="51"/>
      <c r="V912" s="51"/>
      <c r="W912" s="51"/>
      <c r="X912" s="51"/>
      <c r="Y912" s="51"/>
      <c r="Z912" s="51"/>
      <c r="AA912" s="51"/>
    </row>
    <row r="913" spans="1:27" ht="13.65" customHeight="1" x14ac:dyDescent="0.3">
      <c r="A913" s="49"/>
      <c r="B913" s="57"/>
      <c r="C913" s="51"/>
      <c r="D913" s="51"/>
      <c r="E913" s="51"/>
      <c r="F913" s="51"/>
      <c r="G913" s="58"/>
      <c r="H913" s="51"/>
      <c r="I913" s="58"/>
      <c r="J913" s="51"/>
      <c r="K913" s="51"/>
      <c r="L913" s="51"/>
      <c r="M913" s="51"/>
      <c r="N913" s="51"/>
      <c r="O913" s="51"/>
      <c r="P913" s="51"/>
      <c r="Q913" s="51"/>
      <c r="R913" s="51"/>
      <c r="S913" s="51"/>
      <c r="T913" s="51"/>
      <c r="U913" s="51"/>
      <c r="V913" s="51"/>
      <c r="W913" s="51"/>
      <c r="X913" s="51"/>
      <c r="Y913" s="51"/>
      <c r="Z913" s="51"/>
      <c r="AA913" s="51"/>
    </row>
    <row r="914" spans="1:27" ht="13.65" customHeight="1" x14ac:dyDescent="0.3">
      <c r="A914" s="49"/>
      <c r="B914" s="57"/>
      <c r="C914" s="51"/>
      <c r="D914" s="51"/>
      <c r="E914" s="51"/>
      <c r="F914" s="51"/>
      <c r="G914" s="58"/>
      <c r="H914" s="51"/>
      <c r="I914" s="58"/>
      <c r="J914" s="51"/>
      <c r="K914" s="51"/>
      <c r="L914" s="51"/>
      <c r="M914" s="51"/>
      <c r="N914" s="51"/>
      <c r="O914" s="51"/>
      <c r="P914" s="51"/>
      <c r="Q914" s="51"/>
      <c r="R914" s="51"/>
      <c r="S914" s="51"/>
      <c r="T914" s="51"/>
      <c r="U914" s="51"/>
      <c r="V914" s="51"/>
      <c r="W914" s="51"/>
      <c r="X914" s="51"/>
      <c r="Y914" s="51"/>
      <c r="Z914" s="51"/>
      <c r="AA914" s="51"/>
    </row>
    <row r="915" spans="1:27" ht="13.65" customHeight="1" x14ac:dyDescent="0.3">
      <c r="A915" s="49"/>
      <c r="B915" s="57"/>
      <c r="C915" s="51"/>
      <c r="D915" s="51"/>
      <c r="E915" s="51"/>
      <c r="F915" s="51"/>
      <c r="G915" s="58"/>
      <c r="H915" s="51"/>
      <c r="I915" s="58"/>
      <c r="J915" s="51"/>
      <c r="K915" s="51"/>
      <c r="L915" s="51"/>
      <c r="M915" s="51"/>
      <c r="N915" s="51"/>
      <c r="O915" s="51"/>
      <c r="P915" s="51"/>
      <c r="Q915" s="51"/>
      <c r="R915" s="51"/>
      <c r="S915" s="51"/>
      <c r="T915" s="51"/>
      <c r="U915" s="51"/>
      <c r="V915" s="51"/>
      <c r="W915" s="51"/>
      <c r="X915" s="51"/>
      <c r="Y915" s="51"/>
      <c r="Z915" s="51"/>
      <c r="AA915" s="51"/>
    </row>
    <row r="916" spans="1:27" ht="13.65" customHeight="1" x14ac:dyDescent="0.3">
      <c r="A916" s="49"/>
      <c r="B916" s="57"/>
      <c r="C916" s="51"/>
      <c r="D916" s="51"/>
      <c r="E916" s="51"/>
      <c r="F916" s="51"/>
      <c r="G916" s="58"/>
      <c r="H916" s="51"/>
      <c r="I916" s="58"/>
      <c r="J916" s="51"/>
      <c r="K916" s="51"/>
      <c r="L916" s="51"/>
      <c r="M916" s="51"/>
      <c r="N916" s="51"/>
      <c r="O916" s="51"/>
      <c r="P916" s="51"/>
      <c r="Q916" s="51"/>
      <c r="R916" s="51"/>
      <c r="S916" s="51"/>
      <c r="T916" s="51"/>
      <c r="U916" s="51"/>
      <c r="V916" s="51"/>
      <c r="W916" s="51"/>
      <c r="X916" s="51"/>
      <c r="Y916" s="51"/>
      <c r="Z916" s="51"/>
      <c r="AA916" s="51"/>
    </row>
    <row r="917" spans="1:27" ht="13.65" customHeight="1" x14ac:dyDescent="0.3">
      <c r="A917" s="49"/>
      <c r="B917" s="57"/>
      <c r="C917" s="51"/>
      <c r="D917" s="51"/>
      <c r="E917" s="51"/>
      <c r="F917" s="51"/>
      <c r="G917" s="58"/>
      <c r="H917" s="51"/>
      <c r="I917" s="58"/>
      <c r="J917" s="51"/>
      <c r="K917" s="51"/>
      <c r="L917" s="51"/>
      <c r="M917" s="51"/>
      <c r="N917" s="51"/>
      <c r="O917" s="51"/>
      <c r="P917" s="51"/>
      <c r="Q917" s="51"/>
      <c r="R917" s="51"/>
      <c r="S917" s="51"/>
      <c r="T917" s="51"/>
      <c r="U917" s="51"/>
      <c r="V917" s="51"/>
      <c r="W917" s="51"/>
      <c r="X917" s="51"/>
      <c r="Y917" s="51"/>
      <c r="Z917" s="51"/>
      <c r="AA917" s="51"/>
    </row>
    <row r="918" spans="1:27" ht="13.65" customHeight="1" x14ac:dyDescent="0.3">
      <c r="A918" s="49"/>
      <c r="B918" s="57"/>
      <c r="C918" s="51"/>
      <c r="D918" s="51"/>
      <c r="E918" s="51"/>
      <c r="F918" s="51"/>
      <c r="G918" s="58"/>
      <c r="H918" s="51"/>
      <c r="I918" s="58"/>
      <c r="J918" s="51"/>
      <c r="K918" s="51"/>
      <c r="L918" s="51"/>
      <c r="M918" s="51"/>
      <c r="N918" s="51"/>
      <c r="O918" s="51"/>
      <c r="P918" s="51"/>
      <c r="Q918" s="51"/>
      <c r="R918" s="51"/>
      <c r="S918" s="51"/>
      <c r="T918" s="51"/>
      <c r="U918" s="51"/>
      <c r="V918" s="51"/>
      <c r="W918" s="51"/>
      <c r="X918" s="51"/>
      <c r="Y918" s="51"/>
      <c r="Z918" s="51"/>
      <c r="AA918" s="51"/>
    </row>
    <row r="919" spans="1:27" ht="13.65" customHeight="1" x14ac:dyDescent="0.3">
      <c r="A919" s="49"/>
      <c r="B919" s="57"/>
      <c r="C919" s="51"/>
      <c r="D919" s="51"/>
      <c r="E919" s="51"/>
      <c r="F919" s="51"/>
      <c r="G919" s="58"/>
      <c r="H919" s="51"/>
      <c r="I919" s="58"/>
      <c r="J919" s="51"/>
      <c r="K919" s="51"/>
      <c r="L919" s="51"/>
      <c r="M919" s="51"/>
      <c r="N919" s="51"/>
      <c r="O919" s="51"/>
      <c r="P919" s="51"/>
      <c r="Q919" s="51"/>
      <c r="R919" s="51"/>
      <c r="S919" s="51"/>
      <c r="T919" s="51"/>
      <c r="U919" s="51"/>
      <c r="V919" s="51"/>
      <c r="W919" s="51"/>
      <c r="X919" s="51"/>
      <c r="Y919" s="51"/>
      <c r="Z919" s="51"/>
      <c r="AA919" s="51"/>
    </row>
    <row r="920" spans="1:27" ht="13.65" customHeight="1" x14ac:dyDescent="0.3">
      <c r="A920" s="49"/>
      <c r="B920" s="57"/>
      <c r="C920" s="51"/>
      <c r="D920" s="51"/>
      <c r="E920" s="51"/>
      <c r="F920" s="51"/>
      <c r="G920" s="58"/>
      <c r="H920" s="51"/>
      <c r="I920" s="58"/>
      <c r="J920" s="51"/>
      <c r="K920" s="51"/>
      <c r="L920" s="51"/>
      <c r="M920" s="51"/>
      <c r="N920" s="51"/>
      <c r="O920" s="51"/>
      <c r="P920" s="51"/>
      <c r="Q920" s="51"/>
      <c r="R920" s="51"/>
      <c r="S920" s="51"/>
      <c r="T920" s="51"/>
      <c r="U920" s="51"/>
      <c r="V920" s="51"/>
      <c r="W920" s="51"/>
      <c r="X920" s="51"/>
      <c r="Y920" s="51"/>
      <c r="Z920" s="51"/>
      <c r="AA920" s="51"/>
    </row>
    <row r="921" spans="1:27" ht="13.65" customHeight="1" x14ac:dyDescent="0.3">
      <c r="A921" s="49"/>
      <c r="B921" s="57"/>
      <c r="C921" s="51"/>
      <c r="D921" s="51"/>
      <c r="E921" s="51"/>
      <c r="F921" s="51"/>
      <c r="G921" s="58"/>
      <c r="H921" s="51"/>
      <c r="I921" s="58"/>
      <c r="J921" s="51"/>
      <c r="K921" s="51"/>
      <c r="L921" s="51"/>
      <c r="M921" s="51"/>
      <c r="N921" s="51"/>
      <c r="O921" s="51"/>
      <c r="P921" s="51"/>
      <c r="Q921" s="51"/>
      <c r="R921" s="51"/>
      <c r="S921" s="51"/>
      <c r="T921" s="51"/>
      <c r="U921" s="51"/>
      <c r="V921" s="51"/>
      <c r="W921" s="51"/>
      <c r="X921" s="51"/>
      <c r="Y921" s="51"/>
      <c r="Z921" s="51"/>
      <c r="AA921" s="51"/>
    </row>
    <row r="922" spans="1:27" ht="13.65" customHeight="1" x14ac:dyDescent="0.3">
      <c r="A922" s="49"/>
      <c r="B922" s="57"/>
      <c r="C922" s="51"/>
      <c r="D922" s="51"/>
      <c r="E922" s="51"/>
      <c r="F922" s="51"/>
      <c r="G922" s="58"/>
      <c r="H922" s="51"/>
      <c r="I922" s="58"/>
      <c r="J922" s="51"/>
      <c r="K922" s="51"/>
      <c r="L922" s="51"/>
      <c r="M922" s="51"/>
      <c r="N922" s="51"/>
      <c r="O922" s="51"/>
      <c r="P922" s="51"/>
      <c r="Q922" s="51"/>
      <c r="R922" s="51"/>
      <c r="S922" s="51"/>
      <c r="T922" s="51"/>
      <c r="U922" s="51"/>
      <c r="V922" s="51"/>
      <c r="W922" s="51"/>
      <c r="X922" s="51"/>
      <c r="Y922" s="51"/>
      <c r="Z922" s="51"/>
      <c r="AA922" s="51"/>
    </row>
    <row r="923" spans="1:27" ht="13.65" customHeight="1" x14ac:dyDescent="0.3">
      <c r="A923" s="49"/>
      <c r="B923" s="57"/>
      <c r="C923" s="51"/>
      <c r="D923" s="51"/>
      <c r="E923" s="51"/>
      <c r="F923" s="51"/>
      <c r="G923" s="58"/>
      <c r="H923" s="51"/>
      <c r="I923" s="58"/>
      <c r="J923" s="51"/>
      <c r="K923" s="51"/>
      <c r="L923" s="51"/>
      <c r="M923" s="51"/>
      <c r="N923" s="51"/>
      <c r="O923" s="51"/>
      <c r="P923" s="51"/>
      <c r="Q923" s="51"/>
      <c r="R923" s="51"/>
      <c r="S923" s="51"/>
      <c r="T923" s="51"/>
      <c r="U923" s="51"/>
      <c r="V923" s="51"/>
      <c r="W923" s="51"/>
      <c r="X923" s="51"/>
      <c r="Y923" s="51"/>
      <c r="Z923" s="51"/>
      <c r="AA923" s="51"/>
    </row>
    <row r="924" spans="1:27" ht="13.65" customHeight="1" x14ac:dyDescent="0.3">
      <c r="A924" s="49"/>
      <c r="B924" s="57"/>
      <c r="C924" s="51"/>
      <c r="D924" s="51"/>
      <c r="E924" s="51"/>
      <c r="F924" s="51"/>
      <c r="G924" s="58"/>
      <c r="H924" s="51"/>
      <c r="I924" s="58"/>
      <c r="J924" s="51"/>
      <c r="K924" s="51"/>
      <c r="L924" s="51"/>
      <c r="M924" s="51"/>
      <c r="N924" s="51"/>
      <c r="O924" s="51"/>
      <c r="P924" s="51"/>
      <c r="Q924" s="51"/>
      <c r="R924" s="51"/>
      <c r="S924" s="51"/>
      <c r="T924" s="51"/>
      <c r="U924" s="51"/>
      <c r="V924" s="51"/>
      <c r="W924" s="51"/>
      <c r="X924" s="51"/>
      <c r="Y924" s="51"/>
      <c r="Z924" s="51"/>
      <c r="AA924" s="51"/>
    </row>
    <row r="925" spans="1:27" ht="13.65" customHeight="1" x14ac:dyDescent="0.3">
      <c r="A925" s="49"/>
      <c r="B925" s="57"/>
      <c r="C925" s="51"/>
      <c r="D925" s="51"/>
      <c r="E925" s="51"/>
      <c r="F925" s="51"/>
      <c r="G925" s="58"/>
      <c r="H925" s="51"/>
      <c r="I925" s="58"/>
      <c r="J925" s="51"/>
      <c r="K925" s="51"/>
      <c r="L925" s="51"/>
      <c r="M925" s="51"/>
      <c r="N925" s="51"/>
      <c r="O925" s="51"/>
      <c r="P925" s="51"/>
      <c r="Q925" s="51"/>
      <c r="R925" s="51"/>
      <c r="S925" s="51"/>
      <c r="T925" s="51"/>
      <c r="U925" s="51"/>
      <c r="V925" s="51"/>
      <c r="W925" s="51"/>
      <c r="X925" s="51"/>
      <c r="Y925" s="51"/>
      <c r="Z925" s="51"/>
      <c r="AA925" s="51"/>
    </row>
    <row r="926" spans="1:27" ht="13.65" customHeight="1" x14ac:dyDescent="0.3">
      <c r="A926" s="49"/>
      <c r="B926" s="57"/>
      <c r="C926" s="51"/>
      <c r="D926" s="51"/>
      <c r="E926" s="51"/>
      <c r="F926" s="51"/>
      <c r="G926" s="58"/>
      <c r="H926" s="51"/>
      <c r="I926" s="58"/>
      <c r="J926" s="51"/>
      <c r="K926" s="51"/>
      <c r="L926" s="51"/>
      <c r="M926" s="51"/>
      <c r="N926" s="51"/>
      <c r="O926" s="51"/>
      <c r="P926" s="51"/>
      <c r="Q926" s="51"/>
      <c r="R926" s="51"/>
      <c r="S926" s="51"/>
      <c r="T926" s="51"/>
      <c r="U926" s="51"/>
      <c r="V926" s="51"/>
      <c r="W926" s="51"/>
      <c r="X926" s="51"/>
      <c r="Y926" s="51"/>
      <c r="Z926" s="51"/>
      <c r="AA926" s="51"/>
    </row>
    <row r="927" spans="1:27" ht="13.65" customHeight="1" x14ac:dyDescent="0.3">
      <c r="A927" s="49"/>
      <c r="B927" s="57"/>
      <c r="C927" s="51"/>
      <c r="D927" s="51"/>
      <c r="E927" s="51"/>
      <c r="F927" s="51"/>
      <c r="G927" s="58"/>
      <c r="H927" s="51"/>
      <c r="I927" s="58"/>
      <c r="J927" s="51"/>
      <c r="K927" s="51"/>
      <c r="L927" s="51"/>
      <c r="M927" s="51"/>
      <c r="N927" s="51"/>
      <c r="O927" s="51"/>
      <c r="P927" s="51"/>
      <c r="Q927" s="51"/>
      <c r="R927" s="51"/>
      <c r="S927" s="51"/>
      <c r="T927" s="51"/>
      <c r="U927" s="51"/>
      <c r="V927" s="51"/>
      <c r="W927" s="51"/>
      <c r="X927" s="51"/>
      <c r="Y927" s="51"/>
      <c r="Z927" s="51"/>
      <c r="AA927" s="51"/>
    </row>
    <row r="928" spans="1:27" ht="13.65" customHeight="1" x14ac:dyDescent="0.3">
      <c r="A928" s="49"/>
      <c r="B928" s="57"/>
      <c r="C928" s="51"/>
      <c r="D928" s="51"/>
      <c r="E928" s="51"/>
      <c r="F928" s="51"/>
      <c r="G928" s="58"/>
      <c r="H928" s="51"/>
      <c r="I928" s="58"/>
      <c r="J928" s="51"/>
      <c r="K928" s="51"/>
      <c r="L928" s="51"/>
      <c r="M928" s="51"/>
      <c r="N928" s="51"/>
      <c r="O928" s="51"/>
      <c r="P928" s="51"/>
      <c r="Q928" s="51"/>
      <c r="R928" s="51"/>
      <c r="S928" s="51"/>
      <c r="T928" s="51"/>
      <c r="U928" s="51"/>
      <c r="V928" s="51"/>
      <c r="W928" s="51"/>
      <c r="X928" s="51"/>
      <c r="Y928" s="51"/>
      <c r="Z928" s="51"/>
      <c r="AA928" s="51"/>
    </row>
    <row r="929" spans="1:27" ht="13.65" customHeight="1" x14ac:dyDescent="0.3">
      <c r="A929" s="49"/>
      <c r="B929" s="57"/>
      <c r="C929" s="51"/>
      <c r="D929" s="51"/>
      <c r="E929" s="51"/>
      <c r="F929" s="51"/>
      <c r="G929" s="58"/>
      <c r="H929" s="51"/>
      <c r="I929" s="58"/>
      <c r="J929" s="51"/>
      <c r="K929" s="51"/>
      <c r="L929" s="51"/>
      <c r="M929" s="51"/>
      <c r="N929" s="51"/>
      <c r="O929" s="51"/>
      <c r="P929" s="51"/>
      <c r="Q929" s="51"/>
      <c r="R929" s="51"/>
      <c r="S929" s="51"/>
      <c r="T929" s="51"/>
      <c r="U929" s="51"/>
      <c r="V929" s="51"/>
      <c r="W929" s="51"/>
      <c r="X929" s="51"/>
      <c r="Y929" s="51"/>
      <c r="Z929" s="51"/>
      <c r="AA929" s="51"/>
    </row>
    <row r="930" spans="1:27" ht="13.65" customHeight="1" x14ac:dyDescent="0.3">
      <c r="A930" s="49"/>
      <c r="B930" s="57"/>
      <c r="C930" s="51"/>
      <c r="D930" s="51"/>
      <c r="E930" s="51"/>
      <c r="F930" s="51"/>
      <c r="G930" s="58"/>
      <c r="H930" s="51"/>
      <c r="I930" s="58"/>
      <c r="J930" s="51"/>
      <c r="K930" s="51"/>
      <c r="L930" s="51"/>
      <c r="M930" s="51"/>
      <c r="N930" s="51"/>
      <c r="O930" s="51"/>
      <c r="P930" s="51"/>
      <c r="Q930" s="51"/>
      <c r="R930" s="51"/>
      <c r="S930" s="51"/>
      <c r="T930" s="51"/>
      <c r="U930" s="51"/>
      <c r="V930" s="51"/>
      <c r="W930" s="51"/>
      <c r="X930" s="51"/>
      <c r="Y930" s="51"/>
      <c r="Z930" s="51"/>
      <c r="AA930" s="51"/>
    </row>
    <row r="931" spans="1:27" ht="13.65" customHeight="1" x14ac:dyDescent="0.3">
      <c r="A931" s="49"/>
      <c r="B931" s="57"/>
      <c r="C931" s="51"/>
      <c r="D931" s="51"/>
      <c r="E931" s="51"/>
      <c r="F931" s="51"/>
      <c r="G931" s="58"/>
      <c r="H931" s="51"/>
      <c r="I931" s="58"/>
      <c r="J931" s="51"/>
      <c r="K931" s="51"/>
      <c r="L931" s="51"/>
      <c r="M931" s="51"/>
      <c r="N931" s="51"/>
      <c r="O931" s="51"/>
      <c r="P931" s="51"/>
      <c r="Q931" s="51"/>
      <c r="R931" s="51"/>
      <c r="S931" s="51"/>
      <c r="T931" s="51"/>
      <c r="U931" s="51"/>
      <c r="V931" s="51"/>
      <c r="W931" s="51"/>
      <c r="X931" s="51"/>
      <c r="Y931" s="51"/>
      <c r="Z931" s="51"/>
      <c r="AA931" s="51"/>
    </row>
    <row r="932" spans="1:27" ht="13.65" customHeight="1" x14ac:dyDescent="0.3">
      <c r="A932" s="49"/>
      <c r="B932" s="57"/>
      <c r="C932" s="51"/>
      <c r="D932" s="51"/>
      <c r="E932" s="51"/>
      <c r="F932" s="51"/>
      <c r="G932" s="58"/>
      <c r="H932" s="51"/>
      <c r="I932" s="58"/>
      <c r="J932" s="51"/>
      <c r="K932" s="51"/>
      <c r="L932" s="51"/>
      <c r="M932" s="51"/>
      <c r="N932" s="51"/>
      <c r="O932" s="51"/>
      <c r="P932" s="51"/>
      <c r="Q932" s="51"/>
      <c r="R932" s="51"/>
      <c r="S932" s="51"/>
      <c r="T932" s="51"/>
      <c r="U932" s="51"/>
      <c r="V932" s="51"/>
      <c r="W932" s="51"/>
      <c r="X932" s="51"/>
      <c r="Y932" s="51"/>
      <c r="Z932" s="51"/>
      <c r="AA932" s="51"/>
    </row>
    <row r="933" spans="1:27" ht="13.65" customHeight="1" x14ac:dyDescent="0.3">
      <c r="A933" s="49"/>
      <c r="B933" s="57"/>
      <c r="C933" s="51"/>
      <c r="D933" s="51"/>
      <c r="E933" s="51"/>
      <c r="F933" s="51"/>
      <c r="G933" s="58"/>
      <c r="H933" s="51"/>
      <c r="I933" s="58"/>
      <c r="J933" s="51"/>
      <c r="K933" s="51"/>
      <c r="L933" s="51"/>
      <c r="M933" s="51"/>
      <c r="N933" s="51"/>
      <c r="O933" s="51"/>
      <c r="P933" s="51"/>
      <c r="Q933" s="51"/>
      <c r="R933" s="51"/>
      <c r="S933" s="51"/>
      <c r="T933" s="51"/>
      <c r="U933" s="51"/>
      <c r="V933" s="51"/>
      <c r="W933" s="51"/>
      <c r="X933" s="51"/>
      <c r="Y933" s="51"/>
      <c r="Z933" s="51"/>
      <c r="AA933" s="51"/>
    </row>
    <row r="934" spans="1:27" ht="13.65" customHeight="1" x14ac:dyDescent="0.3">
      <c r="A934" s="49"/>
      <c r="B934" s="57"/>
      <c r="C934" s="51"/>
      <c r="D934" s="51"/>
      <c r="E934" s="51"/>
      <c r="F934" s="51"/>
      <c r="G934" s="58"/>
      <c r="H934" s="51"/>
      <c r="I934" s="58"/>
      <c r="J934" s="51"/>
      <c r="K934" s="51"/>
      <c r="L934" s="51"/>
      <c r="M934" s="51"/>
      <c r="N934" s="51"/>
      <c r="O934" s="51"/>
      <c r="P934" s="51"/>
      <c r="Q934" s="51"/>
      <c r="R934" s="51"/>
      <c r="S934" s="51"/>
      <c r="T934" s="51"/>
      <c r="U934" s="51"/>
      <c r="V934" s="51"/>
      <c r="W934" s="51"/>
      <c r="X934" s="51"/>
      <c r="Y934" s="51"/>
      <c r="Z934" s="51"/>
      <c r="AA934" s="51"/>
    </row>
    <row r="935" spans="1:27" ht="13.65" customHeight="1" x14ac:dyDescent="0.3">
      <c r="A935" s="49"/>
      <c r="B935" s="57"/>
      <c r="C935" s="51"/>
      <c r="D935" s="51"/>
      <c r="E935" s="51"/>
      <c r="F935" s="51"/>
      <c r="G935" s="58"/>
      <c r="H935" s="51"/>
      <c r="I935" s="58"/>
      <c r="J935" s="51"/>
      <c r="K935" s="51"/>
      <c r="L935" s="51"/>
      <c r="M935" s="51"/>
      <c r="N935" s="51"/>
      <c r="O935" s="51"/>
      <c r="P935" s="51"/>
      <c r="Q935" s="51"/>
      <c r="R935" s="51"/>
      <c r="S935" s="51"/>
      <c r="T935" s="51"/>
      <c r="U935" s="51"/>
      <c r="V935" s="51"/>
      <c r="W935" s="51"/>
      <c r="X935" s="51"/>
      <c r="Y935" s="51"/>
      <c r="Z935" s="51"/>
      <c r="AA935" s="51"/>
    </row>
    <row r="936" spans="1:27" ht="13.65" customHeight="1" x14ac:dyDescent="0.3">
      <c r="A936" s="49"/>
      <c r="B936" s="57"/>
      <c r="C936" s="51"/>
      <c r="D936" s="51"/>
      <c r="E936" s="51"/>
      <c r="F936" s="51"/>
      <c r="G936" s="58"/>
      <c r="H936" s="51"/>
      <c r="I936" s="58"/>
      <c r="J936" s="51"/>
      <c r="K936" s="51"/>
      <c r="L936" s="51"/>
      <c r="M936" s="51"/>
      <c r="N936" s="51"/>
      <c r="O936" s="51"/>
      <c r="P936" s="51"/>
      <c r="Q936" s="51"/>
      <c r="R936" s="51"/>
      <c r="S936" s="51"/>
      <c r="T936" s="51"/>
      <c r="U936" s="51"/>
      <c r="V936" s="51"/>
      <c r="W936" s="51"/>
      <c r="X936" s="51"/>
      <c r="Y936" s="51"/>
      <c r="Z936" s="51"/>
      <c r="AA936" s="51"/>
    </row>
    <row r="937" spans="1:27" ht="13.65" customHeight="1" x14ac:dyDescent="0.3">
      <c r="A937" s="49"/>
      <c r="B937" s="57"/>
      <c r="C937" s="51"/>
      <c r="D937" s="51"/>
      <c r="E937" s="51"/>
      <c r="F937" s="51"/>
      <c r="G937" s="58"/>
      <c r="H937" s="51"/>
      <c r="I937" s="58"/>
      <c r="J937" s="51"/>
      <c r="K937" s="51"/>
      <c r="L937" s="51"/>
      <c r="M937" s="51"/>
      <c r="N937" s="51"/>
      <c r="O937" s="51"/>
      <c r="P937" s="51"/>
      <c r="Q937" s="51"/>
      <c r="R937" s="51"/>
      <c r="S937" s="51"/>
      <c r="T937" s="51"/>
      <c r="U937" s="51"/>
      <c r="V937" s="51"/>
      <c r="W937" s="51"/>
      <c r="X937" s="51"/>
      <c r="Y937" s="51"/>
      <c r="Z937" s="51"/>
      <c r="AA937" s="51"/>
    </row>
    <row r="938" spans="1:27" ht="13.65" customHeight="1" x14ac:dyDescent="0.3">
      <c r="A938" s="49"/>
      <c r="B938" s="57"/>
      <c r="C938" s="51"/>
      <c r="D938" s="51"/>
      <c r="E938" s="51"/>
      <c r="F938" s="51"/>
      <c r="G938" s="58"/>
      <c r="H938" s="51"/>
      <c r="I938" s="58"/>
      <c r="J938" s="51"/>
      <c r="K938" s="51"/>
      <c r="L938" s="51"/>
      <c r="M938" s="51"/>
      <c r="N938" s="51"/>
      <c r="O938" s="51"/>
      <c r="P938" s="51"/>
      <c r="Q938" s="51"/>
      <c r="R938" s="51"/>
      <c r="S938" s="51"/>
      <c r="T938" s="51"/>
      <c r="U938" s="51"/>
      <c r="V938" s="51"/>
      <c r="W938" s="51"/>
      <c r="X938" s="51"/>
      <c r="Y938" s="51"/>
      <c r="Z938" s="51"/>
      <c r="AA938" s="51"/>
    </row>
    <row r="939" spans="1:27" ht="13.65" customHeight="1" x14ac:dyDescent="0.3">
      <c r="A939" s="49"/>
      <c r="B939" s="57"/>
      <c r="C939" s="51"/>
      <c r="D939" s="51"/>
      <c r="E939" s="51"/>
      <c r="F939" s="51"/>
      <c r="G939" s="58"/>
      <c r="H939" s="51"/>
      <c r="I939" s="58"/>
      <c r="J939" s="51"/>
      <c r="K939" s="51"/>
      <c r="L939" s="51"/>
      <c r="M939" s="51"/>
      <c r="N939" s="51"/>
      <c r="O939" s="51"/>
      <c r="P939" s="51"/>
      <c r="Q939" s="51"/>
      <c r="R939" s="51"/>
      <c r="S939" s="51"/>
      <c r="T939" s="51"/>
      <c r="U939" s="51"/>
      <c r="V939" s="51"/>
      <c r="W939" s="51"/>
      <c r="X939" s="51"/>
      <c r="Y939" s="51"/>
      <c r="Z939" s="51"/>
      <c r="AA939" s="51"/>
    </row>
    <row r="940" spans="1:27" ht="13.65" customHeight="1" x14ac:dyDescent="0.3">
      <c r="A940" s="49"/>
      <c r="B940" s="57"/>
      <c r="C940" s="51"/>
      <c r="D940" s="51"/>
      <c r="E940" s="51"/>
      <c r="F940" s="51"/>
      <c r="G940" s="58"/>
      <c r="H940" s="51"/>
      <c r="I940" s="58"/>
      <c r="J940" s="51"/>
      <c r="K940" s="51"/>
      <c r="L940" s="51"/>
      <c r="M940" s="51"/>
      <c r="N940" s="51"/>
      <c r="O940" s="51"/>
      <c r="P940" s="51"/>
      <c r="Q940" s="51"/>
      <c r="R940" s="51"/>
      <c r="S940" s="51"/>
      <c r="T940" s="51"/>
      <c r="U940" s="51"/>
      <c r="V940" s="51"/>
      <c r="W940" s="51"/>
      <c r="X940" s="51"/>
      <c r="Y940" s="51"/>
      <c r="Z940" s="51"/>
      <c r="AA940" s="51"/>
    </row>
    <row r="941" spans="1:27" ht="13.65" customHeight="1" x14ac:dyDescent="0.3">
      <c r="A941" s="49"/>
      <c r="B941" s="57"/>
      <c r="C941" s="51"/>
      <c r="D941" s="51"/>
      <c r="E941" s="51"/>
      <c r="F941" s="51"/>
      <c r="G941" s="58"/>
      <c r="H941" s="51"/>
      <c r="I941" s="58"/>
      <c r="J941" s="51"/>
      <c r="K941" s="51"/>
      <c r="L941" s="51"/>
      <c r="M941" s="51"/>
      <c r="N941" s="51"/>
      <c r="O941" s="51"/>
      <c r="P941" s="51"/>
      <c r="Q941" s="51"/>
      <c r="R941" s="51"/>
      <c r="S941" s="51"/>
      <c r="T941" s="51"/>
      <c r="U941" s="51"/>
      <c r="V941" s="51"/>
      <c r="W941" s="51"/>
      <c r="X941" s="51"/>
      <c r="Y941" s="51"/>
      <c r="Z941" s="51"/>
      <c r="AA941" s="51"/>
    </row>
    <row r="942" spans="1:27" ht="13.65" customHeight="1" x14ac:dyDescent="0.3">
      <c r="A942" s="49"/>
      <c r="B942" s="57"/>
      <c r="C942" s="51"/>
      <c r="D942" s="51"/>
      <c r="E942" s="51"/>
      <c r="F942" s="51"/>
      <c r="G942" s="58"/>
      <c r="H942" s="51"/>
      <c r="I942" s="58"/>
      <c r="J942" s="51"/>
      <c r="K942" s="51"/>
      <c r="L942" s="51"/>
      <c r="M942" s="51"/>
      <c r="N942" s="51"/>
      <c r="O942" s="51"/>
      <c r="P942" s="51"/>
      <c r="Q942" s="51"/>
      <c r="R942" s="51"/>
      <c r="S942" s="51"/>
      <c r="T942" s="51"/>
      <c r="U942" s="51"/>
      <c r="V942" s="51"/>
      <c r="W942" s="51"/>
      <c r="X942" s="51"/>
      <c r="Y942" s="51"/>
      <c r="Z942" s="51"/>
      <c r="AA942" s="51"/>
    </row>
    <row r="943" spans="1:27" ht="13.65" customHeight="1" x14ac:dyDescent="0.3">
      <c r="A943" s="49"/>
      <c r="B943" s="57"/>
      <c r="C943" s="51"/>
      <c r="D943" s="51"/>
      <c r="E943" s="51"/>
      <c r="F943" s="51"/>
      <c r="G943" s="58"/>
      <c r="H943" s="51"/>
      <c r="I943" s="58"/>
      <c r="J943" s="51"/>
      <c r="K943" s="51"/>
      <c r="L943" s="51"/>
      <c r="M943" s="51"/>
      <c r="N943" s="51"/>
      <c r="O943" s="51"/>
      <c r="P943" s="51"/>
      <c r="Q943" s="51"/>
      <c r="R943" s="51"/>
      <c r="S943" s="51"/>
      <c r="T943" s="51"/>
      <c r="U943" s="51"/>
      <c r="V943" s="51"/>
      <c r="W943" s="51"/>
      <c r="X943" s="51"/>
      <c r="Y943" s="51"/>
      <c r="Z943" s="51"/>
      <c r="AA943" s="51"/>
    </row>
    <row r="944" spans="1:27" ht="13.65" customHeight="1" x14ac:dyDescent="0.3">
      <c r="A944" s="49"/>
      <c r="B944" s="57"/>
      <c r="C944" s="51"/>
      <c r="D944" s="51"/>
      <c r="E944" s="51"/>
      <c r="F944" s="51"/>
      <c r="G944" s="58"/>
      <c r="H944" s="51"/>
      <c r="I944" s="58"/>
      <c r="J944" s="51"/>
      <c r="K944" s="51"/>
      <c r="L944" s="51"/>
      <c r="M944" s="51"/>
      <c r="N944" s="51"/>
      <c r="O944" s="51"/>
      <c r="P944" s="51"/>
      <c r="Q944" s="51"/>
      <c r="R944" s="51"/>
      <c r="S944" s="51"/>
      <c r="T944" s="51"/>
      <c r="U944" s="51"/>
      <c r="V944" s="51"/>
      <c r="W944" s="51"/>
      <c r="X944" s="51"/>
      <c r="Y944" s="51"/>
      <c r="Z944" s="51"/>
      <c r="AA944" s="51"/>
    </row>
    <row r="945" spans="1:27" ht="13.65" customHeight="1" x14ac:dyDescent="0.3">
      <c r="A945" s="49"/>
      <c r="B945" s="57"/>
      <c r="C945" s="51"/>
      <c r="D945" s="51"/>
      <c r="E945" s="51"/>
      <c r="F945" s="51"/>
      <c r="G945" s="58"/>
      <c r="H945" s="51"/>
      <c r="I945" s="58"/>
      <c r="J945" s="51"/>
      <c r="K945" s="51"/>
      <c r="L945" s="51"/>
      <c r="M945" s="51"/>
      <c r="N945" s="51"/>
      <c r="O945" s="51"/>
      <c r="P945" s="51"/>
      <c r="Q945" s="51"/>
      <c r="R945" s="51"/>
      <c r="S945" s="51"/>
      <c r="T945" s="51"/>
      <c r="U945" s="51"/>
      <c r="V945" s="51"/>
      <c r="W945" s="51"/>
      <c r="X945" s="51"/>
      <c r="Y945" s="51"/>
      <c r="Z945" s="51"/>
      <c r="AA945" s="51"/>
    </row>
    <row r="946" spans="1:27" ht="13.65" customHeight="1" x14ac:dyDescent="0.3">
      <c r="A946" s="49"/>
      <c r="B946" s="57"/>
      <c r="C946" s="51"/>
      <c r="D946" s="51"/>
      <c r="E946" s="51"/>
      <c r="F946" s="51"/>
      <c r="G946" s="58"/>
      <c r="H946" s="51"/>
      <c r="I946" s="58"/>
      <c r="J946" s="51"/>
      <c r="K946" s="51"/>
      <c r="L946" s="51"/>
      <c r="M946" s="51"/>
      <c r="N946" s="51"/>
      <c r="O946" s="51"/>
      <c r="P946" s="51"/>
      <c r="Q946" s="51"/>
      <c r="R946" s="51"/>
      <c r="S946" s="51"/>
      <c r="T946" s="51"/>
      <c r="U946" s="51"/>
      <c r="V946" s="51"/>
      <c r="W946" s="51"/>
      <c r="X946" s="51"/>
      <c r="Y946" s="51"/>
      <c r="Z946" s="51"/>
      <c r="AA946" s="51"/>
    </row>
    <row r="947" spans="1:27" ht="13.65" customHeight="1" x14ac:dyDescent="0.3">
      <c r="A947" s="49"/>
      <c r="B947" s="57"/>
      <c r="C947" s="51"/>
      <c r="D947" s="51"/>
      <c r="E947" s="51"/>
      <c r="F947" s="51"/>
      <c r="G947" s="58"/>
      <c r="H947" s="51"/>
      <c r="I947" s="58"/>
      <c r="J947" s="51"/>
      <c r="K947" s="51"/>
      <c r="L947" s="51"/>
      <c r="M947" s="51"/>
      <c r="N947" s="51"/>
      <c r="O947" s="51"/>
      <c r="P947" s="51"/>
      <c r="Q947" s="51"/>
      <c r="R947" s="51"/>
      <c r="S947" s="51"/>
      <c r="T947" s="51"/>
      <c r="U947" s="51"/>
      <c r="V947" s="51"/>
      <c r="W947" s="51"/>
      <c r="X947" s="51"/>
      <c r="Y947" s="51"/>
      <c r="Z947" s="51"/>
      <c r="AA947" s="51"/>
    </row>
    <row r="948" spans="1:27" ht="13.65" customHeight="1" x14ac:dyDescent="0.3">
      <c r="A948" s="49"/>
      <c r="B948" s="57"/>
      <c r="C948" s="51"/>
      <c r="D948" s="51"/>
      <c r="E948" s="51"/>
      <c r="F948" s="51"/>
      <c r="G948" s="58"/>
      <c r="H948" s="51"/>
      <c r="I948" s="58"/>
      <c r="J948" s="51"/>
      <c r="K948" s="51"/>
      <c r="L948" s="51"/>
      <c r="M948" s="51"/>
      <c r="N948" s="51"/>
      <c r="O948" s="51"/>
      <c r="P948" s="51"/>
      <c r="Q948" s="51"/>
      <c r="R948" s="51"/>
      <c r="S948" s="51"/>
      <c r="T948" s="51"/>
      <c r="U948" s="51"/>
      <c r="V948" s="51"/>
      <c r="W948" s="51"/>
      <c r="X948" s="51"/>
      <c r="Y948" s="51"/>
      <c r="Z948" s="51"/>
      <c r="AA948" s="51"/>
    </row>
    <row r="949" spans="1:27" ht="13.65" customHeight="1" x14ac:dyDescent="0.3">
      <c r="A949" s="49"/>
      <c r="B949" s="57"/>
      <c r="C949" s="51"/>
      <c r="D949" s="51"/>
      <c r="E949" s="51"/>
      <c r="F949" s="51"/>
      <c r="G949" s="58"/>
      <c r="H949" s="51"/>
      <c r="I949" s="58"/>
      <c r="J949" s="51"/>
      <c r="K949" s="51"/>
      <c r="L949" s="51"/>
      <c r="M949" s="51"/>
      <c r="N949" s="51"/>
      <c r="O949" s="51"/>
      <c r="P949" s="51"/>
      <c r="Q949" s="51"/>
      <c r="R949" s="51"/>
      <c r="S949" s="51"/>
      <c r="T949" s="51"/>
      <c r="U949" s="51"/>
      <c r="V949" s="51"/>
      <c r="W949" s="51"/>
      <c r="X949" s="51"/>
      <c r="Y949" s="51"/>
      <c r="Z949" s="51"/>
      <c r="AA949" s="51"/>
    </row>
    <row r="950" spans="1:27" ht="13.65" customHeight="1" x14ac:dyDescent="0.3">
      <c r="A950" s="49"/>
      <c r="B950" s="57"/>
      <c r="C950" s="51"/>
      <c r="D950" s="51"/>
      <c r="E950" s="51"/>
      <c r="F950" s="51"/>
      <c r="G950" s="58"/>
      <c r="H950" s="51"/>
      <c r="I950" s="58"/>
      <c r="J950" s="51"/>
      <c r="K950" s="51"/>
      <c r="L950" s="51"/>
      <c r="M950" s="51"/>
      <c r="N950" s="51"/>
      <c r="O950" s="51"/>
      <c r="P950" s="51"/>
      <c r="Q950" s="51"/>
      <c r="R950" s="51"/>
      <c r="S950" s="51"/>
      <c r="T950" s="51"/>
      <c r="U950" s="51"/>
      <c r="V950" s="51"/>
      <c r="W950" s="51"/>
      <c r="X950" s="51"/>
      <c r="Y950" s="51"/>
      <c r="Z950" s="51"/>
      <c r="AA950" s="51"/>
    </row>
    <row r="951" spans="1:27" ht="13.65" customHeight="1" x14ac:dyDescent="0.3">
      <c r="A951" s="49"/>
      <c r="B951" s="57"/>
      <c r="C951" s="51"/>
      <c r="D951" s="51"/>
      <c r="E951" s="51"/>
      <c r="F951" s="51"/>
      <c r="G951" s="58"/>
      <c r="H951" s="51"/>
      <c r="I951" s="58"/>
      <c r="J951" s="51"/>
      <c r="K951" s="51"/>
      <c r="L951" s="51"/>
      <c r="M951" s="51"/>
      <c r="N951" s="51"/>
      <c r="O951" s="51"/>
      <c r="P951" s="51"/>
      <c r="Q951" s="51"/>
      <c r="R951" s="51"/>
      <c r="S951" s="51"/>
      <c r="T951" s="51"/>
      <c r="U951" s="51"/>
      <c r="V951" s="51"/>
      <c r="W951" s="51"/>
      <c r="X951" s="51"/>
      <c r="Y951" s="51"/>
      <c r="Z951" s="51"/>
      <c r="AA951" s="51"/>
    </row>
    <row r="952" spans="1:27" ht="13.65" customHeight="1" x14ac:dyDescent="0.3">
      <c r="A952" s="49"/>
      <c r="B952" s="57"/>
      <c r="C952" s="51"/>
      <c r="D952" s="51"/>
      <c r="E952" s="51"/>
      <c r="F952" s="51"/>
      <c r="G952" s="58"/>
      <c r="H952" s="51"/>
      <c r="I952" s="58"/>
      <c r="J952" s="51"/>
      <c r="K952" s="51"/>
      <c r="L952" s="51"/>
      <c r="M952" s="51"/>
      <c r="N952" s="51"/>
      <c r="O952" s="51"/>
      <c r="P952" s="51"/>
      <c r="Q952" s="51"/>
      <c r="R952" s="51"/>
      <c r="S952" s="51"/>
      <c r="T952" s="51"/>
      <c r="U952" s="51"/>
      <c r="V952" s="51"/>
      <c r="W952" s="51"/>
      <c r="X952" s="51"/>
      <c r="Y952" s="51"/>
      <c r="Z952" s="51"/>
      <c r="AA952" s="51"/>
    </row>
    <row r="953" spans="1:27" ht="13.65" customHeight="1" x14ac:dyDescent="0.3">
      <c r="A953" s="49"/>
      <c r="B953" s="57"/>
      <c r="C953" s="51"/>
      <c r="D953" s="51"/>
      <c r="E953" s="51"/>
      <c r="F953" s="51"/>
      <c r="G953" s="58"/>
      <c r="H953" s="51"/>
      <c r="I953" s="58"/>
      <c r="J953" s="51"/>
      <c r="K953" s="51"/>
      <c r="L953" s="51"/>
      <c r="M953" s="51"/>
      <c r="N953" s="51"/>
      <c r="O953" s="51"/>
      <c r="P953" s="51"/>
      <c r="Q953" s="51"/>
      <c r="R953" s="51"/>
      <c r="S953" s="51"/>
      <c r="T953" s="51"/>
      <c r="U953" s="51"/>
      <c r="V953" s="51"/>
      <c r="W953" s="51"/>
      <c r="X953" s="51"/>
      <c r="Y953" s="51"/>
      <c r="Z953" s="51"/>
      <c r="AA953" s="51"/>
    </row>
    <row r="954" spans="1:27" ht="13.65" customHeight="1" x14ac:dyDescent="0.3">
      <c r="A954" s="49"/>
      <c r="B954" s="57"/>
      <c r="C954" s="51"/>
      <c r="D954" s="51"/>
      <c r="E954" s="51"/>
      <c r="F954" s="51"/>
      <c r="G954" s="58"/>
      <c r="H954" s="51"/>
      <c r="I954" s="58"/>
      <c r="J954" s="51"/>
      <c r="K954" s="51"/>
      <c r="L954" s="51"/>
      <c r="M954" s="51"/>
      <c r="N954" s="51"/>
      <c r="O954" s="51"/>
      <c r="P954" s="51"/>
      <c r="Q954" s="51"/>
      <c r="R954" s="51"/>
      <c r="S954" s="51"/>
      <c r="T954" s="51"/>
      <c r="U954" s="51"/>
      <c r="V954" s="51"/>
      <c r="W954" s="51"/>
      <c r="X954" s="51"/>
      <c r="Y954" s="51"/>
      <c r="Z954" s="51"/>
      <c r="AA954" s="51"/>
    </row>
    <row r="955" spans="1:27" ht="13.65" customHeight="1" x14ac:dyDescent="0.3">
      <c r="A955" s="49"/>
      <c r="B955" s="57"/>
      <c r="C955" s="51"/>
      <c r="D955" s="51"/>
      <c r="E955" s="51"/>
      <c r="F955" s="51"/>
      <c r="G955" s="58"/>
      <c r="H955" s="51"/>
      <c r="I955" s="58"/>
      <c r="J955" s="51"/>
      <c r="K955" s="51"/>
      <c r="L955" s="51"/>
      <c r="M955" s="51"/>
      <c r="N955" s="51"/>
      <c r="O955" s="51"/>
      <c r="P955" s="51"/>
      <c r="Q955" s="51"/>
      <c r="R955" s="51"/>
      <c r="S955" s="51"/>
      <c r="T955" s="51"/>
      <c r="U955" s="51"/>
      <c r="V955" s="51"/>
      <c r="W955" s="51"/>
      <c r="X955" s="51"/>
      <c r="Y955" s="51"/>
      <c r="Z955" s="51"/>
      <c r="AA955" s="51"/>
    </row>
    <row r="956" spans="1:27" ht="13.65" customHeight="1" x14ac:dyDescent="0.3">
      <c r="A956" s="49"/>
      <c r="B956" s="57"/>
      <c r="C956" s="51"/>
      <c r="D956" s="51"/>
      <c r="E956" s="51"/>
      <c r="F956" s="51"/>
      <c r="G956" s="58"/>
      <c r="H956" s="51"/>
      <c r="I956" s="58"/>
      <c r="J956" s="51"/>
      <c r="K956" s="51"/>
      <c r="L956" s="51"/>
      <c r="M956" s="51"/>
      <c r="N956" s="51"/>
      <c r="O956" s="51"/>
      <c r="P956" s="51"/>
      <c r="Q956" s="51"/>
      <c r="R956" s="51"/>
      <c r="S956" s="51"/>
      <c r="T956" s="51"/>
      <c r="U956" s="51"/>
      <c r="V956" s="51"/>
      <c r="W956" s="51"/>
      <c r="X956" s="51"/>
      <c r="Y956" s="51"/>
      <c r="Z956" s="51"/>
      <c r="AA956" s="51"/>
    </row>
    <row r="957" spans="1:27" ht="13.65" customHeight="1" x14ac:dyDescent="0.3">
      <c r="A957" s="49"/>
      <c r="B957" s="57"/>
      <c r="C957" s="51"/>
      <c r="D957" s="51"/>
      <c r="E957" s="51"/>
      <c r="F957" s="51"/>
      <c r="G957" s="58"/>
      <c r="H957" s="51"/>
      <c r="I957" s="58"/>
      <c r="J957" s="51"/>
      <c r="K957" s="51"/>
      <c r="L957" s="51"/>
      <c r="M957" s="51"/>
      <c r="N957" s="51"/>
      <c r="O957" s="51"/>
      <c r="P957" s="51"/>
      <c r="Q957" s="51"/>
      <c r="R957" s="51"/>
      <c r="S957" s="51"/>
      <c r="T957" s="51"/>
      <c r="U957" s="51"/>
      <c r="V957" s="51"/>
      <c r="W957" s="51"/>
      <c r="X957" s="51"/>
      <c r="Y957" s="51"/>
      <c r="Z957" s="51"/>
      <c r="AA957" s="51"/>
    </row>
    <row r="958" spans="1:27" ht="13.65" customHeight="1" x14ac:dyDescent="0.3">
      <c r="A958" s="49"/>
      <c r="B958" s="57"/>
      <c r="C958" s="51"/>
      <c r="D958" s="51"/>
      <c r="E958" s="51"/>
      <c r="F958" s="51"/>
      <c r="G958" s="58"/>
      <c r="H958" s="51"/>
      <c r="I958" s="58"/>
      <c r="J958" s="51"/>
      <c r="K958" s="51"/>
      <c r="L958" s="51"/>
      <c r="M958" s="51"/>
      <c r="N958" s="51"/>
      <c r="O958" s="51"/>
      <c r="P958" s="51"/>
      <c r="Q958" s="51"/>
      <c r="R958" s="51"/>
      <c r="S958" s="51"/>
      <c r="T958" s="51"/>
      <c r="U958" s="51"/>
      <c r="V958" s="51"/>
      <c r="W958" s="51"/>
      <c r="X958" s="51"/>
      <c r="Y958" s="51"/>
      <c r="Z958" s="51"/>
      <c r="AA958" s="51"/>
    </row>
    <row r="959" spans="1:27" ht="13.65" customHeight="1" x14ac:dyDescent="0.3">
      <c r="A959" s="49"/>
      <c r="B959" s="57"/>
      <c r="C959" s="51"/>
      <c r="D959" s="51"/>
      <c r="E959" s="51"/>
      <c r="F959" s="51"/>
      <c r="G959" s="58"/>
      <c r="H959" s="51"/>
      <c r="I959" s="58"/>
      <c r="J959" s="51"/>
      <c r="K959" s="51"/>
      <c r="L959" s="51"/>
      <c r="M959" s="51"/>
      <c r="N959" s="51"/>
      <c r="O959" s="51"/>
      <c r="P959" s="51"/>
      <c r="Q959" s="51"/>
      <c r="R959" s="51"/>
      <c r="S959" s="51"/>
      <c r="T959" s="51"/>
      <c r="U959" s="51"/>
      <c r="V959" s="51"/>
      <c r="W959" s="51"/>
      <c r="X959" s="51"/>
      <c r="Y959" s="51"/>
      <c r="Z959" s="51"/>
      <c r="AA959" s="51"/>
    </row>
    <row r="960" spans="1:27" ht="13.65" customHeight="1" x14ac:dyDescent="0.3">
      <c r="A960" s="49"/>
      <c r="B960" s="57"/>
      <c r="C960" s="51"/>
      <c r="D960" s="51"/>
      <c r="E960" s="51"/>
      <c r="F960" s="51"/>
      <c r="G960" s="58"/>
      <c r="H960" s="51"/>
      <c r="I960" s="58"/>
      <c r="J960" s="51"/>
      <c r="K960" s="51"/>
      <c r="L960" s="51"/>
      <c r="M960" s="51"/>
      <c r="N960" s="51"/>
      <c r="O960" s="51"/>
      <c r="P960" s="51"/>
      <c r="Q960" s="51"/>
      <c r="R960" s="51"/>
      <c r="S960" s="51"/>
      <c r="T960" s="51"/>
      <c r="U960" s="51"/>
      <c r="V960" s="51"/>
      <c r="W960" s="51"/>
      <c r="X960" s="51"/>
      <c r="Y960" s="51"/>
      <c r="Z960" s="51"/>
      <c r="AA960" s="51"/>
    </row>
    <row r="961" spans="1:27" ht="13.65" customHeight="1" x14ac:dyDescent="0.3">
      <c r="A961" s="49"/>
      <c r="B961" s="57"/>
      <c r="C961" s="51"/>
      <c r="D961" s="51"/>
      <c r="E961" s="51"/>
      <c r="F961" s="51"/>
      <c r="G961" s="58"/>
      <c r="H961" s="51"/>
      <c r="I961" s="58"/>
      <c r="J961" s="51"/>
      <c r="K961" s="51"/>
      <c r="L961" s="51"/>
      <c r="M961" s="51"/>
      <c r="N961" s="51"/>
      <c r="O961" s="51"/>
      <c r="P961" s="51"/>
      <c r="Q961" s="51"/>
      <c r="R961" s="51"/>
      <c r="S961" s="51"/>
      <c r="T961" s="51"/>
      <c r="U961" s="51"/>
      <c r="V961" s="51"/>
      <c r="W961" s="51"/>
      <c r="X961" s="51"/>
      <c r="Y961" s="51"/>
      <c r="Z961" s="51"/>
      <c r="AA961" s="51"/>
    </row>
    <row r="962" spans="1:27" ht="13.65" customHeight="1" x14ac:dyDescent="0.3">
      <c r="A962" s="49"/>
      <c r="B962" s="57"/>
      <c r="C962" s="51"/>
      <c r="D962" s="51"/>
      <c r="E962" s="51"/>
      <c r="F962" s="51"/>
      <c r="G962" s="58"/>
      <c r="H962" s="51"/>
      <c r="I962" s="58"/>
      <c r="J962" s="51"/>
      <c r="K962" s="51"/>
      <c r="L962" s="51"/>
      <c r="M962" s="51"/>
      <c r="N962" s="51"/>
      <c r="O962" s="51"/>
      <c r="P962" s="51"/>
      <c r="Q962" s="51"/>
      <c r="R962" s="51"/>
      <c r="S962" s="51"/>
      <c r="T962" s="51"/>
      <c r="U962" s="51"/>
      <c r="V962" s="51"/>
      <c r="W962" s="51"/>
      <c r="X962" s="51"/>
      <c r="Y962" s="51"/>
      <c r="Z962" s="51"/>
      <c r="AA962" s="51"/>
    </row>
    <row r="963" spans="1:27" ht="13.65" customHeight="1" x14ac:dyDescent="0.3">
      <c r="A963" s="49"/>
      <c r="B963" s="57"/>
      <c r="C963" s="51"/>
      <c r="D963" s="51"/>
      <c r="E963" s="51"/>
      <c r="F963" s="51"/>
      <c r="G963" s="58"/>
      <c r="H963" s="51"/>
      <c r="I963" s="58"/>
      <c r="J963" s="51"/>
      <c r="K963" s="51"/>
      <c r="L963" s="51"/>
      <c r="M963" s="51"/>
      <c r="N963" s="51"/>
      <c r="O963" s="51"/>
      <c r="P963" s="51"/>
      <c r="Q963" s="51"/>
      <c r="R963" s="51"/>
      <c r="S963" s="51"/>
      <c r="T963" s="51"/>
      <c r="U963" s="51"/>
      <c r="V963" s="51"/>
      <c r="W963" s="51"/>
      <c r="X963" s="51"/>
      <c r="Y963" s="51"/>
      <c r="Z963" s="51"/>
      <c r="AA963" s="51"/>
    </row>
    <row r="964" spans="1:27" ht="13.65" customHeight="1" x14ac:dyDescent="0.3">
      <c r="A964" s="49"/>
      <c r="B964" s="57"/>
      <c r="C964" s="51"/>
      <c r="D964" s="51"/>
      <c r="E964" s="51"/>
      <c r="F964" s="51"/>
      <c r="G964" s="58"/>
      <c r="H964" s="51"/>
      <c r="I964" s="58"/>
      <c r="J964" s="51"/>
      <c r="K964" s="51"/>
      <c r="L964" s="51"/>
      <c r="M964" s="51"/>
      <c r="N964" s="51"/>
      <c r="O964" s="51"/>
      <c r="P964" s="51"/>
      <c r="Q964" s="51"/>
      <c r="R964" s="51"/>
      <c r="S964" s="51"/>
      <c r="T964" s="51"/>
      <c r="U964" s="51"/>
      <c r="V964" s="51"/>
      <c r="W964" s="51"/>
      <c r="X964" s="51"/>
      <c r="Y964" s="51"/>
      <c r="Z964" s="51"/>
      <c r="AA964" s="51"/>
    </row>
    <row r="965" spans="1:27" ht="13.65" customHeight="1" x14ac:dyDescent="0.3">
      <c r="A965" s="49"/>
      <c r="B965" s="57"/>
      <c r="C965" s="51"/>
      <c r="D965" s="51"/>
      <c r="E965" s="51"/>
      <c r="F965" s="51"/>
      <c r="G965" s="58"/>
      <c r="H965" s="51"/>
      <c r="I965" s="58"/>
      <c r="J965" s="51"/>
      <c r="K965" s="51"/>
      <c r="L965" s="51"/>
      <c r="M965" s="51"/>
      <c r="N965" s="51"/>
      <c r="O965" s="51"/>
      <c r="P965" s="51"/>
      <c r="Q965" s="51"/>
      <c r="R965" s="51"/>
      <c r="S965" s="51"/>
      <c r="T965" s="51"/>
      <c r="U965" s="51"/>
      <c r="V965" s="51"/>
      <c r="W965" s="51"/>
      <c r="X965" s="51"/>
      <c r="Y965" s="51"/>
      <c r="Z965" s="51"/>
      <c r="AA965" s="51"/>
    </row>
    <row r="966" spans="1:27" ht="13.65" customHeight="1" x14ac:dyDescent="0.3">
      <c r="A966" s="49"/>
      <c r="B966" s="57"/>
      <c r="C966" s="51"/>
      <c r="D966" s="51"/>
      <c r="E966" s="51"/>
      <c r="F966" s="51"/>
      <c r="G966" s="58"/>
      <c r="H966" s="51"/>
      <c r="I966" s="58"/>
      <c r="J966" s="51"/>
      <c r="K966" s="51"/>
      <c r="L966" s="51"/>
      <c r="M966" s="51"/>
      <c r="N966" s="51"/>
      <c r="O966" s="51"/>
      <c r="P966" s="51"/>
      <c r="Q966" s="51"/>
      <c r="R966" s="51"/>
      <c r="S966" s="51"/>
      <c r="T966" s="51"/>
      <c r="U966" s="51"/>
      <c r="V966" s="51"/>
      <c r="W966" s="51"/>
      <c r="X966" s="51"/>
      <c r="Y966" s="51"/>
      <c r="Z966" s="51"/>
      <c r="AA966" s="51"/>
    </row>
    <row r="967" spans="1:27" ht="13.65" customHeight="1" x14ac:dyDescent="0.3">
      <c r="A967" s="49"/>
      <c r="B967" s="57"/>
      <c r="C967" s="51"/>
      <c r="D967" s="51"/>
      <c r="E967" s="51"/>
      <c r="F967" s="51"/>
      <c r="G967" s="58"/>
      <c r="H967" s="51"/>
      <c r="I967" s="58"/>
      <c r="J967" s="51"/>
      <c r="K967" s="51"/>
      <c r="L967" s="51"/>
      <c r="M967" s="51"/>
      <c r="N967" s="51"/>
      <c r="O967" s="51"/>
      <c r="P967" s="51"/>
      <c r="Q967" s="51"/>
      <c r="R967" s="51"/>
      <c r="S967" s="51"/>
      <c r="T967" s="51"/>
      <c r="U967" s="51"/>
      <c r="V967" s="51"/>
      <c r="W967" s="51"/>
      <c r="X967" s="51"/>
      <c r="Y967" s="51"/>
      <c r="Z967" s="51"/>
      <c r="AA967" s="51"/>
    </row>
    <row r="968" spans="1:27" ht="13.65" customHeight="1" x14ac:dyDescent="0.3">
      <c r="A968" s="49"/>
      <c r="B968" s="57"/>
      <c r="C968" s="51"/>
      <c r="D968" s="51"/>
      <c r="E968" s="51"/>
      <c r="F968" s="51"/>
      <c r="G968" s="58"/>
      <c r="H968" s="51"/>
      <c r="I968" s="58"/>
      <c r="J968" s="51"/>
      <c r="K968" s="51"/>
      <c r="L968" s="51"/>
      <c r="M968" s="51"/>
      <c r="N968" s="51"/>
      <c r="O968" s="51"/>
      <c r="P968" s="51"/>
      <c r="Q968" s="51"/>
      <c r="R968" s="51"/>
      <c r="S968" s="51"/>
      <c r="T968" s="51"/>
      <c r="U968" s="51"/>
      <c r="V968" s="51"/>
      <c r="W968" s="51"/>
      <c r="X968" s="51"/>
      <c r="Y968" s="51"/>
      <c r="Z968" s="51"/>
      <c r="AA968" s="51"/>
    </row>
    <row r="969" spans="1:27" ht="13.65" customHeight="1" x14ac:dyDescent="0.3">
      <c r="A969" s="49"/>
      <c r="B969" s="57"/>
      <c r="C969" s="51"/>
      <c r="D969" s="51"/>
      <c r="E969" s="51"/>
      <c r="F969" s="51"/>
      <c r="G969" s="58"/>
      <c r="H969" s="51"/>
      <c r="I969" s="58"/>
      <c r="J969" s="51"/>
      <c r="K969" s="51"/>
      <c r="L969" s="51"/>
      <c r="M969" s="51"/>
      <c r="N969" s="51"/>
      <c r="O969" s="51"/>
      <c r="P969" s="51"/>
      <c r="Q969" s="51"/>
      <c r="R969" s="51"/>
      <c r="S969" s="51"/>
      <c r="T969" s="51"/>
      <c r="U969" s="51"/>
      <c r="V969" s="51"/>
      <c r="W969" s="51"/>
      <c r="X969" s="51"/>
      <c r="Y969" s="51"/>
      <c r="Z969" s="51"/>
      <c r="AA969" s="51"/>
    </row>
    <row r="970" spans="1:27" ht="13.65" customHeight="1" x14ac:dyDescent="0.3">
      <c r="A970" s="49"/>
      <c r="B970" s="57"/>
      <c r="C970" s="51"/>
      <c r="D970" s="51"/>
      <c r="E970" s="51"/>
      <c r="F970" s="51"/>
      <c r="G970" s="58"/>
      <c r="H970" s="51"/>
      <c r="I970" s="58"/>
      <c r="J970" s="51"/>
      <c r="K970" s="51"/>
      <c r="L970" s="51"/>
      <c r="M970" s="51"/>
      <c r="N970" s="51"/>
      <c r="O970" s="51"/>
      <c r="P970" s="51"/>
      <c r="Q970" s="51"/>
      <c r="R970" s="51"/>
      <c r="S970" s="51"/>
      <c r="T970" s="51"/>
      <c r="U970" s="51"/>
      <c r="V970" s="51"/>
      <c r="W970" s="51"/>
      <c r="X970" s="51"/>
      <c r="Y970" s="51"/>
      <c r="Z970" s="51"/>
      <c r="AA970" s="51"/>
    </row>
    <row r="971" spans="1:27" ht="13.65" customHeight="1" x14ac:dyDescent="0.3">
      <c r="A971" s="49"/>
      <c r="B971" s="57"/>
      <c r="C971" s="51"/>
      <c r="D971" s="51"/>
      <c r="E971" s="51"/>
      <c r="F971" s="51"/>
      <c r="G971" s="58"/>
      <c r="H971" s="51"/>
      <c r="I971" s="58"/>
      <c r="J971" s="51"/>
      <c r="K971" s="51"/>
      <c r="L971" s="51"/>
      <c r="M971" s="51"/>
      <c r="N971" s="51"/>
      <c r="O971" s="51"/>
      <c r="P971" s="51"/>
      <c r="Q971" s="51"/>
      <c r="R971" s="51"/>
      <c r="S971" s="51"/>
      <c r="T971" s="51"/>
      <c r="U971" s="51"/>
      <c r="V971" s="51"/>
      <c r="W971" s="51"/>
      <c r="X971" s="51"/>
      <c r="Y971" s="51"/>
      <c r="Z971" s="51"/>
      <c r="AA971" s="51"/>
    </row>
    <row r="972" spans="1:27" ht="13.65" customHeight="1" x14ac:dyDescent="0.3">
      <c r="A972" s="49"/>
      <c r="B972" s="57"/>
      <c r="C972" s="51"/>
      <c r="D972" s="51"/>
      <c r="E972" s="51"/>
      <c r="F972" s="51"/>
      <c r="G972" s="58"/>
      <c r="H972" s="51"/>
      <c r="I972" s="58"/>
      <c r="J972" s="51"/>
      <c r="K972" s="51"/>
      <c r="L972" s="51"/>
      <c r="M972" s="51"/>
      <c r="N972" s="51"/>
      <c r="O972" s="51"/>
      <c r="P972" s="51"/>
      <c r="Q972" s="51"/>
      <c r="R972" s="51"/>
      <c r="S972" s="51"/>
      <c r="T972" s="51"/>
      <c r="U972" s="51"/>
      <c r="V972" s="51"/>
      <c r="W972" s="51"/>
      <c r="X972" s="51"/>
      <c r="Y972" s="51"/>
      <c r="Z972" s="51"/>
      <c r="AA972" s="51"/>
    </row>
    <row r="973" spans="1:27" ht="13.65" customHeight="1" x14ac:dyDescent="0.3">
      <c r="A973" s="49"/>
      <c r="B973" s="57"/>
      <c r="C973" s="51"/>
      <c r="D973" s="51"/>
      <c r="E973" s="51"/>
      <c r="F973" s="51"/>
      <c r="G973" s="58"/>
      <c r="H973" s="51"/>
      <c r="I973" s="58"/>
      <c r="J973" s="51"/>
      <c r="K973" s="51"/>
      <c r="L973" s="51"/>
      <c r="M973" s="51"/>
      <c r="N973" s="51"/>
      <c r="O973" s="51"/>
      <c r="P973" s="51"/>
      <c r="Q973" s="51"/>
      <c r="R973" s="51"/>
      <c r="S973" s="51"/>
      <c r="T973" s="51"/>
      <c r="U973" s="51"/>
      <c r="V973" s="51"/>
      <c r="W973" s="51"/>
      <c r="X973" s="51"/>
      <c r="Y973" s="51"/>
      <c r="Z973" s="51"/>
      <c r="AA973" s="51"/>
    </row>
    <row r="974" spans="1:27" ht="13.65" customHeight="1" x14ac:dyDescent="0.3">
      <c r="A974" s="49"/>
      <c r="B974" s="57"/>
      <c r="C974" s="51"/>
      <c r="D974" s="51"/>
      <c r="E974" s="51"/>
      <c r="F974" s="51"/>
      <c r="G974" s="58"/>
      <c r="H974" s="51"/>
      <c r="I974" s="58"/>
      <c r="J974" s="51"/>
      <c r="K974" s="51"/>
      <c r="L974" s="51"/>
      <c r="M974" s="51"/>
      <c r="N974" s="51"/>
      <c r="O974" s="51"/>
      <c r="P974" s="51"/>
      <c r="Q974" s="51"/>
      <c r="R974" s="51"/>
      <c r="S974" s="51"/>
      <c r="T974" s="51"/>
      <c r="U974" s="51"/>
      <c r="V974" s="51"/>
      <c r="W974" s="51"/>
      <c r="X974" s="51"/>
      <c r="Y974" s="51"/>
      <c r="Z974" s="51"/>
      <c r="AA974" s="51"/>
    </row>
    <row r="975" spans="1:27" ht="13.65" customHeight="1" x14ac:dyDescent="0.3">
      <c r="A975" s="49"/>
      <c r="B975" s="57"/>
      <c r="C975" s="51"/>
      <c r="D975" s="51"/>
      <c r="E975" s="51"/>
      <c r="F975" s="51"/>
      <c r="G975" s="58"/>
      <c r="H975" s="51"/>
      <c r="I975" s="58"/>
      <c r="J975" s="51"/>
      <c r="K975" s="51"/>
      <c r="L975" s="51"/>
      <c r="M975" s="51"/>
      <c r="N975" s="51"/>
      <c r="O975" s="51"/>
      <c r="P975" s="51"/>
      <c r="Q975" s="51"/>
      <c r="R975" s="51"/>
      <c r="S975" s="51"/>
      <c r="T975" s="51"/>
      <c r="U975" s="51"/>
      <c r="V975" s="51"/>
      <c r="W975" s="51"/>
      <c r="X975" s="51"/>
      <c r="Y975" s="51"/>
      <c r="Z975" s="51"/>
      <c r="AA975" s="51"/>
    </row>
    <row r="976" spans="1:27" ht="13.65" customHeight="1" x14ac:dyDescent="0.3">
      <c r="A976" s="49"/>
      <c r="B976" s="57"/>
      <c r="C976" s="51"/>
      <c r="D976" s="51"/>
      <c r="E976" s="51"/>
      <c r="F976" s="51"/>
      <c r="G976" s="58"/>
      <c r="H976" s="51"/>
      <c r="I976" s="58"/>
      <c r="J976" s="51"/>
      <c r="K976" s="51"/>
      <c r="L976" s="51"/>
      <c r="M976" s="51"/>
      <c r="N976" s="51"/>
      <c r="O976" s="51"/>
      <c r="P976" s="51"/>
      <c r="Q976" s="51"/>
      <c r="R976" s="51"/>
      <c r="S976" s="51"/>
      <c r="T976" s="51"/>
      <c r="U976" s="51"/>
      <c r="V976" s="51"/>
      <c r="W976" s="51"/>
      <c r="X976" s="51"/>
      <c r="Y976" s="51"/>
      <c r="Z976" s="51"/>
      <c r="AA976" s="51"/>
    </row>
    <row r="977" spans="1:27" ht="13.65" customHeight="1" x14ac:dyDescent="0.3">
      <c r="A977" s="49"/>
      <c r="B977" s="57"/>
      <c r="C977" s="51"/>
      <c r="D977" s="51"/>
      <c r="E977" s="51"/>
      <c r="F977" s="51"/>
      <c r="G977" s="58"/>
      <c r="H977" s="51"/>
      <c r="I977" s="58"/>
      <c r="J977" s="51"/>
      <c r="K977" s="51"/>
      <c r="L977" s="51"/>
      <c r="M977" s="51"/>
      <c r="N977" s="51"/>
      <c r="O977" s="51"/>
      <c r="P977" s="51"/>
      <c r="Q977" s="51"/>
      <c r="R977" s="51"/>
      <c r="S977" s="51"/>
      <c r="T977" s="51"/>
      <c r="U977" s="51"/>
      <c r="V977" s="51"/>
      <c r="W977" s="51"/>
      <c r="X977" s="51"/>
      <c r="Y977" s="51"/>
      <c r="Z977" s="51"/>
      <c r="AA977" s="51"/>
    </row>
    <row r="978" spans="1:27" ht="13.65" customHeight="1" x14ac:dyDescent="0.3">
      <c r="A978" s="49"/>
      <c r="B978" s="57"/>
      <c r="C978" s="51"/>
      <c r="D978" s="51"/>
      <c r="E978" s="51"/>
      <c r="F978" s="51"/>
      <c r="G978" s="58"/>
      <c r="H978" s="51"/>
      <c r="I978" s="58"/>
      <c r="J978" s="51"/>
      <c r="K978" s="51"/>
      <c r="L978" s="51"/>
      <c r="M978" s="51"/>
      <c r="N978" s="51"/>
      <c r="O978" s="51"/>
      <c r="P978" s="51"/>
      <c r="Q978" s="51"/>
      <c r="R978" s="51"/>
      <c r="S978" s="51"/>
      <c r="T978" s="51"/>
      <c r="U978" s="51"/>
      <c r="V978" s="51"/>
      <c r="W978" s="51"/>
      <c r="X978" s="51"/>
      <c r="Y978" s="51"/>
      <c r="Z978" s="51"/>
      <c r="AA978" s="51"/>
    </row>
    <row r="979" spans="1:27" ht="13.65" customHeight="1" x14ac:dyDescent="0.3">
      <c r="A979" s="49"/>
      <c r="B979" s="57"/>
      <c r="C979" s="51"/>
      <c r="D979" s="51"/>
      <c r="E979" s="51"/>
      <c r="F979" s="51"/>
      <c r="G979" s="58"/>
      <c r="H979" s="51"/>
      <c r="I979" s="58"/>
      <c r="J979" s="51"/>
      <c r="K979" s="51"/>
      <c r="L979" s="51"/>
      <c r="M979" s="51"/>
      <c r="N979" s="51"/>
      <c r="O979" s="51"/>
      <c r="P979" s="51"/>
      <c r="Q979" s="51"/>
      <c r="R979" s="51"/>
      <c r="S979" s="51"/>
      <c r="T979" s="51"/>
      <c r="U979" s="51"/>
      <c r="V979" s="51"/>
      <c r="W979" s="51"/>
      <c r="X979" s="51"/>
      <c r="Y979" s="51"/>
      <c r="Z979" s="51"/>
      <c r="AA979" s="51"/>
    </row>
    <row r="980" spans="1:27" ht="13.65" customHeight="1" x14ac:dyDescent="0.3">
      <c r="A980" s="49"/>
      <c r="B980" s="57"/>
      <c r="C980" s="51"/>
      <c r="D980" s="51"/>
      <c r="E980" s="51"/>
      <c r="F980" s="51"/>
      <c r="G980" s="58"/>
      <c r="H980" s="51"/>
      <c r="I980" s="58"/>
      <c r="J980" s="51"/>
      <c r="K980" s="51"/>
      <c r="L980" s="51"/>
      <c r="M980" s="51"/>
      <c r="N980" s="51"/>
      <c r="O980" s="51"/>
      <c r="P980" s="51"/>
      <c r="Q980" s="51"/>
      <c r="R980" s="51"/>
      <c r="S980" s="51"/>
      <c r="T980" s="51"/>
      <c r="U980" s="51"/>
      <c r="V980" s="51"/>
      <c r="W980" s="51"/>
      <c r="X980" s="51"/>
      <c r="Y980" s="51"/>
      <c r="Z980" s="51"/>
      <c r="AA980" s="51"/>
    </row>
    <row r="981" spans="1:27" ht="13.65" customHeight="1" x14ac:dyDescent="0.3">
      <c r="A981" s="49"/>
      <c r="B981" s="57"/>
      <c r="C981" s="51"/>
      <c r="D981" s="51"/>
      <c r="E981" s="51"/>
      <c r="F981" s="51"/>
      <c r="G981" s="58"/>
      <c r="H981" s="51"/>
      <c r="I981" s="58"/>
      <c r="J981" s="51"/>
      <c r="K981" s="51"/>
      <c r="L981" s="51"/>
      <c r="M981" s="51"/>
      <c r="N981" s="51"/>
      <c r="O981" s="51"/>
      <c r="P981" s="51"/>
      <c r="Q981" s="51"/>
      <c r="R981" s="51"/>
      <c r="S981" s="51"/>
      <c r="T981" s="51"/>
      <c r="U981" s="51"/>
      <c r="V981" s="51"/>
      <c r="W981" s="51"/>
      <c r="X981" s="51"/>
      <c r="Y981" s="51"/>
      <c r="Z981" s="51"/>
      <c r="AA981" s="51"/>
    </row>
    <row r="982" spans="1:27" ht="13.65" customHeight="1" x14ac:dyDescent="0.3">
      <c r="A982" s="49"/>
      <c r="B982" s="57"/>
      <c r="C982" s="51"/>
      <c r="D982" s="51"/>
      <c r="E982" s="51"/>
      <c r="F982" s="51"/>
      <c r="G982" s="58"/>
      <c r="H982" s="51"/>
      <c r="I982" s="58"/>
      <c r="J982" s="51"/>
      <c r="K982" s="51"/>
      <c r="L982" s="51"/>
      <c r="M982" s="51"/>
      <c r="N982" s="51"/>
      <c r="O982" s="51"/>
      <c r="P982" s="51"/>
      <c r="Q982" s="51"/>
      <c r="R982" s="51"/>
      <c r="S982" s="51"/>
      <c r="T982" s="51"/>
      <c r="U982" s="51"/>
      <c r="V982" s="51"/>
      <c r="W982" s="51"/>
      <c r="X982" s="51"/>
      <c r="Y982" s="51"/>
      <c r="Z982" s="51"/>
      <c r="AA982" s="51"/>
    </row>
    <row r="983" spans="1:27" ht="13.65" customHeight="1" x14ac:dyDescent="0.3">
      <c r="A983" s="49"/>
      <c r="B983" s="57"/>
      <c r="C983" s="51"/>
      <c r="D983" s="51"/>
      <c r="E983" s="51"/>
      <c r="F983" s="51"/>
      <c r="G983" s="58"/>
      <c r="H983" s="51"/>
      <c r="I983" s="58"/>
      <c r="J983" s="51"/>
      <c r="K983" s="51"/>
      <c r="L983" s="51"/>
      <c r="M983" s="51"/>
      <c r="N983" s="51"/>
      <c r="O983" s="51"/>
      <c r="P983" s="51"/>
      <c r="Q983" s="51"/>
      <c r="R983" s="51"/>
      <c r="S983" s="51"/>
      <c r="T983" s="51"/>
      <c r="U983" s="51"/>
      <c r="V983" s="51"/>
      <c r="W983" s="51"/>
      <c r="X983" s="51"/>
      <c r="Y983" s="51"/>
      <c r="Z983" s="51"/>
      <c r="AA983" s="51"/>
    </row>
    <row r="984" spans="1:27" ht="13.65" customHeight="1" x14ac:dyDescent="0.3">
      <c r="A984" s="49"/>
      <c r="B984" s="57"/>
      <c r="C984" s="51"/>
      <c r="D984" s="51"/>
      <c r="E984" s="51"/>
      <c r="F984" s="51"/>
      <c r="G984" s="58"/>
      <c r="H984" s="51"/>
      <c r="I984" s="58"/>
      <c r="J984" s="51"/>
      <c r="K984" s="51"/>
      <c r="L984" s="51"/>
      <c r="M984" s="51"/>
      <c r="N984" s="51"/>
      <c r="O984" s="51"/>
      <c r="P984" s="51"/>
      <c r="Q984" s="51"/>
      <c r="R984" s="51"/>
      <c r="S984" s="51"/>
      <c r="T984" s="51"/>
      <c r="U984" s="51"/>
      <c r="V984" s="51"/>
      <c r="W984" s="51"/>
      <c r="X984" s="51"/>
      <c r="Y984" s="51"/>
      <c r="Z984" s="51"/>
      <c r="AA984" s="51"/>
    </row>
    <row r="985" spans="1:27" ht="13.65" customHeight="1" x14ac:dyDescent="0.3">
      <c r="A985" s="49"/>
      <c r="B985" s="57"/>
      <c r="C985" s="51"/>
      <c r="D985" s="51"/>
      <c r="E985" s="51"/>
      <c r="F985" s="51"/>
      <c r="G985" s="58"/>
      <c r="H985" s="51"/>
      <c r="I985" s="58"/>
      <c r="J985" s="51"/>
      <c r="K985" s="51"/>
      <c r="L985" s="51"/>
      <c r="M985" s="51"/>
      <c r="N985" s="51"/>
      <c r="O985" s="51"/>
      <c r="P985" s="51"/>
      <c r="Q985" s="51"/>
      <c r="R985" s="51"/>
      <c r="S985" s="51"/>
      <c r="T985" s="51"/>
      <c r="U985" s="51"/>
      <c r="V985" s="51"/>
      <c r="W985" s="51"/>
      <c r="X985" s="51"/>
      <c r="Y985" s="51"/>
      <c r="Z985" s="51"/>
      <c r="AA985" s="51"/>
    </row>
    <row r="986" spans="1:27" ht="13.65" customHeight="1" x14ac:dyDescent="0.3">
      <c r="A986" s="49"/>
      <c r="B986" s="57"/>
      <c r="C986" s="51"/>
      <c r="D986" s="51"/>
      <c r="E986" s="51"/>
      <c r="F986" s="51"/>
      <c r="G986" s="58"/>
      <c r="H986" s="51"/>
      <c r="I986" s="58"/>
      <c r="J986" s="51"/>
      <c r="K986" s="51"/>
      <c r="L986" s="51"/>
      <c r="M986" s="51"/>
      <c r="N986" s="51"/>
      <c r="O986" s="51"/>
      <c r="P986" s="51"/>
      <c r="Q986" s="51"/>
      <c r="R986" s="51"/>
      <c r="S986" s="51"/>
      <c r="T986" s="51"/>
      <c r="U986" s="51"/>
      <c r="V986" s="51"/>
      <c r="W986" s="51"/>
      <c r="X986" s="51"/>
      <c r="Y986" s="51"/>
      <c r="Z986" s="51"/>
      <c r="AA986" s="51"/>
    </row>
    <row r="987" spans="1:27" ht="13.65" customHeight="1" x14ac:dyDescent="0.3">
      <c r="A987" s="49"/>
      <c r="B987" s="57"/>
      <c r="C987" s="51"/>
      <c r="D987" s="51"/>
      <c r="E987" s="51"/>
      <c r="F987" s="51"/>
      <c r="G987" s="58"/>
      <c r="H987" s="51"/>
      <c r="I987" s="58"/>
      <c r="J987" s="51"/>
      <c r="K987" s="51"/>
      <c r="L987" s="51"/>
      <c r="M987" s="51"/>
      <c r="N987" s="51"/>
      <c r="O987" s="51"/>
      <c r="P987" s="51"/>
      <c r="Q987" s="51"/>
      <c r="R987" s="51"/>
      <c r="S987" s="51"/>
      <c r="T987" s="51"/>
      <c r="U987" s="51"/>
      <c r="V987" s="51"/>
      <c r="W987" s="51"/>
      <c r="X987" s="51"/>
      <c r="Y987" s="51"/>
      <c r="Z987" s="51"/>
      <c r="AA987" s="51"/>
    </row>
    <row r="988" spans="1:27" ht="13.65" customHeight="1" x14ac:dyDescent="0.3">
      <c r="A988" s="49"/>
      <c r="B988" s="57"/>
      <c r="C988" s="51"/>
      <c r="D988" s="51"/>
      <c r="E988" s="51"/>
      <c r="F988" s="51"/>
      <c r="G988" s="58"/>
      <c r="H988" s="51"/>
      <c r="I988" s="58"/>
      <c r="J988" s="51"/>
      <c r="K988" s="51"/>
      <c r="L988" s="51"/>
      <c r="M988" s="51"/>
      <c r="N988" s="51"/>
      <c r="O988" s="51"/>
      <c r="P988" s="51"/>
      <c r="Q988" s="51"/>
      <c r="R988" s="51"/>
      <c r="S988" s="51"/>
      <c r="T988" s="51"/>
      <c r="U988" s="51"/>
      <c r="V988" s="51"/>
      <c r="W988" s="51"/>
      <c r="X988" s="51"/>
      <c r="Y988" s="51"/>
      <c r="Z988" s="51"/>
      <c r="AA988" s="51"/>
    </row>
    <row r="989" spans="1:27" ht="13.65" customHeight="1" x14ac:dyDescent="0.3">
      <c r="A989" s="49"/>
      <c r="B989" s="57"/>
      <c r="C989" s="51"/>
      <c r="D989" s="51"/>
      <c r="E989" s="51"/>
      <c r="F989" s="51"/>
      <c r="G989" s="58"/>
      <c r="H989" s="51"/>
      <c r="I989" s="58"/>
      <c r="J989" s="51"/>
      <c r="K989" s="51"/>
      <c r="L989" s="51"/>
      <c r="M989" s="51"/>
      <c r="N989" s="51"/>
      <c r="O989" s="51"/>
      <c r="P989" s="51"/>
      <c r="Q989" s="51"/>
      <c r="R989" s="51"/>
      <c r="S989" s="51"/>
      <c r="T989" s="51"/>
      <c r="U989" s="51"/>
      <c r="V989" s="51"/>
      <c r="W989" s="51"/>
      <c r="X989" s="51"/>
      <c r="Y989" s="51"/>
      <c r="Z989" s="51"/>
      <c r="AA989" s="51"/>
    </row>
    <row r="990" spans="1:27" ht="13.65" customHeight="1" x14ac:dyDescent="0.3">
      <c r="A990" s="49"/>
      <c r="B990" s="57"/>
      <c r="C990" s="51"/>
      <c r="D990" s="51"/>
      <c r="E990" s="51"/>
      <c r="F990" s="51"/>
      <c r="G990" s="58"/>
      <c r="H990" s="51"/>
      <c r="I990" s="58"/>
      <c r="J990" s="51"/>
      <c r="K990" s="51"/>
      <c r="L990" s="51"/>
      <c r="M990" s="51"/>
      <c r="N990" s="51"/>
      <c r="O990" s="51"/>
      <c r="P990" s="51"/>
      <c r="Q990" s="51"/>
      <c r="R990" s="51"/>
      <c r="S990" s="51"/>
      <c r="T990" s="51"/>
      <c r="U990" s="51"/>
      <c r="V990" s="51"/>
      <c r="W990" s="51"/>
      <c r="X990" s="51"/>
      <c r="Y990" s="51"/>
      <c r="Z990" s="51"/>
      <c r="AA990" s="51"/>
    </row>
    <row r="991" spans="1:27" ht="13.65" customHeight="1" x14ac:dyDescent="0.3">
      <c r="A991" s="49"/>
      <c r="B991" s="57"/>
      <c r="C991" s="51"/>
      <c r="D991" s="51"/>
      <c r="E991" s="51"/>
      <c r="F991" s="51"/>
      <c r="G991" s="58"/>
      <c r="H991" s="51"/>
      <c r="I991" s="58"/>
      <c r="J991" s="51"/>
      <c r="K991" s="51"/>
      <c r="L991" s="51"/>
      <c r="M991" s="51"/>
      <c r="N991" s="51"/>
      <c r="O991" s="51"/>
      <c r="P991" s="51"/>
      <c r="Q991" s="51"/>
      <c r="R991" s="51"/>
      <c r="S991" s="51"/>
      <c r="T991" s="51"/>
      <c r="U991" s="51"/>
      <c r="V991" s="51"/>
      <c r="W991" s="51"/>
      <c r="X991" s="51"/>
      <c r="Y991" s="51"/>
      <c r="Z991" s="51"/>
      <c r="AA991" s="51"/>
    </row>
    <row r="992" spans="1:27" ht="13.65" customHeight="1" x14ac:dyDescent="0.3">
      <c r="A992" s="49"/>
      <c r="B992" s="57"/>
      <c r="C992" s="51"/>
      <c r="D992" s="51"/>
      <c r="E992" s="51"/>
      <c r="F992" s="51"/>
      <c r="G992" s="58"/>
      <c r="H992" s="51"/>
      <c r="I992" s="58"/>
      <c r="J992" s="51"/>
      <c r="K992" s="51"/>
      <c r="L992" s="51"/>
      <c r="M992" s="51"/>
      <c r="N992" s="51"/>
      <c r="O992" s="51"/>
      <c r="P992" s="51"/>
      <c r="Q992" s="51"/>
      <c r="R992" s="51"/>
      <c r="S992" s="51"/>
      <c r="T992" s="51"/>
      <c r="U992" s="51"/>
      <c r="V992" s="51"/>
      <c r="W992" s="51"/>
      <c r="X992" s="51"/>
      <c r="Y992" s="51"/>
      <c r="Z992" s="51"/>
      <c r="AA992" s="51"/>
    </row>
    <row r="993" spans="1:27" ht="13.65" customHeight="1" x14ac:dyDescent="0.3">
      <c r="A993" s="49"/>
      <c r="B993" s="57"/>
      <c r="C993" s="51"/>
      <c r="D993" s="51"/>
      <c r="E993" s="51"/>
      <c r="F993" s="51"/>
      <c r="G993" s="58"/>
      <c r="H993" s="51"/>
      <c r="I993" s="58"/>
      <c r="J993" s="51"/>
      <c r="K993" s="51"/>
      <c r="L993" s="51"/>
      <c r="M993" s="51"/>
      <c r="N993" s="51"/>
      <c r="O993" s="51"/>
      <c r="P993" s="51"/>
      <c r="Q993" s="51"/>
      <c r="R993" s="51"/>
      <c r="S993" s="51"/>
      <c r="T993" s="51"/>
      <c r="U993" s="51"/>
      <c r="V993" s="51"/>
      <c r="W993" s="51"/>
      <c r="X993" s="51"/>
      <c r="Y993" s="51"/>
      <c r="Z993" s="51"/>
      <c r="AA993" s="51"/>
    </row>
  </sheetData>
  <mergeCells count="30">
    <mergeCell ref="B1:I3"/>
    <mergeCell ref="C57:G57"/>
    <mergeCell ref="C29:D29"/>
    <mergeCell ref="C30:D30"/>
    <mergeCell ref="C31:D31"/>
    <mergeCell ref="C33:D33"/>
    <mergeCell ref="C34:D34"/>
    <mergeCell ref="C35:D35"/>
    <mergeCell ref="C38:E38"/>
    <mergeCell ref="C39:E39"/>
    <mergeCell ref="B7:C7"/>
    <mergeCell ref="E7:I7"/>
    <mergeCell ref="C54:G54"/>
    <mergeCell ref="C55:G55"/>
    <mergeCell ref="C56:G56"/>
    <mergeCell ref="C26:D26"/>
    <mergeCell ref="B60:F60"/>
    <mergeCell ref="B61:F61"/>
    <mergeCell ref="B62:F62"/>
    <mergeCell ref="B4:I4"/>
    <mergeCell ref="B5:I5"/>
    <mergeCell ref="B6:C6"/>
    <mergeCell ref="E6:F6"/>
    <mergeCell ref="C27:D27"/>
    <mergeCell ref="C28:D28"/>
    <mergeCell ref="C9:E9"/>
    <mergeCell ref="C22:D22"/>
    <mergeCell ref="C23:D23"/>
    <mergeCell ref="C24:D24"/>
    <mergeCell ref="C25:D25"/>
  </mergeCells>
  <pageMargins left="0.7" right="0.7" top="1.3149999999999999" bottom="0.75" header="0" footer="0"/>
  <pageSetup paperSize="9" scale="6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Z1000"/>
  <sheetViews>
    <sheetView view="pageBreakPreview" zoomScale="90" zoomScaleNormal="100" zoomScaleSheetLayoutView="90" workbookViewId="0">
      <selection activeCell="I13" sqref="I13"/>
    </sheetView>
  </sheetViews>
  <sheetFormatPr baseColWidth="10" defaultColWidth="14.44140625" defaultRowHeight="15.75" customHeight="1" x14ac:dyDescent="0.3"/>
  <cols>
    <col min="1" max="1" width="3" customWidth="1"/>
    <col min="2" max="2" width="35.88671875" customWidth="1"/>
    <col min="3" max="3" width="21.88671875" customWidth="1"/>
    <col min="4" max="5" width="25.88671875" customWidth="1"/>
    <col min="6" max="6" width="15.109375" customWidth="1"/>
    <col min="7" max="7" width="38.5546875" customWidth="1"/>
    <col min="8" max="8" width="21.88671875" customWidth="1"/>
    <col min="9" max="9" width="21.33203125" customWidth="1"/>
    <col min="10" max="26" width="11.44140625" customWidth="1"/>
  </cols>
  <sheetData>
    <row r="1" spans="1:26" ht="23.25" customHeight="1" x14ac:dyDescent="0.3">
      <c r="A1" s="2"/>
      <c r="B1" s="1118" t="s">
        <v>83</v>
      </c>
      <c r="C1" s="1096"/>
      <c r="D1" s="1096"/>
      <c r="E1" s="1097"/>
      <c r="F1" s="111"/>
      <c r="G1" s="3"/>
      <c r="H1" s="3"/>
      <c r="I1" s="3"/>
      <c r="J1" s="2"/>
      <c r="K1" s="2"/>
      <c r="L1" s="2"/>
      <c r="M1" s="2"/>
      <c r="N1" s="2"/>
      <c r="O1" s="2"/>
      <c r="P1" s="2"/>
      <c r="Q1" s="2"/>
      <c r="R1" s="2"/>
      <c r="S1" s="2"/>
      <c r="T1" s="2"/>
      <c r="U1" s="2"/>
      <c r="V1" s="2"/>
      <c r="W1" s="2"/>
      <c r="X1" s="2"/>
      <c r="Y1" s="2"/>
      <c r="Z1" s="2"/>
    </row>
    <row r="2" spans="1:26" ht="69" customHeight="1" x14ac:dyDescent="0.3">
      <c r="A2" s="2"/>
      <c r="B2" s="1119"/>
      <c r="C2" s="112" t="s">
        <v>9</v>
      </c>
      <c r="D2" s="1122" t="s">
        <v>1002</v>
      </c>
      <c r="E2" s="1097"/>
      <c r="F2" s="111"/>
      <c r="G2" s="3"/>
      <c r="H2" s="3"/>
      <c r="I2" s="3"/>
      <c r="J2" s="2"/>
      <c r="K2" s="2"/>
      <c r="L2" s="2"/>
      <c r="M2" s="2"/>
      <c r="N2" s="2"/>
      <c r="O2" s="2"/>
      <c r="P2" s="2"/>
      <c r="Q2" s="2"/>
      <c r="R2" s="2"/>
      <c r="S2" s="2"/>
      <c r="T2" s="2"/>
      <c r="U2" s="2"/>
      <c r="V2" s="2"/>
      <c r="W2" s="2"/>
      <c r="X2" s="2"/>
      <c r="Y2" s="2"/>
      <c r="Z2" s="2"/>
    </row>
    <row r="3" spans="1:26" ht="14.4" x14ac:dyDescent="0.3">
      <c r="A3" s="2"/>
      <c r="B3" s="1120"/>
      <c r="C3" s="112" t="s">
        <v>10</v>
      </c>
      <c r="D3" s="1123" t="str">
        <f>+RESUMEN!C6</f>
        <v>HUILA</v>
      </c>
      <c r="E3" s="1097"/>
      <c r="F3" s="109"/>
      <c r="G3" s="3"/>
      <c r="H3" s="3"/>
      <c r="I3" s="3"/>
      <c r="J3" s="2"/>
      <c r="K3" s="2"/>
      <c r="L3" s="2"/>
      <c r="M3" s="2"/>
      <c r="N3" s="2"/>
      <c r="O3" s="2"/>
      <c r="P3" s="2"/>
      <c r="Q3" s="2"/>
      <c r="R3" s="2"/>
      <c r="S3" s="2"/>
      <c r="T3" s="2"/>
      <c r="U3" s="2"/>
      <c r="V3" s="2"/>
      <c r="W3" s="2"/>
      <c r="X3" s="2"/>
      <c r="Y3" s="2"/>
      <c r="Z3" s="2"/>
    </row>
    <row r="4" spans="1:26" ht="14.4" x14ac:dyDescent="0.3">
      <c r="A4" s="2"/>
      <c r="B4" s="1120"/>
      <c r="C4" s="112" t="s">
        <v>11</v>
      </c>
      <c r="D4" s="1123" t="str">
        <f>+RESUMEN!C7</f>
        <v>NEIVA</v>
      </c>
      <c r="E4" s="1097"/>
      <c r="F4" s="109"/>
      <c r="G4" s="3"/>
      <c r="H4" s="3"/>
      <c r="I4" s="3"/>
      <c r="J4" s="2"/>
      <c r="K4" s="2"/>
      <c r="L4" s="2"/>
      <c r="M4" s="2"/>
      <c r="N4" s="2"/>
      <c r="O4" s="2"/>
      <c r="P4" s="2"/>
      <c r="Q4" s="2"/>
      <c r="R4" s="2"/>
      <c r="S4" s="2"/>
      <c r="T4" s="2"/>
      <c r="U4" s="2"/>
      <c r="V4" s="2"/>
      <c r="W4" s="2"/>
      <c r="X4" s="2"/>
      <c r="Y4" s="2"/>
      <c r="Z4" s="2"/>
    </row>
    <row r="5" spans="1:26" ht="14.4" x14ac:dyDescent="0.3">
      <c r="A5" s="2"/>
      <c r="B5" s="1120"/>
      <c r="C5" s="112" t="s">
        <v>12</v>
      </c>
      <c r="D5" s="1124">
        <f>+RESUMEN!C8</f>
        <v>46122</v>
      </c>
      <c r="E5" s="1097"/>
      <c r="F5" s="113"/>
      <c r="G5" s="3"/>
      <c r="H5" s="3"/>
      <c r="I5" s="3"/>
      <c r="J5" s="2"/>
      <c r="K5" s="2"/>
      <c r="L5" s="2"/>
      <c r="M5" s="2"/>
      <c r="N5" s="2"/>
      <c r="O5" s="2"/>
      <c r="P5" s="2"/>
      <c r="Q5" s="2"/>
      <c r="R5" s="2"/>
      <c r="S5" s="2"/>
      <c r="T5" s="2"/>
      <c r="U5" s="2"/>
      <c r="V5" s="2"/>
      <c r="W5" s="2"/>
      <c r="X5" s="2"/>
      <c r="Y5" s="2"/>
      <c r="Z5" s="2"/>
    </row>
    <row r="6" spans="1:26" ht="14.4" x14ac:dyDescent="0.3">
      <c r="A6" s="2"/>
      <c r="B6" s="1121"/>
      <c r="C6" s="112" t="s">
        <v>13</v>
      </c>
      <c r="D6" s="1123" t="str">
        <f>+RESUMEN!C9</f>
        <v>UNIVERSIDAD NACIONAL DE COLOMBIA SEDE MANIZALES</v>
      </c>
      <c r="E6" s="1097"/>
      <c r="F6" s="109"/>
      <c r="G6" s="114"/>
      <c r="H6" s="3"/>
      <c r="I6" s="3"/>
      <c r="J6" s="2"/>
      <c r="K6" s="2"/>
      <c r="L6" s="2"/>
      <c r="M6" s="2"/>
      <c r="N6" s="2"/>
      <c r="O6" s="2"/>
      <c r="P6" s="2"/>
      <c r="Q6" s="2"/>
      <c r="R6" s="2"/>
      <c r="S6" s="2"/>
      <c r="T6" s="2"/>
      <c r="U6" s="2"/>
      <c r="V6" s="2"/>
      <c r="W6" s="2"/>
      <c r="X6" s="2"/>
      <c r="Y6" s="2"/>
      <c r="Z6" s="2"/>
    </row>
    <row r="7" spans="1:26" ht="14.4" x14ac:dyDescent="0.3">
      <c r="A7" s="2"/>
      <c r="B7" s="1125" t="s">
        <v>84</v>
      </c>
      <c r="C7" s="1096"/>
      <c r="D7" s="1096"/>
      <c r="E7" s="1097"/>
      <c r="F7" s="2"/>
      <c r="G7" s="115"/>
      <c r="H7" s="3"/>
      <c r="I7" s="3"/>
      <c r="J7" s="2"/>
      <c r="K7" s="2"/>
      <c r="L7" s="2"/>
      <c r="M7" s="2"/>
      <c r="N7" s="2"/>
      <c r="O7" s="2"/>
      <c r="P7" s="2"/>
      <c r="Q7" s="2"/>
      <c r="R7" s="2"/>
      <c r="S7" s="2"/>
      <c r="T7" s="2"/>
      <c r="U7" s="2"/>
      <c r="V7" s="2"/>
      <c r="W7" s="2"/>
      <c r="X7" s="2"/>
      <c r="Y7" s="2"/>
      <c r="Z7" s="2"/>
    </row>
    <row r="8" spans="1:26" ht="14.4" x14ac:dyDescent="0.3">
      <c r="A8" s="2"/>
      <c r="B8" s="1125" t="s">
        <v>897</v>
      </c>
      <c r="C8" s="1096"/>
      <c r="D8" s="1096"/>
      <c r="E8" s="1097"/>
      <c r="F8" s="2"/>
      <c r="G8" s="3"/>
      <c r="H8" s="3"/>
      <c r="I8" s="3"/>
      <c r="J8" s="2"/>
      <c r="K8" s="2"/>
      <c r="L8" s="2"/>
      <c r="M8" s="2"/>
      <c r="N8" s="2"/>
      <c r="O8" s="2"/>
      <c r="P8" s="2"/>
      <c r="Q8" s="2"/>
      <c r="R8" s="2"/>
      <c r="S8" s="2"/>
      <c r="T8" s="2"/>
      <c r="U8" s="2"/>
      <c r="V8" s="2"/>
      <c r="W8" s="2"/>
      <c r="X8" s="2"/>
      <c r="Y8" s="2"/>
      <c r="Z8" s="2"/>
    </row>
    <row r="9" spans="1:26" ht="14.4" x14ac:dyDescent="0.3">
      <c r="A9" s="2"/>
      <c r="B9" s="110">
        <v>1</v>
      </c>
      <c r="C9" s="116" t="s">
        <v>85</v>
      </c>
      <c r="D9" s="1126" t="s">
        <v>86</v>
      </c>
      <c r="E9" s="1097"/>
      <c r="F9" s="2"/>
      <c r="G9" s="3"/>
      <c r="H9" s="3"/>
      <c r="I9" s="3"/>
      <c r="J9" s="2"/>
      <c r="K9" s="2"/>
      <c r="L9" s="2"/>
      <c r="M9" s="2"/>
      <c r="N9" s="2"/>
      <c r="O9" s="2"/>
      <c r="P9" s="2"/>
      <c r="Q9" s="2"/>
      <c r="R9" s="2"/>
      <c r="S9" s="2"/>
      <c r="T9" s="2"/>
      <c r="U9" s="2"/>
      <c r="V9" s="2"/>
      <c r="W9" s="2"/>
      <c r="X9" s="2"/>
      <c r="Y9" s="2"/>
      <c r="Z9" s="2"/>
    </row>
    <row r="10" spans="1:26" ht="14.4" x14ac:dyDescent="0.3">
      <c r="A10" s="2"/>
      <c r="B10" s="1125" t="s">
        <v>87</v>
      </c>
      <c r="C10" s="1097"/>
      <c r="D10" s="110" t="s">
        <v>88</v>
      </c>
      <c r="E10" s="110" t="s">
        <v>89</v>
      </c>
      <c r="F10" s="2"/>
      <c r="G10" s="3"/>
      <c r="H10" s="3"/>
      <c r="I10" s="3"/>
      <c r="J10" s="2"/>
      <c r="K10" s="2"/>
      <c r="L10" s="2"/>
      <c r="M10" s="2"/>
      <c r="N10" s="2"/>
      <c r="O10" s="2"/>
      <c r="P10" s="2"/>
      <c r="Q10" s="2"/>
      <c r="R10" s="2"/>
      <c r="S10" s="2"/>
      <c r="T10" s="2"/>
      <c r="U10" s="2"/>
      <c r="V10" s="2"/>
      <c r="W10" s="2"/>
      <c r="X10" s="2"/>
      <c r="Y10" s="2"/>
      <c r="Z10" s="2"/>
    </row>
    <row r="11" spans="1:26" ht="14.4" x14ac:dyDescent="0.3">
      <c r="A11" s="2"/>
      <c r="B11" s="1125" t="s">
        <v>22</v>
      </c>
      <c r="C11" s="1097"/>
      <c r="D11" s="117">
        <v>1750905</v>
      </c>
      <c r="E11" s="118">
        <f>+(SMIN/30)*360</f>
        <v>21010860</v>
      </c>
      <c r="F11" s="2"/>
      <c r="G11" s="119"/>
      <c r="H11" s="120"/>
      <c r="I11" s="3"/>
      <c r="J11" s="2"/>
      <c r="K11" s="2"/>
      <c r="L11" s="2"/>
      <c r="M11" s="2"/>
      <c r="N11" s="2"/>
      <c r="O11" s="2"/>
      <c r="P11" s="2"/>
      <c r="Q11" s="2"/>
      <c r="R11" s="2"/>
      <c r="S11" s="2"/>
      <c r="T11" s="2"/>
      <c r="U11" s="2"/>
      <c r="V11" s="2"/>
      <c r="W11" s="2"/>
      <c r="X11" s="2"/>
      <c r="Y11" s="2"/>
      <c r="Z11" s="2"/>
    </row>
    <row r="12" spans="1:26" ht="14.4" x14ac:dyDescent="0.3">
      <c r="A12" s="2"/>
      <c r="B12" s="1125" t="s">
        <v>90</v>
      </c>
      <c r="C12" s="1097"/>
      <c r="D12" s="117">
        <v>249095</v>
      </c>
      <c r="E12" s="118">
        <f>+(D12/30)*360</f>
        <v>2989140</v>
      </c>
      <c r="F12" s="2"/>
      <c r="G12" s="119"/>
      <c r="H12" s="120"/>
      <c r="I12" s="159"/>
      <c r="J12" s="2"/>
      <c r="K12" s="2"/>
      <c r="L12" s="2"/>
      <c r="M12" s="2"/>
      <c r="N12" s="2"/>
      <c r="O12" s="2"/>
      <c r="P12" s="2"/>
      <c r="Q12" s="2"/>
      <c r="R12" s="2"/>
      <c r="S12" s="2"/>
      <c r="T12" s="2"/>
      <c r="U12" s="2"/>
      <c r="V12" s="2"/>
      <c r="W12" s="2"/>
      <c r="X12" s="2"/>
      <c r="Y12" s="2"/>
      <c r="Z12" s="2"/>
    </row>
    <row r="13" spans="1:26" ht="14.4" x14ac:dyDescent="0.3">
      <c r="A13" s="2"/>
      <c r="B13" s="1127" t="s">
        <v>91</v>
      </c>
      <c r="C13" s="1097"/>
      <c r="D13" s="121">
        <f>+SMIN+D12</f>
        <v>2000000</v>
      </c>
      <c r="E13" s="121">
        <f>+E11+E12</f>
        <v>24000000</v>
      </c>
      <c r="F13" s="2"/>
      <c r="G13" s="122"/>
      <c r="H13" s="3"/>
      <c r="I13" s="3"/>
      <c r="J13" s="2"/>
      <c r="K13" s="2"/>
      <c r="L13" s="2"/>
      <c r="M13" s="2"/>
      <c r="N13" s="2"/>
      <c r="O13" s="2"/>
      <c r="P13" s="2"/>
      <c r="Q13" s="2"/>
      <c r="R13" s="2"/>
      <c r="S13" s="2"/>
      <c r="T13" s="2"/>
      <c r="U13" s="2"/>
      <c r="V13" s="2"/>
      <c r="W13" s="2"/>
      <c r="X13" s="2"/>
      <c r="Y13" s="2"/>
      <c r="Z13" s="2"/>
    </row>
    <row r="14" spans="1:26" ht="14.4" x14ac:dyDescent="0.3">
      <c r="A14" s="2"/>
      <c r="B14" s="116"/>
      <c r="C14" s="116"/>
      <c r="D14" s="118"/>
      <c r="E14" s="118"/>
      <c r="F14" s="2"/>
      <c r="G14" s="3"/>
      <c r="H14" s="3"/>
      <c r="I14" s="3"/>
      <c r="J14" s="2"/>
      <c r="K14" s="2"/>
      <c r="L14" s="2"/>
      <c r="M14" s="2"/>
      <c r="N14" s="2"/>
      <c r="O14" s="2"/>
      <c r="P14" s="2"/>
      <c r="Q14" s="2"/>
      <c r="R14" s="2"/>
      <c r="S14" s="2"/>
      <c r="T14" s="2"/>
      <c r="U14" s="2"/>
      <c r="V14" s="2"/>
      <c r="W14" s="2"/>
      <c r="X14" s="2"/>
      <c r="Y14" s="2"/>
      <c r="Z14" s="2"/>
    </row>
    <row r="15" spans="1:26" ht="14.4" x14ac:dyDescent="0.3">
      <c r="A15" s="2"/>
      <c r="B15" s="1127" t="s">
        <v>92</v>
      </c>
      <c r="C15" s="1097"/>
      <c r="D15" s="121">
        <f>SUM(D16:D18)</f>
        <v>480799</v>
      </c>
      <c r="E15" s="121">
        <f>+D15*12</f>
        <v>5769588</v>
      </c>
      <c r="F15" s="2"/>
      <c r="G15" s="122"/>
      <c r="H15" s="3"/>
      <c r="I15" s="3"/>
      <c r="J15" s="2"/>
      <c r="K15" s="2"/>
      <c r="L15" s="2"/>
      <c r="M15" s="2"/>
      <c r="N15" s="2"/>
      <c r="O15" s="2"/>
      <c r="P15" s="2"/>
      <c r="Q15" s="2"/>
      <c r="R15" s="2"/>
      <c r="S15" s="2"/>
      <c r="T15" s="2"/>
      <c r="U15" s="2"/>
      <c r="V15" s="2"/>
      <c r="W15" s="2"/>
      <c r="X15" s="2"/>
      <c r="Y15" s="2"/>
      <c r="Z15" s="2"/>
    </row>
    <row r="16" spans="1:26" ht="14.4" x14ac:dyDescent="0.3">
      <c r="A16" s="2"/>
      <c r="B16" s="1125" t="s">
        <v>93</v>
      </c>
      <c r="C16" s="1097"/>
      <c r="D16" s="118">
        <f>+ROUND(SMIN*8.5%,0)</f>
        <v>148827</v>
      </c>
      <c r="E16" s="1128"/>
      <c r="F16" s="2"/>
      <c r="G16" s="3"/>
      <c r="H16" s="3"/>
      <c r="I16" s="3"/>
      <c r="J16" s="2"/>
      <c r="K16" s="2"/>
      <c r="L16" s="2"/>
      <c r="M16" s="2"/>
      <c r="N16" s="2"/>
      <c r="O16" s="2"/>
      <c r="P16" s="2"/>
      <c r="Q16" s="2"/>
      <c r="R16" s="2"/>
      <c r="S16" s="2"/>
      <c r="T16" s="2"/>
      <c r="U16" s="2"/>
      <c r="V16" s="2"/>
      <c r="W16" s="2"/>
      <c r="X16" s="2"/>
      <c r="Y16" s="2"/>
      <c r="Z16" s="2"/>
    </row>
    <row r="17" spans="1:26" ht="14.4" x14ac:dyDescent="0.3">
      <c r="A17" s="2"/>
      <c r="B17" s="1125" t="s">
        <v>94</v>
      </c>
      <c r="C17" s="1097"/>
      <c r="D17" s="118">
        <f>+ROUND(SMIN*12%,0)</f>
        <v>210109</v>
      </c>
      <c r="E17" s="1120"/>
      <c r="F17" s="2"/>
      <c r="G17" s="122"/>
      <c r="H17" s="3"/>
      <c r="I17" s="3"/>
      <c r="J17" s="2"/>
      <c r="K17" s="2"/>
      <c r="L17" s="2"/>
      <c r="M17" s="2"/>
      <c r="N17" s="2"/>
      <c r="O17" s="2"/>
      <c r="P17" s="2"/>
      <c r="Q17" s="2"/>
      <c r="R17" s="2"/>
      <c r="S17" s="2"/>
      <c r="T17" s="2"/>
      <c r="U17" s="2"/>
      <c r="V17" s="2"/>
      <c r="W17" s="2"/>
      <c r="X17" s="2"/>
      <c r="Y17" s="2"/>
      <c r="Z17" s="2"/>
    </row>
    <row r="18" spans="1:26" ht="14.4" x14ac:dyDescent="0.3">
      <c r="A18" s="2"/>
      <c r="B18" s="1125" t="s">
        <v>95</v>
      </c>
      <c r="C18" s="1097"/>
      <c r="D18" s="118">
        <f>+ROUND(SMIN*6.96%,0)</f>
        <v>121863</v>
      </c>
      <c r="E18" s="1121"/>
      <c r="F18" s="2"/>
      <c r="G18" s="122"/>
      <c r="H18" s="3"/>
      <c r="I18" s="3"/>
      <c r="J18" s="2"/>
      <c r="K18" s="2"/>
      <c r="L18" s="2"/>
      <c r="M18" s="2"/>
      <c r="N18" s="2"/>
      <c r="O18" s="2"/>
      <c r="P18" s="2"/>
      <c r="Q18" s="2"/>
      <c r="R18" s="2"/>
      <c r="S18" s="2"/>
      <c r="T18" s="2"/>
      <c r="U18" s="2"/>
      <c r="V18" s="2"/>
      <c r="W18" s="2"/>
      <c r="X18" s="2"/>
      <c r="Y18" s="2"/>
      <c r="Z18" s="2"/>
    </row>
    <row r="19" spans="1:26" ht="14.4" x14ac:dyDescent="0.3">
      <c r="A19" s="2"/>
      <c r="B19" s="116"/>
      <c r="C19" s="116"/>
      <c r="D19" s="118"/>
      <c r="E19" s="118"/>
      <c r="F19" s="2"/>
      <c r="G19" s="3"/>
      <c r="H19" s="3"/>
      <c r="I19" s="3"/>
      <c r="J19" s="2"/>
      <c r="K19" s="2"/>
      <c r="L19" s="2"/>
      <c r="M19" s="2"/>
      <c r="N19" s="2"/>
      <c r="O19" s="2"/>
      <c r="P19" s="2"/>
      <c r="Q19" s="2"/>
      <c r="R19" s="2"/>
      <c r="S19" s="2"/>
      <c r="T19" s="2"/>
      <c r="U19" s="2"/>
      <c r="V19" s="2"/>
      <c r="W19" s="2"/>
      <c r="X19" s="2"/>
      <c r="Y19" s="2"/>
      <c r="Z19" s="2"/>
    </row>
    <row r="20" spans="1:26" ht="14.4" x14ac:dyDescent="0.3">
      <c r="A20" s="2"/>
      <c r="B20" s="1127" t="s">
        <v>96</v>
      </c>
      <c r="C20" s="1097"/>
      <c r="D20" s="121">
        <f>SUM(D21:D24)</f>
        <v>201354</v>
      </c>
      <c r="E20" s="121">
        <f>+D20*12</f>
        <v>2416248</v>
      </c>
      <c r="F20" s="2"/>
      <c r="G20" s="122"/>
      <c r="H20" s="3"/>
      <c r="I20" s="3"/>
      <c r="J20" s="2"/>
      <c r="K20" s="2"/>
      <c r="L20" s="2"/>
      <c r="M20" s="2"/>
      <c r="N20" s="2"/>
      <c r="O20" s="2"/>
      <c r="P20" s="2"/>
      <c r="Q20" s="2"/>
      <c r="R20" s="2"/>
      <c r="S20" s="2"/>
      <c r="T20" s="2"/>
      <c r="U20" s="2"/>
      <c r="V20" s="2"/>
      <c r="W20" s="2"/>
      <c r="X20" s="2"/>
      <c r="Y20" s="2"/>
      <c r="Z20" s="2"/>
    </row>
    <row r="21" spans="1:26" ht="14.4" x14ac:dyDescent="0.3">
      <c r="A21" s="2"/>
      <c r="B21" s="1125" t="s">
        <v>97</v>
      </c>
      <c r="C21" s="1097"/>
      <c r="D21" s="118">
        <f>+ROUND(SMIN*4%,0)</f>
        <v>70036</v>
      </c>
      <c r="E21" s="1128"/>
      <c r="F21" s="2"/>
      <c r="G21" s="122"/>
      <c r="H21" s="3"/>
      <c r="I21" s="3"/>
      <c r="J21" s="2"/>
      <c r="K21" s="2"/>
      <c r="L21" s="2"/>
      <c r="M21" s="2"/>
      <c r="N21" s="2"/>
      <c r="O21" s="2"/>
      <c r="P21" s="2"/>
      <c r="Q21" s="2"/>
      <c r="R21" s="2"/>
      <c r="S21" s="2"/>
      <c r="T21" s="2"/>
      <c r="U21" s="2"/>
      <c r="V21" s="2"/>
      <c r="W21" s="2"/>
      <c r="X21" s="2"/>
      <c r="Y21" s="2"/>
      <c r="Z21" s="2"/>
    </row>
    <row r="22" spans="1:26" ht="14.4" x14ac:dyDescent="0.3">
      <c r="A22" s="2"/>
      <c r="B22" s="1125" t="s">
        <v>98</v>
      </c>
      <c r="C22" s="1097"/>
      <c r="D22" s="118">
        <f>+ROUND(SMIN*3%,0)</f>
        <v>52527</v>
      </c>
      <c r="E22" s="1120"/>
      <c r="F22" s="2"/>
      <c r="G22" s="3"/>
      <c r="H22" s="3"/>
      <c r="I22" s="3"/>
      <c r="J22" s="2"/>
      <c r="K22" s="2"/>
      <c r="L22" s="2"/>
      <c r="M22" s="2"/>
      <c r="N22" s="2"/>
      <c r="O22" s="2"/>
      <c r="P22" s="2"/>
      <c r="Q22" s="2"/>
      <c r="R22" s="2"/>
      <c r="S22" s="2"/>
      <c r="T22" s="2"/>
      <c r="U22" s="2"/>
      <c r="V22" s="2"/>
      <c r="W22" s="2"/>
      <c r="X22" s="2"/>
      <c r="Y22" s="2"/>
      <c r="Z22" s="2"/>
    </row>
    <row r="23" spans="1:26" ht="14.4" x14ac:dyDescent="0.3">
      <c r="A23" s="2"/>
      <c r="B23" s="1125" t="s">
        <v>99</v>
      </c>
      <c r="C23" s="1097"/>
      <c r="D23" s="118">
        <f>+ROUND(SMIN*2%,0)</f>
        <v>35018</v>
      </c>
      <c r="E23" s="1120"/>
      <c r="F23" s="2"/>
      <c r="G23" s="123"/>
      <c r="H23" s="3"/>
      <c r="I23" s="3"/>
      <c r="J23" s="2"/>
      <c r="K23" s="2"/>
      <c r="L23" s="2"/>
      <c r="M23" s="2"/>
      <c r="N23" s="2"/>
      <c r="O23" s="2"/>
      <c r="P23" s="2"/>
      <c r="Q23" s="2"/>
      <c r="R23" s="2"/>
      <c r="S23" s="2"/>
      <c r="T23" s="2"/>
      <c r="U23" s="2"/>
      <c r="V23" s="2"/>
      <c r="W23" s="2"/>
      <c r="X23" s="2"/>
      <c r="Y23" s="2"/>
      <c r="Z23" s="2"/>
    </row>
    <row r="24" spans="1:26" ht="14.4" x14ac:dyDescent="0.3">
      <c r="A24" s="2"/>
      <c r="B24" s="1125" t="s">
        <v>100</v>
      </c>
      <c r="C24" s="1097"/>
      <c r="D24" s="118">
        <f>+ROUND(SMIN/40,0)</f>
        <v>43773</v>
      </c>
      <c r="E24" s="1121"/>
      <c r="F24" s="2"/>
      <c r="G24" s="122"/>
      <c r="H24" s="3"/>
      <c r="I24" s="3"/>
      <c r="J24" s="2"/>
      <c r="K24" s="2"/>
      <c r="L24" s="2"/>
      <c r="M24" s="2"/>
      <c r="N24" s="2"/>
      <c r="O24" s="2"/>
      <c r="P24" s="2"/>
      <c r="Q24" s="2"/>
      <c r="R24" s="2"/>
      <c r="S24" s="2"/>
      <c r="T24" s="2"/>
      <c r="U24" s="2"/>
      <c r="V24" s="2"/>
      <c r="W24" s="2"/>
      <c r="X24" s="2"/>
      <c r="Y24" s="2"/>
      <c r="Z24" s="2"/>
    </row>
    <row r="25" spans="1:26" ht="14.4" x14ac:dyDescent="0.3">
      <c r="A25" s="2"/>
      <c r="B25" s="116"/>
      <c r="C25" s="116"/>
      <c r="D25" s="118"/>
      <c r="E25" s="118"/>
      <c r="F25" s="2"/>
      <c r="G25" s="3"/>
      <c r="H25" s="3"/>
      <c r="I25" s="3"/>
      <c r="J25" s="2"/>
      <c r="K25" s="2"/>
      <c r="L25" s="2"/>
      <c r="M25" s="2"/>
      <c r="N25" s="2"/>
      <c r="O25" s="2"/>
      <c r="P25" s="2"/>
      <c r="Q25" s="2"/>
      <c r="R25" s="2"/>
      <c r="S25" s="2"/>
      <c r="T25" s="2"/>
      <c r="U25" s="2"/>
      <c r="V25" s="2"/>
      <c r="W25" s="2"/>
      <c r="X25" s="2"/>
      <c r="Y25" s="2"/>
      <c r="Z25" s="2"/>
    </row>
    <row r="26" spans="1:26" ht="14.4" x14ac:dyDescent="0.3">
      <c r="A26" s="2"/>
      <c r="B26" s="1127" t="s">
        <v>101</v>
      </c>
      <c r="C26" s="1097"/>
      <c r="D26" s="121">
        <f>SUM(D27:D30)</f>
        <v>426205</v>
      </c>
      <c r="E26" s="121">
        <f>+D26*12</f>
        <v>5114460</v>
      </c>
      <c r="F26" s="2"/>
      <c r="G26" s="119"/>
      <c r="H26" s="124"/>
      <c r="I26" s="124"/>
      <c r="J26" s="2"/>
      <c r="K26" s="2"/>
      <c r="L26" s="2"/>
      <c r="M26" s="2"/>
      <c r="N26" s="2"/>
      <c r="O26" s="2"/>
      <c r="P26" s="2"/>
      <c r="Q26" s="2"/>
      <c r="R26" s="2"/>
      <c r="S26" s="2"/>
      <c r="T26" s="2"/>
      <c r="U26" s="2"/>
      <c r="V26" s="2"/>
      <c r="W26" s="2"/>
      <c r="X26" s="2"/>
      <c r="Y26" s="2"/>
      <c r="Z26" s="2"/>
    </row>
    <row r="27" spans="1:26" ht="14.4" x14ac:dyDescent="0.3">
      <c r="A27" s="2"/>
      <c r="B27" s="1125" t="s">
        <v>102</v>
      </c>
      <c r="C27" s="1097"/>
      <c r="D27" s="118">
        <f>+ROUND(SMT*8.33%,0)</f>
        <v>166600</v>
      </c>
      <c r="E27" s="1128"/>
      <c r="F27" s="3"/>
      <c r="G27" s="119"/>
      <c r="H27" s="124"/>
      <c r="I27" s="3"/>
      <c r="J27" s="2"/>
      <c r="K27" s="2"/>
      <c r="L27" s="2"/>
      <c r="M27" s="2"/>
      <c r="N27" s="2"/>
      <c r="O27" s="2"/>
      <c r="P27" s="2"/>
      <c r="Q27" s="2"/>
      <c r="R27" s="2"/>
      <c r="S27" s="2"/>
      <c r="T27" s="2"/>
      <c r="U27" s="2"/>
      <c r="V27" s="2"/>
      <c r="W27" s="2"/>
      <c r="X27" s="2"/>
      <c r="Y27" s="2"/>
      <c r="Z27" s="2"/>
    </row>
    <row r="28" spans="1:26" ht="14.4" x14ac:dyDescent="0.3">
      <c r="A28" s="2"/>
      <c r="B28" s="1125" t="s">
        <v>103</v>
      </c>
      <c r="C28" s="1097"/>
      <c r="D28" s="118">
        <f>+ROUND(SMT*8.33%,0)</f>
        <v>166600</v>
      </c>
      <c r="E28" s="1120"/>
      <c r="F28" s="3"/>
      <c r="G28" s="119"/>
      <c r="H28" s="124"/>
      <c r="I28" s="3"/>
      <c r="J28" s="2"/>
      <c r="K28" s="2"/>
      <c r="L28" s="2"/>
      <c r="M28" s="2"/>
      <c r="N28" s="2"/>
      <c r="O28" s="2"/>
      <c r="P28" s="2"/>
      <c r="Q28" s="2"/>
      <c r="R28" s="2"/>
      <c r="S28" s="2"/>
      <c r="T28" s="2"/>
      <c r="U28" s="2"/>
      <c r="V28" s="2"/>
      <c r="W28" s="2"/>
      <c r="X28" s="2"/>
      <c r="Y28" s="2"/>
      <c r="Z28" s="2"/>
    </row>
    <row r="29" spans="1:26" ht="14.4" x14ac:dyDescent="0.3">
      <c r="A29" s="2"/>
      <c r="B29" s="1125" t="s">
        <v>104</v>
      </c>
      <c r="C29" s="1097"/>
      <c r="D29" s="118">
        <f>+ROUND(D28*12%,0)</f>
        <v>19992</v>
      </c>
      <c r="E29" s="1120"/>
      <c r="F29" s="2"/>
      <c r="G29" s="119"/>
      <c r="H29" s="124"/>
      <c r="I29" s="3"/>
      <c r="J29" s="2"/>
      <c r="K29" s="2"/>
      <c r="L29" s="2"/>
      <c r="M29" s="2"/>
      <c r="N29" s="2"/>
      <c r="O29" s="2"/>
      <c r="P29" s="2"/>
      <c r="Q29" s="2"/>
      <c r="R29" s="2"/>
      <c r="S29" s="2"/>
      <c r="T29" s="2"/>
      <c r="U29" s="2"/>
      <c r="V29" s="2"/>
      <c r="W29" s="2"/>
      <c r="X29" s="2"/>
      <c r="Y29" s="2"/>
      <c r="Z29" s="2"/>
    </row>
    <row r="30" spans="1:26" ht="14.4" x14ac:dyDescent="0.3">
      <c r="A30" s="2"/>
      <c r="B30" s="1125" t="s">
        <v>105</v>
      </c>
      <c r="C30" s="1097"/>
      <c r="D30" s="118">
        <f>+ROUND(SMIN*4.17%,0)</f>
        <v>73013</v>
      </c>
      <c r="E30" s="1121"/>
      <c r="F30" s="125"/>
      <c r="G30" s="122"/>
      <c r="H30" s="124"/>
      <c r="I30" s="3"/>
      <c r="J30" s="2"/>
      <c r="K30" s="2"/>
      <c r="L30" s="2"/>
      <c r="M30" s="2"/>
      <c r="N30" s="2"/>
      <c r="O30" s="2"/>
      <c r="P30" s="2"/>
      <c r="Q30" s="2"/>
      <c r="R30" s="2"/>
      <c r="S30" s="2"/>
      <c r="T30" s="2"/>
      <c r="U30" s="2"/>
      <c r="V30" s="2"/>
      <c r="W30" s="2"/>
      <c r="X30" s="2"/>
      <c r="Y30" s="2"/>
      <c r="Z30" s="2"/>
    </row>
    <row r="31" spans="1:26" ht="14.4" x14ac:dyDescent="0.3">
      <c r="A31" s="2"/>
      <c r="B31" s="116"/>
      <c r="C31" s="116"/>
      <c r="D31" s="118"/>
      <c r="E31" s="118"/>
      <c r="F31" s="2"/>
      <c r="G31" s="3"/>
      <c r="H31" s="3"/>
      <c r="I31" s="3"/>
      <c r="J31" s="2"/>
      <c r="K31" s="2"/>
      <c r="L31" s="2"/>
      <c r="M31" s="2"/>
      <c r="N31" s="2"/>
      <c r="O31" s="2"/>
      <c r="P31" s="2"/>
      <c r="Q31" s="2"/>
      <c r="R31" s="2"/>
      <c r="S31" s="2"/>
      <c r="T31" s="2"/>
      <c r="U31" s="2"/>
      <c r="V31" s="2"/>
      <c r="W31" s="2"/>
      <c r="X31" s="2"/>
      <c r="Y31" s="2"/>
      <c r="Z31" s="2"/>
    </row>
    <row r="32" spans="1:26" ht="14.4" x14ac:dyDescent="0.3">
      <c r="A32" s="2"/>
      <c r="B32" s="1127" t="s">
        <v>106</v>
      </c>
      <c r="C32" s="1097"/>
      <c r="D32" s="121">
        <f>SUM(D33)</f>
        <v>87545</v>
      </c>
      <c r="E32" s="121">
        <f>+D32*12</f>
        <v>1050540</v>
      </c>
      <c r="F32" s="2"/>
      <c r="G32" s="122"/>
      <c r="H32" s="3"/>
      <c r="I32" s="3"/>
      <c r="J32" s="2"/>
      <c r="K32" s="2"/>
      <c r="L32" s="2"/>
      <c r="M32" s="2"/>
      <c r="N32" s="2"/>
      <c r="O32" s="2"/>
      <c r="P32" s="2"/>
      <c r="Q32" s="2"/>
      <c r="R32" s="2"/>
      <c r="S32" s="2"/>
      <c r="T32" s="2"/>
      <c r="U32" s="2"/>
      <c r="V32" s="2"/>
      <c r="W32" s="2"/>
      <c r="X32" s="2"/>
      <c r="Y32" s="2"/>
      <c r="Z32" s="2"/>
    </row>
    <row r="33" spans="1:26" ht="14.4" x14ac:dyDescent="0.3">
      <c r="A33" s="2"/>
      <c r="B33" s="1125" t="s">
        <v>107</v>
      </c>
      <c r="C33" s="1097"/>
      <c r="D33" s="118">
        <f>ROUND(SMIN*5%,0)</f>
        <v>87545</v>
      </c>
      <c r="E33" s="118"/>
      <c r="F33" s="2"/>
      <c r="G33" s="124"/>
      <c r="H33" s="3"/>
      <c r="I33" s="3"/>
      <c r="J33" s="2"/>
      <c r="K33" s="2"/>
      <c r="L33" s="2"/>
      <c r="M33" s="2"/>
      <c r="N33" s="2"/>
      <c r="O33" s="2"/>
      <c r="P33" s="2"/>
      <c r="Q33" s="2"/>
      <c r="R33" s="2"/>
      <c r="S33" s="2"/>
      <c r="T33" s="2"/>
      <c r="U33" s="2"/>
      <c r="V33" s="2"/>
      <c r="W33" s="2"/>
      <c r="X33" s="2"/>
      <c r="Y33" s="2"/>
      <c r="Z33" s="2"/>
    </row>
    <row r="34" spans="1:26" ht="14.4" x14ac:dyDescent="0.3">
      <c r="A34" s="2"/>
      <c r="B34" s="116"/>
      <c r="C34" s="116"/>
      <c r="D34" s="116"/>
      <c r="E34" s="116"/>
      <c r="F34" s="2"/>
      <c r="G34" s="3"/>
      <c r="H34" s="3"/>
      <c r="I34" s="3"/>
      <c r="J34" s="2"/>
      <c r="K34" s="2"/>
      <c r="L34" s="2"/>
      <c r="M34" s="2"/>
      <c r="N34" s="2"/>
      <c r="O34" s="2"/>
      <c r="P34" s="2"/>
      <c r="Q34" s="2"/>
      <c r="R34" s="2"/>
      <c r="S34" s="2"/>
      <c r="T34" s="2"/>
      <c r="U34" s="2"/>
      <c r="V34" s="2"/>
      <c r="W34" s="2"/>
      <c r="X34" s="2"/>
      <c r="Y34" s="2"/>
      <c r="Z34" s="2"/>
    </row>
    <row r="35" spans="1:26" ht="14.4" x14ac:dyDescent="0.3">
      <c r="A35" s="2"/>
      <c r="B35" s="1125" t="s">
        <v>108</v>
      </c>
      <c r="C35" s="1096"/>
      <c r="D35" s="1097"/>
      <c r="E35" s="126">
        <f>SUM(E13:E34)</f>
        <v>38350836</v>
      </c>
      <c r="F35" s="2"/>
      <c r="G35" s="119"/>
      <c r="H35" s="124"/>
      <c r="I35" s="3"/>
      <c r="J35" s="2"/>
      <c r="K35" s="2"/>
      <c r="L35" s="2"/>
      <c r="M35" s="2"/>
      <c r="N35" s="2"/>
      <c r="O35" s="2"/>
      <c r="P35" s="2"/>
      <c r="Q35" s="2"/>
      <c r="R35" s="2"/>
      <c r="S35" s="2"/>
      <c r="T35" s="2"/>
      <c r="U35" s="2"/>
      <c r="V35" s="2"/>
      <c r="W35" s="2"/>
      <c r="X35" s="2"/>
      <c r="Y35" s="2"/>
      <c r="Z35" s="2"/>
    </row>
    <row r="36" spans="1:26" ht="14.4" x14ac:dyDescent="0.3">
      <c r="A36" s="2"/>
      <c r="B36" s="1125" t="s">
        <v>109</v>
      </c>
      <c r="C36" s="1096"/>
      <c r="D36" s="1097"/>
      <c r="E36" s="118">
        <f>+ROUND(E35/E46,0)</f>
        <v>131338</v>
      </c>
      <c r="F36" s="2"/>
      <c r="G36" s="122"/>
      <c r="H36" s="124"/>
      <c r="I36" s="3"/>
      <c r="J36" s="2"/>
      <c r="K36" s="2"/>
      <c r="L36" s="2"/>
      <c r="M36" s="2"/>
      <c r="N36" s="2"/>
      <c r="O36" s="2"/>
      <c r="P36" s="2"/>
      <c r="Q36" s="2"/>
      <c r="R36" s="2"/>
      <c r="S36" s="2"/>
      <c r="T36" s="2"/>
      <c r="U36" s="2"/>
      <c r="V36" s="2"/>
      <c r="W36" s="2"/>
      <c r="X36" s="2"/>
      <c r="Y36" s="2"/>
      <c r="Z36" s="2"/>
    </row>
    <row r="37" spans="1:26" ht="14.4" x14ac:dyDescent="0.3">
      <c r="A37" s="2"/>
      <c r="B37" s="1125" t="s">
        <v>110</v>
      </c>
      <c r="C37" s="1096"/>
      <c r="D37" s="1097"/>
      <c r="E37" s="118">
        <f>+E36/8</f>
        <v>16417.25</v>
      </c>
      <c r="F37" s="2"/>
      <c r="G37" s="3"/>
      <c r="H37" s="124"/>
      <c r="I37" s="3"/>
      <c r="J37" s="2"/>
      <c r="K37" s="2"/>
      <c r="L37" s="2"/>
      <c r="M37" s="2"/>
      <c r="N37" s="2"/>
      <c r="O37" s="2"/>
      <c r="P37" s="2"/>
      <c r="Q37" s="2"/>
      <c r="R37" s="2"/>
      <c r="S37" s="2"/>
      <c r="T37" s="2"/>
      <c r="U37" s="2"/>
      <c r="V37" s="2"/>
      <c r="W37" s="2"/>
      <c r="X37" s="2"/>
      <c r="Y37" s="2"/>
      <c r="Z37" s="2"/>
    </row>
    <row r="38" spans="1:26" ht="14.4" x14ac:dyDescent="0.3">
      <c r="A38" s="2"/>
      <c r="B38" s="1125" t="s">
        <v>111</v>
      </c>
      <c r="C38" s="1096"/>
      <c r="D38" s="1097"/>
      <c r="E38" s="118">
        <f>+ROUND(SMT/30,0)</f>
        <v>66667</v>
      </c>
      <c r="F38" s="3"/>
      <c r="G38" s="119"/>
      <c r="H38" s="124"/>
      <c r="I38" s="3"/>
      <c r="J38" s="2"/>
      <c r="K38" s="2"/>
      <c r="L38" s="2"/>
      <c r="M38" s="2"/>
      <c r="N38" s="2"/>
      <c r="O38" s="2"/>
      <c r="P38" s="2"/>
      <c r="Q38" s="2"/>
      <c r="R38" s="2"/>
      <c r="S38" s="2"/>
      <c r="T38" s="2"/>
      <c r="U38" s="2"/>
      <c r="V38" s="2"/>
      <c r="W38" s="2"/>
      <c r="X38" s="2"/>
      <c r="Y38" s="2"/>
      <c r="Z38" s="2"/>
    </row>
    <row r="39" spans="1:26" ht="14.4" x14ac:dyDescent="0.3">
      <c r="A39" s="2"/>
      <c r="B39" s="1125" t="s">
        <v>64</v>
      </c>
      <c r="C39" s="1096"/>
      <c r="D39" s="1097"/>
      <c r="E39" s="127">
        <f>+ROUND(E36/E38,4)</f>
        <v>1.9701</v>
      </c>
      <c r="F39" s="128"/>
      <c r="G39" s="119"/>
      <c r="H39" s="129"/>
      <c r="I39" s="3"/>
      <c r="J39" s="2"/>
      <c r="K39" s="2"/>
      <c r="L39" s="2"/>
      <c r="M39" s="2"/>
      <c r="N39" s="2"/>
      <c r="O39" s="2"/>
      <c r="P39" s="2"/>
      <c r="Q39" s="2"/>
      <c r="R39" s="2"/>
      <c r="S39" s="2"/>
      <c r="T39" s="2"/>
      <c r="U39" s="2"/>
      <c r="V39" s="2"/>
      <c r="W39" s="2"/>
      <c r="X39" s="2"/>
      <c r="Y39" s="2"/>
      <c r="Z39" s="2"/>
    </row>
    <row r="40" spans="1:26" ht="14.25" customHeight="1" x14ac:dyDescent="0.3">
      <c r="A40" s="2"/>
      <c r="B40" s="130"/>
      <c r="C40" s="131"/>
      <c r="D40" s="116" t="s">
        <v>112</v>
      </c>
      <c r="E40" s="127">
        <f>+ROUND(E39-1,2)</f>
        <v>0.97</v>
      </c>
      <c r="F40" s="2"/>
      <c r="G40" s="119"/>
      <c r="H40" s="132"/>
      <c r="I40" s="3"/>
      <c r="J40" s="2"/>
      <c r="K40" s="2"/>
      <c r="L40" s="2"/>
      <c r="M40" s="2"/>
      <c r="N40" s="2"/>
      <c r="O40" s="2"/>
      <c r="P40" s="2"/>
      <c r="Q40" s="2"/>
      <c r="R40" s="2"/>
      <c r="S40" s="2"/>
      <c r="T40" s="2"/>
      <c r="U40" s="2"/>
      <c r="V40" s="2"/>
      <c r="W40" s="2"/>
      <c r="X40" s="2"/>
      <c r="Y40" s="2"/>
      <c r="Z40" s="2"/>
    </row>
    <row r="41" spans="1:26" ht="14.25" customHeight="1" x14ac:dyDescent="0.3">
      <c r="A41" s="2"/>
      <c r="B41" s="3"/>
      <c r="C41" s="133"/>
      <c r="D41" s="116" t="s">
        <v>113</v>
      </c>
      <c r="E41" s="116">
        <v>360</v>
      </c>
      <c r="F41" s="2"/>
      <c r="G41" s="3"/>
      <c r="H41" s="3"/>
      <c r="I41" s="3"/>
      <c r="J41" s="2"/>
      <c r="K41" s="2"/>
      <c r="L41" s="2"/>
      <c r="M41" s="2"/>
      <c r="N41" s="2"/>
      <c r="O41" s="2"/>
      <c r="P41" s="2"/>
      <c r="Q41" s="2"/>
      <c r="R41" s="2"/>
      <c r="S41" s="2"/>
      <c r="T41" s="2"/>
      <c r="U41" s="2"/>
      <c r="V41" s="2"/>
      <c r="W41" s="2"/>
      <c r="X41" s="2"/>
      <c r="Y41" s="2"/>
      <c r="Z41" s="2"/>
    </row>
    <row r="42" spans="1:26" ht="14.25" customHeight="1" x14ac:dyDescent="0.3">
      <c r="A42" s="2"/>
      <c r="B42" s="3"/>
      <c r="C42" s="133"/>
      <c r="D42" s="116" t="s">
        <v>114</v>
      </c>
      <c r="E42" s="116">
        <f>+E43+E44+E45</f>
        <v>68</v>
      </c>
      <c r="F42" s="2"/>
      <c r="G42" s="3"/>
      <c r="H42" s="3"/>
      <c r="I42" s="3"/>
      <c r="J42" s="2"/>
      <c r="K42" s="2"/>
      <c r="L42" s="2"/>
      <c r="M42" s="2"/>
      <c r="N42" s="2"/>
      <c r="O42" s="2"/>
      <c r="P42" s="2"/>
      <c r="Q42" s="2"/>
      <c r="R42" s="2"/>
      <c r="S42" s="2"/>
      <c r="T42" s="2"/>
      <c r="U42" s="2"/>
      <c r="V42" s="2"/>
      <c r="W42" s="2"/>
      <c r="X42" s="2"/>
      <c r="Y42" s="2"/>
      <c r="Z42" s="2"/>
    </row>
    <row r="43" spans="1:26" ht="14.25" customHeight="1" x14ac:dyDescent="0.3">
      <c r="A43" s="2"/>
      <c r="B43" s="3"/>
      <c r="C43" s="133"/>
      <c r="D43" s="116" t="s">
        <v>115</v>
      </c>
      <c r="E43" s="116">
        <v>52</v>
      </c>
      <c r="F43" s="2"/>
      <c r="G43" s="3"/>
      <c r="H43" s="3"/>
      <c r="I43" s="3"/>
      <c r="J43" s="2"/>
      <c r="K43" s="2"/>
      <c r="L43" s="2"/>
      <c r="M43" s="2"/>
      <c r="N43" s="2"/>
      <c r="O43" s="2"/>
      <c r="P43" s="2"/>
      <c r="Q43" s="2"/>
      <c r="R43" s="2"/>
      <c r="S43" s="2"/>
      <c r="T43" s="2"/>
      <c r="U43" s="2"/>
      <c r="V43" s="2"/>
      <c r="W43" s="2"/>
      <c r="X43" s="2"/>
      <c r="Y43" s="2"/>
      <c r="Z43" s="2"/>
    </row>
    <row r="44" spans="1:26" ht="14.25" customHeight="1" x14ac:dyDescent="0.3">
      <c r="A44" s="2"/>
      <c r="B44" s="3"/>
      <c r="C44" s="133"/>
      <c r="D44" s="116" t="s">
        <v>116</v>
      </c>
      <c r="E44" s="116">
        <v>16</v>
      </c>
      <c r="F44" s="2"/>
      <c r="G44" s="3"/>
      <c r="H44" s="3"/>
      <c r="I44" s="3"/>
      <c r="J44" s="2"/>
      <c r="K44" s="2"/>
      <c r="L44" s="2"/>
      <c r="M44" s="2"/>
      <c r="N44" s="2"/>
      <c r="O44" s="2"/>
      <c r="P44" s="2"/>
      <c r="Q44" s="2"/>
      <c r="R44" s="2"/>
      <c r="S44" s="2"/>
      <c r="T44" s="2"/>
      <c r="U44" s="2"/>
      <c r="V44" s="2"/>
      <c r="W44" s="2"/>
      <c r="X44" s="2"/>
      <c r="Y44" s="2"/>
      <c r="Z44" s="2"/>
    </row>
    <row r="45" spans="1:26" ht="14.25" customHeight="1" x14ac:dyDescent="0.3">
      <c r="A45" s="2"/>
      <c r="B45" s="3"/>
      <c r="C45" s="133"/>
      <c r="D45" s="116" t="s">
        <v>117</v>
      </c>
      <c r="E45" s="134"/>
      <c r="F45" s="2"/>
      <c r="G45" s="3"/>
      <c r="H45" s="3"/>
      <c r="I45" s="3"/>
      <c r="J45" s="2"/>
      <c r="K45" s="2"/>
      <c r="L45" s="2"/>
      <c r="M45" s="2"/>
      <c r="N45" s="2"/>
      <c r="O45" s="2"/>
      <c r="P45" s="2"/>
      <c r="Q45" s="2"/>
      <c r="R45" s="2"/>
      <c r="S45" s="2"/>
      <c r="T45" s="2"/>
      <c r="U45" s="2"/>
      <c r="V45" s="2"/>
      <c r="W45" s="2"/>
      <c r="X45" s="2"/>
      <c r="Y45" s="2"/>
      <c r="Z45" s="2"/>
    </row>
    <row r="46" spans="1:26" ht="14.25" customHeight="1" x14ac:dyDescent="0.3">
      <c r="A46" s="2"/>
      <c r="B46" s="3"/>
      <c r="C46" s="133"/>
      <c r="D46" s="116" t="s">
        <v>118</v>
      </c>
      <c r="E46" s="116">
        <f>E41-E42</f>
        <v>292</v>
      </c>
      <c r="F46" s="2"/>
      <c r="G46" s="3"/>
      <c r="H46" s="3"/>
      <c r="I46" s="3"/>
      <c r="J46" s="2"/>
      <c r="K46" s="2"/>
      <c r="L46" s="2"/>
      <c r="M46" s="2"/>
      <c r="N46" s="2"/>
      <c r="O46" s="2"/>
      <c r="P46" s="2"/>
      <c r="Q46" s="2"/>
      <c r="R46" s="2"/>
      <c r="S46" s="2"/>
      <c r="T46" s="2"/>
      <c r="U46" s="2"/>
      <c r="V46" s="2"/>
      <c r="W46" s="2"/>
      <c r="X46" s="2"/>
      <c r="Y46" s="2"/>
      <c r="Z46" s="2"/>
    </row>
    <row r="47" spans="1:26" ht="14.25" customHeight="1" x14ac:dyDescent="0.3">
      <c r="A47" s="2"/>
      <c r="B47" s="1116" t="s">
        <v>1005</v>
      </c>
      <c r="C47" s="1116"/>
      <c r="D47" s="1116"/>
      <c r="E47" s="1116"/>
      <c r="F47" s="1116"/>
      <c r="G47" s="3"/>
      <c r="H47" s="3"/>
      <c r="I47" s="3"/>
      <c r="J47" s="2"/>
      <c r="K47" s="2"/>
      <c r="L47" s="2"/>
      <c r="M47" s="2"/>
      <c r="N47" s="2"/>
      <c r="O47" s="2"/>
      <c r="P47" s="2"/>
      <c r="Q47" s="2"/>
      <c r="R47" s="2"/>
      <c r="S47" s="2"/>
      <c r="T47" s="2"/>
      <c r="U47" s="2"/>
      <c r="V47" s="2"/>
      <c r="W47" s="2"/>
      <c r="X47" s="2"/>
      <c r="Y47" s="2"/>
      <c r="Z47" s="2"/>
    </row>
    <row r="48" spans="1:26" ht="14.25" customHeight="1" x14ac:dyDescent="0.3">
      <c r="A48" s="2"/>
      <c r="B48" s="1117" t="s">
        <v>1010</v>
      </c>
      <c r="C48" s="1117"/>
      <c r="D48" s="1117"/>
      <c r="E48" s="1117"/>
      <c r="F48" s="1117"/>
      <c r="G48" s="3"/>
      <c r="H48" s="3"/>
      <c r="I48" s="3"/>
      <c r="J48" s="2"/>
      <c r="K48" s="2"/>
      <c r="L48" s="2"/>
      <c r="M48" s="2"/>
      <c r="N48" s="2"/>
      <c r="O48" s="2"/>
      <c r="P48" s="2"/>
      <c r="Q48" s="2"/>
      <c r="R48" s="2"/>
      <c r="S48" s="2"/>
      <c r="T48" s="2"/>
      <c r="U48" s="2"/>
      <c r="V48" s="2"/>
      <c r="W48" s="2"/>
      <c r="X48" s="2"/>
      <c r="Y48" s="2"/>
      <c r="Z48" s="2"/>
    </row>
    <row r="49" spans="1:26" ht="14.25" customHeight="1" x14ac:dyDescent="0.3">
      <c r="A49" s="2"/>
      <c r="B49" s="1117" t="s">
        <v>1006</v>
      </c>
      <c r="C49" s="1117"/>
      <c r="D49" s="1117"/>
      <c r="E49" s="1117"/>
      <c r="F49" s="1117"/>
      <c r="G49" s="3"/>
      <c r="H49" s="3"/>
      <c r="I49" s="3"/>
      <c r="J49" s="2"/>
      <c r="K49" s="2"/>
      <c r="L49" s="2"/>
      <c r="M49" s="2"/>
      <c r="N49" s="2"/>
      <c r="O49" s="2"/>
      <c r="P49" s="2"/>
      <c r="Q49" s="2"/>
      <c r="R49" s="2"/>
      <c r="S49" s="2"/>
      <c r="T49" s="2"/>
      <c r="U49" s="2"/>
      <c r="V49" s="2"/>
      <c r="W49" s="2"/>
      <c r="X49" s="2"/>
      <c r="Y49" s="2"/>
      <c r="Z49" s="2"/>
    </row>
    <row r="50" spans="1:26" ht="14.25" customHeight="1" x14ac:dyDescent="0.3">
      <c r="A50" s="2"/>
      <c r="B50" s="3"/>
      <c r="C50" s="3"/>
      <c r="D50" s="3"/>
      <c r="E50" s="3"/>
      <c r="F50" s="2"/>
      <c r="G50" s="3"/>
      <c r="H50" s="3"/>
      <c r="I50" s="3"/>
      <c r="J50" s="2"/>
      <c r="K50" s="2"/>
      <c r="L50" s="2"/>
      <c r="M50" s="2"/>
      <c r="N50" s="2"/>
      <c r="O50" s="2"/>
      <c r="P50" s="2"/>
      <c r="Q50" s="2"/>
      <c r="R50" s="2"/>
      <c r="S50" s="2"/>
      <c r="T50" s="2"/>
      <c r="U50" s="2"/>
      <c r="V50" s="2"/>
      <c r="W50" s="2"/>
      <c r="X50" s="2"/>
      <c r="Y50" s="2"/>
      <c r="Z50" s="2"/>
    </row>
    <row r="51" spans="1:26" ht="14.25" customHeight="1" x14ac:dyDescent="0.3">
      <c r="A51" s="2"/>
      <c r="G51" s="3"/>
      <c r="H51" s="3"/>
      <c r="I51" s="3"/>
      <c r="J51" s="2"/>
      <c r="K51" s="2"/>
      <c r="L51" s="2"/>
      <c r="M51" s="2"/>
      <c r="N51" s="2"/>
      <c r="O51" s="2"/>
      <c r="P51" s="2"/>
      <c r="Q51" s="2"/>
      <c r="R51" s="2"/>
      <c r="S51" s="2"/>
      <c r="T51" s="2"/>
      <c r="U51" s="2"/>
      <c r="V51" s="2"/>
      <c r="W51" s="2"/>
      <c r="X51" s="2"/>
      <c r="Y51" s="2"/>
      <c r="Z51" s="2"/>
    </row>
    <row r="52" spans="1:26" ht="14.25" customHeight="1" x14ac:dyDescent="0.3">
      <c r="A52" s="2"/>
      <c r="G52" s="3"/>
      <c r="H52" s="3"/>
      <c r="I52" s="3"/>
      <c r="J52" s="2"/>
      <c r="K52" s="2"/>
      <c r="L52" s="2"/>
      <c r="M52" s="2"/>
      <c r="N52" s="2"/>
      <c r="O52" s="2"/>
      <c r="P52" s="2"/>
      <c r="Q52" s="2"/>
      <c r="R52" s="2"/>
      <c r="S52" s="2"/>
      <c r="T52" s="2"/>
      <c r="U52" s="2"/>
      <c r="V52" s="2"/>
      <c r="W52" s="2"/>
      <c r="X52" s="2"/>
      <c r="Y52" s="2"/>
      <c r="Z52" s="2"/>
    </row>
    <row r="53" spans="1:26" ht="14.25" customHeight="1" x14ac:dyDescent="0.3">
      <c r="A53" s="2"/>
      <c r="G53" s="3"/>
      <c r="H53" s="3"/>
      <c r="I53" s="3"/>
      <c r="J53" s="2"/>
      <c r="K53" s="2"/>
      <c r="L53" s="2"/>
      <c r="M53" s="2"/>
      <c r="N53" s="2"/>
      <c r="O53" s="2"/>
      <c r="P53" s="2"/>
      <c r="Q53" s="2"/>
      <c r="R53" s="2"/>
      <c r="S53" s="2"/>
      <c r="T53" s="2"/>
      <c r="U53" s="2"/>
      <c r="V53" s="2"/>
      <c r="W53" s="2"/>
      <c r="X53" s="2"/>
      <c r="Y53" s="2"/>
      <c r="Z53" s="2"/>
    </row>
    <row r="54" spans="1:26" ht="14.25" customHeight="1" x14ac:dyDescent="0.3">
      <c r="A54" s="2"/>
      <c r="B54" s="2"/>
      <c r="C54" s="2"/>
      <c r="D54" s="2"/>
      <c r="E54" s="2"/>
      <c r="F54" s="2"/>
      <c r="G54" s="3"/>
      <c r="H54" s="3"/>
      <c r="I54" s="3"/>
      <c r="J54" s="2"/>
      <c r="K54" s="2"/>
      <c r="L54" s="2"/>
      <c r="M54" s="2"/>
      <c r="N54" s="2"/>
      <c r="O54" s="2"/>
      <c r="P54" s="2"/>
      <c r="Q54" s="2"/>
      <c r="R54" s="2"/>
      <c r="S54" s="2"/>
      <c r="T54" s="2"/>
      <c r="U54" s="2"/>
      <c r="V54" s="2"/>
      <c r="W54" s="2"/>
      <c r="X54" s="2"/>
      <c r="Y54" s="2"/>
      <c r="Z54" s="2"/>
    </row>
    <row r="55" spans="1:26" ht="14.25" customHeight="1" x14ac:dyDescent="0.3">
      <c r="A55" s="2"/>
      <c r="B55" s="2"/>
      <c r="C55" s="2"/>
      <c r="D55" s="2"/>
      <c r="E55" s="2"/>
      <c r="F55" s="2"/>
      <c r="G55" s="3"/>
      <c r="H55" s="3"/>
      <c r="I55" s="3"/>
      <c r="J55" s="2"/>
      <c r="K55" s="2"/>
      <c r="L55" s="2"/>
      <c r="M55" s="2"/>
      <c r="N55" s="2"/>
      <c r="O55" s="2"/>
      <c r="P55" s="2"/>
      <c r="Q55" s="2"/>
      <c r="R55" s="2"/>
      <c r="S55" s="2"/>
      <c r="T55" s="2"/>
      <c r="U55" s="2"/>
      <c r="V55" s="2"/>
      <c r="W55" s="2"/>
      <c r="X55" s="2"/>
      <c r="Y55" s="2"/>
      <c r="Z55" s="2"/>
    </row>
    <row r="56" spans="1:26" ht="14.25" customHeight="1" x14ac:dyDescent="0.3">
      <c r="A56" s="2"/>
      <c r="B56" s="2"/>
      <c r="C56" s="2"/>
      <c r="D56" s="2"/>
      <c r="E56" s="2"/>
      <c r="F56" s="2"/>
      <c r="G56" s="3"/>
      <c r="H56" s="3"/>
      <c r="I56" s="3"/>
      <c r="J56" s="2"/>
      <c r="K56" s="2"/>
      <c r="L56" s="2"/>
      <c r="M56" s="2"/>
      <c r="N56" s="2"/>
      <c r="O56" s="2"/>
      <c r="P56" s="2"/>
      <c r="Q56" s="2"/>
      <c r="R56" s="2"/>
      <c r="S56" s="2"/>
      <c r="T56" s="2"/>
      <c r="U56" s="2"/>
      <c r="V56" s="2"/>
      <c r="W56" s="2"/>
      <c r="X56" s="2"/>
      <c r="Y56" s="2"/>
      <c r="Z56" s="2"/>
    </row>
    <row r="57" spans="1:26" ht="14.25" customHeight="1" x14ac:dyDescent="0.3">
      <c r="A57" s="2"/>
      <c r="B57" s="2"/>
      <c r="C57" s="2"/>
      <c r="D57" s="2"/>
      <c r="E57" s="2"/>
      <c r="F57" s="2"/>
      <c r="G57" s="3"/>
      <c r="H57" s="3"/>
      <c r="I57" s="3"/>
      <c r="J57" s="2"/>
      <c r="K57" s="2"/>
      <c r="L57" s="2"/>
      <c r="M57" s="2"/>
      <c r="N57" s="2"/>
      <c r="O57" s="2"/>
      <c r="P57" s="2"/>
      <c r="Q57" s="2"/>
      <c r="R57" s="2"/>
      <c r="S57" s="2"/>
      <c r="T57" s="2"/>
      <c r="U57" s="2"/>
      <c r="V57" s="2"/>
      <c r="W57" s="2"/>
      <c r="X57" s="2"/>
      <c r="Y57" s="2"/>
      <c r="Z57" s="2"/>
    </row>
    <row r="58" spans="1:26" ht="14.25" customHeight="1" x14ac:dyDescent="0.3">
      <c r="A58" s="2"/>
      <c r="B58" s="2"/>
      <c r="C58" s="2"/>
      <c r="D58" s="2"/>
      <c r="E58" s="2"/>
      <c r="F58" s="2"/>
      <c r="G58" s="3"/>
      <c r="H58" s="3"/>
      <c r="I58" s="3"/>
      <c r="J58" s="2"/>
      <c r="K58" s="2"/>
      <c r="L58" s="2"/>
      <c r="M58" s="2"/>
      <c r="N58" s="2"/>
      <c r="O58" s="2"/>
      <c r="P58" s="2"/>
      <c r="Q58" s="2"/>
      <c r="R58" s="2"/>
      <c r="S58" s="2"/>
      <c r="T58" s="2"/>
      <c r="U58" s="2"/>
      <c r="V58" s="2"/>
      <c r="W58" s="2"/>
      <c r="X58" s="2"/>
      <c r="Y58" s="2"/>
      <c r="Z58" s="2"/>
    </row>
    <row r="59" spans="1:26" ht="14.25" customHeight="1" x14ac:dyDescent="0.3">
      <c r="A59" s="2"/>
      <c r="B59" s="2"/>
      <c r="C59" s="2"/>
      <c r="D59" s="2"/>
      <c r="E59" s="2"/>
      <c r="F59" s="2"/>
      <c r="G59" s="3"/>
      <c r="H59" s="3"/>
      <c r="I59" s="3"/>
      <c r="J59" s="2"/>
      <c r="K59" s="2"/>
      <c r="L59" s="2"/>
      <c r="M59" s="2"/>
      <c r="N59" s="2"/>
      <c r="O59" s="2"/>
      <c r="P59" s="2"/>
      <c r="Q59" s="2"/>
      <c r="R59" s="2"/>
      <c r="S59" s="2"/>
      <c r="T59" s="2"/>
      <c r="U59" s="2"/>
      <c r="V59" s="2"/>
      <c r="W59" s="2"/>
      <c r="X59" s="2"/>
      <c r="Y59" s="2"/>
      <c r="Z59" s="2"/>
    </row>
    <row r="60" spans="1:26" ht="14.25" customHeight="1" x14ac:dyDescent="0.3">
      <c r="A60" s="2"/>
      <c r="B60" s="2"/>
      <c r="C60" s="2"/>
      <c r="D60" s="2"/>
      <c r="E60" s="2"/>
      <c r="F60" s="2"/>
      <c r="G60" s="3"/>
      <c r="H60" s="3"/>
      <c r="I60" s="3"/>
      <c r="J60" s="2"/>
      <c r="K60" s="2"/>
      <c r="L60" s="2"/>
      <c r="M60" s="2"/>
      <c r="N60" s="2"/>
      <c r="O60" s="2"/>
      <c r="P60" s="2"/>
      <c r="Q60" s="2"/>
      <c r="R60" s="2"/>
      <c r="S60" s="2"/>
      <c r="T60" s="2"/>
      <c r="U60" s="2"/>
      <c r="V60" s="2"/>
      <c r="W60" s="2"/>
      <c r="X60" s="2"/>
      <c r="Y60" s="2"/>
      <c r="Z60" s="2"/>
    </row>
    <row r="61" spans="1:26" ht="14.25" customHeight="1" x14ac:dyDescent="0.3">
      <c r="A61" s="2"/>
      <c r="B61" s="2"/>
      <c r="C61" s="2"/>
      <c r="D61" s="2"/>
      <c r="E61" s="2"/>
      <c r="F61" s="2"/>
      <c r="G61" s="3"/>
      <c r="H61" s="3"/>
      <c r="I61" s="3"/>
      <c r="J61" s="2"/>
      <c r="K61" s="2"/>
      <c r="L61" s="2"/>
      <c r="M61" s="2"/>
      <c r="N61" s="2"/>
      <c r="O61" s="2"/>
      <c r="P61" s="2"/>
      <c r="Q61" s="2"/>
      <c r="R61" s="2"/>
      <c r="S61" s="2"/>
      <c r="T61" s="2"/>
      <c r="U61" s="2"/>
      <c r="V61" s="2"/>
      <c r="W61" s="2"/>
      <c r="X61" s="2"/>
      <c r="Y61" s="2"/>
      <c r="Z61" s="2"/>
    </row>
    <row r="62" spans="1:26" ht="14.25" customHeight="1" x14ac:dyDescent="0.3">
      <c r="A62" s="2"/>
      <c r="B62" s="2"/>
      <c r="C62" s="2"/>
      <c r="D62" s="2"/>
      <c r="E62" s="2"/>
      <c r="F62" s="2"/>
      <c r="G62" s="3"/>
      <c r="H62" s="3"/>
      <c r="I62" s="3"/>
      <c r="J62" s="2"/>
      <c r="K62" s="2"/>
      <c r="L62" s="2"/>
      <c r="M62" s="2"/>
      <c r="N62" s="2"/>
      <c r="O62" s="2"/>
      <c r="P62" s="2"/>
      <c r="Q62" s="2"/>
      <c r="R62" s="2"/>
      <c r="S62" s="2"/>
      <c r="T62" s="2"/>
      <c r="U62" s="2"/>
      <c r="V62" s="2"/>
      <c r="W62" s="2"/>
      <c r="X62" s="2"/>
      <c r="Y62" s="2"/>
      <c r="Z62" s="2"/>
    </row>
    <row r="63" spans="1:26" ht="14.25" customHeight="1" x14ac:dyDescent="0.3">
      <c r="A63" s="2"/>
      <c r="B63" s="2"/>
      <c r="C63" s="2"/>
      <c r="D63" s="2"/>
      <c r="E63" s="2"/>
      <c r="F63" s="2"/>
      <c r="G63" s="3"/>
      <c r="H63" s="3"/>
      <c r="I63" s="3"/>
      <c r="J63" s="2"/>
      <c r="K63" s="2"/>
      <c r="L63" s="2"/>
      <c r="M63" s="2"/>
      <c r="N63" s="2"/>
      <c r="O63" s="2"/>
      <c r="P63" s="2"/>
      <c r="Q63" s="2"/>
      <c r="R63" s="2"/>
      <c r="S63" s="2"/>
      <c r="T63" s="2"/>
      <c r="U63" s="2"/>
      <c r="V63" s="2"/>
      <c r="W63" s="2"/>
      <c r="X63" s="2"/>
      <c r="Y63" s="2"/>
      <c r="Z63" s="2"/>
    </row>
    <row r="64" spans="1:26" ht="14.25" customHeight="1" x14ac:dyDescent="0.3">
      <c r="A64" s="2"/>
      <c r="B64" s="2"/>
      <c r="C64" s="2"/>
      <c r="D64" s="2"/>
      <c r="E64" s="2"/>
      <c r="F64" s="2"/>
      <c r="G64" s="3"/>
      <c r="H64" s="3"/>
      <c r="I64" s="3"/>
      <c r="J64" s="2"/>
      <c r="K64" s="2"/>
      <c r="L64" s="2"/>
      <c r="M64" s="2"/>
      <c r="N64" s="2"/>
      <c r="O64" s="2"/>
      <c r="P64" s="2"/>
      <c r="Q64" s="2"/>
      <c r="R64" s="2"/>
      <c r="S64" s="2"/>
      <c r="T64" s="2"/>
      <c r="U64" s="2"/>
      <c r="V64" s="2"/>
      <c r="W64" s="2"/>
      <c r="X64" s="2"/>
      <c r="Y64" s="2"/>
      <c r="Z64" s="2"/>
    </row>
    <row r="65" spans="1:26" ht="14.25" customHeight="1" x14ac:dyDescent="0.3">
      <c r="A65" s="2"/>
      <c r="B65" s="2"/>
      <c r="C65" s="2"/>
      <c r="D65" s="2"/>
      <c r="E65" s="2"/>
      <c r="F65" s="2"/>
      <c r="G65" s="3"/>
      <c r="H65" s="3"/>
      <c r="I65" s="3"/>
      <c r="J65" s="2"/>
      <c r="K65" s="2"/>
      <c r="L65" s="2"/>
      <c r="M65" s="2"/>
      <c r="N65" s="2"/>
      <c r="O65" s="2"/>
      <c r="P65" s="2"/>
      <c r="Q65" s="2"/>
      <c r="R65" s="2"/>
      <c r="S65" s="2"/>
      <c r="T65" s="2"/>
      <c r="U65" s="2"/>
      <c r="V65" s="2"/>
      <c r="W65" s="2"/>
      <c r="X65" s="2"/>
      <c r="Y65" s="2"/>
      <c r="Z65" s="2"/>
    </row>
    <row r="66" spans="1:26" ht="14.25" customHeight="1" x14ac:dyDescent="0.3">
      <c r="A66" s="2"/>
      <c r="B66" s="2"/>
      <c r="C66" s="2"/>
      <c r="D66" s="2"/>
      <c r="E66" s="2"/>
      <c r="F66" s="2"/>
      <c r="G66" s="3"/>
      <c r="H66" s="3"/>
      <c r="I66" s="3"/>
      <c r="J66" s="2"/>
      <c r="K66" s="2"/>
      <c r="L66" s="2"/>
      <c r="M66" s="2"/>
      <c r="N66" s="2"/>
      <c r="O66" s="2"/>
      <c r="P66" s="2"/>
      <c r="Q66" s="2"/>
      <c r="R66" s="2"/>
      <c r="S66" s="2"/>
      <c r="T66" s="2"/>
      <c r="U66" s="2"/>
      <c r="V66" s="2"/>
      <c r="W66" s="2"/>
      <c r="X66" s="2"/>
      <c r="Y66" s="2"/>
      <c r="Z66" s="2"/>
    </row>
    <row r="67" spans="1:26" ht="14.25" customHeight="1" x14ac:dyDescent="0.3">
      <c r="A67" s="2"/>
      <c r="B67" s="2"/>
      <c r="C67" s="2"/>
      <c r="D67" s="2"/>
      <c r="E67" s="2"/>
      <c r="F67" s="2"/>
      <c r="G67" s="3"/>
      <c r="H67" s="3"/>
      <c r="I67" s="3"/>
      <c r="J67" s="2"/>
      <c r="K67" s="2"/>
      <c r="L67" s="2"/>
      <c r="M67" s="2"/>
      <c r="N67" s="2"/>
      <c r="O67" s="2"/>
      <c r="P67" s="2"/>
      <c r="Q67" s="2"/>
      <c r="R67" s="2"/>
      <c r="S67" s="2"/>
      <c r="T67" s="2"/>
      <c r="U67" s="2"/>
      <c r="V67" s="2"/>
      <c r="W67" s="2"/>
      <c r="X67" s="2"/>
      <c r="Y67" s="2"/>
      <c r="Z67" s="2"/>
    </row>
    <row r="68" spans="1:26" ht="14.25" customHeight="1" x14ac:dyDescent="0.3">
      <c r="A68" s="2"/>
      <c r="B68" s="2"/>
      <c r="C68" s="2"/>
      <c r="D68" s="2"/>
      <c r="E68" s="2"/>
      <c r="F68" s="2"/>
      <c r="G68" s="3"/>
      <c r="H68" s="3"/>
      <c r="I68" s="3"/>
      <c r="J68" s="2"/>
      <c r="K68" s="2"/>
      <c r="L68" s="2"/>
      <c r="M68" s="2"/>
      <c r="N68" s="2"/>
      <c r="O68" s="2"/>
      <c r="P68" s="2"/>
      <c r="Q68" s="2"/>
      <c r="R68" s="2"/>
      <c r="S68" s="2"/>
      <c r="T68" s="2"/>
      <c r="U68" s="2"/>
      <c r="V68" s="2"/>
      <c r="W68" s="2"/>
      <c r="X68" s="2"/>
      <c r="Y68" s="2"/>
      <c r="Z68" s="2"/>
    </row>
    <row r="69" spans="1:26" ht="14.25" customHeight="1" x14ac:dyDescent="0.3">
      <c r="A69" s="2"/>
      <c r="B69" s="2"/>
      <c r="C69" s="2"/>
      <c r="D69" s="2"/>
      <c r="E69" s="2"/>
      <c r="F69" s="2"/>
      <c r="G69" s="3"/>
      <c r="H69" s="3"/>
      <c r="I69" s="3"/>
      <c r="J69" s="2"/>
      <c r="K69" s="2"/>
      <c r="L69" s="2"/>
      <c r="M69" s="2"/>
      <c r="N69" s="2"/>
      <c r="O69" s="2"/>
      <c r="P69" s="2"/>
      <c r="Q69" s="2"/>
      <c r="R69" s="2"/>
      <c r="S69" s="2"/>
      <c r="T69" s="2"/>
      <c r="U69" s="2"/>
      <c r="V69" s="2"/>
      <c r="W69" s="2"/>
      <c r="X69" s="2"/>
      <c r="Y69" s="2"/>
      <c r="Z69" s="2"/>
    </row>
    <row r="70" spans="1:26" ht="14.25" customHeight="1" x14ac:dyDescent="0.3">
      <c r="A70" s="2"/>
      <c r="B70" s="2"/>
      <c r="C70" s="2"/>
      <c r="D70" s="2"/>
      <c r="E70" s="2"/>
      <c r="F70" s="2"/>
      <c r="G70" s="3"/>
      <c r="H70" s="3"/>
      <c r="I70" s="3"/>
      <c r="J70" s="2"/>
      <c r="K70" s="2"/>
      <c r="L70" s="2"/>
      <c r="M70" s="2"/>
      <c r="N70" s="2"/>
      <c r="O70" s="2"/>
      <c r="P70" s="2"/>
      <c r="Q70" s="2"/>
      <c r="R70" s="2"/>
      <c r="S70" s="2"/>
      <c r="T70" s="2"/>
      <c r="U70" s="2"/>
      <c r="V70" s="2"/>
      <c r="W70" s="2"/>
      <c r="X70" s="2"/>
      <c r="Y70" s="2"/>
      <c r="Z70" s="2"/>
    </row>
    <row r="71" spans="1:26" ht="14.25" customHeight="1" x14ac:dyDescent="0.3">
      <c r="A71" s="2"/>
      <c r="B71" s="2"/>
      <c r="C71" s="2"/>
      <c r="D71" s="2"/>
      <c r="E71" s="2"/>
      <c r="F71" s="2"/>
      <c r="G71" s="3"/>
      <c r="H71" s="3"/>
      <c r="I71" s="3"/>
      <c r="J71" s="2"/>
      <c r="K71" s="2"/>
      <c r="L71" s="2"/>
      <c r="M71" s="2"/>
      <c r="N71" s="2"/>
      <c r="O71" s="2"/>
      <c r="P71" s="2"/>
      <c r="Q71" s="2"/>
      <c r="R71" s="2"/>
      <c r="S71" s="2"/>
      <c r="T71" s="2"/>
      <c r="U71" s="2"/>
      <c r="V71" s="2"/>
      <c r="W71" s="2"/>
      <c r="X71" s="2"/>
      <c r="Y71" s="2"/>
      <c r="Z71" s="2"/>
    </row>
    <row r="72" spans="1:26" ht="14.25" customHeight="1" x14ac:dyDescent="0.3">
      <c r="A72" s="2"/>
      <c r="B72" s="2"/>
      <c r="C72" s="2"/>
      <c r="D72" s="2"/>
      <c r="E72" s="2"/>
      <c r="F72" s="2"/>
      <c r="G72" s="3"/>
      <c r="H72" s="3"/>
      <c r="I72" s="3"/>
      <c r="J72" s="2"/>
      <c r="K72" s="2"/>
      <c r="L72" s="2"/>
      <c r="M72" s="2"/>
      <c r="N72" s="2"/>
      <c r="O72" s="2"/>
      <c r="P72" s="2"/>
      <c r="Q72" s="2"/>
      <c r="R72" s="2"/>
      <c r="S72" s="2"/>
      <c r="T72" s="2"/>
      <c r="U72" s="2"/>
      <c r="V72" s="2"/>
      <c r="W72" s="2"/>
      <c r="X72" s="2"/>
      <c r="Y72" s="2"/>
      <c r="Z72" s="2"/>
    </row>
    <row r="73" spans="1:26" ht="14.25" customHeight="1" x14ac:dyDescent="0.3">
      <c r="A73" s="2"/>
      <c r="B73" s="2"/>
      <c r="C73" s="2"/>
      <c r="D73" s="2"/>
      <c r="E73" s="2"/>
      <c r="F73" s="2"/>
      <c r="G73" s="3"/>
      <c r="H73" s="3"/>
      <c r="I73" s="3"/>
      <c r="J73" s="2"/>
      <c r="K73" s="2"/>
      <c r="L73" s="2"/>
      <c r="M73" s="2"/>
      <c r="N73" s="2"/>
      <c r="O73" s="2"/>
      <c r="P73" s="2"/>
      <c r="Q73" s="2"/>
      <c r="R73" s="2"/>
      <c r="S73" s="2"/>
      <c r="T73" s="2"/>
      <c r="U73" s="2"/>
      <c r="V73" s="2"/>
      <c r="W73" s="2"/>
      <c r="X73" s="2"/>
      <c r="Y73" s="2"/>
      <c r="Z73" s="2"/>
    </row>
    <row r="74" spans="1:26" ht="14.25" customHeight="1" x14ac:dyDescent="0.3">
      <c r="A74" s="2"/>
      <c r="B74" s="2"/>
      <c r="C74" s="2"/>
      <c r="D74" s="2"/>
      <c r="E74" s="2"/>
      <c r="F74" s="2"/>
      <c r="G74" s="3"/>
      <c r="H74" s="3"/>
      <c r="I74" s="3"/>
      <c r="J74" s="2"/>
      <c r="K74" s="2"/>
      <c r="L74" s="2"/>
      <c r="M74" s="2"/>
      <c r="N74" s="2"/>
      <c r="O74" s="2"/>
      <c r="P74" s="2"/>
      <c r="Q74" s="2"/>
      <c r="R74" s="2"/>
      <c r="S74" s="2"/>
      <c r="T74" s="2"/>
      <c r="U74" s="2"/>
      <c r="V74" s="2"/>
      <c r="W74" s="2"/>
      <c r="X74" s="2"/>
      <c r="Y74" s="2"/>
      <c r="Z74" s="2"/>
    </row>
    <row r="75" spans="1:26" ht="14.25" customHeight="1" x14ac:dyDescent="0.3">
      <c r="A75" s="2"/>
      <c r="B75" s="2"/>
      <c r="C75" s="2"/>
      <c r="D75" s="2"/>
      <c r="E75" s="2"/>
      <c r="F75" s="2"/>
      <c r="G75" s="3"/>
      <c r="H75" s="3"/>
      <c r="I75" s="3"/>
      <c r="J75" s="2"/>
      <c r="K75" s="2"/>
      <c r="L75" s="2"/>
      <c r="M75" s="2"/>
      <c r="N75" s="2"/>
      <c r="O75" s="2"/>
      <c r="P75" s="2"/>
      <c r="Q75" s="2"/>
      <c r="R75" s="2"/>
      <c r="S75" s="2"/>
      <c r="T75" s="2"/>
      <c r="U75" s="2"/>
      <c r="V75" s="2"/>
      <c r="W75" s="2"/>
      <c r="X75" s="2"/>
      <c r="Y75" s="2"/>
      <c r="Z75" s="2"/>
    </row>
    <row r="76" spans="1:26" ht="14.25" customHeight="1" x14ac:dyDescent="0.3">
      <c r="A76" s="2"/>
      <c r="B76" s="2"/>
      <c r="C76" s="2"/>
      <c r="D76" s="2"/>
      <c r="E76" s="2"/>
      <c r="F76" s="2"/>
      <c r="G76" s="3"/>
      <c r="H76" s="3"/>
      <c r="I76" s="3"/>
      <c r="J76" s="2"/>
      <c r="K76" s="2"/>
      <c r="L76" s="2"/>
      <c r="M76" s="2"/>
      <c r="N76" s="2"/>
      <c r="O76" s="2"/>
      <c r="P76" s="2"/>
      <c r="Q76" s="2"/>
      <c r="R76" s="2"/>
      <c r="S76" s="2"/>
      <c r="T76" s="2"/>
      <c r="U76" s="2"/>
      <c r="V76" s="2"/>
      <c r="W76" s="2"/>
      <c r="X76" s="2"/>
      <c r="Y76" s="2"/>
      <c r="Z76" s="2"/>
    </row>
    <row r="77" spans="1:26" ht="14.25" customHeight="1" x14ac:dyDescent="0.3">
      <c r="A77" s="2"/>
      <c r="B77" s="2"/>
      <c r="C77" s="2"/>
      <c r="D77" s="2"/>
      <c r="E77" s="2"/>
      <c r="F77" s="2"/>
      <c r="G77" s="3"/>
      <c r="H77" s="3"/>
      <c r="I77" s="3"/>
      <c r="J77" s="2"/>
      <c r="K77" s="2"/>
      <c r="L77" s="2"/>
      <c r="M77" s="2"/>
      <c r="N77" s="2"/>
      <c r="O77" s="2"/>
      <c r="P77" s="2"/>
      <c r="Q77" s="2"/>
      <c r="R77" s="2"/>
      <c r="S77" s="2"/>
      <c r="T77" s="2"/>
      <c r="U77" s="2"/>
      <c r="V77" s="2"/>
      <c r="W77" s="2"/>
      <c r="X77" s="2"/>
      <c r="Y77" s="2"/>
      <c r="Z77" s="2"/>
    </row>
    <row r="78" spans="1:26" ht="14.25" customHeight="1" x14ac:dyDescent="0.3">
      <c r="A78" s="2"/>
      <c r="B78" s="2"/>
      <c r="C78" s="2"/>
      <c r="D78" s="2"/>
      <c r="E78" s="2"/>
      <c r="F78" s="2"/>
      <c r="G78" s="3"/>
      <c r="H78" s="3"/>
      <c r="I78" s="3"/>
      <c r="J78" s="2"/>
      <c r="K78" s="2"/>
      <c r="L78" s="2"/>
      <c r="M78" s="2"/>
      <c r="N78" s="2"/>
      <c r="O78" s="2"/>
      <c r="P78" s="2"/>
      <c r="Q78" s="2"/>
      <c r="R78" s="2"/>
      <c r="S78" s="2"/>
      <c r="T78" s="2"/>
      <c r="U78" s="2"/>
      <c r="V78" s="2"/>
      <c r="W78" s="2"/>
      <c r="X78" s="2"/>
      <c r="Y78" s="2"/>
      <c r="Z78" s="2"/>
    </row>
    <row r="79" spans="1:26" ht="14.25" customHeight="1" x14ac:dyDescent="0.3">
      <c r="A79" s="2"/>
      <c r="B79" s="2"/>
      <c r="C79" s="2"/>
      <c r="D79" s="2"/>
      <c r="E79" s="2"/>
      <c r="F79" s="2"/>
      <c r="G79" s="3"/>
      <c r="H79" s="3"/>
      <c r="I79" s="3"/>
      <c r="J79" s="2"/>
      <c r="K79" s="2"/>
      <c r="L79" s="2"/>
      <c r="M79" s="2"/>
      <c r="N79" s="2"/>
      <c r="O79" s="2"/>
      <c r="P79" s="2"/>
      <c r="Q79" s="2"/>
      <c r="R79" s="2"/>
      <c r="S79" s="2"/>
      <c r="T79" s="2"/>
      <c r="U79" s="2"/>
      <c r="V79" s="2"/>
      <c r="W79" s="2"/>
      <c r="X79" s="2"/>
      <c r="Y79" s="2"/>
      <c r="Z79" s="2"/>
    </row>
    <row r="80" spans="1:26" ht="14.25" customHeight="1" x14ac:dyDescent="0.3">
      <c r="A80" s="2"/>
      <c r="B80" s="2"/>
      <c r="C80" s="2"/>
      <c r="D80" s="2"/>
      <c r="E80" s="2"/>
      <c r="F80" s="2"/>
      <c r="G80" s="3"/>
      <c r="H80" s="3"/>
      <c r="I80" s="3"/>
      <c r="J80" s="2"/>
      <c r="K80" s="2"/>
      <c r="L80" s="2"/>
      <c r="M80" s="2"/>
      <c r="N80" s="2"/>
      <c r="O80" s="2"/>
      <c r="P80" s="2"/>
      <c r="Q80" s="2"/>
      <c r="R80" s="2"/>
      <c r="S80" s="2"/>
      <c r="T80" s="2"/>
      <c r="U80" s="2"/>
      <c r="V80" s="2"/>
      <c r="W80" s="2"/>
      <c r="X80" s="2"/>
      <c r="Y80" s="2"/>
      <c r="Z80" s="2"/>
    </row>
    <row r="81" spans="1:26" ht="14.25" customHeight="1" x14ac:dyDescent="0.3">
      <c r="A81" s="2"/>
      <c r="B81" s="2"/>
      <c r="C81" s="2"/>
      <c r="D81" s="2"/>
      <c r="E81" s="2"/>
      <c r="F81" s="2"/>
      <c r="G81" s="3"/>
      <c r="H81" s="3"/>
      <c r="I81" s="3"/>
      <c r="J81" s="2"/>
      <c r="K81" s="2"/>
      <c r="L81" s="2"/>
      <c r="M81" s="2"/>
      <c r="N81" s="2"/>
      <c r="O81" s="2"/>
      <c r="P81" s="2"/>
      <c r="Q81" s="2"/>
      <c r="R81" s="2"/>
      <c r="S81" s="2"/>
      <c r="T81" s="2"/>
      <c r="U81" s="2"/>
      <c r="V81" s="2"/>
      <c r="W81" s="2"/>
      <c r="X81" s="2"/>
      <c r="Y81" s="2"/>
      <c r="Z81" s="2"/>
    </row>
    <row r="82" spans="1:26" ht="14.25" customHeight="1" x14ac:dyDescent="0.3">
      <c r="A82" s="2"/>
      <c r="B82" s="2"/>
      <c r="C82" s="2"/>
      <c r="D82" s="2"/>
      <c r="E82" s="2"/>
      <c r="F82" s="2"/>
      <c r="G82" s="3"/>
      <c r="H82" s="3"/>
      <c r="I82" s="3"/>
      <c r="J82" s="2"/>
      <c r="K82" s="2"/>
      <c r="L82" s="2"/>
      <c r="M82" s="2"/>
      <c r="N82" s="2"/>
      <c r="O82" s="2"/>
      <c r="P82" s="2"/>
      <c r="Q82" s="2"/>
      <c r="R82" s="2"/>
      <c r="S82" s="2"/>
      <c r="T82" s="2"/>
      <c r="U82" s="2"/>
      <c r="V82" s="2"/>
      <c r="W82" s="2"/>
      <c r="X82" s="2"/>
      <c r="Y82" s="2"/>
      <c r="Z82" s="2"/>
    </row>
    <row r="83" spans="1:26" ht="14.25" customHeight="1" x14ac:dyDescent="0.3">
      <c r="A83" s="2"/>
      <c r="B83" s="2"/>
      <c r="C83" s="2"/>
      <c r="D83" s="2"/>
      <c r="E83" s="2"/>
      <c r="F83" s="2"/>
      <c r="G83" s="3"/>
      <c r="H83" s="3"/>
      <c r="I83" s="3"/>
      <c r="J83" s="2"/>
      <c r="K83" s="2"/>
      <c r="L83" s="2"/>
      <c r="M83" s="2"/>
      <c r="N83" s="2"/>
      <c r="O83" s="2"/>
      <c r="P83" s="2"/>
      <c r="Q83" s="2"/>
      <c r="R83" s="2"/>
      <c r="S83" s="2"/>
      <c r="T83" s="2"/>
      <c r="U83" s="2"/>
      <c r="V83" s="2"/>
      <c r="W83" s="2"/>
      <c r="X83" s="2"/>
      <c r="Y83" s="2"/>
      <c r="Z83" s="2"/>
    </row>
    <row r="84" spans="1:26" ht="14.25" customHeight="1" x14ac:dyDescent="0.3">
      <c r="A84" s="2"/>
      <c r="B84" s="2"/>
      <c r="C84" s="2"/>
      <c r="D84" s="2"/>
      <c r="E84" s="2"/>
      <c r="F84" s="2"/>
      <c r="G84" s="3"/>
      <c r="H84" s="3"/>
      <c r="I84" s="3"/>
      <c r="J84" s="2"/>
      <c r="K84" s="2"/>
      <c r="L84" s="2"/>
      <c r="M84" s="2"/>
      <c r="N84" s="2"/>
      <c r="O84" s="2"/>
      <c r="P84" s="2"/>
      <c r="Q84" s="2"/>
      <c r="R84" s="2"/>
      <c r="S84" s="2"/>
      <c r="T84" s="2"/>
      <c r="U84" s="2"/>
      <c r="V84" s="2"/>
      <c r="W84" s="2"/>
      <c r="X84" s="2"/>
      <c r="Y84" s="2"/>
      <c r="Z84" s="2"/>
    </row>
    <row r="85" spans="1:26" ht="14.25" customHeight="1" x14ac:dyDescent="0.3">
      <c r="A85" s="2"/>
      <c r="B85" s="2"/>
      <c r="C85" s="2"/>
      <c r="D85" s="2"/>
      <c r="E85" s="2"/>
      <c r="F85" s="2"/>
      <c r="G85" s="3"/>
      <c r="H85" s="3"/>
      <c r="I85" s="3"/>
      <c r="J85" s="2"/>
      <c r="K85" s="2"/>
      <c r="L85" s="2"/>
      <c r="M85" s="2"/>
      <c r="N85" s="2"/>
      <c r="O85" s="2"/>
      <c r="P85" s="2"/>
      <c r="Q85" s="2"/>
      <c r="R85" s="2"/>
      <c r="S85" s="2"/>
      <c r="T85" s="2"/>
      <c r="U85" s="2"/>
      <c r="V85" s="2"/>
      <c r="W85" s="2"/>
      <c r="X85" s="2"/>
      <c r="Y85" s="2"/>
      <c r="Z85" s="2"/>
    </row>
    <row r="86" spans="1:26" ht="14.25" customHeight="1" x14ac:dyDescent="0.3">
      <c r="A86" s="2"/>
      <c r="B86" s="2"/>
      <c r="C86" s="2"/>
      <c r="D86" s="2"/>
      <c r="E86" s="2"/>
      <c r="F86" s="2"/>
      <c r="G86" s="3"/>
      <c r="H86" s="3"/>
      <c r="I86" s="3"/>
      <c r="J86" s="2"/>
      <c r="K86" s="2"/>
      <c r="L86" s="2"/>
      <c r="M86" s="2"/>
      <c r="N86" s="2"/>
      <c r="O86" s="2"/>
      <c r="P86" s="2"/>
      <c r="Q86" s="2"/>
      <c r="R86" s="2"/>
      <c r="S86" s="2"/>
      <c r="T86" s="2"/>
      <c r="U86" s="2"/>
      <c r="V86" s="2"/>
      <c r="W86" s="2"/>
      <c r="X86" s="2"/>
      <c r="Y86" s="2"/>
      <c r="Z86" s="2"/>
    </row>
    <row r="87" spans="1:26" ht="14.25" customHeight="1" x14ac:dyDescent="0.3">
      <c r="A87" s="2"/>
      <c r="B87" s="2"/>
      <c r="C87" s="2"/>
      <c r="D87" s="2"/>
      <c r="E87" s="2"/>
      <c r="F87" s="2"/>
      <c r="G87" s="3"/>
      <c r="H87" s="3"/>
      <c r="I87" s="3"/>
      <c r="J87" s="2"/>
      <c r="K87" s="2"/>
      <c r="L87" s="2"/>
      <c r="M87" s="2"/>
      <c r="N87" s="2"/>
      <c r="O87" s="2"/>
      <c r="P87" s="2"/>
      <c r="Q87" s="2"/>
      <c r="R87" s="2"/>
      <c r="S87" s="2"/>
      <c r="T87" s="2"/>
      <c r="U87" s="2"/>
      <c r="V87" s="2"/>
      <c r="W87" s="2"/>
      <c r="X87" s="2"/>
      <c r="Y87" s="2"/>
      <c r="Z87" s="2"/>
    </row>
    <row r="88" spans="1:26" ht="14.25" customHeight="1" x14ac:dyDescent="0.3">
      <c r="A88" s="2"/>
      <c r="B88" s="2"/>
      <c r="C88" s="2"/>
      <c r="D88" s="2"/>
      <c r="E88" s="2"/>
      <c r="F88" s="2"/>
      <c r="G88" s="3"/>
      <c r="H88" s="3"/>
      <c r="I88" s="3"/>
      <c r="J88" s="2"/>
      <c r="K88" s="2"/>
      <c r="L88" s="2"/>
      <c r="M88" s="2"/>
      <c r="N88" s="2"/>
      <c r="O88" s="2"/>
      <c r="P88" s="2"/>
      <c r="Q88" s="2"/>
      <c r="R88" s="2"/>
      <c r="S88" s="2"/>
      <c r="T88" s="2"/>
      <c r="U88" s="2"/>
      <c r="V88" s="2"/>
      <c r="W88" s="2"/>
      <c r="X88" s="2"/>
      <c r="Y88" s="2"/>
      <c r="Z88" s="2"/>
    </row>
    <row r="89" spans="1:26" ht="14.25" customHeight="1" x14ac:dyDescent="0.3">
      <c r="A89" s="2"/>
      <c r="B89" s="2"/>
      <c r="C89" s="2"/>
      <c r="D89" s="2"/>
      <c r="E89" s="2"/>
      <c r="F89" s="2"/>
      <c r="G89" s="3"/>
      <c r="H89" s="3"/>
      <c r="I89" s="3"/>
      <c r="J89" s="2"/>
      <c r="K89" s="2"/>
      <c r="L89" s="2"/>
      <c r="M89" s="2"/>
      <c r="N89" s="2"/>
      <c r="O89" s="2"/>
      <c r="P89" s="2"/>
      <c r="Q89" s="2"/>
      <c r="R89" s="2"/>
      <c r="S89" s="2"/>
      <c r="T89" s="2"/>
      <c r="U89" s="2"/>
      <c r="V89" s="2"/>
      <c r="W89" s="2"/>
      <c r="X89" s="2"/>
      <c r="Y89" s="2"/>
      <c r="Z89" s="2"/>
    </row>
    <row r="90" spans="1:26" ht="14.25" customHeight="1" x14ac:dyDescent="0.3">
      <c r="A90" s="2"/>
      <c r="B90" s="2"/>
      <c r="C90" s="2"/>
      <c r="D90" s="2"/>
      <c r="E90" s="2"/>
      <c r="F90" s="2"/>
      <c r="G90" s="3"/>
      <c r="H90" s="3"/>
      <c r="I90" s="3"/>
      <c r="J90" s="2"/>
      <c r="K90" s="2"/>
      <c r="L90" s="2"/>
      <c r="M90" s="2"/>
      <c r="N90" s="2"/>
      <c r="O90" s="2"/>
      <c r="P90" s="2"/>
      <c r="Q90" s="2"/>
      <c r="R90" s="2"/>
      <c r="S90" s="2"/>
      <c r="T90" s="2"/>
      <c r="U90" s="2"/>
      <c r="V90" s="2"/>
      <c r="W90" s="2"/>
      <c r="X90" s="2"/>
      <c r="Y90" s="2"/>
      <c r="Z90" s="2"/>
    </row>
    <row r="91" spans="1:26" ht="14.25" customHeight="1" x14ac:dyDescent="0.3">
      <c r="A91" s="2"/>
      <c r="B91" s="2"/>
      <c r="C91" s="2"/>
      <c r="D91" s="2"/>
      <c r="E91" s="2"/>
      <c r="F91" s="2"/>
      <c r="G91" s="3"/>
      <c r="H91" s="3"/>
      <c r="I91" s="3"/>
      <c r="J91" s="2"/>
      <c r="K91" s="2"/>
      <c r="L91" s="2"/>
      <c r="M91" s="2"/>
      <c r="N91" s="2"/>
      <c r="O91" s="2"/>
      <c r="P91" s="2"/>
      <c r="Q91" s="2"/>
      <c r="R91" s="2"/>
      <c r="S91" s="2"/>
      <c r="T91" s="2"/>
      <c r="U91" s="2"/>
      <c r="V91" s="2"/>
      <c r="W91" s="2"/>
      <c r="X91" s="2"/>
      <c r="Y91" s="2"/>
      <c r="Z91" s="2"/>
    </row>
    <row r="92" spans="1:26" ht="14.25" customHeight="1" x14ac:dyDescent="0.3">
      <c r="A92" s="2"/>
      <c r="B92" s="2"/>
      <c r="C92" s="2"/>
      <c r="D92" s="2"/>
      <c r="E92" s="2"/>
      <c r="F92" s="2"/>
      <c r="G92" s="3"/>
      <c r="H92" s="3"/>
      <c r="I92" s="3"/>
      <c r="J92" s="2"/>
      <c r="K92" s="2"/>
      <c r="L92" s="2"/>
      <c r="M92" s="2"/>
      <c r="N92" s="2"/>
      <c r="O92" s="2"/>
      <c r="P92" s="2"/>
      <c r="Q92" s="2"/>
      <c r="R92" s="2"/>
      <c r="S92" s="2"/>
      <c r="T92" s="2"/>
      <c r="U92" s="2"/>
      <c r="V92" s="2"/>
      <c r="W92" s="2"/>
      <c r="X92" s="2"/>
      <c r="Y92" s="2"/>
      <c r="Z92" s="2"/>
    </row>
    <row r="93" spans="1:26" ht="14.25" customHeight="1" x14ac:dyDescent="0.3">
      <c r="A93" s="2"/>
      <c r="B93" s="2"/>
      <c r="C93" s="2"/>
      <c r="D93" s="2"/>
      <c r="E93" s="2"/>
      <c r="F93" s="2"/>
      <c r="G93" s="3"/>
      <c r="H93" s="3"/>
      <c r="I93" s="3"/>
      <c r="J93" s="2"/>
      <c r="K93" s="2"/>
      <c r="L93" s="2"/>
      <c r="M93" s="2"/>
      <c r="N93" s="2"/>
      <c r="O93" s="2"/>
      <c r="P93" s="2"/>
      <c r="Q93" s="2"/>
      <c r="R93" s="2"/>
      <c r="S93" s="2"/>
      <c r="T93" s="2"/>
      <c r="U93" s="2"/>
      <c r="V93" s="2"/>
      <c r="W93" s="2"/>
      <c r="X93" s="2"/>
      <c r="Y93" s="2"/>
      <c r="Z93" s="2"/>
    </row>
    <row r="94" spans="1:26" ht="14.25" customHeight="1" x14ac:dyDescent="0.3">
      <c r="A94" s="2"/>
      <c r="B94" s="2"/>
      <c r="C94" s="2"/>
      <c r="D94" s="2"/>
      <c r="E94" s="2"/>
      <c r="F94" s="2"/>
      <c r="G94" s="3"/>
      <c r="H94" s="3"/>
      <c r="I94" s="3"/>
      <c r="J94" s="2"/>
      <c r="K94" s="2"/>
      <c r="L94" s="2"/>
      <c r="M94" s="2"/>
      <c r="N94" s="2"/>
      <c r="O94" s="2"/>
      <c r="P94" s="2"/>
      <c r="Q94" s="2"/>
      <c r="R94" s="2"/>
      <c r="S94" s="2"/>
      <c r="T94" s="2"/>
      <c r="U94" s="2"/>
      <c r="V94" s="2"/>
      <c r="W94" s="2"/>
      <c r="X94" s="2"/>
      <c r="Y94" s="2"/>
      <c r="Z94" s="2"/>
    </row>
    <row r="95" spans="1:26" ht="14.25" customHeight="1" x14ac:dyDescent="0.3">
      <c r="A95" s="2"/>
      <c r="B95" s="2"/>
      <c r="C95" s="2"/>
      <c r="D95" s="2"/>
      <c r="E95" s="2"/>
      <c r="F95" s="2"/>
      <c r="G95" s="3"/>
      <c r="H95" s="3"/>
      <c r="I95" s="3"/>
      <c r="J95" s="2"/>
      <c r="K95" s="2"/>
      <c r="L95" s="2"/>
      <c r="M95" s="2"/>
      <c r="N95" s="2"/>
      <c r="O95" s="2"/>
      <c r="P95" s="2"/>
      <c r="Q95" s="2"/>
      <c r="R95" s="2"/>
      <c r="S95" s="2"/>
      <c r="T95" s="2"/>
      <c r="U95" s="2"/>
      <c r="V95" s="2"/>
      <c r="W95" s="2"/>
      <c r="X95" s="2"/>
      <c r="Y95" s="2"/>
      <c r="Z95" s="2"/>
    </row>
    <row r="96" spans="1:26" ht="14.25" customHeight="1" x14ac:dyDescent="0.3">
      <c r="A96" s="2"/>
      <c r="B96" s="2"/>
      <c r="C96" s="2"/>
      <c r="D96" s="2"/>
      <c r="E96" s="2"/>
      <c r="F96" s="2"/>
      <c r="G96" s="3"/>
      <c r="H96" s="3"/>
      <c r="I96" s="3"/>
      <c r="J96" s="2"/>
      <c r="K96" s="2"/>
      <c r="L96" s="2"/>
      <c r="M96" s="2"/>
      <c r="N96" s="2"/>
      <c r="O96" s="2"/>
      <c r="P96" s="2"/>
      <c r="Q96" s="2"/>
      <c r="R96" s="2"/>
      <c r="S96" s="2"/>
      <c r="T96" s="2"/>
      <c r="U96" s="2"/>
      <c r="V96" s="2"/>
      <c r="W96" s="2"/>
      <c r="X96" s="2"/>
      <c r="Y96" s="2"/>
      <c r="Z96" s="2"/>
    </row>
    <row r="97" spans="1:26" ht="14.25" customHeight="1" x14ac:dyDescent="0.3">
      <c r="A97" s="2"/>
      <c r="B97" s="2"/>
      <c r="C97" s="2"/>
      <c r="D97" s="2"/>
      <c r="E97" s="2"/>
      <c r="F97" s="2"/>
      <c r="G97" s="3"/>
      <c r="H97" s="3"/>
      <c r="I97" s="3"/>
      <c r="J97" s="2"/>
      <c r="K97" s="2"/>
      <c r="L97" s="2"/>
      <c r="M97" s="2"/>
      <c r="N97" s="2"/>
      <c r="O97" s="2"/>
      <c r="P97" s="2"/>
      <c r="Q97" s="2"/>
      <c r="R97" s="2"/>
      <c r="S97" s="2"/>
      <c r="T97" s="2"/>
      <c r="U97" s="2"/>
      <c r="V97" s="2"/>
      <c r="W97" s="2"/>
      <c r="X97" s="2"/>
      <c r="Y97" s="2"/>
      <c r="Z97" s="2"/>
    </row>
    <row r="98" spans="1:26" ht="14.25" customHeight="1" x14ac:dyDescent="0.3">
      <c r="A98" s="2"/>
      <c r="B98" s="2"/>
      <c r="C98" s="2"/>
      <c r="D98" s="2"/>
      <c r="E98" s="2"/>
      <c r="F98" s="2"/>
      <c r="G98" s="3"/>
      <c r="H98" s="3"/>
      <c r="I98" s="3"/>
      <c r="J98" s="2"/>
      <c r="K98" s="2"/>
      <c r="L98" s="2"/>
      <c r="M98" s="2"/>
      <c r="N98" s="2"/>
      <c r="O98" s="2"/>
      <c r="P98" s="2"/>
      <c r="Q98" s="2"/>
      <c r="R98" s="2"/>
      <c r="S98" s="2"/>
      <c r="T98" s="2"/>
      <c r="U98" s="2"/>
      <c r="V98" s="2"/>
      <c r="W98" s="2"/>
      <c r="X98" s="2"/>
      <c r="Y98" s="2"/>
      <c r="Z98" s="2"/>
    </row>
    <row r="99" spans="1:26" ht="14.25" customHeight="1" x14ac:dyDescent="0.3">
      <c r="A99" s="2"/>
      <c r="B99" s="2"/>
      <c r="C99" s="2"/>
      <c r="D99" s="2"/>
      <c r="E99" s="2"/>
      <c r="F99" s="2"/>
      <c r="G99" s="3"/>
      <c r="H99" s="3"/>
      <c r="I99" s="3"/>
      <c r="J99" s="2"/>
      <c r="K99" s="2"/>
      <c r="L99" s="2"/>
      <c r="M99" s="2"/>
      <c r="N99" s="2"/>
      <c r="O99" s="2"/>
      <c r="P99" s="2"/>
      <c r="Q99" s="2"/>
      <c r="R99" s="2"/>
      <c r="S99" s="2"/>
      <c r="T99" s="2"/>
      <c r="U99" s="2"/>
      <c r="V99" s="2"/>
      <c r="W99" s="2"/>
      <c r="X99" s="2"/>
      <c r="Y99" s="2"/>
      <c r="Z99" s="2"/>
    </row>
    <row r="100" spans="1:26" ht="14.25" customHeight="1" x14ac:dyDescent="0.3">
      <c r="A100" s="2"/>
      <c r="B100" s="2"/>
      <c r="C100" s="2"/>
      <c r="D100" s="2"/>
      <c r="E100" s="2"/>
      <c r="F100" s="2"/>
      <c r="G100" s="3"/>
      <c r="H100" s="3"/>
      <c r="I100" s="3"/>
      <c r="J100" s="2"/>
      <c r="K100" s="2"/>
      <c r="L100" s="2"/>
      <c r="M100" s="2"/>
      <c r="N100" s="2"/>
      <c r="O100" s="2"/>
      <c r="P100" s="2"/>
      <c r="Q100" s="2"/>
      <c r="R100" s="2"/>
      <c r="S100" s="2"/>
      <c r="T100" s="2"/>
      <c r="U100" s="2"/>
      <c r="V100" s="2"/>
      <c r="W100" s="2"/>
      <c r="X100" s="2"/>
      <c r="Y100" s="2"/>
      <c r="Z100" s="2"/>
    </row>
    <row r="101" spans="1:26" ht="14.25" customHeight="1" x14ac:dyDescent="0.3">
      <c r="A101" s="2"/>
      <c r="B101" s="2"/>
      <c r="C101" s="2"/>
      <c r="D101" s="2"/>
      <c r="E101" s="2"/>
      <c r="F101" s="2"/>
      <c r="G101" s="3"/>
      <c r="H101" s="3"/>
      <c r="I101" s="3"/>
      <c r="J101" s="2"/>
      <c r="K101" s="2"/>
      <c r="L101" s="2"/>
      <c r="M101" s="2"/>
      <c r="N101" s="2"/>
      <c r="O101" s="2"/>
      <c r="P101" s="2"/>
      <c r="Q101" s="2"/>
      <c r="R101" s="2"/>
      <c r="S101" s="2"/>
      <c r="T101" s="2"/>
      <c r="U101" s="2"/>
      <c r="V101" s="2"/>
      <c r="W101" s="2"/>
      <c r="X101" s="2"/>
      <c r="Y101" s="2"/>
      <c r="Z101" s="2"/>
    </row>
    <row r="102" spans="1:26" ht="14.25" customHeight="1" x14ac:dyDescent="0.3">
      <c r="A102" s="2"/>
      <c r="B102" s="2"/>
      <c r="C102" s="2"/>
      <c r="D102" s="2"/>
      <c r="E102" s="2"/>
      <c r="F102" s="2"/>
      <c r="G102" s="3"/>
      <c r="H102" s="3"/>
      <c r="I102" s="3"/>
      <c r="J102" s="2"/>
      <c r="K102" s="2"/>
      <c r="L102" s="2"/>
      <c r="M102" s="2"/>
      <c r="N102" s="2"/>
      <c r="O102" s="2"/>
      <c r="P102" s="2"/>
      <c r="Q102" s="2"/>
      <c r="R102" s="2"/>
      <c r="S102" s="2"/>
      <c r="T102" s="2"/>
      <c r="U102" s="2"/>
      <c r="V102" s="2"/>
      <c r="W102" s="2"/>
      <c r="X102" s="2"/>
      <c r="Y102" s="2"/>
      <c r="Z102" s="2"/>
    </row>
    <row r="103" spans="1:26" ht="14.25" customHeight="1" x14ac:dyDescent="0.3">
      <c r="A103" s="2"/>
      <c r="B103" s="2"/>
      <c r="C103" s="2"/>
      <c r="D103" s="2"/>
      <c r="E103" s="2"/>
      <c r="F103" s="2"/>
      <c r="G103" s="3"/>
      <c r="H103" s="3"/>
      <c r="I103" s="3"/>
      <c r="J103" s="2"/>
      <c r="K103" s="2"/>
      <c r="L103" s="2"/>
      <c r="M103" s="2"/>
      <c r="N103" s="2"/>
      <c r="O103" s="2"/>
      <c r="P103" s="2"/>
      <c r="Q103" s="2"/>
      <c r="R103" s="2"/>
      <c r="S103" s="2"/>
      <c r="T103" s="2"/>
      <c r="U103" s="2"/>
      <c r="V103" s="2"/>
      <c r="W103" s="2"/>
      <c r="X103" s="2"/>
      <c r="Y103" s="2"/>
      <c r="Z103" s="2"/>
    </row>
    <row r="104" spans="1:26" ht="14.25" customHeight="1" x14ac:dyDescent="0.3">
      <c r="A104" s="2"/>
      <c r="B104" s="2"/>
      <c r="C104" s="2"/>
      <c r="D104" s="2"/>
      <c r="E104" s="2"/>
      <c r="F104" s="2"/>
      <c r="G104" s="3"/>
      <c r="H104" s="3"/>
      <c r="I104" s="3"/>
      <c r="J104" s="2"/>
      <c r="K104" s="2"/>
      <c r="L104" s="2"/>
      <c r="M104" s="2"/>
      <c r="N104" s="2"/>
      <c r="O104" s="2"/>
      <c r="P104" s="2"/>
      <c r="Q104" s="2"/>
      <c r="R104" s="2"/>
      <c r="S104" s="2"/>
      <c r="T104" s="2"/>
      <c r="U104" s="2"/>
      <c r="V104" s="2"/>
      <c r="W104" s="2"/>
      <c r="X104" s="2"/>
      <c r="Y104" s="2"/>
      <c r="Z104" s="2"/>
    </row>
    <row r="105" spans="1:26" ht="14.25" customHeight="1" x14ac:dyDescent="0.3">
      <c r="A105" s="2"/>
      <c r="B105" s="2"/>
      <c r="C105" s="2"/>
      <c r="D105" s="2"/>
      <c r="E105" s="2"/>
      <c r="F105" s="2"/>
      <c r="G105" s="3"/>
      <c r="H105" s="3"/>
      <c r="I105" s="3"/>
      <c r="J105" s="2"/>
      <c r="K105" s="2"/>
      <c r="L105" s="2"/>
      <c r="M105" s="2"/>
      <c r="N105" s="2"/>
      <c r="O105" s="2"/>
      <c r="P105" s="2"/>
      <c r="Q105" s="2"/>
      <c r="R105" s="2"/>
      <c r="S105" s="2"/>
      <c r="T105" s="2"/>
      <c r="U105" s="2"/>
      <c r="V105" s="2"/>
      <c r="W105" s="2"/>
      <c r="X105" s="2"/>
      <c r="Y105" s="2"/>
      <c r="Z105" s="2"/>
    </row>
    <row r="106" spans="1:26" ht="14.25" customHeight="1" x14ac:dyDescent="0.3">
      <c r="A106" s="2"/>
      <c r="B106" s="2"/>
      <c r="C106" s="2"/>
      <c r="D106" s="2"/>
      <c r="E106" s="2"/>
      <c r="F106" s="2"/>
      <c r="G106" s="3"/>
      <c r="H106" s="3"/>
      <c r="I106" s="3"/>
      <c r="J106" s="2"/>
      <c r="K106" s="2"/>
      <c r="L106" s="2"/>
      <c r="M106" s="2"/>
      <c r="N106" s="2"/>
      <c r="O106" s="2"/>
      <c r="P106" s="2"/>
      <c r="Q106" s="2"/>
      <c r="R106" s="2"/>
      <c r="S106" s="2"/>
      <c r="T106" s="2"/>
      <c r="U106" s="2"/>
      <c r="V106" s="2"/>
      <c r="W106" s="2"/>
      <c r="X106" s="2"/>
      <c r="Y106" s="2"/>
      <c r="Z106" s="2"/>
    </row>
    <row r="107" spans="1:26" ht="14.25" customHeight="1" x14ac:dyDescent="0.3">
      <c r="A107" s="2"/>
      <c r="B107" s="2"/>
      <c r="C107" s="2"/>
      <c r="D107" s="2"/>
      <c r="E107" s="2"/>
      <c r="F107" s="2"/>
      <c r="G107" s="3"/>
      <c r="H107" s="3"/>
      <c r="I107" s="3"/>
      <c r="J107" s="2"/>
      <c r="K107" s="2"/>
      <c r="L107" s="2"/>
      <c r="M107" s="2"/>
      <c r="N107" s="2"/>
      <c r="O107" s="2"/>
      <c r="P107" s="2"/>
      <c r="Q107" s="2"/>
      <c r="R107" s="2"/>
      <c r="S107" s="2"/>
      <c r="T107" s="2"/>
      <c r="U107" s="2"/>
      <c r="V107" s="2"/>
      <c r="W107" s="2"/>
      <c r="X107" s="2"/>
      <c r="Y107" s="2"/>
      <c r="Z107" s="2"/>
    </row>
    <row r="108" spans="1:26" ht="14.25" customHeight="1" x14ac:dyDescent="0.3">
      <c r="A108" s="2"/>
      <c r="B108" s="2"/>
      <c r="C108" s="2"/>
      <c r="D108" s="2"/>
      <c r="E108" s="2"/>
      <c r="F108" s="2"/>
      <c r="G108" s="3"/>
      <c r="H108" s="3"/>
      <c r="I108" s="3"/>
      <c r="J108" s="2"/>
      <c r="K108" s="2"/>
      <c r="L108" s="2"/>
      <c r="M108" s="2"/>
      <c r="N108" s="2"/>
      <c r="O108" s="2"/>
      <c r="P108" s="2"/>
      <c r="Q108" s="2"/>
      <c r="R108" s="2"/>
      <c r="S108" s="2"/>
      <c r="T108" s="2"/>
      <c r="U108" s="2"/>
      <c r="V108" s="2"/>
      <c r="W108" s="2"/>
      <c r="X108" s="2"/>
      <c r="Y108" s="2"/>
      <c r="Z108" s="2"/>
    </row>
    <row r="109" spans="1:26" ht="14.25" customHeight="1" x14ac:dyDescent="0.3">
      <c r="A109" s="2"/>
      <c r="B109" s="2"/>
      <c r="C109" s="2"/>
      <c r="D109" s="2"/>
      <c r="E109" s="2"/>
      <c r="F109" s="2"/>
      <c r="G109" s="3"/>
      <c r="H109" s="3"/>
      <c r="I109" s="3"/>
      <c r="J109" s="2"/>
      <c r="K109" s="2"/>
      <c r="L109" s="2"/>
      <c r="M109" s="2"/>
      <c r="N109" s="2"/>
      <c r="O109" s="2"/>
      <c r="P109" s="2"/>
      <c r="Q109" s="2"/>
      <c r="R109" s="2"/>
      <c r="S109" s="2"/>
      <c r="T109" s="2"/>
      <c r="U109" s="2"/>
      <c r="V109" s="2"/>
      <c r="W109" s="2"/>
      <c r="X109" s="2"/>
      <c r="Y109" s="2"/>
      <c r="Z109" s="2"/>
    </row>
    <row r="110" spans="1:26" ht="14.25" customHeight="1" x14ac:dyDescent="0.3">
      <c r="A110" s="2"/>
      <c r="B110" s="2"/>
      <c r="C110" s="2"/>
      <c r="D110" s="2"/>
      <c r="E110" s="2"/>
      <c r="F110" s="2"/>
      <c r="G110" s="3"/>
      <c r="H110" s="3"/>
      <c r="I110" s="3"/>
      <c r="J110" s="2"/>
      <c r="K110" s="2"/>
      <c r="L110" s="2"/>
      <c r="M110" s="2"/>
      <c r="N110" s="2"/>
      <c r="O110" s="2"/>
      <c r="P110" s="2"/>
      <c r="Q110" s="2"/>
      <c r="R110" s="2"/>
      <c r="S110" s="2"/>
      <c r="T110" s="2"/>
      <c r="U110" s="2"/>
      <c r="V110" s="2"/>
      <c r="W110" s="2"/>
      <c r="X110" s="2"/>
      <c r="Y110" s="2"/>
      <c r="Z110" s="2"/>
    </row>
    <row r="111" spans="1:26" ht="14.25" customHeight="1" x14ac:dyDescent="0.3">
      <c r="A111" s="2"/>
      <c r="B111" s="2"/>
      <c r="C111" s="2"/>
      <c r="D111" s="2"/>
      <c r="E111" s="2"/>
      <c r="F111" s="2"/>
      <c r="G111" s="3"/>
      <c r="H111" s="3"/>
      <c r="I111" s="3"/>
      <c r="J111" s="2"/>
      <c r="K111" s="2"/>
      <c r="L111" s="2"/>
      <c r="M111" s="2"/>
      <c r="N111" s="2"/>
      <c r="O111" s="2"/>
      <c r="P111" s="2"/>
      <c r="Q111" s="2"/>
      <c r="R111" s="2"/>
      <c r="S111" s="2"/>
      <c r="T111" s="2"/>
      <c r="U111" s="2"/>
      <c r="V111" s="2"/>
      <c r="W111" s="2"/>
      <c r="X111" s="2"/>
      <c r="Y111" s="2"/>
      <c r="Z111" s="2"/>
    </row>
    <row r="112" spans="1:26" ht="14.25" customHeight="1" x14ac:dyDescent="0.3">
      <c r="A112" s="2"/>
      <c r="B112" s="2"/>
      <c r="C112" s="2"/>
      <c r="D112" s="2"/>
      <c r="E112" s="2"/>
      <c r="F112" s="2"/>
      <c r="G112" s="3"/>
      <c r="H112" s="3"/>
      <c r="I112" s="3"/>
      <c r="J112" s="2"/>
      <c r="K112" s="2"/>
      <c r="L112" s="2"/>
      <c r="M112" s="2"/>
      <c r="N112" s="2"/>
      <c r="O112" s="2"/>
      <c r="P112" s="2"/>
      <c r="Q112" s="2"/>
      <c r="R112" s="2"/>
      <c r="S112" s="2"/>
      <c r="T112" s="2"/>
      <c r="U112" s="2"/>
      <c r="V112" s="2"/>
      <c r="W112" s="2"/>
      <c r="X112" s="2"/>
      <c r="Y112" s="2"/>
      <c r="Z112" s="2"/>
    </row>
    <row r="113" spans="1:26" ht="14.25" customHeight="1" x14ac:dyDescent="0.3">
      <c r="A113" s="2"/>
      <c r="B113" s="2"/>
      <c r="C113" s="2"/>
      <c r="D113" s="2"/>
      <c r="E113" s="2"/>
      <c r="F113" s="2"/>
      <c r="G113" s="3"/>
      <c r="H113" s="3"/>
      <c r="I113" s="3"/>
      <c r="J113" s="2"/>
      <c r="K113" s="2"/>
      <c r="L113" s="2"/>
      <c r="M113" s="2"/>
      <c r="N113" s="2"/>
      <c r="O113" s="2"/>
      <c r="P113" s="2"/>
      <c r="Q113" s="2"/>
      <c r="R113" s="2"/>
      <c r="S113" s="2"/>
      <c r="T113" s="2"/>
      <c r="U113" s="2"/>
      <c r="V113" s="2"/>
      <c r="W113" s="2"/>
      <c r="X113" s="2"/>
      <c r="Y113" s="2"/>
      <c r="Z113" s="2"/>
    </row>
    <row r="114" spans="1:26" ht="14.25" customHeight="1" x14ac:dyDescent="0.3">
      <c r="A114" s="2"/>
      <c r="B114" s="2"/>
      <c r="C114" s="2"/>
      <c r="D114" s="2"/>
      <c r="E114" s="2"/>
      <c r="F114" s="2"/>
      <c r="G114" s="3"/>
      <c r="H114" s="3"/>
      <c r="I114" s="3"/>
      <c r="J114" s="2"/>
      <c r="K114" s="2"/>
      <c r="L114" s="2"/>
      <c r="M114" s="2"/>
      <c r="N114" s="2"/>
      <c r="O114" s="2"/>
      <c r="P114" s="2"/>
      <c r="Q114" s="2"/>
      <c r="R114" s="2"/>
      <c r="S114" s="2"/>
      <c r="T114" s="2"/>
      <c r="U114" s="2"/>
      <c r="V114" s="2"/>
      <c r="W114" s="2"/>
      <c r="X114" s="2"/>
      <c r="Y114" s="2"/>
      <c r="Z114" s="2"/>
    </row>
    <row r="115" spans="1:26" ht="14.25" customHeight="1" x14ac:dyDescent="0.3">
      <c r="A115" s="2"/>
      <c r="B115" s="2"/>
      <c r="C115" s="2"/>
      <c r="D115" s="2"/>
      <c r="E115" s="2"/>
      <c r="F115" s="2"/>
      <c r="G115" s="3"/>
      <c r="H115" s="3"/>
      <c r="I115" s="3"/>
      <c r="J115" s="2"/>
      <c r="K115" s="2"/>
      <c r="L115" s="2"/>
      <c r="M115" s="2"/>
      <c r="N115" s="2"/>
      <c r="O115" s="2"/>
      <c r="P115" s="2"/>
      <c r="Q115" s="2"/>
      <c r="R115" s="2"/>
      <c r="S115" s="2"/>
      <c r="T115" s="2"/>
      <c r="U115" s="2"/>
      <c r="V115" s="2"/>
      <c r="W115" s="2"/>
      <c r="X115" s="2"/>
      <c r="Y115" s="2"/>
      <c r="Z115" s="2"/>
    </row>
    <row r="116" spans="1:26" ht="14.25" customHeight="1" x14ac:dyDescent="0.3">
      <c r="A116" s="2"/>
      <c r="B116" s="2"/>
      <c r="C116" s="2"/>
      <c r="D116" s="2"/>
      <c r="E116" s="2"/>
      <c r="F116" s="2"/>
      <c r="G116" s="3"/>
      <c r="H116" s="3"/>
      <c r="I116" s="3"/>
      <c r="J116" s="2"/>
      <c r="K116" s="2"/>
      <c r="L116" s="2"/>
      <c r="M116" s="2"/>
      <c r="N116" s="2"/>
      <c r="O116" s="2"/>
      <c r="P116" s="2"/>
      <c r="Q116" s="2"/>
      <c r="R116" s="2"/>
      <c r="S116" s="2"/>
      <c r="T116" s="2"/>
      <c r="U116" s="2"/>
      <c r="V116" s="2"/>
      <c r="W116" s="2"/>
      <c r="X116" s="2"/>
      <c r="Y116" s="2"/>
      <c r="Z116" s="2"/>
    </row>
    <row r="117" spans="1:26" ht="14.25" customHeight="1" x14ac:dyDescent="0.3">
      <c r="A117" s="2"/>
      <c r="B117" s="2"/>
      <c r="C117" s="2"/>
      <c r="D117" s="2"/>
      <c r="E117" s="2"/>
      <c r="F117" s="2"/>
      <c r="G117" s="3"/>
      <c r="H117" s="3"/>
      <c r="I117" s="3"/>
      <c r="J117" s="2"/>
      <c r="K117" s="2"/>
      <c r="L117" s="2"/>
      <c r="M117" s="2"/>
      <c r="N117" s="2"/>
      <c r="O117" s="2"/>
      <c r="P117" s="2"/>
      <c r="Q117" s="2"/>
      <c r="R117" s="2"/>
      <c r="S117" s="2"/>
      <c r="T117" s="2"/>
      <c r="U117" s="2"/>
      <c r="V117" s="2"/>
      <c r="W117" s="2"/>
      <c r="X117" s="2"/>
      <c r="Y117" s="2"/>
      <c r="Z117" s="2"/>
    </row>
    <row r="118" spans="1:26" ht="14.25" customHeight="1" x14ac:dyDescent="0.3">
      <c r="A118" s="2"/>
      <c r="B118" s="2"/>
      <c r="C118" s="2"/>
      <c r="D118" s="2"/>
      <c r="E118" s="2"/>
      <c r="F118" s="2"/>
      <c r="G118" s="3"/>
      <c r="H118" s="3"/>
      <c r="I118" s="3"/>
      <c r="J118" s="2"/>
      <c r="K118" s="2"/>
      <c r="L118" s="2"/>
      <c r="M118" s="2"/>
      <c r="N118" s="2"/>
      <c r="O118" s="2"/>
      <c r="P118" s="2"/>
      <c r="Q118" s="2"/>
      <c r="R118" s="2"/>
      <c r="S118" s="2"/>
      <c r="T118" s="2"/>
      <c r="U118" s="2"/>
      <c r="V118" s="2"/>
      <c r="W118" s="2"/>
      <c r="X118" s="2"/>
      <c r="Y118" s="2"/>
      <c r="Z118" s="2"/>
    </row>
    <row r="119" spans="1:26" ht="14.25" customHeight="1" x14ac:dyDescent="0.3">
      <c r="A119" s="2"/>
      <c r="B119" s="2"/>
      <c r="C119" s="2"/>
      <c r="D119" s="2"/>
      <c r="E119" s="2"/>
      <c r="F119" s="2"/>
      <c r="G119" s="3"/>
      <c r="H119" s="3"/>
      <c r="I119" s="3"/>
      <c r="J119" s="2"/>
      <c r="K119" s="2"/>
      <c r="L119" s="2"/>
      <c r="M119" s="2"/>
      <c r="N119" s="2"/>
      <c r="O119" s="2"/>
      <c r="P119" s="2"/>
      <c r="Q119" s="2"/>
      <c r="R119" s="2"/>
      <c r="S119" s="2"/>
      <c r="T119" s="2"/>
      <c r="U119" s="2"/>
      <c r="V119" s="2"/>
      <c r="W119" s="2"/>
      <c r="X119" s="2"/>
      <c r="Y119" s="2"/>
      <c r="Z119" s="2"/>
    </row>
    <row r="120" spans="1:26" ht="14.25" customHeight="1" x14ac:dyDescent="0.3">
      <c r="A120" s="2"/>
      <c r="B120" s="2"/>
      <c r="C120" s="2"/>
      <c r="D120" s="2"/>
      <c r="E120" s="2"/>
      <c r="F120" s="2"/>
      <c r="G120" s="3"/>
      <c r="H120" s="3"/>
      <c r="I120" s="3"/>
      <c r="J120" s="2"/>
      <c r="K120" s="2"/>
      <c r="L120" s="2"/>
      <c r="M120" s="2"/>
      <c r="N120" s="2"/>
      <c r="O120" s="2"/>
      <c r="P120" s="2"/>
      <c r="Q120" s="2"/>
      <c r="R120" s="2"/>
      <c r="S120" s="2"/>
      <c r="T120" s="2"/>
      <c r="U120" s="2"/>
      <c r="V120" s="2"/>
      <c r="W120" s="2"/>
      <c r="X120" s="2"/>
      <c r="Y120" s="2"/>
      <c r="Z120" s="2"/>
    </row>
    <row r="121" spans="1:26" ht="14.25" customHeight="1" x14ac:dyDescent="0.3">
      <c r="A121" s="2"/>
      <c r="B121" s="2"/>
      <c r="C121" s="2"/>
      <c r="D121" s="2"/>
      <c r="E121" s="2"/>
      <c r="F121" s="2"/>
      <c r="G121" s="3"/>
      <c r="H121" s="3"/>
      <c r="I121" s="3"/>
      <c r="J121" s="2"/>
      <c r="K121" s="2"/>
      <c r="L121" s="2"/>
      <c r="M121" s="2"/>
      <c r="N121" s="2"/>
      <c r="O121" s="2"/>
      <c r="P121" s="2"/>
      <c r="Q121" s="2"/>
      <c r="R121" s="2"/>
      <c r="S121" s="2"/>
      <c r="T121" s="2"/>
      <c r="U121" s="2"/>
      <c r="V121" s="2"/>
      <c r="W121" s="2"/>
      <c r="X121" s="2"/>
      <c r="Y121" s="2"/>
      <c r="Z121" s="2"/>
    </row>
    <row r="122" spans="1:26" ht="14.25" customHeight="1" x14ac:dyDescent="0.3">
      <c r="A122" s="2"/>
      <c r="B122" s="2"/>
      <c r="C122" s="2"/>
      <c r="D122" s="2"/>
      <c r="E122" s="2"/>
      <c r="F122" s="2"/>
      <c r="G122" s="3"/>
      <c r="H122" s="3"/>
      <c r="I122" s="3"/>
      <c r="J122" s="2"/>
      <c r="K122" s="2"/>
      <c r="L122" s="2"/>
      <c r="M122" s="2"/>
      <c r="N122" s="2"/>
      <c r="O122" s="2"/>
      <c r="P122" s="2"/>
      <c r="Q122" s="2"/>
      <c r="R122" s="2"/>
      <c r="S122" s="2"/>
      <c r="T122" s="2"/>
      <c r="U122" s="2"/>
      <c r="V122" s="2"/>
      <c r="W122" s="2"/>
      <c r="X122" s="2"/>
      <c r="Y122" s="2"/>
      <c r="Z122" s="2"/>
    </row>
    <row r="123" spans="1:26" ht="14.25" customHeight="1" x14ac:dyDescent="0.3">
      <c r="A123" s="2"/>
      <c r="B123" s="2"/>
      <c r="C123" s="2"/>
      <c r="D123" s="2"/>
      <c r="E123" s="2"/>
      <c r="F123" s="2"/>
      <c r="G123" s="3"/>
      <c r="H123" s="3"/>
      <c r="I123" s="3"/>
      <c r="J123" s="2"/>
      <c r="K123" s="2"/>
      <c r="L123" s="2"/>
      <c r="M123" s="2"/>
      <c r="N123" s="2"/>
      <c r="O123" s="2"/>
      <c r="P123" s="2"/>
      <c r="Q123" s="2"/>
      <c r="R123" s="2"/>
      <c r="S123" s="2"/>
      <c r="T123" s="2"/>
      <c r="U123" s="2"/>
      <c r="V123" s="2"/>
      <c r="W123" s="2"/>
      <c r="X123" s="2"/>
      <c r="Y123" s="2"/>
      <c r="Z123" s="2"/>
    </row>
    <row r="124" spans="1:26" ht="14.25" customHeight="1" x14ac:dyDescent="0.3">
      <c r="A124" s="2"/>
      <c r="B124" s="2"/>
      <c r="C124" s="2"/>
      <c r="D124" s="2"/>
      <c r="E124" s="2"/>
      <c r="F124" s="2"/>
      <c r="G124" s="3"/>
      <c r="H124" s="3"/>
      <c r="I124" s="3"/>
      <c r="J124" s="2"/>
      <c r="K124" s="2"/>
      <c r="L124" s="2"/>
      <c r="M124" s="2"/>
      <c r="N124" s="2"/>
      <c r="O124" s="2"/>
      <c r="P124" s="2"/>
      <c r="Q124" s="2"/>
      <c r="R124" s="2"/>
      <c r="S124" s="2"/>
      <c r="T124" s="2"/>
      <c r="U124" s="2"/>
      <c r="V124" s="2"/>
      <c r="W124" s="2"/>
      <c r="X124" s="2"/>
      <c r="Y124" s="2"/>
      <c r="Z124" s="2"/>
    </row>
    <row r="125" spans="1:26" ht="14.25" customHeight="1" x14ac:dyDescent="0.3">
      <c r="A125" s="2"/>
      <c r="B125" s="2"/>
      <c r="C125" s="2"/>
      <c r="D125" s="2"/>
      <c r="E125" s="2"/>
      <c r="F125" s="2"/>
      <c r="G125" s="3"/>
      <c r="H125" s="3"/>
      <c r="I125" s="3"/>
      <c r="J125" s="2"/>
      <c r="K125" s="2"/>
      <c r="L125" s="2"/>
      <c r="M125" s="2"/>
      <c r="N125" s="2"/>
      <c r="O125" s="2"/>
      <c r="P125" s="2"/>
      <c r="Q125" s="2"/>
      <c r="R125" s="2"/>
      <c r="S125" s="2"/>
      <c r="T125" s="2"/>
      <c r="U125" s="2"/>
      <c r="V125" s="2"/>
      <c r="W125" s="2"/>
      <c r="X125" s="2"/>
      <c r="Y125" s="2"/>
      <c r="Z125" s="2"/>
    </row>
    <row r="126" spans="1:26" ht="14.25" customHeight="1" x14ac:dyDescent="0.3">
      <c r="A126" s="2"/>
      <c r="B126" s="2"/>
      <c r="C126" s="2"/>
      <c r="D126" s="2"/>
      <c r="E126" s="2"/>
      <c r="F126" s="2"/>
      <c r="G126" s="3"/>
      <c r="H126" s="3"/>
      <c r="I126" s="3"/>
      <c r="J126" s="2"/>
      <c r="K126" s="2"/>
      <c r="L126" s="2"/>
      <c r="M126" s="2"/>
      <c r="N126" s="2"/>
      <c r="O126" s="2"/>
      <c r="P126" s="2"/>
      <c r="Q126" s="2"/>
      <c r="R126" s="2"/>
      <c r="S126" s="2"/>
      <c r="T126" s="2"/>
      <c r="U126" s="2"/>
      <c r="V126" s="2"/>
      <c r="W126" s="2"/>
      <c r="X126" s="2"/>
      <c r="Y126" s="2"/>
      <c r="Z126" s="2"/>
    </row>
    <row r="127" spans="1:26" ht="14.25" customHeight="1" x14ac:dyDescent="0.3">
      <c r="A127" s="2"/>
      <c r="B127" s="2"/>
      <c r="C127" s="2"/>
      <c r="D127" s="2"/>
      <c r="E127" s="2"/>
      <c r="F127" s="2"/>
      <c r="G127" s="3"/>
      <c r="H127" s="3"/>
      <c r="I127" s="3"/>
      <c r="J127" s="2"/>
      <c r="K127" s="2"/>
      <c r="L127" s="2"/>
      <c r="M127" s="2"/>
      <c r="N127" s="2"/>
      <c r="O127" s="2"/>
      <c r="P127" s="2"/>
      <c r="Q127" s="2"/>
      <c r="R127" s="2"/>
      <c r="S127" s="2"/>
      <c r="T127" s="2"/>
      <c r="U127" s="2"/>
      <c r="V127" s="2"/>
      <c r="W127" s="2"/>
      <c r="X127" s="2"/>
      <c r="Y127" s="2"/>
      <c r="Z127" s="2"/>
    </row>
    <row r="128" spans="1:26" ht="14.25" customHeight="1" x14ac:dyDescent="0.3">
      <c r="A128" s="2"/>
      <c r="B128" s="2"/>
      <c r="C128" s="2"/>
      <c r="D128" s="2"/>
      <c r="E128" s="2"/>
      <c r="F128" s="2"/>
      <c r="G128" s="3"/>
      <c r="H128" s="3"/>
      <c r="I128" s="3"/>
      <c r="J128" s="2"/>
      <c r="K128" s="2"/>
      <c r="L128" s="2"/>
      <c r="M128" s="2"/>
      <c r="N128" s="2"/>
      <c r="O128" s="2"/>
      <c r="P128" s="2"/>
      <c r="Q128" s="2"/>
      <c r="R128" s="2"/>
      <c r="S128" s="2"/>
      <c r="T128" s="2"/>
      <c r="U128" s="2"/>
      <c r="V128" s="2"/>
      <c r="W128" s="2"/>
      <c r="X128" s="2"/>
      <c r="Y128" s="2"/>
      <c r="Z128" s="2"/>
    </row>
    <row r="129" spans="1:26" ht="14.25" customHeight="1" x14ac:dyDescent="0.3">
      <c r="A129" s="2"/>
      <c r="B129" s="2"/>
      <c r="C129" s="2"/>
      <c r="D129" s="2"/>
      <c r="E129" s="2"/>
      <c r="F129" s="2"/>
      <c r="G129" s="3"/>
      <c r="H129" s="3"/>
      <c r="I129" s="3"/>
      <c r="J129" s="2"/>
      <c r="K129" s="2"/>
      <c r="L129" s="2"/>
      <c r="M129" s="2"/>
      <c r="N129" s="2"/>
      <c r="O129" s="2"/>
      <c r="P129" s="2"/>
      <c r="Q129" s="2"/>
      <c r="R129" s="2"/>
      <c r="S129" s="2"/>
      <c r="T129" s="2"/>
      <c r="U129" s="2"/>
      <c r="V129" s="2"/>
      <c r="W129" s="2"/>
      <c r="X129" s="2"/>
      <c r="Y129" s="2"/>
      <c r="Z129" s="2"/>
    </row>
    <row r="130" spans="1:26" ht="14.25" customHeight="1" x14ac:dyDescent="0.3">
      <c r="A130" s="2"/>
      <c r="B130" s="2"/>
      <c r="C130" s="2"/>
      <c r="D130" s="2"/>
      <c r="E130" s="2"/>
      <c r="F130" s="2"/>
      <c r="G130" s="3"/>
      <c r="H130" s="3"/>
      <c r="I130" s="3"/>
      <c r="J130" s="2"/>
      <c r="K130" s="2"/>
      <c r="L130" s="2"/>
      <c r="M130" s="2"/>
      <c r="N130" s="2"/>
      <c r="O130" s="2"/>
      <c r="P130" s="2"/>
      <c r="Q130" s="2"/>
      <c r="R130" s="2"/>
      <c r="S130" s="2"/>
      <c r="T130" s="2"/>
      <c r="U130" s="2"/>
      <c r="V130" s="2"/>
      <c r="W130" s="2"/>
      <c r="X130" s="2"/>
      <c r="Y130" s="2"/>
      <c r="Z130" s="2"/>
    </row>
    <row r="131" spans="1:26" ht="14.25" customHeight="1" x14ac:dyDescent="0.3">
      <c r="A131" s="2"/>
      <c r="B131" s="2"/>
      <c r="C131" s="2"/>
      <c r="D131" s="2"/>
      <c r="E131" s="2"/>
      <c r="F131" s="2"/>
      <c r="G131" s="3"/>
      <c r="H131" s="3"/>
      <c r="I131" s="3"/>
      <c r="J131" s="2"/>
      <c r="K131" s="2"/>
      <c r="L131" s="2"/>
      <c r="M131" s="2"/>
      <c r="N131" s="2"/>
      <c r="O131" s="2"/>
      <c r="P131" s="2"/>
      <c r="Q131" s="2"/>
      <c r="R131" s="2"/>
      <c r="S131" s="2"/>
      <c r="T131" s="2"/>
      <c r="U131" s="2"/>
      <c r="V131" s="2"/>
      <c r="W131" s="2"/>
      <c r="X131" s="2"/>
      <c r="Y131" s="2"/>
      <c r="Z131" s="2"/>
    </row>
    <row r="132" spans="1:26" ht="14.25" customHeight="1" x14ac:dyDescent="0.3">
      <c r="A132" s="2"/>
      <c r="B132" s="2"/>
      <c r="C132" s="2"/>
      <c r="D132" s="2"/>
      <c r="E132" s="2"/>
      <c r="F132" s="2"/>
      <c r="G132" s="3"/>
      <c r="H132" s="3"/>
      <c r="I132" s="3"/>
      <c r="J132" s="2"/>
      <c r="K132" s="2"/>
      <c r="L132" s="2"/>
      <c r="M132" s="2"/>
      <c r="N132" s="2"/>
      <c r="O132" s="2"/>
      <c r="P132" s="2"/>
      <c r="Q132" s="2"/>
      <c r="R132" s="2"/>
      <c r="S132" s="2"/>
      <c r="T132" s="2"/>
      <c r="U132" s="2"/>
      <c r="V132" s="2"/>
      <c r="W132" s="2"/>
      <c r="X132" s="2"/>
      <c r="Y132" s="2"/>
      <c r="Z132" s="2"/>
    </row>
    <row r="133" spans="1:26" ht="14.25" customHeight="1" x14ac:dyDescent="0.3">
      <c r="A133" s="2"/>
      <c r="B133" s="2"/>
      <c r="C133" s="2"/>
      <c r="D133" s="2"/>
      <c r="E133" s="2"/>
      <c r="F133" s="2"/>
      <c r="G133" s="3"/>
      <c r="H133" s="3"/>
      <c r="I133" s="3"/>
      <c r="J133" s="2"/>
      <c r="K133" s="2"/>
      <c r="L133" s="2"/>
      <c r="M133" s="2"/>
      <c r="N133" s="2"/>
      <c r="O133" s="2"/>
      <c r="P133" s="2"/>
      <c r="Q133" s="2"/>
      <c r="R133" s="2"/>
      <c r="S133" s="2"/>
      <c r="T133" s="2"/>
      <c r="U133" s="2"/>
      <c r="V133" s="2"/>
      <c r="W133" s="2"/>
      <c r="X133" s="2"/>
      <c r="Y133" s="2"/>
      <c r="Z133" s="2"/>
    </row>
    <row r="134" spans="1:26" ht="14.25" customHeight="1" x14ac:dyDescent="0.3">
      <c r="A134" s="2"/>
      <c r="B134" s="2"/>
      <c r="C134" s="2"/>
      <c r="D134" s="2"/>
      <c r="E134" s="2"/>
      <c r="F134" s="2"/>
      <c r="G134" s="3"/>
      <c r="H134" s="3"/>
      <c r="I134" s="3"/>
      <c r="J134" s="2"/>
      <c r="K134" s="2"/>
      <c r="L134" s="2"/>
      <c r="M134" s="2"/>
      <c r="N134" s="2"/>
      <c r="O134" s="2"/>
      <c r="P134" s="2"/>
      <c r="Q134" s="2"/>
      <c r="R134" s="2"/>
      <c r="S134" s="2"/>
      <c r="T134" s="2"/>
      <c r="U134" s="2"/>
      <c r="V134" s="2"/>
      <c r="W134" s="2"/>
      <c r="X134" s="2"/>
      <c r="Y134" s="2"/>
      <c r="Z134" s="2"/>
    </row>
    <row r="135" spans="1:26" ht="14.25" customHeight="1" x14ac:dyDescent="0.3">
      <c r="A135" s="2"/>
      <c r="B135" s="2"/>
      <c r="C135" s="2"/>
      <c r="D135" s="2"/>
      <c r="E135" s="2"/>
      <c r="F135" s="2"/>
      <c r="G135" s="3"/>
      <c r="H135" s="3"/>
      <c r="I135" s="3"/>
      <c r="J135" s="2"/>
      <c r="K135" s="2"/>
      <c r="L135" s="2"/>
      <c r="M135" s="2"/>
      <c r="N135" s="2"/>
      <c r="O135" s="2"/>
      <c r="P135" s="2"/>
      <c r="Q135" s="2"/>
      <c r="R135" s="2"/>
      <c r="S135" s="2"/>
      <c r="T135" s="2"/>
      <c r="U135" s="2"/>
      <c r="V135" s="2"/>
      <c r="W135" s="2"/>
      <c r="X135" s="2"/>
      <c r="Y135" s="2"/>
      <c r="Z135" s="2"/>
    </row>
    <row r="136" spans="1:26" ht="14.25" customHeight="1" x14ac:dyDescent="0.3">
      <c r="A136" s="2"/>
      <c r="B136" s="2"/>
      <c r="C136" s="2"/>
      <c r="D136" s="2"/>
      <c r="E136" s="2"/>
      <c r="F136" s="2"/>
      <c r="G136" s="3"/>
      <c r="H136" s="3"/>
      <c r="I136" s="3"/>
      <c r="J136" s="2"/>
      <c r="K136" s="2"/>
      <c r="L136" s="2"/>
      <c r="M136" s="2"/>
      <c r="N136" s="2"/>
      <c r="O136" s="2"/>
      <c r="P136" s="2"/>
      <c r="Q136" s="2"/>
      <c r="R136" s="2"/>
      <c r="S136" s="2"/>
      <c r="T136" s="2"/>
      <c r="U136" s="2"/>
      <c r="V136" s="2"/>
      <c r="W136" s="2"/>
      <c r="X136" s="2"/>
      <c r="Y136" s="2"/>
      <c r="Z136" s="2"/>
    </row>
    <row r="137" spans="1:26" ht="14.25" customHeight="1" x14ac:dyDescent="0.3">
      <c r="A137" s="2"/>
      <c r="B137" s="2"/>
      <c r="C137" s="2"/>
      <c r="D137" s="2"/>
      <c r="E137" s="2"/>
      <c r="F137" s="2"/>
      <c r="G137" s="3"/>
      <c r="H137" s="3"/>
      <c r="I137" s="3"/>
      <c r="J137" s="2"/>
      <c r="K137" s="2"/>
      <c r="L137" s="2"/>
      <c r="M137" s="2"/>
      <c r="N137" s="2"/>
      <c r="O137" s="2"/>
      <c r="P137" s="2"/>
      <c r="Q137" s="2"/>
      <c r="R137" s="2"/>
      <c r="S137" s="2"/>
      <c r="T137" s="2"/>
      <c r="U137" s="2"/>
      <c r="V137" s="2"/>
      <c r="W137" s="2"/>
      <c r="X137" s="2"/>
      <c r="Y137" s="2"/>
      <c r="Z137" s="2"/>
    </row>
    <row r="138" spans="1:26" ht="14.25" customHeight="1" x14ac:dyDescent="0.3">
      <c r="A138" s="2"/>
      <c r="B138" s="2"/>
      <c r="C138" s="2"/>
      <c r="D138" s="2"/>
      <c r="E138" s="2"/>
      <c r="F138" s="2"/>
      <c r="G138" s="3"/>
      <c r="H138" s="3"/>
      <c r="I138" s="3"/>
      <c r="J138" s="2"/>
      <c r="K138" s="2"/>
      <c r="L138" s="2"/>
      <c r="M138" s="2"/>
      <c r="N138" s="2"/>
      <c r="O138" s="2"/>
      <c r="P138" s="2"/>
      <c r="Q138" s="2"/>
      <c r="R138" s="2"/>
      <c r="S138" s="2"/>
      <c r="T138" s="2"/>
      <c r="U138" s="2"/>
      <c r="V138" s="2"/>
      <c r="W138" s="2"/>
      <c r="X138" s="2"/>
      <c r="Y138" s="2"/>
      <c r="Z138" s="2"/>
    </row>
    <row r="139" spans="1:26" ht="14.25" customHeight="1" x14ac:dyDescent="0.3">
      <c r="A139" s="2"/>
      <c r="B139" s="2"/>
      <c r="C139" s="2"/>
      <c r="D139" s="2"/>
      <c r="E139" s="2"/>
      <c r="F139" s="2"/>
      <c r="G139" s="3"/>
      <c r="H139" s="3"/>
      <c r="I139" s="3"/>
      <c r="J139" s="2"/>
      <c r="K139" s="2"/>
      <c r="L139" s="2"/>
      <c r="M139" s="2"/>
      <c r="N139" s="2"/>
      <c r="O139" s="2"/>
      <c r="P139" s="2"/>
      <c r="Q139" s="2"/>
      <c r="R139" s="2"/>
      <c r="S139" s="2"/>
      <c r="T139" s="2"/>
      <c r="U139" s="2"/>
      <c r="V139" s="2"/>
      <c r="W139" s="2"/>
      <c r="X139" s="2"/>
      <c r="Y139" s="2"/>
      <c r="Z139" s="2"/>
    </row>
    <row r="140" spans="1:26" ht="14.25" customHeight="1" x14ac:dyDescent="0.3">
      <c r="A140" s="2"/>
      <c r="B140" s="2"/>
      <c r="C140" s="2"/>
      <c r="D140" s="2"/>
      <c r="E140" s="2"/>
      <c r="F140" s="2"/>
      <c r="G140" s="3"/>
      <c r="H140" s="3"/>
      <c r="I140" s="3"/>
      <c r="J140" s="2"/>
      <c r="K140" s="2"/>
      <c r="L140" s="2"/>
      <c r="M140" s="2"/>
      <c r="N140" s="2"/>
      <c r="O140" s="2"/>
      <c r="P140" s="2"/>
      <c r="Q140" s="2"/>
      <c r="R140" s="2"/>
      <c r="S140" s="2"/>
      <c r="T140" s="2"/>
      <c r="U140" s="2"/>
      <c r="V140" s="2"/>
      <c r="W140" s="2"/>
      <c r="X140" s="2"/>
      <c r="Y140" s="2"/>
      <c r="Z140" s="2"/>
    </row>
    <row r="141" spans="1:26" ht="14.25" customHeight="1" x14ac:dyDescent="0.3">
      <c r="A141" s="2"/>
      <c r="B141" s="2"/>
      <c r="C141" s="2"/>
      <c r="D141" s="2"/>
      <c r="E141" s="2"/>
      <c r="F141" s="2"/>
      <c r="G141" s="3"/>
      <c r="H141" s="3"/>
      <c r="I141" s="3"/>
      <c r="J141" s="2"/>
      <c r="K141" s="2"/>
      <c r="L141" s="2"/>
      <c r="M141" s="2"/>
      <c r="N141" s="2"/>
      <c r="O141" s="2"/>
      <c r="P141" s="2"/>
      <c r="Q141" s="2"/>
      <c r="R141" s="2"/>
      <c r="S141" s="2"/>
      <c r="T141" s="2"/>
      <c r="U141" s="2"/>
      <c r="V141" s="2"/>
      <c r="W141" s="2"/>
      <c r="X141" s="2"/>
      <c r="Y141" s="2"/>
      <c r="Z141" s="2"/>
    </row>
    <row r="142" spans="1:26" ht="14.25" customHeight="1" x14ac:dyDescent="0.3">
      <c r="A142" s="2"/>
      <c r="B142" s="2"/>
      <c r="C142" s="2"/>
      <c r="D142" s="2"/>
      <c r="E142" s="2"/>
      <c r="F142" s="2"/>
      <c r="G142" s="3"/>
      <c r="H142" s="3"/>
      <c r="I142" s="3"/>
      <c r="J142" s="2"/>
      <c r="K142" s="2"/>
      <c r="L142" s="2"/>
      <c r="M142" s="2"/>
      <c r="N142" s="2"/>
      <c r="O142" s="2"/>
      <c r="P142" s="2"/>
      <c r="Q142" s="2"/>
      <c r="R142" s="2"/>
      <c r="S142" s="2"/>
      <c r="T142" s="2"/>
      <c r="U142" s="2"/>
      <c r="V142" s="2"/>
      <c r="W142" s="2"/>
      <c r="X142" s="2"/>
      <c r="Y142" s="2"/>
      <c r="Z142" s="2"/>
    </row>
    <row r="143" spans="1:26" ht="14.25" customHeight="1" x14ac:dyDescent="0.3">
      <c r="A143" s="2"/>
      <c r="B143" s="2"/>
      <c r="C143" s="2"/>
      <c r="D143" s="2"/>
      <c r="E143" s="2"/>
      <c r="F143" s="2"/>
      <c r="G143" s="3"/>
      <c r="H143" s="3"/>
      <c r="I143" s="3"/>
      <c r="J143" s="2"/>
      <c r="K143" s="2"/>
      <c r="L143" s="2"/>
      <c r="M143" s="2"/>
      <c r="N143" s="2"/>
      <c r="O143" s="2"/>
      <c r="P143" s="2"/>
      <c r="Q143" s="2"/>
      <c r="R143" s="2"/>
      <c r="S143" s="2"/>
      <c r="T143" s="2"/>
      <c r="U143" s="2"/>
      <c r="V143" s="2"/>
      <c r="W143" s="2"/>
      <c r="X143" s="2"/>
      <c r="Y143" s="2"/>
      <c r="Z143" s="2"/>
    </row>
    <row r="144" spans="1:26" ht="14.25" customHeight="1" x14ac:dyDescent="0.3">
      <c r="A144" s="2"/>
      <c r="B144" s="2"/>
      <c r="C144" s="2"/>
      <c r="D144" s="2"/>
      <c r="E144" s="2"/>
      <c r="F144" s="2"/>
      <c r="G144" s="3"/>
      <c r="H144" s="3"/>
      <c r="I144" s="3"/>
      <c r="J144" s="2"/>
      <c r="K144" s="2"/>
      <c r="L144" s="2"/>
      <c r="M144" s="2"/>
      <c r="N144" s="2"/>
      <c r="O144" s="2"/>
      <c r="P144" s="2"/>
      <c r="Q144" s="2"/>
      <c r="R144" s="2"/>
      <c r="S144" s="2"/>
      <c r="T144" s="2"/>
      <c r="U144" s="2"/>
      <c r="V144" s="2"/>
      <c r="W144" s="2"/>
      <c r="X144" s="2"/>
      <c r="Y144" s="2"/>
      <c r="Z144" s="2"/>
    </row>
    <row r="145" spans="1:26" ht="14.25" customHeight="1" x14ac:dyDescent="0.3">
      <c r="A145" s="2"/>
      <c r="B145" s="2"/>
      <c r="C145" s="2"/>
      <c r="D145" s="2"/>
      <c r="E145" s="2"/>
      <c r="F145" s="2"/>
      <c r="G145" s="3"/>
      <c r="H145" s="3"/>
      <c r="I145" s="3"/>
      <c r="J145" s="2"/>
      <c r="K145" s="2"/>
      <c r="L145" s="2"/>
      <c r="M145" s="2"/>
      <c r="N145" s="2"/>
      <c r="O145" s="2"/>
      <c r="P145" s="2"/>
      <c r="Q145" s="2"/>
      <c r="R145" s="2"/>
      <c r="S145" s="2"/>
      <c r="T145" s="2"/>
      <c r="U145" s="2"/>
      <c r="V145" s="2"/>
      <c r="W145" s="2"/>
      <c r="X145" s="2"/>
      <c r="Y145" s="2"/>
      <c r="Z145" s="2"/>
    </row>
    <row r="146" spans="1:26" ht="14.25" customHeight="1" x14ac:dyDescent="0.3">
      <c r="A146" s="2"/>
      <c r="B146" s="2"/>
      <c r="C146" s="2"/>
      <c r="D146" s="2"/>
      <c r="E146" s="2"/>
      <c r="F146" s="2"/>
      <c r="G146" s="3"/>
      <c r="H146" s="3"/>
      <c r="I146" s="3"/>
      <c r="J146" s="2"/>
      <c r="K146" s="2"/>
      <c r="L146" s="2"/>
      <c r="M146" s="2"/>
      <c r="N146" s="2"/>
      <c r="O146" s="2"/>
      <c r="P146" s="2"/>
      <c r="Q146" s="2"/>
      <c r="R146" s="2"/>
      <c r="S146" s="2"/>
      <c r="T146" s="2"/>
      <c r="U146" s="2"/>
      <c r="V146" s="2"/>
      <c r="W146" s="2"/>
      <c r="X146" s="2"/>
      <c r="Y146" s="2"/>
      <c r="Z146" s="2"/>
    </row>
    <row r="147" spans="1:26" ht="14.25" customHeight="1" x14ac:dyDescent="0.3">
      <c r="A147" s="2"/>
      <c r="B147" s="2"/>
      <c r="C147" s="2"/>
      <c r="D147" s="2"/>
      <c r="E147" s="2"/>
      <c r="F147" s="2"/>
      <c r="G147" s="3"/>
      <c r="H147" s="3"/>
      <c r="I147" s="3"/>
      <c r="J147" s="2"/>
      <c r="K147" s="2"/>
      <c r="L147" s="2"/>
      <c r="M147" s="2"/>
      <c r="N147" s="2"/>
      <c r="O147" s="2"/>
      <c r="P147" s="2"/>
      <c r="Q147" s="2"/>
      <c r="R147" s="2"/>
      <c r="S147" s="2"/>
      <c r="T147" s="2"/>
      <c r="U147" s="2"/>
      <c r="V147" s="2"/>
      <c r="W147" s="2"/>
      <c r="X147" s="2"/>
      <c r="Y147" s="2"/>
      <c r="Z147" s="2"/>
    </row>
    <row r="148" spans="1:26" ht="14.25" customHeight="1" x14ac:dyDescent="0.3">
      <c r="A148" s="2"/>
      <c r="B148" s="2"/>
      <c r="C148" s="2"/>
      <c r="D148" s="2"/>
      <c r="E148" s="2"/>
      <c r="F148" s="2"/>
      <c r="G148" s="3"/>
      <c r="H148" s="3"/>
      <c r="I148" s="3"/>
      <c r="J148" s="2"/>
      <c r="K148" s="2"/>
      <c r="L148" s="2"/>
      <c r="M148" s="2"/>
      <c r="N148" s="2"/>
      <c r="O148" s="2"/>
      <c r="P148" s="2"/>
      <c r="Q148" s="2"/>
      <c r="R148" s="2"/>
      <c r="S148" s="2"/>
      <c r="T148" s="2"/>
      <c r="U148" s="2"/>
      <c r="V148" s="2"/>
      <c r="W148" s="2"/>
      <c r="X148" s="2"/>
      <c r="Y148" s="2"/>
      <c r="Z148" s="2"/>
    </row>
    <row r="149" spans="1:26" ht="14.25" customHeight="1" x14ac:dyDescent="0.3">
      <c r="A149" s="2"/>
      <c r="B149" s="2"/>
      <c r="C149" s="2"/>
      <c r="D149" s="2"/>
      <c r="E149" s="2"/>
      <c r="F149" s="2"/>
      <c r="G149" s="3"/>
      <c r="H149" s="3"/>
      <c r="I149" s="3"/>
      <c r="J149" s="2"/>
      <c r="K149" s="2"/>
      <c r="L149" s="2"/>
      <c r="M149" s="2"/>
      <c r="N149" s="2"/>
      <c r="O149" s="2"/>
      <c r="P149" s="2"/>
      <c r="Q149" s="2"/>
      <c r="R149" s="2"/>
      <c r="S149" s="2"/>
      <c r="T149" s="2"/>
      <c r="U149" s="2"/>
      <c r="V149" s="2"/>
      <c r="W149" s="2"/>
      <c r="X149" s="2"/>
      <c r="Y149" s="2"/>
      <c r="Z149" s="2"/>
    </row>
    <row r="150" spans="1:26" ht="14.25" customHeight="1" x14ac:dyDescent="0.3">
      <c r="A150" s="2"/>
      <c r="B150" s="2"/>
      <c r="C150" s="2"/>
      <c r="D150" s="2"/>
      <c r="E150" s="2"/>
      <c r="F150" s="2"/>
      <c r="G150" s="3"/>
      <c r="H150" s="3"/>
      <c r="I150" s="3"/>
      <c r="J150" s="2"/>
      <c r="K150" s="2"/>
      <c r="L150" s="2"/>
      <c r="M150" s="2"/>
      <c r="N150" s="2"/>
      <c r="O150" s="2"/>
      <c r="P150" s="2"/>
      <c r="Q150" s="2"/>
      <c r="R150" s="2"/>
      <c r="S150" s="2"/>
      <c r="T150" s="2"/>
      <c r="U150" s="2"/>
      <c r="V150" s="2"/>
      <c r="W150" s="2"/>
      <c r="X150" s="2"/>
      <c r="Y150" s="2"/>
      <c r="Z150" s="2"/>
    </row>
    <row r="151" spans="1:26" ht="14.25" customHeight="1" x14ac:dyDescent="0.3">
      <c r="A151" s="2"/>
      <c r="B151" s="2"/>
      <c r="C151" s="2"/>
      <c r="D151" s="2"/>
      <c r="E151" s="2"/>
      <c r="F151" s="2"/>
      <c r="G151" s="3"/>
      <c r="H151" s="3"/>
      <c r="I151" s="3"/>
      <c r="J151" s="2"/>
      <c r="K151" s="2"/>
      <c r="L151" s="2"/>
      <c r="M151" s="2"/>
      <c r="N151" s="2"/>
      <c r="O151" s="2"/>
      <c r="P151" s="2"/>
      <c r="Q151" s="2"/>
      <c r="R151" s="2"/>
      <c r="S151" s="2"/>
      <c r="T151" s="2"/>
      <c r="U151" s="2"/>
      <c r="V151" s="2"/>
      <c r="W151" s="2"/>
      <c r="X151" s="2"/>
      <c r="Y151" s="2"/>
      <c r="Z151" s="2"/>
    </row>
    <row r="152" spans="1:26" ht="14.25" customHeight="1" x14ac:dyDescent="0.3">
      <c r="A152" s="2"/>
      <c r="B152" s="2"/>
      <c r="C152" s="2"/>
      <c r="D152" s="2"/>
      <c r="E152" s="2"/>
      <c r="F152" s="2"/>
      <c r="G152" s="3"/>
      <c r="H152" s="3"/>
      <c r="I152" s="3"/>
      <c r="J152" s="2"/>
      <c r="K152" s="2"/>
      <c r="L152" s="2"/>
      <c r="M152" s="2"/>
      <c r="N152" s="2"/>
      <c r="O152" s="2"/>
      <c r="P152" s="2"/>
      <c r="Q152" s="2"/>
      <c r="R152" s="2"/>
      <c r="S152" s="2"/>
      <c r="T152" s="2"/>
      <c r="U152" s="2"/>
      <c r="V152" s="2"/>
      <c r="W152" s="2"/>
      <c r="X152" s="2"/>
      <c r="Y152" s="2"/>
      <c r="Z152" s="2"/>
    </row>
    <row r="153" spans="1:26" ht="14.25" customHeight="1" x14ac:dyDescent="0.3">
      <c r="A153" s="2"/>
      <c r="B153" s="2"/>
      <c r="C153" s="2"/>
      <c r="D153" s="2"/>
      <c r="E153" s="2"/>
      <c r="F153" s="2"/>
      <c r="G153" s="3"/>
      <c r="H153" s="3"/>
      <c r="I153" s="3"/>
      <c r="J153" s="2"/>
      <c r="K153" s="2"/>
      <c r="L153" s="2"/>
      <c r="M153" s="2"/>
      <c r="N153" s="2"/>
      <c r="O153" s="2"/>
      <c r="P153" s="2"/>
      <c r="Q153" s="2"/>
      <c r="R153" s="2"/>
      <c r="S153" s="2"/>
      <c r="T153" s="2"/>
      <c r="U153" s="2"/>
      <c r="V153" s="2"/>
      <c r="W153" s="2"/>
      <c r="X153" s="2"/>
      <c r="Y153" s="2"/>
      <c r="Z153" s="2"/>
    </row>
    <row r="154" spans="1:26" ht="14.25" customHeight="1" x14ac:dyDescent="0.3">
      <c r="A154" s="2"/>
      <c r="B154" s="2"/>
      <c r="C154" s="2"/>
      <c r="D154" s="2"/>
      <c r="E154" s="2"/>
      <c r="F154" s="2"/>
      <c r="G154" s="3"/>
      <c r="H154" s="3"/>
      <c r="I154" s="3"/>
      <c r="J154" s="2"/>
      <c r="K154" s="2"/>
      <c r="L154" s="2"/>
      <c r="M154" s="2"/>
      <c r="N154" s="2"/>
      <c r="O154" s="2"/>
      <c r="P154" s="2"/>
      <c r="Q154" s="2"/>
      <c r="R154" s="2"/>
      <c r="S154" s="2"/>
      <c r="T154" s="2"/>
      <c r="U154" s="2"/>
      <c r="V154" s="2"/>
      <c r="W154" s="2"/>
      <c r="X154" s="2"/>
      <c r="Y154" s="2"/>
      <c r="Z154" s="2"/>
    </row>
    <row r="155" spans="1:26" ht="14.25" customHeight="1" x14ac:dyDescent="0.3">
      <c r="A155" s="2"/>
      <c r="B155" s="2"/>
      <c r="C155" s="2"/>
      <c r="D155" s="2"/>
      <c r="E155" s="2"/>
      <c r="F155" s="2"/>
      <c r="G155" s="3"/>
      <c r="H155" s="3"/>
      <c r="I155" s="3"/>
      <c r="J155" s="2"/>
      <c r="K155" s="2"/>
      <c r="L155" s="2"/>
      <c r="M155" s="2"/>
      <c r="N155" s="2"/>
      <c r="O155" s="2"/>
      <c r="P155" s="2"/>
      <c r="Q155" s="2"/>
      <c r="R155" s="2"/>
      <c r="S155" s="2"/>
      <c r="T155" s="2"/>
      <c r="U155" s="2"/>
      <c r="V155" s="2"/>
      <c r="W155" s="2"/>
      <c r="X155" s="2"/>
      <c r="Y155" s="2"/>
      <c r="Z155" s="2"/>
    </row>
    <row r="156" spans="1:26" ht="14.25" customHeight="1" x14ac:dyDescent="0.3">
      <c r="A156" s="2"/>
      <c r="B156" s="2"/>
      <c r="C156" s="2"/>
      <c r="D156" s="2"/>
      <c r="E156" s="2"/>
      <c r="F156" s="2"/>
      <c r="G156" s="3"/>
      <c r="H156" s="3"/>
      <c r="I156" s="3"/>
      <c r="J156" s="2"/>
      <c r="K156" s="2"/>
      <c r="L156" s="2"/>
      <c r="M156" s="2"/>
      <c r="N156" s="2"/>
      <c r="O156" s="2"/>
      <c r="P156" s="2"/>
      <c r="Q156" s="2"/>
      <c r="R156" s="2"/>
      <c r="S156" s="2"/>
      <c r="T156" s="2"/>
      <c r="U156" s="2"/>
      <c r="V156" s="2"/>
      <c r="W156" s="2"/>
      <c r="X156" s="2"/>
      <c r="Y156" s="2"/>
      <c r="Z156" s="2"/>
    </row>
    <row r="157" spans="1:26" ht="14.25" customHeight="1" x14ac:dyDescent="0.3">
      <c r="A157" s="2"/>
      <c r="B157" s="2"/>
      <c r="C157" s="2"/>
      <c r="D157" s="2"/>
      <c r="E157" s="2"/>
      <c r="F157" s="2"/>
      <c r="G157" s="3"/>
      <c r="H157" s="3"/>
      <c r="I157" s="3"/>
      <c r="J157" s="2"/>
      <c r="K157" s="2"/>
      <c r="L157" s="2"/>
      <c r="M157" s="2"/>
      <c r="N157" s="2"/>
      <c r="O157" s="2"/>
      <c r="P157" s="2"/>
      <c r="Q157" s="2"/>
      <c r="R157" s="2"/>
      <c r="S157" s="2"/>
      <c r="T157" s="2"/>
      <c r="U157" s="2"/>
      <c r="V157" s="2"/>
      <c r="W157" s="2"/>
      <c r="X157" s="2"/>
      <c r="Y157" s="2"/>
      <c r="Z157" s="2"/>
    </row>
    <row r="158" spans="1:26" ht="14.25" customHeight="1" x14ac:dyDescent="0.3">
      <c r="A158" s="2"/>
      <c r="B158" s="2"/>
      <c r="C158" s="2"/>
      <c r="D158" s="2"/>
      <c r="E158" s="2"/>
      <c r="F158" s="2"/>
      <c r="G158" s="3"/>
      <c r="H158" s="3"/>
      <c r="I158" s="3"/>
      <c r="J158" s="2"/>
      <c r="K158" s="2"/>
      <c r="L158" s="2"/>
      <c r="M158" s="2"/>
      <c r="N158" s="2"/>
      <c r="O158" s="2"/>
      <c r="P158" s="2"/>
      <c r="Q158" s="2"/>
      <c r="R158" s="2"/>
      <c r="S158" s="2"/>
      <c r="T158" s="2"/>
      <c r="U158" s="2"/>
      <c r="V158" s="2"/>
      <c r="W158" s="2"/>
      <c r="X158" s="2"/>
      <c r="Y158" s="2"/>
      <c r="Z158" s="2"/>
    </row>
    <row r="159" spans="1:26" ht="14.25" customHeight="1" x14ac:dyDescent="0.3">
      <c r="A159" s="2"/>
      <c r="B159" s="2"/>
      <c r="C159" s="2"/>
      <c r="D159" s="2"/>
      <c r="E159" s="2"/>
      <c r="F159" s="2"/>
      <c r="G159" s="3"/>
      <c r="H159" s="3"/>
      <c r="I159" s="3"/>
      <c r="J159" s="2"/>
      <c r="K159" s="2"/>
      <c r="L159" s="2"/>
      <c r="M159" s="2"/>
      <c r="N159" s="2"/>
      <c r="O159" s="2"/>
      <c r="P159" s="2"/>
      <c r="Q159" s="2"/>
      <c r="R159" s="2"/>
      <c r="S159" s="2"/>
      <c r="T159" s="2"/>
      <c r="U159" s="2"/>
      <c r="V159" s="2"/>
      <c r="W159" s="2"/>
      <c r="X159" s="2"/>
      <c r="Y159" s="2"/>
      <c r="Z159" s="2"/>
    </row>
    <row r="160" spans="1:26" ht="14.25" customHeight="1" x14ac:dyDescent="0.3">
      <c r="A160" s="2"/>
      <c r="B160" s="2"/>
      <c r="C160" s="2"/>
      <c r="D160" s="2"/>
      <c r="E160" s="2"/>
      <c r="F160" s="2"/>
      <c r="G160" s="3"/>
      <c r="H160" s="3"/>
      <c r="I160" s="3"/>
      <c r="J160" s="2"/>
      <c r="K160" s="2"/>
      <c r="L160" s="2"/>
      <c r="M160" s="2"/>
      <c r="N160" s="2"/>
      <c r="O160" s="2"/>
      <c r="P160" s="2"/>
      <c r="Q160" s="2"/>
      <c r="R160" s="2"/>
      <c r="S160" s="2"/>
      <c r="T160" s="2"/>
      <c r="U160" s="2"/>
      <c r="V160" s="2"/>
      <c r="W160" s="2"/>
      <c r="X160" s="2"/>
      <c r="Y160" s="2"/>
      <c r="Z160" s="2"/>
    </row>
    <row r="161" spans="1:26" ht="14.25" customHeight="1" x14ac:dyDescent="0.3">
      <c r="A161" s="2"/>
      <c r="B161" s="2"/>
      <c r="C161" s="2"/>
      <c r="D161" s="2"/>
      <c r="E161" s="2"/>
      <c r="F161" s="2"/>
      <c r="G161" s="3"/>
      <c r="H161" s="3"/>
      <c r="I161" s="3"/>
      <c r="J161" s="2"/>
      <c r="K161" s="2"/>
      <c r="L161" s="2"/>
      <c r="M161" s="2"/>
      <c r="N161" s="2"/>
      <c r="O161" s="2"/>
      <c r="P161" s="2"/>
      <c r="Q161" s="2"/>
      <c r="R161" s="2"/>
      <c r="S161" s="2"/>
      <c r="T161" s="2"/>
      <c r="U161" s="2"/>
      <c r="V161" s="2"/>
      <c r="W161" s="2"/>
      <c r="X161" s="2"/>
      <c r="Y161" s="2"/>
      <c r="Z161" s="2"/>
    </row>
    <row r="162" spans="1:26" ht="14.25" customHeight="1" x14ac:dyDescent="0.3">
      <c r="A162" s="2"/>
      <c r="B162" s="2"/>
      <c r="C162" s="2"/>
      <c r="D162" s="2"/>
      <c r="E162" s="2"/>
      <c r="F162" s="2"/>
      <c r="G162" s="3"/>
      <c r="H162" s="3"/>
      <c r="I162" s="3"/>
      <c r="J162" s="2"/>
      <c r="K162" s="2"/>
      <c r="L162" s="2"/>
      <c r="M162" s="2"/>
      <c r="N162" s="2"/>
      <c r="O162" s="2"/>
      <c r="P162" s="2"/>
      <c r="Q162" s="2"/>
      <c r="R162" s="2"/>
      <c r="S162" s="2"/>
      <c r="T162" s="2"/>
      <c r="U162" s="2"/>
      <c r="V162" s="2"/>
      <c r="W162" s="2"/>
      <c r="X162" s="2"/>
      <c r="Y162" s="2"/>
      <c r="Z162" s="2"/>
    </row>
    <row r="163" spans="1:26" ht="14.25" customHeight="1" x14ac:dyDescent="0.3">
      <c r="A163" s="2"/>
      <c r="B163" s="2"/>
      <c r="C163" s="2"/>
      <c r="D163" s="2"/>
      <c r="E163" s="2"/>
      <c r="F163" s="2"/>
      <c r="G163" s="3"/>
      <c r="H163" s="3"/>
      <c r="I163" s="3"/>
      <c r="J163" s="2"/>
      <c r="K163" s="2"/>
      <c r="L163" s="2"/>
      <c r="M163" s="2"/>
      <c r="N163" s="2"/>
      <c r="O163" s="2"/>
      <c r="P163" s="2"/>
      <c r="Q163" s="2"/>
      <c r="R163" s="2"/>
      <c r="S163" s="2"/>
      <c r="T163" s="2"/>
      <c r="U163" s="2"/>
      <c r="V163" s="2"/>
      <c r="W163" s="2"/>
      <c r="X163" s="2"/>
      <c r="Y163" s="2"/>
      <c r="Z163" s="2"/>
    </row>
    <row r="164" spans="1:26" ht="14.25" customHeight="1" x14ac:dyDescent="0.3">
      <c r="A164" s="2"/>
      <c r="B164" s="2"/>
      <c r="C164" s="2"/>
      <c r="D164" s="2"/>
      <c r="E164" s="2"/>
      <c r="F164" s="2"/>
      <c r="G164" s="3"/>
      <c r="H164" s="3"/>
      <c r="I164" s="3"/>
      <c r="J164" s="2"/>
      <c r="K164" s="2"/>
      <c r="L164" s="2"/>
      <c r="M164" s="2"/>
      <c r="N164" s="2"/>
      <c r="O164" s="2"/>
      <c r="P164" s="2"/>
      <c r="Q164" s="2"/>
      <c r="R164" s="2"/>
      <c r="S164" s="2"/>
      <c r="T164" s="2"/>
      <c r="U164" s="2"/>
      <c r="V164" s="2"/>
      <c r="W164" s="2"/>
      <c r="X164" s="2"/>
      <c r="Y164" s="2"/>
      <c r="Z164" s="2"/>
    </row>
    <row r="165" spans="1:26" ht="14.25" customHeight="1" x14ac:dyDescent="0.3">
      <c r="A165" s="2"/>
      <c r="B165" s="2"/>
      <c r="C165" s="2"/>
      <c r="D165" s="2"/>
      <c r="E165" s="2"/>
      <c r="F165" s="2"/>
      <c r="G165" s="3"/>
      <c r="H165" s="3"/>
      <c r="I165" s="3"/>
      <c r="J165" s="2"/>
      <c r="K165" s="2"/>
      <c r="L165" s="2"/>
      <c r="M165" s="2"/>
      <c r="N165" s="2"/>
      <c r="O165" s="2"/>
      <c r="P165" s="2"/>
      <c r="Q165" s="2"/>
      <c r="R165" s="2"/>
      <c r="S165" s="2"/>
      <c r="T165" s="2"/>
      <c r="U165" s="2"/>
      <c r="V165" s="2"/>
      <c r="W165" s="2"/>
      <c r="X165" s="2"/>
      <c r="Y165" s="2"/>
      <c r="Z165" s="2"/>
    </row>
    <row r="166" spans="1:26" ht="14.25" customHeight="1" x14ac:dyDescent="0.3">
      <c r="A166" s="2"/>
      <c r="B166" s="2"/>
      <c r="C166" s="2"/>
      <c r="D166" s="2"/>
      <c r="E166" s="2"/>
      <c r="F166" s="2"/>
      <c r="G166" s="3"/>
      <c r="H166" s="3"/>
      <c r="I166" s="3"/>
      <c r="J166" s="2"/>
      <c r="K166" s="2"/>
      <c r="L166" s="2"/>
      <c r="M166" s="2"/>
      <c r="N166" s="2"/>
      <c r="O166" s="2"/>
      <c r="P166" s="2"/>
      <c r="Q166" s="2"/>
      <c r="R166" s="2"/>
      <c r="S166" s="2"/>
      <c r="T166" s="2"/>
      <c r="U166" s="2"/>
      <c r="V166" s="2"/>
      <c r="W166" s="2"/>
      <c r="X166" s="2"/>
      <c r="Y166" s="2"/>
      <c r="Z166" s="2"/>
    </row>
    <row r="167" spans="1:26" ht="14.25" customHeight="1" x14ac:dyDescent="0.3">
      <c r="A167" s="2"/>
      <c r="B167" s="2"/>
      <c r="C167" s="2"/>
      <c r="D167" s="2"/>
      <c r="E167" s="2"/>
      <c r="F167" s="2"/>
      <c r="G167" s="3"/>
      <c r="H167" s="3"/>
      <c r="I167" s="3"/>
      <c r="J167" s="2"/>
      <c r="K167" s="2"/>
      <c r="L167" s="2"/>
      <c r="M167" s="2"/>
      <c r="N167" s="2"/>
      <c r="O167" s="2"/>
      <c r="P167" s="2"/>
      <c r="Q167" s="2"/>
      <c r="R167" s="2"/>
      <c r="S167" s="2"/>
      <c r="T167" s="2"/>
      <c r="U167" s="2"/>
      <c r="V167" s="2"/>
      <c r="W167" s="2"/>
      <c r="X167" s="2"/>
      <c r="Y167" s="2"/>
      <c r="Z167" s="2"/>
    </row>
    <row r="168" spans="1:26" ht="14.25" customHeight="1" x14ac:dyDescent="0.3">
      <c r="A168" s="2"/>
      <c r="B168" s="2"/>
      <c r="C168" s="2"/>
      <c r="D168" s="2"/>
      <c r="E168" s="2"/>
      <c r="F168" s="2"/>
      <c r="G168" s="3"/>
      <c r="H168" s="3"/>
      <c r="I168" s="3"/>
      <c r="J168" s="2"/>
      <c r="K168" s="2"/>
      <c r="L168" s="2"/>
      <c r="M168" s="2"/>
      <c r="N168" s="2"/>
      <c r="O168" s="2"/>
      <c r="P168" s="2"/>
      <c r="Q168" s="2"/>
      <c r="R168" s="2"/>
      <c r="S168" s="2"/>
      <c r="T168" s="2"/>
      <c r="U168" s="2"/>
      <c r="V168" s="2"/>
      <c r="W168" s="2"/>
      <c r="X168" s="2"/>
      <c r="Y168" s="2"/>
      <c r="Z168" s="2"/>
    </row>
    <row r="169" spans="1:26" ht="14.25" customHeight="1" x14ac:dyDescent="0.3">
      <c r="A169" s="2"/>
      <c r="B169" s="2"/>
      <c r="C169" s="2"/>
      <c r="D169" s="2"/>
      <c r="E169" s="2"/>
      <c r="F169" s="2"/>
      <c r="G169" s="3"/>
      <c r="H169" s="3"/>
      <c r="I169" s="3"/>
      <c r="J169" s="2"/>
      <c r="K169" s="2"/>
      <c r="L169" s="2"/>
      <c r="M169" s="2"/>
      <c r="N169" s="2"/>
      <c r="O169" s="2"/>
      <c r="P169" s="2"/>
      <c r="Q169" s="2"/>
      <c r="R169" s="2"/>
      <c r="S169" s="2"/>
      <c r="T169" s="2"/>
      <c r="U169" s="2"/>
      <c r="V169" s="2"/>
      <c r="W169" s="2"/>
      <c r="X169" s="2"/>
      <c r="Y169" s="2"/>
      <c r="Z169" s="2"/>
    </row>
    <row r="170" spans="1:26" ht="14.25" customHeight="1" x14ac:dyDescent="0.3">
      <c r="A170" s="2"/>
      <c r="B170" s="2"/>
      <c r="C170" s="2"/>
      <c r="D170" s="2"/>
      <c r="E170" s="2"/>
      <c r="F170" s="2"/>
      <c r="G170" s="3"/>
      <c r="H170" s="3"/>
      <c r="I170" s="3"/>
      <c r="J170" s="2"/>
      <c r="K170" s="2"/>
      <c r="L170" s="2"/>
      <c r="M170" s="2"/>
      <c r="N170" s="2"/>
      <c r="O170" s="2"/>
      <c r="P170" s="2"/>
      <c r="Q170" s="2"/>
      <c r="R170" s="2"/>
      <c r="S170" s="2"/>
      <c r="T170" s="2"/>
      <c r="U170" s="2"/>
      <c r="V170" s="2"/>
      <c r="W170" s="2"/>
      <c r="X170" s="2"/>
      <c r="Y170" s="2"/>
      <c r="Z170" s="2"/>
    </row>
    <row r="171" spans="1:26" ht="14.25" customHeight="1" x14ac:dyDescent="0.3">
      <c r="A171" s="2"/>
      <c r="B171" s="2"/>
      <c r="C171" s="2"/>
      <c r="D171" s="2"/>
      <c r="E171" s="2"/>
      <c r="F171" s="2"/>
      <c r="G171" s="3"/>
      <c r="H171" s="3"/>
      <c r="I171" s="3"/>
      <c r="J171" s="2"/>
      <c r="K171" s="2"/>
      <c r="L171" s="2"/>
      <c r="M171" s="2"/>
      <c r="N171" s="2"/>
      <c r="O171" s="2"/>
      <c r="P171" s="2"/>
      <c r="Q171" s="2"/>
      <c r="R171" s="2"/>
      <c r="S171" s="2"/>
      <c r="T171" s="2"/>
      <c r="U171" s="2"/>
      <c r="V171" s="2"/>
      <c r="W171" s="2"/>
      <c r="X171" s="2"/>
      <c r="Y171" s="2"/>
      <c r="Z171" s="2"/>
    </row>
    <row r="172" spans="1:26" ht="14.25" customHeight="1" x14ac:dyDescent="0.3">
      <c r="A172" s="2"/>
      <c r="B172" s="2"/>
      <c r="C172" s="2"/>
      <c r="D172" s="2"/>
      <c r="E172" s="2"/>
      <c r="F172" s="2"/>
      <c r="G172" s="3"/>
      <c r="H172" s="3"/>
      <c r="I172" s="3"/>
      <c r="J172" s="2"/>
      <c r="K172" s="2"/>
      <c r="L172" s="2"/>
      <c r="M172" s="2"/>
      <c r="N172" s="2"/>
      <c r="O172" s="2"/>
      <c r="P172" s="2"/>
      <c r="Q172" s="2"/>
      <c r="R172" s="2"/>
      <c r="S172" s="2"/>
      <c r="T172" s="2"/>
      <c r="U172" s="2"/>
      <c r="V172" s="2"/>
      <c r="W172" s="2"/>
      <c r="X172" s="2"/>
      <c r="Y172" s="2"/>
      <c r="Z172" s="2"/>
    </row>
    <row r="173" spans="1:26" ht="14.25" customHeight="1" x14ac:dyDescent="0.3">
      <c r="A173" s="2"/>
      <c r="B173" s="2"/>
      <c r="C173" s="2"/>
      <c r="D173" s="2"/>
      <c r="E173" s="2"/>
      <c r="F173" s="2"/>
      <c r="G173" s="3"/>
      <c r="H173" s="3"/>
      <c r="I173" s="3"/>
      <c r="J173" s="2"/>
      <c r="K173" s="2"/>
      <c r="L173" s="2"/>
      <c r="M173" s="2"/>
      <c r="N173" s="2"/>
      <c r="O173" s="2"/>
      <c r="P173" s="2"/>
      <c r="Q173" s="2"/>
      <c r="R173" s="2"/>
      <c r="S173" s="2"/>
      <c r="T173" s="2"/>
      <c r="U173" s="2"/>
      <c r="V173" s="2"/>
      <c r="W173" s="2"/>
      <c r="X173" s="2"/>
      <c r="Y173" s="2"/>
      <c r="Z173" s="2"/>
    </row>
    <row r="174" spans="1:26" ht="14.25" customHeight="1" x14ac:dyDescent="0.3">
      <c r="A174" s="2"/>
      <c r="B174" s="2"/>
      <c r="C174" s="2"/>
      <c r="D174" s="2"/>
      <c r="E174" s="2"/>
      <c r="F174" s="2"/>
      <c r="G174" s="3"/>
      <c r="H174" s="3"/>
      <c r="I174" s="3"/>
      <c r="J174" s="2"/>
      <c r="K174" s="2"/>
      <c r="L174" s="2"/>
      <c r="M174" s="2"/>
      <c r="N174" s="2"/>
      <c r="O174" s="2"/>
      <c r="P174" s="2"/>
      <c r="Q174" s="2"/>
      <c r="R174" s="2"/>
      <c r="S174" s="2"/>
      <c r="T174" s="2"/>
      <c r="U174" s="2"/>
      <c r="V174" s="2"/>
      <c r="W174" s="2"/>
      <c r="X174" s="2"/>
      <c r="Y174" s="2"/>
      <c r="Z174" s="2"/>
    </row>
    <row r="175" spans="1:26" ht="14.25" customHeight="1" x14ac:dyDescent="0.3">
      <c r="A175" s="2"/>
      <c r="B175" s="2"/>
      <c r="C175" s="2"/>
      <c r="D175" s="2"/>
      <c r="E175" s="2"/>
      <c r="F175" s="2"/>
      <c r="G175" s="3"/>
      <c r="H175" s="3"/>
      <c r="I175" s="3"/>
      <c r="J175" s="2"/>
      <c r="K175" s="2"/>
      <c r="L175" s="2"/>
      <c r="M175" s="2"/>
      <c r="N175" s="2"/>
      <c r="O175" s="2"/>
      <c r="P175" s="2"/>
      <c r="Q175" s="2"/>
      <c r="R175" s="2"/>
      <c r="S175" s="2"/>
      <c r="T175" s="2"/>
      <c r="U175" s="2"/>
      <c r="V175" s="2"/>
      <c r="W175" s="2"/>
      <c r="X175" s="2"/>
      <c r="Y175" s="2"/>
      <c r="Z175" s="2"/>
    </row>
    <row r="176" spans="1:26" ht="14.25" customHeight="1" x14ac:dyDescent="0.3">
      <c r="A176" s="2"/>
      <c r="B176" s="2"/>
      <c r="C176" s="2"/>
      <c r="D176" s="2"/>
      <c r="E176" s="2"/>
      <c r="F176" s="2"/>
      <c r="G176" s="3"/>
      <c r="H176" s="3"/>
      <c r="I176" s="3"/>
      <c r="J176" s="2"/>
      <c r="K176" s="2"/>
      <c r="L176" s="2"/>
      <c r="M176" s="2"/>
      <c r="N176" s="2"/>
      <c r="O176" s="2"/>
      <c r="P176" s="2"/>
      <c r="Q176" s="2"/>
      <c r="R176" s="2"/>
      <c r="S176" s="2"/>
      <c r="T176" s="2"/>
      <c r="U176" s="2"/>
      <c r="V176" s="2"/>
      <c r="W176" s="2"/>
      <c r="X176" s="2"/>
      <c r="Y176" s="2"/>
      <c r="Z176" s="2"/>
    </row>
    <row r="177" spans="1:26" ht="14.25" customHeight="1" x14ac:dyDescent="0.3">
      <c r="A177" s="2"/>
      <c r="B177" s="2"/>
      <c r="C177" s="2"/>
      <c r="D177" s="2"/>
      <c r="E177" s="2"/>
      <c r="F177" s="2"/>
      <c r="G177" s="3"/>
      <c r="H177" s="3"/>
      <c r="I177" s="3"/>
      <c r="J177" s="2"/>
      <c r="K177" s="2"/>
      <c r="L177" s="2"/>
      <c r="M177" s="2"/>
      <c r="N177" s="2"/>
      <c r="O177" s="2"/>
      <c r="P177" s="2"/>
      <c r="Q177" s="2"/>
      <c r="R177" s="2"/>
      <c r="S177" s="2"/>
      <c r="T177" s="2"/>
      <c r="U177" s="2"/>
      <c r="V177" s="2"/>
      <c r="W177" s="2"/>
      <c r="X177" s="2"/>
      <c r="Y177" s="2"/>
      <c r="Z177" s="2"/>
    </row>
    <row r="178" spans="1:26" ht="14.25" customHeight="1" x14ac:dyDescent="0.3">
      <c r="A178" s="2"/>
      <c r="B178" s="2"/>
      <c r="C178" s="2"/>
      <c r="D178" s="2"/>
      <c r="E178" s="2"/>
      <c r="F178" s="2"/>
      <c r="G178" s="3"/>
      <c r="H178" s="3"/>
      <c r="I178" s="3"/>
      <c r="J178" s="2"/>
      <c r="K178" s="2"/>
      <c r="L178" s="2"/>
      <c r="M178" s="2"/>
      <c r="N178" s="2"/>
      <c r="O178" s="2"/>
      <c r="P178" s="2"/>
      <c r="Q178" s="2"/>
      <c r="R178" s="2"/>
      <c r="S178" s="2"/>
      <c r="T178" s="2"/>
      <c r="U178" s="2"/>
      <c r="V178" s="2"/>
      <c r="W178" s="2"/>
      <c r="X178" s="2"/>
      <c r="Y178" s="2"/>
      <c r="Z178" s="2"/>
    </row>
    <row r="179" spans="1:26" ht="14.25" customHeight="1" x14ac:dyDescent="0.3">
      <c r="A179" s="2"/>
      <c r="B179" s="2"/>
      <c r="C179" s="2"/>
      <c r="D179" s="2"/>
      <c r="E179" s="2"/>
      <c r="F179" s="2"/>
      <c r="G179" s="3"/>
      <c r="H179" s="3"/>
      <c r="I179" s="3"/>
      <c r="J179" s="2"/>
      <c r="K179" s="2"/>
      <c r="L179" s="2"/>
      <c r="M179" s="2"/>
      <c r="N179" s="2"/>
      <c r="O179" s="2"/>
      <c r="P179" s="2"/>
      <c r="Q179" s="2"/>
      <c r="R179" s="2"/>
      <c r="S179" s="2"/>
      <c r="T179" s="2"/>
      <c r="U179" s="2"/>
      <c r="V179" s="2"/>
      <c r="W179" s="2"/>
      <c r="X179" s="2"/>
      <c r="Y179" s="2"/>
      <c r="Z179" s="2"/>
    </row>
    <row r="180" spans="1:26" ht="14.25" customHeight="1" x14ac:dyDescent="0.3">
      <c r="A180" s="2"/>
      <c r="B180" s="2"/>
      <c r="C180" s="2"/>
      <c r="D180" s="2"/>
      <c r="E180" s="2"/>
      <c r="F180" s="2"/>
      <c r="G180" s="3"/>
      <c r="H180" s="3"/>
      <c r="I180" s="3"/>
      <c r="J180" s="2"/>
      <c r="K180" s="2"/>
      <c r="L180" s="2"/>
      <c r="M180" s="2"/>
      <c r="N180" s="2"/>
      <c r="O180" s="2"/>
      <c r="P180" s="2"/>
      <c r="Q180" s="2"/>
      <c r="R180" s="2"/>
      <c r="S180" s="2"/>
      <c r="T180" s="2"/>
      <c r="U180" s="2"/>
      <c r="V180" s="2"/>
      <c r="W180" s="2"/>
      <c r="X180" s="2"/>
      <c r="Y180" s="2"/>
      <c r="Z180" s="2"/>
    </row>
    <row r="181" spans="1:26" ht="14.25" customHeight="1" x14ac:dyDescent="0.3">
      <c r="A181" s="2"/>
      <c r="B181" s="2"/>
      <c r="C181" s="2"/>
      <c r="D181" s="2"/>
      <c r="E181" s="2"/>
      <c r="F181" s="2"/>
      <c r="G181" s="3"/>
      <c r="H181" s="3"/>
      <c r="I181" s="3"/>
      <c r="J181" s="2"/>
      <c r="K181" s="2"/>
      <c r="L181" s="2"/>
      <c r="M181" s="2"/>
      <c r="N181" s="2"/>
      <c r="O181" s="2"/>
      <c r="P181" s="2"/>
      <c r="Q181" s="2"/>
      <c r="R181" s="2"/>
      <c r="S181" s="2"/>
      <c r="T181" s="2"/>
      <c r="U181" s="2"/>
      <c r="V181" s="2"/>
      <c r="W181" s="2"/>
      <c r="X181" s="2"/>
      <c r="Y181" s="2"/>
      <c r="Z181" s="2"/>
    </row>
    <row r="182" spans="1:26" ht="14.25" customHeight="1" x14ac:dyDescent="0.3">
      <c r="A182" s="2"/>
      <c r="B182" s="2"/>
      <c r="C182" s="2"/>
      <c r="D182" s="2"/>
      <c r="E182" s="2"/>
      <c r="F182" s="2"/>
      <c r="G182" s="3"/>
      <c r="H182" s="3"/>
      <c r="I182" s="3"/>
      <c r="J182" s="2"/>
      <c r="K182" s="2"/>
      <c r="L182" s="2"/>
      <c r="M182" s="2"/>
      <c r="N182" s="2"/>
      <c r="O182" s="2"/>
      <c r="P182" s="2"/>
      <c r="Q182" s="2"/>
      <c r="R182" s="2"/>
      <c r="S182" s="2"/>
      <c r="T182" s="2"/>
      <c r="U182" s="2"/>
      <c r="V182" s="2"/>
      <c r="W182" s="2"/>
      <c r="X182" s="2"/>
      <c r="Y182" s="2"/>
      <c r="Z182" s="2"/>
    </row>
    <row r="183" spans="1:26" ht="14.25" customHeight="1" x14ac:dyDescent="0.3">
      <c r="A183" s="2"/>
      <c r="B183" s="2"/>
      <c r="C183" s="2"/>
      <c r="D183" s="2"/>
      <c r="E183" s="2"/>
      <c r="F183" s="2"/>
      <c r="G183" s="3"/>
      <c r="H183" s="3"/>
      <c r="I183" s="3"/>
      <c r="J183" s="2"/>
      <c r="K183" s="2"/>
      <c r="L183" s="2"/>
      <c r="M183" s="2"/>
      <c r="N183" s="2"/>
      <c r="O183" s="2"/>
      <c r="P183" s="2"/>
      <c r="Q183" s="2"/>
      <c r="R183" s="2"/>
      <c r="S183" s="2"/>
      <c r="T183" s="2"/>
      <c r="U183" s="2"/>
      <c r="V183" s="2"/>
      <c r="W183" s="2"/>
      <c r="X183" s="2"/>
      <c r="Y183" s="2"/>
      <c r="Z183" s="2"/>
    </row>
    <row r="184" spans="1:26" ht="14.25" customHeight="1" x14ac:dyDescent="0.3">
      <c r="A184" s="2"/>
      <c r="B184" s="2"/>
      <c r="C184" s="2"/>
      <c r="D184" s="2"/>
      <c r="E184" s="2"/>
      <c r="F184" s="2"/>
      <c r="G184" s="3"/>
      <c r="H184" s="3"/>
      <c r="I184" s="3"/>
      <c r="J184" s="2"/>
      <c r="K184" s="2"/>
      <c r="L184" s="2"/>
      <c r="M184" s="2"/>
      <c r="N184" s="2"/>
      <c r="O184" s="2"/>
      <c r="P184" s="2"/>
      <c r="Q184" s="2"/>
      <c r="R184" s="2"/>
      <c r="S184" s="2"/>
      <c r="T184" s="2"/>
      <c r="U184" s="2"/>
      <c r="V184" s="2"/>
      <c r="W184" s="2"/>
      <c r="X184" s="2"/>
      <c r="Y184" s="2"/>
      <c r="Z184" s="2"/>
    </row>
    <row r="185" spans="1:26" ht="14.25" customHeight="1" x14ac:dyDescent="0.3">
      <c r="A185" s="2"/>
      <c r="B185" s="2"/>
      <c r="C185" s="2"/>
      <c r="D185" s="2"/>
      <c r="E185" s="2"/>
      <c r="F185" s="2"/>
      <c r="G185" s="3"/>
      <c r="H185" s="3"/>
      <c r="I185" s="3"/>
      <c r="J185" s="2"/>
      <c r="K185" s="2"/>
      <c r="L185" s="2"/>
      <c r="M185" s="2"/>
      <c r="N185" s="2"/>
      <c r="O185" s="2"/>
      <c r="P185" s="2"/>
      <c r="Q185" s="2"/>
      <c r="R185" s="2"/>
      <c r="S185" s="2"/>
      <c r="T185" s="2"/>
      <c r="U185" s="2"/>
      <c r="V185" s="2"/>
      <c r="W185" s="2"/>
      <c r="X185" s="2"/>
      <c r="Y185" s="2"/>
      <c r="Z185" s="2"/>
    </row>
    <row r="186" spans="1:26" ht="14.25" customHeight="1" x14ac:dyDescent="0.3">
      <c r="A186" s="2"/>
      <c r="B186" s="2"/>
      <c r="C186" s="2"/>
      <c r="D186" s="2"/>
      <c r="E186" s="2"/>
      <c r="F186" s="2"/>
      <c r="G186" s="3"/>
      <c r="H186" s="3"/>
      <c r="I186" s="3"/>
      <c r="J186" s="2"/>
      <c r="K186" s="2"/>
      <c r="L186" s="2"/>
      <c r="M186" s="2"/>
      <c r="N186" s="2"/>
      <c r="O186" s="2"/>
      <c r="P186" s="2"/>
      <c r="Q186" s="2"/>
      <c r="R186" s="2"/>
      <c r="S186" s="2"/>
      <c r="T186" s="2"/>
      <c r="U186" s="2"/>
      <c r="V186" s="2"/>
      <c r="W186" s="2"/>
      <c r="X186" s="2"/>
      <c r="Y186" s="2"/>
      <c r="Z186" s="2"/>
    </row>
    <row r="187" spans="1:26" ht="14.25" customHeight="1" x14ac:dyDescent="0.3">
      <c r="A187" s="2"/>
      <c r="B187" s="2"/>
      <c r="C187" s="2"/>
      <c r="D187" s="2"/>
      <c r="E187" s="2"/>
      <c r="F187" s="2"/>
      <c r="G187" s="3"/>
      <c r="H187" s="3"/>
      <c r="I187" s="3"/>
      <c r="J187" s="2"/>
      <c r="K187" s="2"/>
      <c r="L187" s="2"/>
      <c r="M187" s="2"/>
      <c r="N187" s="2"/>
      <c r="O187" s="2"/>
      <c r="P187" s="2"/>
      <c r="Q187" s="2"/>
      <c r="R187" s="2"/>
      <c r="S187" s="2"/>
      <c r="T187" s="2"/>
      <c r="U187" s="2"/>
      <c r="V187" s="2"/>
      <c r="W187" s="2"/>
      <c r="X187" s="2"/>
      <c r="Y187" s="2"/>
      <c r="Z187" s="2"/>
    </row>
    <row r="188" spans="1:26" ht="14.25" customHeight="1" x14ac:dyDescent="0.3">
      <c r="A188" s="2"/>
      <c r="B188" s="2"/>
      <c r="C188" s="2"/>
      <c r="D188" s="2"/>
      <c r="E188" s="2"/>
      <c r="F188" s="2"/>
      <c r="G188" s="3"/>
      <c r="H188" s="3"/>
      <c r="I188" s="3"/>
      <c r="J188" s="2"/>
      <c r="K188" s="2"/>
      <c r="L188" s="2"/>
      <c r="M188" s="2"/>
      <c r="N188" s="2"/>
      <c r="O188" s="2"/>
      <c r="P188" s="2"/>
      <c r="Q188" s="2"/>
      <c r="R188" s="2"/>
      <c r="S188" s="2"/>
      <c r="T188" s="2"/>
      <c r="U188" s="2"/>
      <c r="V188" s="2"/>
      <c r="W188" s="2"/>
      <c r="X188" s="2"/>
      <c r="Y188" s="2"/>
      <c r="Z188" s="2"/>
    </row>
    <row r="189" spans="1:26" ht="14.25" customHeight="1" x14ac:dyDescent="0.3">
      <c r="A189" s="2"/>
      <c r="B189" s="2"/>
      <c r="C189" s="2"/>
      <c r="D189" s="2"/>
      <c r="E189" s="2"/>
      <c r="F189" s="2"/>
      <c r="G189" s="3"/>
      <c r="H189" s="3"/>
      <c r="I189" s="3"/>
      <c r="J189" s="2"/>
      <c r="K189" s="2"/>
      <c r="L189" s="2"/>
      <c r="M189" s="2"/>
      <c r="N189" s="2"/>
      <c r="O189" s="2"/>
      <c r="P189" s="2"/>
      <c r="Q189" s="2"/>
      <c r="R189" s="2"/>
      <c r="S189" s="2"/>
      <c r="T189" s="2"/>
      <c r="U189" s="2"/>
      <c r="V189" s="2"/>
      <c r="W189" s="2"/>
      <c r="X189" s="2"/>
      <c r="Y189" s="2"/>
      <c r="Z189" s="2"/>
    </row>
    <row r="190" spans="1:26" ht="14.25" customHeight="1" x14ac:dyDescent="0.3">
      <c r="A190" s="2"/>
      <c r="B190" s="2"/>
      <c r="C190" s="2"/>
      <c r="D190" s="2"/>
      <c r="E190" s="2"/>
      <c r="F190" s="2"/>
      <c r="G190" s="3"/>
      <c r="H190" s="3"/>
      <c r="I190" s="3"/>
      <c r="J190" s="2"/>
      <c r="K190" s="2"/>
      <c r="L190" s="2"/>
      <c r="M190" s="2"/>
      <c r="N190" s="2"/>
      <c r="O190" s="2"/>
      <c r="P190" s="2"/>
      <c r="Q190" s="2"/>
      <c r="R190" s="2"/>
      <c r="S190" s="2"/>
      <c r="T190" s="2"/>
      <c r="U190" s="2"/>
      <c r="V190" s="2"/>
      <c r="W190" s="2"/>
      <c r="X190" s="2"/>
      <c r="Y190" s="2"/>
      <c r="Z190" s="2"/>
    </row>
    <row r="191" spans="1:26" ht="14.25" customHeight="1" x14ac:dyDescent="0.3">
      <c r="A191" s="2"/>
      <c r="B191" s="2"/>
      <c r="C191" s="2"/>
      <c r="D191" s="2"/>
      <c r="E191" s="2"/>
      <c r="F191" s="2"/>
      <c r="G191" s="3"/>
      <c r="H191" s="3"/>
      <c r="I191" s="3"/>
      <c r="J191" s="2"/>
      <c r="K191" s="2"/>
      <c r="L191" s="2"/>
      <c r="M191" s="2"/>
      <c r="N191" s="2"/>
      <c r="O191" s="2"/>
      <c r="P191" s="2"/>
      <c r="Q191" s="2"/>
      <c r="R191" s="2"/>
      <c r="S191" s="2"/>
      <c r="T191" s="2"/>
      <c r="U191" s="2"/>
      <c r="V191" s="2"/>
      <c r="W191" s="2"/>
      <c r="X191" s="2"/>
      <c r="Y191" s="2"/>
      <c r="Z191" s="2"/>
    </row>
    <row r="192" spans="1:26" ht="14.25" customHeight="1" x14ac:dyDescent="0.3">
      <c r="A192" s="2"/>
      <c r="B192" s="2"/>
      <c r="C192" s="2"/>
      <c r="D192" s="2"/>
      <c r="E192" s="2"/>
      <c r="F192" s="2"/>
      <c r="G192" s="3"/>
      <c r="H192" s="3"/>
      <c r="I192" s="3"/>
      <c r="J192" s="2"/>
      <c r="K192" s="2"/>
      <c r="L192" s="2"/>
      <c r="M192" s="2"/>
      <c r="N192" s="2"/>
      <c r="O192" s="2"/>
      <c r="P192" s="2"/>
      <c r="Q192" s="2"/>
      <c r="R192" s="2"/>
      <c r="S192" s="2"/>
      <c r="T192" s="2"/>
      <c r="U192" s="2"/>
      <c r="V192" s="2"/>
      <c r="W192" s="2"/>
      <c r="X192" s="2"/>
      <c r="Y192" s="2"/>
      <c r="Z192" s="2"/>
    </row>
    <row r="193" spans="1:26" ht="14.25" customHeight="1" x14ac:dyDescent="0.3">
      <c r="A193" s="2"/>
      <c r="B193" s="2"/>
      <c r="C193" s="2"/>
      <c r="D193" s="2"/>
      <c r="E193" s="2"/>
      <c r="F193" s="2"/>
      <c r="G193" s="3"/>
      <c r="H193" s="3"/>
      <c r="I193" s="3"/>
      <c r="J193" s="2"/>
      <c r="K193" s="2"/>
      <c r="L193" s="2"/>
      <c r="M193" s="2"/>
      <c r="N193" s="2"/>
      <c r="O193" s="2"/>
      <c r="P193" s="2"/>
      <c r="Q193" s="2"/>
      <c r="R193" s="2"/>
      <c r="S193" s="2"/>
      <c r="T193" s="2"/>
      <c r="U193" s="2"/>
      <c r="V193" s="2"/>
      <c r="W193" s="2"/>
      <c r="X193" s="2"/>
      <c r="Y193" s="2"/>
      <c r="Z193" s="2"/>
    </row>
    <row r="194" spans="1:26" ht="14.25" customHeight="1" x14ac:dyDescent="0.3">
      <c r="A194" s="2"/>
      <c r="B194" s="2"/>
      <c r="C194" s="2"/>
      <c r="D194" s="2"/>
      <c r="E194" s="2"/>
      <c r="F194" s="2"/>
      <c r="G194" s="3"/>
      <c r="H194" s="3"/>
      <c r="I194" s="3"/>
      <c r="J194" s="2"/>
      <c r="K194" s="2"/>
      <c r="L194" s="2"/>
      <c r="M194" s="2"/>
      <c r="N194" s="2"/>
      <c r="O194" s="2"/>
      <c r="P194" s="2"/>
      <c r="Q194" s="2"/>
      <c r="R194" s="2"/>
      <c r="S194" s="2"/>
      <c r="T194" s="2"/>
      <c r="U194" s="2"/>
      <c r="V194" s="2"/>
      <c r="W194" s="2"/>
      <c r="X194" s="2"/>
      <c r="Y194" s="2"/>
      <c r="Z194" s="2"/>
    </row>
    <row r="195" spans="1:26" ht="14.25" customHeight="1" x14ac:dyDescent="0.3">
      <c r="A195" s="2"/>
      <c r="B195" s="2"/>
      <c r="C195" s="2"/>
      <c r="D195" s="2"/>
      <c r="E195" s="2"/>
      <c r="F195" s="2"/>
      <c r="G195" s="3"/>
      <c r="H195" s="3"/>
      <c r="I195" s="3"/>
      <c r="J195" s="2"/>
      <c r="K195" s="2"/>
      <c r="L195" s="2"/>
      <c r="M195" s="2"/>
      <c r="N195" s="2"/>
      <c r="O195" s="2"/>
      <c r="P195" s="2"/>
      <c r="Q195" s="2"/>
      <c r="R195" s="2"/>
      <c r="S195" s="2"/>
      <c r="T195" s="2"/>
      <c r="U195" s="2"/>
      <c r="V195" s="2"/>
      <c r="W195" s="2"/>
      <c r="X195" s="2"/>
      <c r="Y195" s="2"/>
      <c r="Z195" s="2"/>
    </row>
    <row r="196" spans="1:26" ht="14.25" customHeight="1" x14ac:dyDescent="0.3">
      <c r="A196" s="2"/>
      <c r="B196" s="2"/>
      <c r="C196" s="2"/>
      <c r="D196" s="2"/>
      <c r="E196" s="2"/>
      <c r="F196" s="2"/>
      <c r="G196" s="3"/>
      <c r="H196" s="3"/>
      <c r="I196" s="3"/>
      <c r="J196" s="2"/>
      <c r="K196" s="2"/>
      <c r="L196" s="2"/>
      <c r="M196" s="2"/>
      <c r="N196" s="2"/>
      <c r="O196" s="2"/>
      <c r="P196" s="2"/>
      <c r="Q196" s="2"/>
      <c r="R196" s="2"/>
      <c r="S196" s="2"/>
      <c r="T196" s="2"/>
      <c r="U196" s="2"/>
      <c r="V196" s="2"/>
      <c r="W196" s="2"/>
      <c r="X196" s="2"/>
      <c r="Y196" s="2"/>
      <c r="Z196" s="2"/>
    </row>
    <row r="197" spans="1:26" ht="14.25" customHeight="1" x14ac:dyDescent="0.3">
      <c r="A197" s="2"/>
      <c r="B197" s="2"/>
      <c r="C197" s="2"/>
      <c r="D197" s="2"/>
      <c r="E197" s="2"/>
      <c r="F197" s="2"/>
      <c r="G197" s="3"/>
      <c r="H197" s="3"/>
      <c r="I197" s="3"/>
      <c r="J197" s="2"/>
      <c r="K197" s="2"/>
      <c r="L197" s="2"/>
      <c r="M197" s="2"/>
      <c r="N197" s="2"/>
      <c r="O197" s="2"/>
      <c r="P197" s="2"/>
      <c r="Q197" s="2"/>
      <c r="R197" s="2"/>
      <c r="S197" s="2"/>
      <c r="T197" s="2"/>
      <c r="U197" s="2"/>
      <c r="V197" s="2"/>
      <c r="W197" s="2"/>
      <c r="X197" s="2"/>
      <c r="Y197" s="2"/>
      <c r="Z197" s="2"/>
    </row>
    <row r="198" spans="1:26" ht="14.25" customHeight="1" x14ac:dyDescent="0.3">
      <c r="A198" s="2"/>
      <c r="B198" s="2"/>
      <c r="C198" s="2"/>
      <c r="D198" s="2"/>
      <c r="E198" s="2"/>
      <c r="F198" s="2"/>
      <c r="G198" s="3"/>
      <c r="H198" s="3"/>
      <c r="I198" s="3"/>
      <c r="J198" s="2"/>
      <c r="K198" s="2"/>
      <c r="L198" s="2"/>
      <c r="M198" s="2"/>
      <c r="N198" s="2"/>
      <c r="O198" s="2"/>
      <c r="P198" s="2"/>
      <c r="Q198" s="2"/>
      <c r="R198" s="2"/>
      <c r="S198" s="2"/>
      <c r="T198" s="2"/>
      <c r="U198" s="2"/>
      <c r="V198" s="2"/>
      <c r="W198" s="2"/>
      <c r="X198" s="2"/>
      <c r="Y198" s="2"/>
      <c r="Z198" s="2"/>
    </row>
    <row r="199" spans="1:26" ht="14.25" customHeight="1" x14ac:dyDescent="0.3">
      <c r="A199" s="2"/>
      <c r="B199" s="2"/>
      <c r="C199" s="2"/>
      <c r="D199" s="2"/>
      <c r="E199" s="2"/>
      <c r="F199" s="2"/>
      <c r="G199" s="3"/>
      <c r="H199" s="3"/>
      <c r="I199" s="3"/>
      <c r="J199" s="2"/>
      <c r="K199" s="2"/>
      <c r="L199" s="2"/>
      <c r="M199" s="2"/>
      <c r="N199" s="2"/>
      <c r="O199" s="2"/>
      <c r="P199" s="2"/>
      <c r="Q199" s="2"/>
      <c r="R199" s="2"/>
      <c r="S199" s="2"/>
      <c r="T199" s="2"/>
      <c r="U199" s="2"/>
      <c r="V199" s="2"/>
      <c r="W199" s="2"/>
      <c r="X199" s="2"/>
      <c r="Y199" s="2"/>
      <c r="Z199" s="2"/>
    </row>
    <row r="200" spans="1:26" ht="14.25" customHeight="1" x14ac:dyDescent="0.3">
      <c r="A200" s="2"/>
      <c r="B200" s="2"/>
      <c r="C200" s="2"/>
      <c r="D200" s="2"/>
      <c r="E200" s="2"/>
      <c r="F200" s="2"/>
      <c r="G200" s="3"/>
      <c r="H200" s="3"/>
      <c r="I200" s="3"/>
      <c r="J200" s="2"/>
      <c r="K200" s="2"/>
      <c r="L200" s="2"/>
      <c r="M200" s="2"/>
      <c r="N200" s="2"/>
      <c r="O200" s="2"/>
      <c r="P200" s="2"/>
      <c r="Q200" s="2"/>
      <c r="R200" s="2"/>
      <c r="S200" s="2"/>
      <c r="T200" s="2"/>
      <c r="U200" s="2"/>
      <c r="V200" s="2"/>
      <c r="W200" s="2"/>
      <c r="X200" s="2"/>
      <c r="Y200" s="2"/>
      <c r="Z200" s="2"/>
    </row>
    <row r="201" spans="1:26" ht="14.25" customHeight="1" x14ac:dyDescent="0.3">
      <c r="A201" s="2"/>
      <c r="B201" s="2"/>
      <c r="C201" s="2"/>
      <c r="D201" s="2"/>
      <c r="E201" s="2"/>
      <c r="F201" s="2"/>
      <c r="G201" s="3"/>
      <c r="H201" s="3"/>
      <c r="I201" s="3"/>
      <c r="J201" s="2"/>
      <c r="K201" s="2"/>
      <c r="L201" s="2"/>
      <c r="M201" s="2"/>
      <c r="N201" s="2"/>
      <c r="O201" s="2"/>
      <c r="P201" s="2"/>
      <c r="Q201" s="2"/>
      <c r="R201" s="2"/>
      <c r="S201" s="2"/>
      <c r="T201" s="2"/>
      <c r="U201" s="2"/>
      <c r="V201" s="2"/>
      <c r="W201" s="2"/>
      <c r="X201" s="2"/>
      <c r="Y201" s="2"/>
      <c r="Z201" s="2"/>
    </row>
    <row r="202" spans="1:26" ht="14.25" customHeight="1" x14ac:dyDescent="0.3">
      <c r="A202" s="2"/>
      <c r="B202" s="2"/>
      <c r="C202" s="2"/>
      <c r="D202" s="2"/>
      <c r="E202" s="2"/>
      <c r="F202" s="2"/>
      <c r="G202" s="3"/>
      <c r="H202" s="3"/>
      <c r="I202" s="3"/>
      <c r="J202" s="2"/>
      <c r="K202" s="2"/>
      <c r="L202" s="2"/>
      <c r="M202" s="2"/>
      <c r="N202" s="2"/>
      <c r="O202" s="2"/>
      <c r="P202" s="2"/>
      <c r="Q202" s="2"/>
      <c r="R202" s="2"/>
      <c r="S202" s="2"/>
      <c r="T202" s="2"/>
      <c r="U202" s="2"/>
      <c r="V202" s="2"/>
      <c r="W202" s="2"/>
      <c r="X202" s="2"/>
      <c r="Y202" s="2"/>
      <c r="Z202" s="2"/>
    </row>
    <row r="203" spans="1:26" ht="14.25" customHeight="1" x14ac:dyDescent="0.3">
      <c r="A203" s="2"/>
      <c r="B203" s="2"/>
      <c r="C203" s="2"/>
      <c r="D203" s="2"/>
      <c r="E203" s="2"/>
      <c r="F203" s="2"/>
      <c r="G203" s="3"/>
      <c r="H203" s="3"/>
      <c r="I203" s="3"/>
      <c r="J203" s="2"/>
      <c r="K203" s="2"/>
      <c r="L203" s="2"/>
      <c r="M203" s="2"/>
      <c r="N203" s="2"/>
      <c r="O203" s="2"/>
      <c r="P203" s="2"/>
      <c r="Q203" s="2"/>
      <c r="R203" s="2"/>
      <c r="S203" s="2"/>
      <c r="T203" s="2"/>
      <c r="U203" s="2"/>
      <c r="V203" s="2"/>
      <c r="W203" s="2"/>
      <c r="X203" s="2"/>
      <c r="Y203" s="2"/>
      <c r="Z203" s="2"/>
    </row>
    <row r="204" spans="1:26" ht="14.25" customHeight="1" x14ac:dyDescent="0.3">
      <c r="A204" s="2"/>
      <c r="B204" s="2"/>
      <c r="C204" s="2"/>
      <c r="D204" s="2"/>
      <c r="E204" s="2"/>
      <c r="F204" s="2"/>
      <c r="G204" s="3"/>
      <c r="H204" s="3"/>
      <c r="I204" s="3"/>
      <c r="J204" s="2"/>
      <c r="K204" s="2"/>
      <c r="L204" s="2"/>
      <c r="M204" s="2"/>
      <c r="N204" s="2"/>
      <c r="O204" s="2"/>
      <c r="P204" s="2"/>
      <c r="Q204" s="2"/>
      <c r="R204" s="2"/>
      <c r="S204" s="2"/>
      <c r="T204" s="2"/>
      <c r="U204" s="2"/>
      <c r="V204" s="2"/>
      <c r="W204" s="2"/>
      <c r="X204" s="2"/>
      <c r="Y204" s="2"/>
      <c r="Z204" s="2"/>
    </row>
    <row r="205" spans="1:26" ht="14.25" customHeight="1" x14ac:dyDescent="0.3">
      <c r="A205" s="2"/>
      <c r="B205" s="2"/>
      <c r="C205" s="2"/>
      <c r="D205" s="2"/>
      <c r="E205" s="2"/>
      <c r="F205" s="2"/>
      <c r="G205" s="3"/>
      <c r="H205" s="3"/>
      <c r="I205" s="3"/>
      <c r="J205" s="2"/>
      <c r="K205" s="2"/>
      <c r="L205" s="2"/>
      <c r="M205" s="2"/>
      <c r="N205" s="2"/>
      <c r="O205" s="2"/>
      <c r="P205" s="2"/>
      <c r="Q205" s="2"/>
      <c r="R205" s="2"/>
      <c r="S205" s="2"/>
      <c r="T205" s="2"/>
      <c r="U205" s="2"/>
      <c r="V205" s="2"/>
      <c r="W205" s="2"/>
      <c r="X205" s="2"/>
      <c r="Y205" s="2"/>
      <c r="Z205" s="2"/>
    </row>
    <row r="206" spans="1:26" ht="14.25" customHeight="1" x14ac:dyDescent="0.3">
      <c r="A206" s="2"/>
      <c r="B206" s="2"/>
      <c r="C206" s="2"/>
      <c r="D206" s="2"/>
      <c r="E206" s="2"/>
      <c r="F206" s="2"/>
      <c r="G206" s="3"/>
      <c r="H206" s="3"/>
      <c r="I206" s="3"/>
      <c r="J206" s="2"/>
      <c r="K206" s="2"/>
      <c r="L206" s="2"/>
      <c r="M206" s="2"/>
      <c r="N206" s="2"/>
      <c r="O206" s="2"/>
      <c r="P206" s="2"/>
      <c r="Q206" s="2"/>
      <c r="R206" s="2"/>
      <c r="S206" s="2"/>
      <c r="T206" s="2"/>
      <c r="U206" s="2"/>
      <c r="V206" s="2"/>
      <c r="W206" s="2"/>
      <c r="X206" s="2"/>
      <c r="Y206" s="2"/>
      <c r="Z206" s="2"/>
    </row>
    <row r="207" spans="1:26" ht="14.25" customHeight="1" x14ac:dyDescent="0.3">
      <c r="A207" s="2"/>
      <c r="B207" s="2"/>
      <c r="C207" s="2"/>
      <c r="D207" s="2"/>
      <c r="E207" s="2"/>
      <c r="F207" s="2"/>
      <c r="G207" s="3"/>
      <c r="H207" s="3"/>
      <c r="I207" s="3"/>
      <c r="J207" s="2"/>
      <c r="K207" s="2"/>
      <c r="L207" s="2"/>
      <c r="M207" s="2"/>
      <c r="N207" s="2"/>
      <c r="O207" s="2"/>
      <c r="P207" s="2"/>
      <c r="Q207" s="2"/>
      <c r="R207" s="2"/>
      <c r="S207" s="2"/>
      <c r="T207" s="2"/>
      <c r="U207" s="2"/>
      <c r="V207" s="2"/>
      <c r="W207" s="2"/>
      <c r="X207" s="2"/>
      <c r="Y207" s="2"/>
      <c r="Z207" s="2"/>
    </row>
    <row r="208" spans="1:26" ht="14.25" customHeight="1" x14ac:dyDescent="0.3">
      <c r="A208" s="2"/>
      <c r="B208" s="2"/>
      <c r="C208" s="2"/>
      <c r="D208" s="2"/>
      <c r="E208" s="2"/>
      <c r="F208" s="2"/>
      <c r="G208" s="3"/>
      <c r="H208" s="3"/>
      <c r="I208" s="3"/>
      <c r="J208" s="2"/>
      <c r="K208" s="2"/>
      <c r="L208" s="2"/>
      <c r="M208" s="2"/>
      <c r="N208" s="2"/>
      <c r="O208" s="2"/>
      <c r="P208" s="2"/>
      <c r="Q208" s="2"/>
      <c r="R208" s="2"/>
      <c r="S208" s="2"/>
      <c r="T208" s="2"/>
      <c r="U208" s="2"/>
      <c r="V208" s="2"/>
      <c r="W208" s="2"/>
      <c r="X208" s="2"/>
      <c r="Y208" s="2"/>
      <c r="Z208" s="2"/>
    </row>
    <row r="209" spans="1:26" ht="14.25" customHeight="1" x14ac:dyDescent="0.3">
      <c r="A209" s="2"/>
      <c r="B209" s="2"/>
      <c r="C209" s="2"/>
      <c r="D209" s="2"/>
      <c r="E209" s="2"/>
      <c r="F209" s="2"/>
      <c r="G209" s="3"/>
      <c r="H209" s="3"/>
      <c r="I209" s="3"/>
      <c r="J209" s="2"/>
      <c r="K209" s="2"/>
      <c r="L209" s="2"/>
      <c r="M209" s="2"/>
      <c r="N209" s="2"/>
      <c r="O209" s="2"/>
      <c r="P209" s="2"/>
      <c r="Q209" s="2"/>
      <c r="R209" s="2"/>
      <c r="S209" s="2"/>
      <c r="T209" s="2"/>
      <c r="U209" s="2"/>
      <c r="V209" s="2"/>
      <c r="W209" s="2"/>
      <c r="X209" s="2"/>
      <c r="Y209" s="2"/>
      <c r="Z209" s="2"/>
    </row>
    <row r="210" spans="1:26" ht="14.25" customHeight="1" x14ac:dyDescent="0.3">
      <c r="A210" s="2"/>
      <c r="B210" s="2"/>
      <c r="C210" s="2"/>
      <c r="D210" s="2"/>
      <c r="E210" s="2"/>
      <c r="F210" s="2"/>
      <c r="G210" s="3"/>
      <c r="H210" s="3"/>
      <c r="I210" s="3"/>
      <c r="J210" s="2"/>
      <c r="K210" s="2"/>
      <c r="L210" s="2"/>
      <c r="M210" s="2"/>
      <c r="N210" s="2"/>
      <c r="O210" s="2"/>
      <c r="P210" s="2"/>
      <c r="Q210" s="2"/>
      <c r="R210" s="2"/>
      <c r="S210" s="2"/>
      <c r="T210" s="2"/>
      <c r="U210" s="2"/>
      <c r="V210" s="2"/>
      <c r="W210" s="2"/>
      <c r="X210" s="2"/>
      <c r="Y210" s="2"/>
      <c r="Z210" s="2"/>
    </row>
    <row r="211" spans="1:26" ht="14.25" customHeight="1" x14ac:dyDescent="0.3">
      <c r="A211" s="2"/>
      <c r="B211" s="2"/>
      <c r="C211" s="2"/>
      <c r="D211" s="2"/>
      <c r="E211" s="2"/>
      <c r="F211" s="2"/>
      <c r="G211" s="3"/>
      <c r="H211" s="3"/>
      <c r="I211" s="3"/>
      <c r="J211" s="2"/>
      <c r="K211" s="2"/>
      <c r="L211" s="2"/>
      <c r="M211" s="2"/>
      <c r="N211" s="2"/>
      <c r="O211" s="2"/>
      <c r="P211" s="2"/>
      <c r="Q211" s="2"/>
      <c r="R211" s="2"/>
      <c r="S211" s="2"/>
      <c r="T211" s="2"/>
      <c r="U211" s="2"/>
      <c r="V211" s="2"/>
      <c r="W211" s="2"/>
      <c r="X211" s="2"/>
      <c r="Y211" s="2"/>
      <c r="Z211" s="2"/>
    </row>
    <row r="212" spans="1:26" ht="14.25" customHeight="1" x14ac:dyDescent="0.3">
      <c r="A212" s="2"/>
      <c r="B212" s="2"/>
      <c r="C212" s="2"/>
      <c r="D212" s="2"/>
      <c r="E212" s="2"/>
      <c r="F212" s="2"/>
      <c r="G212" s="3"/>
      <c r="H212" s="3"/>
      <c r="I212" s="3"/>
      <c r="J212" s="2"/>
      <c r="K212" s="2"/>
      <c r="L212" s="2"/>
      <c r="M212" s="2"/>
      <c r="N212" s="2"/>
      <c r="O212" s="2"/>
      <c r="P212" s="2"/>
      <c r="Q212" s="2"/>
      <c r="R212" s="2"/>
      <c r="S212" s="2"/>
      <c r="T212" s="2"/>
      <c r="U212" s="2"/>
      <c r="V212" s="2"/>
      <c r="W212" s="2"/>
      <c r="X212" s="2"/>
      <c r="Y212" s="2"/>
      <c r="Z212" s="2"/>
    </row>
    <row r="213" spans="1:26" ht="14.25" customHeight="1" x14ac:dyDescent="0.3">
      <c r="A213" s="2"/>
      <c r="B213" s="2"/>
      <c r="C213" s="2"/>
      <c r="D213" s="2"/>
      <c r="E213" s="2"/>
      <c r="F213" s="2"/>
      <c r="G213" s="3"/>
      <c r="H213" s="3"/>
      <c r="I213" s="3"/>
      <c r="J213" s="2"/>
      <c r="K213" s="2"/>
      <c r="L213" s="2"/>
      <c r="M213" s="2"/>
      <c r="N213" s="2"/>
      <c r="O213" s="2"/>
      <c r="P213" s="2"/>
      <c r="Q213" s="2"/>
      <c r="R213" s="2"/>
      <c r="S213" s="2"/>
      <c r="T213" s="2"/>
      <c r="U213" s="2"/>
      <c r="V213" s="2"/>
      <c r="W213" s="2"/>
      <c r="X213" s="2"/>
      <c r="Y213" s="2"/>
      <c r="Z213" s="2"/>
    </row>
    <row r="214" spans="1:26" ht="14.25" customHeight="1" x14ac:dyDescent="0.3">
      <c r="A214" s="2"/>
      <c r="B214" s="2"/>
      <c r="C214" s="2"/>
      <c r="D214" s="2"/>
      <c r="E214" s="2"/>
      <c r="F214" s="2"/>
      <c r="G214" s="3"/>
      <c r="H214" s="3"/>
      <c r="I214" s="3"/>
      <c r="J214" s="2"/>
      <c r="K214" s="2"/>
      <c r="L214" s="2"/>
      <c r="M214" s="2"/>
      <c r="N214" s="2"/>
      <c r="O214" s="2"/>
      <c r="P214" s="2"/>
      <c r="Q214" s="2"/>
      <c r="R214" s="2"/>
      <c r="S214" s="2"/>
      <c r="T214" s="2"/>
      <c r="U214" s="2"/>
      <c r="V214" s="2"/>
      <c r="W214" s="2"/>
      <c r="X214" s="2"/>
      <c r="Y214" s="2"/>
      <c r="Z214" s="2"/>
    </row>
    <row r="215" spans="1:26" ht="14.25" customHeight="1" x14ac:dyDescent="0.3">
      <c r="A215" s="2"/>
      <c r="B215" s="2"/>
      <c r="C215" s="2"/>
      <c r="D215" s="2"/>
      <c r="E215" s="2"/>
      <c r="F215" s="2"/>
      <c r="G215" s="3"/>
      <c r="H215" s="3"/>
      <c r="I215" s="3"/>
      <c r="J215" s="2"/>
      <c r="K215" s="2"/>
      <c r="L215" s="2"/>
      <c r="M215" s="2"/>
      <c r="N215" s="2"/>
      <c r="O215" s="2"/>
      <c r="P215" s="2"/>
      <c r="Q215" s="2"/>
      <c r="R215" s="2"/>
      <c r="S215" s="2"/>
      <c r="T215" s="2"/>
      <c r="U215" s="2"/>
      <c r="V215" s="2"/>
      <c r="W215" s="2"/>
      <c r="X215" s="2"/>
      <c r="Y215" s="2"/>
      <c r="Z215" s="2"/>
    </row>
    <row r="216" spans="1:26" ht="14.25" customHeight="1" x14ac:dyDescent="0.3">
      <c r="A216" s="2"/>
      <c r="B216" s="2"/>
      <c r="C216" s="2"/>
      <c r="D216" s="2"/>
      <c r="E216" s="2"/>
      <c r="F216" s="2"/>
      <c r="G216" s="3"/>
      <c r="H216" s="3"/>
      <c r="I216" s="3"/>
      <c r="J216" s="2"/>
      <c r="K216" s="2"/>
      <c r="L216" s="2"/>
      <c r="M216" s="2"/>
      <c r="N216" s="2"/>
      <c r="O216" s="2"/>
      <c r="P216" s="2"/>
      <c r="Q216" s="2"/>
      <c r="R216" s="2"/>
      <c r="S216" s="2"/>
      <c r="T216" s="2"/>
      <c r="U216" s="2"/>
      <c r="V216" s="2"/>
      <c r="W216" s="2"/>
      <c r="X216" s="2"/>
      <c r="Y216" s="2"/>
      <c r="Z216" s="2"/>
    </row>
    <row r="217" spans="1:26" ht="14.25" customHeight="1" x14ac:dyDescent="0.3">
      <c r="A217" s="2"/>
      <c r="B217" s="2"/>
      <c r="C217" s="2"/>
      <c r="D217" s="2"/>
      <c r="E217" s="2"/>
      <c r="F217" s="2"/>
      <c r="G217" s="3"/>
      <c r="H217" s="3"/>
      <c r="I217" s="3"/>
      <c r="J217" s="2"/>
      <c r="K217" s="2"/>
      <c r="L217" s="2"/>
      <c r="M217" s="2"/>
      <c r="N217" s="2"/>
      <c r="O217" s="2"/>
      <c r="P217" s="2"/>
      <c r="Q217" s="2"/>
      <c r="R217" s="2"/>
      <c r="S217" s="2"/>
      <c r="T217" s="2"/>
      <c r="U217" s="2"/>
      <c r="V217" s="2"/>
      <c r="W217" s="2"/>
      <c r="X217" s="2"/>
      <c r="Y217" s="2"/>
      <c r="Z217" s="2"/>
    </row>
    <row r="218" spans="1:26" ht="14.25" customHeight="1" x14ac:dyDescent="0.3">
      <c r="A218" s="2"/>
      <c r="B218" s="2"/>
      <c r="C218" s="2"/>
      <c r="D218" s="2"/>
      <c r="E218" s="2"/>
      <c r="F218" s="2"/>
      <c r="G218" s="3"/>
      <c r="H218" s="3"/>
      <c r="I218" s="3"/>
      <c r="J218" s="2"/>
      <c r="K218" s="2"/>
      <c r="L218" s="2"/>
      <c r="M218" s="2"/>
      <c r="N218" s="2"/>
      <c r="O218" s="2"/>
      <c r="P218" s="2"/>
      <c r="Q218" s="2"/>
      <c r="R218" s="2"/>
      <c r="S218" s="2"/>
      <c r="T218" s="2"/>
      <c r="U218" s="2"/>
      <c r="V218" s="2"/>
      <c r="W218" s="2"/>
      <c r="X218" s="2"/>
      <c r="Y218" s="2"/>
      <c r="Z218" s="2"/>
    </row>
    <row r="219" spans="1:26" ht="14.25" customHeight="1" x14ac:dyDescent="0.3">
      <c r="A219" s="2"/>
      <c r="B219" s="2"/>
      <c r="C219" s="2"/>
      <c r="D219" s="2"/>
      <c r="E219" s="2"/>
      <c r="F219" s="2"/>
      <c r="G219" s="3"/>
      <c r="H219" s="3"/>
      <c r="I219" s="3"/>
      <c r="J219" s="2"/>
      <c r="K219" s="2"/>
      <c r="L219" s="2"/>
      <c r="M219" s="2"/>
      <c r="N219" s="2"/>
      <c r="O219" s="2"/>
      <c r="P219" s="2"/>
      <c r="Q219" s="2"/>
      <c r="R219" s="2"/>
      <c r="S219" s="2"/>
      <c r="T219" s="2"/>
      <c r="U219" s="2"/>
      <c r="V219" s="2"/>
      <c r="W219" s="2"/>
      <c r="X219" s="2"/>
      <c r="Y219" s="2"/>
      <c r="Z219" s="2"/>
    </row>
    <row r="220" spans="1:26" ht="14.25" customHeight="1" x14ac:dyDescent="0.3">
      <c r="A220" s="2"/>
      <c r="B220" s="2"/>
      <c r="C220" s="2"/>
      <c r="D220" s="2"/>
      <c r="E220" s="2"/>
      <c r="F220" s="2"/>
      <c r="G220" s="3"/>
      <c r="H220" s="3"/>
      <c r="I220" s="3"/>
      <c r="J220" s="2"/>
      <c r="K220" s="2"/>
      <c r="L220" s="2"/>
      <c r="M220" s="2"/>
      <c r="N220" s="2"/>
      <c r="O220" s="2"/>
      <c r="P220" s="2"/>
      <c r="Q220" s="2"/>
      <c r="R220" s="2"/>
      <c r="S220" s="2"/>
      <c r="T220" s="2"/>
      <c r="U220" s="2"/>
      <c r="V220" s="2"/>
      <c r="W220" s="2"/>
      <c r="X220" s="2"/>
      <c r="Y220" s="2"/>
      <c r="Z220" s="2"/>
    </row>
    <row r="221" spans="1:26" ht="14.25" customHeight="1" x14ac:dyDescent="0.3">
      <c r="A221" s="2"/>
      <c r="B221" s="2"/>
      <c r="C221" s="2"/>
      <c r="D221" s="2"/>
      <c r="E221" s="2"/>
      <c r="F221" s="2"/>
      <c r="G221" s="3"/>
      <c r="H221" s="3"/>
      <c r="I221" s="3"/>
      <c r="J221" s="2"/>
      <c r="K221" s="2"/>
      <c r="L221" s="2"/>
      <c r="M221" s="2"/>
      <c r="N221" s="2"/>
      <c r="O221" s="2"/>
      <c r="P221" s="2"/>
      <c r="Q221" s="2"/>
      <c r="R221" s="2"/>
      <c r="S221" s="2"/>
      <c r="T221" s="2"/>
      <c r="U221" s="2"/>
      <c r="V221" s="2"/>
      <c r="W221" s="2"/>
      <c r="X221" s="2"/>
      <c r="Y221" s="2"/>
      <c r="Z221" s="2"/>
    </row>
    <row r="222" spans="1:26" ht="14.25" customHeight="1" x14ac:dyDescent="0.3">
      <c r="A222" s="2"/>
      <c r="B222" s="2"/>
      <c r="C222" s="2"/>
      <c r="D222" s="2"/>
      <c r="E222" s="2"/>
      <c r="F222" s="2"/>
      <c r="G222" s="3"/>
      <c r="H222" s="3"/>
      <c r="I222" s="3"/>
      <c r="J222" s="2"/>
      <c r="K222" s="2"/>
      <c r="L222" s="2"/>
      <c r="M222" s="2"/>
      <c r="N222" s="2"/>
      <c r="O222" s="2"/>
      <c r="P222" s="2"/>
      <c r="Q222" s="2"/>
      <c r="R222" s="2"/>
      <c r="S222" s="2"/>
      <c r="T222" s="2"/>
      <c r="U222" s="2"/>
      <c r="V222" s="2"/>
      <c r="W222" s="2"/>
      <c r="X222" s="2"/>
      <c r="Y222" s="2"/>
      <c r="Z222" s="2"/>
    </row>
    <row r="223" spans="1:26" ht="14.25" customHeight="1" x14ac:dyDescent="0.3">
      <c r="A223" s="2"/>
      <c r="B223" s="2"/>
      <c r="C223" s="2"/>
      <c r="D223" s="2"/>
      <c r="E223" s="2"/>
      <c r="F223" s="2"/>
      <c r="G223" s="3"/>
      <c r="H223" s="3"/>
      <c r="I223" s="3"/>
      <c r="J223" s="2"/>
      <c r="K223" s="2"/>
      <c r="L223" s="2"/>
      <c r="M223" s="2"/>
      <c r="N223" s="2"/>
      <c r="O223" s="2"/>
      <c r="P223" s="2"/>
      <c r="Q223" s="2"/>
      <c r="R223" s="2"/>
      <c r="S223" s="2"/>
      <c r="T223" s="2"/>
      <c r="U223" s="2"/>
      <c r="V223" s="2"/>
      <c r="W223" s="2"/>
      <c r="X223" s="2"/>
      <c r="Y223" s="2"/>
      <c r="Z223" s="2"/>
    </row>
    <row r="224" spans="1:26" ht="14.25" customHeight="1" x14ac:dyDescent="0.3">
      <c r="A224" s="2"/>
      <c r="B224" s="2"/>
      <c r="C224" s="2"/>
      <c r="D224" s="2"/>
      <c r="E224" s="2"/>
      <c r="F224" s="2"/>
      <c r="G224" s="3"/>
      <c r="H224" s="3"/>
      <c r="I224" s="3"/>
      <c r="J224" s="2"/>
      <c r="K224" s="2"/>
      <c r="L224" s="2"/>
      <c r="M224" s="2"/>
      <c r="N224" s="2"/>
      <c r="O224" s="2"/>
      <c r="P224" s="2"/>
      <c r="Q224" s="2"/>
      <c r="R224" s="2"/>
      <c r="S224" s="2"/>
      <c r="T224" s="2"/>
      <c r="U224" s="2"/>
      <c r="V224" s="2"/>
      <c r="W224" s="2"/>
      <c r="X224" s="2"/>
      <c r="Y224" s="2"/>
      <c r="Z224" s="2"/>
    </row>
    <row r="225" spans="1:26" ht="14.25" customHeight="1" x14ac:dyDescent="0.3">
      <c r="A225" s="2"/>
      <c r="B225" s="2"/>
      <c r="C225" s="2"/>
      <c r="D225" s="2"/>
      <c r="E225" s="2"/>
      <c r="F225" s="2"/>
      <c r="G225" s="3"/>
      <c r="H225" s="3"/>
      <c r="I225" s="3"/>
      <c r="J225" s="2"/>
      <c r="K225" s="2"/>
      <c r="L225" s="2"/>
      <c r="M225" s="2"/>
      <c r="N225" s="2"/>
      <c r="O225" s="2"/>
      <c r="P225" s="2"/>
      <c r="Q225" s="2"/>
      <c r="R225" s="2"/>
      <c r="S225" s="2"/>
      <c r="T225" s="2"/>
      <c r="U225" s="2"/>
      <c r="V225" s="2"/>
      <c r="W225" s="2"/>
      <c r="X225" s="2"/>
      <c r="Y225" s="2"/>
      <c r="Z225" s="2"/>
    </row>
    <row r="226" spans="1:26" ht="14.25" customHeight="1" x14ac:dyDescent="0.3">
      <c r="A226" s="2"/>
      <c r="B226" s="2"/>
      <c r="C226" s="2"/>
      <c r="D226" s="2"/>
      <c r="E226" s="2"/>
      <c r="F226" s="2"/>
      <c r="G226" s="3"/>
      <c r="H226" s="3"/>
      <c r="I226" s="3"/>
      <c r="J226" s="2"/>
      <c r="K226" s="2"/>
      <c r="L226" s="2"/>
      <c r="M226" s="2"/>
      <c r="N226" s="2"/>
      <c r="O226" s="2"/>
      <c r="P226" s="2"/>
      <c r="Q226" s="2"/>
      <c r="R226" s="2"/>
      <c r="S226" s="2"/>
      <c r="T226" s="2"/>
      <c r="U226" s="2"/>
      <c r="V226" s="2"/>
      <c r="W226" s="2"/>
      <c r="X226" s="2"/>
      <c r="Y226" s="2"/>
      <c r="Z226" s="2"/>
    </row>
    <row r="227" spans="1:26" ht="14.25" customHeight="1" x14ac:dyDescent="0.3">
      <c r="A227" s="2"/>
      <c r="B227" s="2"/>
      <c r="C227" s="2"/>
      <c r="D227" s="2"/>
      <c r="E227" s="2"/>
      <c r="F227" s="2"/>
      <c r="G227" s="3"/>
      <c r="H227" s="3"/>
      <c r="I227" s="3"/>
      <c r="J227" s="2"/>
      <c r="K227" s="2"/>
      <c r="L227" s="2"/>
      <c r="M227" s="2"/>
      <c r="N227" s="2"/>
      <c r="O227" s="2"/>
      <c r="P227" s="2"/>
      <c r="Q227" s="2"/>
      <c r="R227" s="2"/>
      <c r="S227" s="2"/>
      <c r="T227" s="2"/>
      <c r="U227" s="2"/>
      <c r="V227" s="2"/>
      <c r="W227" s="2"/>
      <c r="X227" s="2"/>
      <c r="Y227" s="2"/>
      <c r="Z227" s="2"/>
    </row>
    <row r="228" spans="1:26" ht="14.25" customHeight="1" x14ac:dyDescent="0.3">
      <c r="A228" s="2"/>
      <c r="B228" s="2"/>
      <c r="C228" s="2"/>
      <c r="D228" s="2"/>
      <c r="E228" s="2"/>
      <c r="F228" s="2"/>
      <c r="G228" s="3"/>
      <c r="H228" s="3"/>
      <c r="I228" s="3"/>
      <c r="J228" s="2"/>
      <c r="K228" s="2"/>
      <c r="L228" s="2"/>
      <c r="M228" s="2"/>
      <c r="N228" s="2"/>
      <c r="O228" s="2"/>
      <c r="P228" s="2"/>
      <c r="Q228" s="2"/>
      <c r="R228" s="2"/>
      <c r="S228" s="2"/>
      <c r="T228" s="2"/>
      <c r="U228" s="2"/>
      <c r="V228" s="2"/>
      <c r="W228" s="2"/>
      <c r="X228" s="2"/>
      <c r="Y228" s="2"/>
      <c r="Z228" s="2"/>
    </row>
    <row r="229" spans="1:26" ht="14.25" customHeight="1" x14ac:dyDescent="0.3">
      <c r="A229" s="2"/>
      <c r="B229" s="2"/>
      <c r="C229" s="2"/>
      <c r="D229" s="2"/>
      <c r="E229" s="2"/>
      <c r="F229" s="2"/>
      <c r="G229" s="3"/>
      <c r="H229" s="3"/>
      <c r="I229" s="3"/>
      <c r="J229" s="2"/>
      <c r="K229" s="2"/>
      <c r="L229" s="2"/>
      <c r="M229" s="2"/>
      <c r="N229" s="2"/>
      <c r="O229" s="2"/>
      <c r="P229" s="2"/>
      <c r="Q229" s="2"/>
      <c r="R229" s="2"/>
      <c r="S229" s="2"/>
      <c r="T229" s="2"/>
      <c r="U229" s="2"/>
      <c r="V229" s="2"/>
      <c r="W229" s="2"/>
      <c r="X229" s="2"/>
      <c r="Y229" s="2"/>
      <c r="Z229" s="2"/>
    </row>
    <row r="230" spans="1:26" ht="14.25" customHeight="1" x14ac:dyDescent="0.3">
      <c r="A230" s="2"/>
      <c r="B230" s="2"/>
      <c r="C230" s="2"/>
      <c r="D230" s="2"/>
      <c r="E230" s="2"/>
      <c r="F230" s="2"/>
      <c r="G230" s="3"/>
      <c r="H230" s="3"/>
      <c r="I230" s="3"/>
      <c r="J230" s="2"/>
      <c r="K230" s="2"/>
      <c r="L230" s="2"/>
      <c r="M230" s="2"/>
      <c r="N230" s="2"/>
      <c r="O230" s="2"/>
      <c r="P230" s="2"/>
      <c r="Q230" s="2"/>
      <c r="R230" s="2"/>
      <c r="S230" s="2"/>
      <c r="T230" s="2"/>
      <c r="U230" s="2"/>
      <c r="V230" s="2"/>
      <c r="W230" s="2"/>
      <c r="X230" s="2"/>
      <c r="Y230" s="2"/>
      <c r="Z230" s="2"/>
    </row>
    <row r="231" spans="1:26" ht="14.25" customHeight="1" x14ac:dyDescent="0.3">
      <c r="A231" s="2"/>
      <c r="B231" s="2"/>
      <c r="C231" s="2"/>
      <c r="D231" s="2"/>
      <c r="E231" s="2"/>
      <c r="F231" s="2"/>
      <c r="G231" s="3"/>
      <c r="H231" s="3"/>
      <c r="I231" s="3"/>
      <c r="J231" s="2"/>
      <c r="K231" s="2"/>
      <c r="L231" s="2"/>
      <c r="M231" s="2"/>
      <c r="N231" s="2"/>
      <c r="O231" s="2"/>
      <c r="P231" s="2"/>
      <c r="Q231" s="2"/>
      <c r="R231" s="2"/>
      <c r="S231" s="2"/>
      <c r="T231" s="2"/>
      <c r="U231" s="2"/>
      <c r="V231" s="2"/>
      <c r="W231" s="2"/>
      <c r="X231" s="2"/>
      <c r="Y231" s="2"/>
      <c r="Z231" s="2"/>
    </row>
    <row r="232" spans="1:26" ht="14.25" customHeight="1" x14ac:dyDescent="0.3">
      <c r="A232" s="2"/>
      <c r="B232" s="2"/>
      <c r="C232" s="2"/>
      <c r="D232" s="2"/>
      <c r="E232" s="2"/>
      <c r="F232" s="2"/>
      <c r="G232" s="3"/>
      <c r="H232" s="3"/>
      <c r="I232" s="3"/>
      <c r="J232" s="2"/>
      <c r="K232" s="2"/>
      <c r="L232" s="2"/>
      <c r="M232" s="2"/>
      <c r="N232" s="2"/>
      <c r="O232" s="2"/>
      <c r="P232" s="2"/>
      <c r="Q232" s="2"/>
      <c r="R232" s="2"/>
      <c r="S232" s="2"/>
      <c r="T232" s="2"/>
      <c r="U232" s="2"/>
      <c r="V232" s="2"/>
      <c r="W232" s="2"/>
      <c r="X232" s="2"/>
      <c r="Y232" s="2"/>
      <c r="Z232" s="2"/>
    </row>
    <row r="233" spans="1:26" ht="14.25" customHeight="1" x14ac:dyDescent="0.3">
      <c r="A233" s="2"/>
      <c r="B233" s="2"/>
      <c r="C233" s="2"/>
      <c r="D233" s="2"/>
      <c r="E233" s="2"/>
      <c r="F233" s="2"/>
      <c r="G233" s="3"/>
      <c r="H233" s="3"/>
      <c r="I233" s="3"/>
      <c r="J233" s="2"/>
      <c r="K233" s="2"/>
      <c r="L233" s="2"/>
      <c r="M233" s="2"/>
      <c r="N233" s="2"/>
      <c r="O233" s="2"/>
      <c r="P233" s="2"/>
      <c r="Q233" s="2"/>
      <c r="R233" s="2"/>
      <c r="S233" s="2"/>
      <c r="T233" s="2"/>
      <c r="U233" s="2"/>
      <c r="V233" s="2"/>
      <c r="W233" s="2"/>
      <c r="X233" s="2"/>
      <c r="Y233" s="2"/>
      <c r="Z233" s="2"/>
    </row>
    <row r="234" spans="1:26" ht="14.25" customHeight="1" x14ac:dyDescent="0.3">
      <c r="A234" s="2"/>
      <c r="B234" s="2"/>
      <c r="C234" s="2"/>
      <c r="D234" s="2"/>
      <c r="E234" s="2"/>
      <c r="F234" s="2"/>
      <c r="G234" s="3"/>
      <c r="H234" s="3"/>
      <c r="I234" s="3"/>
      <c r="J234" s="2"/>
      <c r="K234" s="2"/>
      <c r="L234" s="2"/>
      <c r="M234" s="2"/>
      <c r="N234" s="2"/>
      <c r="O234" s="2"/>
      <c r="P234" s="2"/>
      <c r="Q234" s="2"/>
      <c r="R234" s="2"/>
      <c r="S234" s="2"/>
      <c r="T234" s="2"/>
      <c r="U234" s="2"/>
      <c r="V234" s="2"/>
      <c r="W234" s="2"/>
      <c r="X234" s="2"/>
      <c r="Y234" s="2"/>
      <c r="Z234" s="2"/>
    </row>
    <row r="235" spans="1:26" ht="14.25" customHeight="1" x14ac:dyDescent="0.3">
      <c r="A235" s="2"/>
      <c r="B235" s="2"/>
      <c r="C235" s="2"/>
      <c r="D235" s="2"/>
      <c r="E235" s="2"/>
      <c r="F235" s="2"/>
      <c r="G235" s="3"/>
      <c r="H235" s="3"/>
      <c r="I235" s="3"/>
      <c r="J235" s="2"/>
      <c r="K235" s="2"/>
      <c r="L235" s="2"/>
      <c r="M235" s="2"/>
      <c r="N235" s="2"/>
      <c r="O235" s="2"/>
      <c r="P235" s="2"/>
      <c r="Q235" s="2"/>
      <c r="R235" s="2"/>
      <c r="S235" s="2"/>
      <c r="T235" s="2"/>
      <c r="U235" s="2"/>
      <c r="V235" s="2"/>
      <c r="W235" s="2"/>
      <c r="X235" s="2"/>
      <c r="Y235" s="2"/>
      <c r="Z235" s="2"/>
    </row>
    <row r="236" spans="1:26" ht="14.25" customHeight="1" x14ac:dyDescent="0.3">
      <c r="A236" s="2"/>
      <c r="B236" s="2"/>
      <c r="C236" s="2"/>
      <c r="D236" s="2"/>
      <c r="E236" s="2"/>
      <c r="F236" s="2"/>
      <c r="G236" s="3"/>
      <c r="H236" s="3"/>
      <c r="I236" s="3"/>
      <c r="J236" s="2"/>
      <c r="K236" s="2"/>
      <c r="L236" s="2"/>
      <c r="M236" s="2"/>
      <c r="N236" s="2"/>
      <c r="O236" s="2"/>
      <c r="P236" s="2"/>
      <c r="Q236" s="2"/>
      <c r="R236" s="2"/>
      <c r="S236" s="2"/>
      <c r="T236" s="2"/>
      <c r="U236" s="2"/>
      <c r="V236" s="2"/>
      <c r="W236" s="2"/>
      <c r="X236" s="2"/>
      <c r="Y236" s="2"/>
      <c r="Z236" s="2"/>
    </row>
    <row r="237" spans="1:26" ht="14.25" customHeight="1" x14ac:dyDescent="0.3">
      <c r="A237" s="2"/>
      <c r="B237" s="2"/>
      <c r="C237" s="2"/>
      <c r="D237" s="2"/>
      <c r="E237" s="2"/>
      <c r="F237" s="2"/>
      <c r="G237" s="3"/>
      <c r="H237" s="3"/>
      <c r="I237" s="3"/>
      <c r="J237" s="2"/>
      <c r="K237" s="2"/>
      <c r="L237" s="2"/>
      <c r="M237" s="2"/>
      <c r="N237" s="2"/>
      <c r="O237" s="2"/>
      <c r="P237" s="2"/>
      <c r="Q237" s="2"/>
      <c r="R237" s="2"/>
      <c r="S237" s="2"/>
      <c r="T237" s="2"/>
      <c r="U237" s="2"/>
      <c r="V237" s="2"/>
      <c r="W237" s="2"/>
      <c r="X237" s="2"/>
      <c r="Y237" s="2"/>
      <c r="Z237" s="2"/>
    </row>
    <row r="238" spans="1:26" ht="14.25" customHeight="1" x14ac:dyDescent="0.3">
      <c r="A238" s="2"/>
      <c r="B238" s="2"/>
      <c r="C238" s="2"/>
      <c r="D238" s="2"/>
      <c r="E238" s="2"/>
      <c r="F238" s="2"/>
      <c r="G238" s="3"/>
      <c r="H238" s="3"/>
      <c r="I238" s="3"/>
      <c r="J238" s="2"/>
      <c r="K238" s="2"/>
      <c r="L238" s="2"/>
      <c r="M238" s="2"/>
      <c r="N238" s="2"/>
      <c r="O238" s="2"/>
      <c r="P238" s="2"/>
      <c r="Q238" s="2"/>
      <c r="R238" s="2"/>
      <c r="S238" s="2"/>
      <c r="T238" s="2"/>
      <c r="U238" s="2"/>
      <c r="V238" s="2"/>
      <c r="W238" s="2"/>
      <c r="X238" s="2"/>
      <c r="Y238" s="2"/>
      <c r="Z238" s="2"/>
    </row>
    <row r="239" spans="1:26" ht="14.25" customHeight="1" x14ac:dyDescent="0.3">
      <c r="A239" s="2"/>
      <c r="B239" s="2"/>
      <c r="C239" s="2"/>
      <c r="D239" s="2"/>
      <c r="E239" s="2"/>
      <c r="F239" s="2"/>
      <c r="G239" s="3"/>
      <c r="H239" s="3"/>
      <c r="I239" s="3"/>
      <c r="J239" s="2"/>
      <c r="K239" s="2"/>
      <c r="L239" s="2"/>
      <c r="M239" s="2"/>
      <c r="N239" s="2"/>
      <c r="O239" s="2"/>
      <c r="P239" s="2"/>
      <c r="Q239" s="2"/>
      <c r="R239" s="2"/>
      <c r="S239" s="2"/>
      <c r="T239" s="2"/>
      <c r="U239" s="2"/>
      <c r="V239" s="2"/>
      <c r="W239" s="2"/>
      <c r="X239" s="2"/>
      <c r="Y239" s="2"/>
      <c r="Z239" s="2"/>
    </row>
    <row r="240" spans="1:26" ht="14.25" customHeight="1" x14ac:dyDescent="0.3">
      <c r="A240" s="2"/>
      <c r="B240" s="2"/>
      <c r="C240" s="2"/>
      <c r="D240" s="2"/>
      <c r="E240" s="2"/>
      <c r="F240" s="2"/>
      <c r="G240" s="3"/>
      <c r="H240" s="3"/>
      <c r="I240" s="3"/>
      <c r="J240" s="2"/>
      <c r="K240" s="2"/>
      <c r="L240" s="2"/>
      <c r="M240" s="2"/>
      <c r="N240" s="2"/>
      <c r="O240" s="2"/>
      <c r="P240" s="2"/>
      <c r="Q240" s="2"/>
      <c r="R240" s="2"/>
      <c r="S240" s="2"/>
      <c r="T240" s="2"/>
      <c r="U240" s="2"/>
      <c r="V240" s="2"/>
      <c r="W240" s="2"/>
      <c r="X240" s="2"/>
      <c r="Y240" s="2"/>
      <c r="Z240" s="2"/>
    </row>
    <row r="241" spans="1:26" ht="14.25" customHeight="1" x14ac:dyDescent="0.3">
      <c r="A241" s="2"/>
      <c r="B241" s="2"/>
      <c r="C241" s="2"/>
      <c r="D241" s="2"/>
      <c r="E241" s="2"/>
      <c r="F241" s="2"/>
      <c r="G241" s="3"/>
      <c r="H241" s="3"/>
      <c r="I241" s="3"/>
      <c r="J241" s="2"/>
      <c r="K241" s="2"/>
      <c r="L241" s="2"/>
      <c r="M241" s="2"/>
      <c r="N241" s="2"/>
      <c r="O241" s="2"/>
      <c r="P241" s="2"/>
      <c r="Q241" s="2"/>
      <c r="R241" s="2"/>
      <c r="S241" s="2"/>
      <c r="T241" s="2"/>
      <c r="U241" s="2"/>
      <c r="V241" s="2"/>
      <c r="W241" s="2"/>
      <c r="X241" s="2"/>
      <c r="Y241" s="2"/>
      <c r="Z241" s="2"/>
    </row>
    <row r="242" spans="1:26" ht="14.25" customHeight="1" x14ac:dyDescent="0.3">
      <c r="A242" s="2"/>
      <c r="B242" s="2"/>
      <c r="C242" s="2"/>
      <c r="D242" s="2"/>
      <c r="E242" s="2"/>
      <c r="F242" s="2"/>
      <c r="G242" s="3"/>
      <c r="H242" s="3"/>
      <c r="I242" s="3"/>
      <c r="J242" s="2"/>
      <c r="K242" s="2"/>
      <c r="L242" s="2"/>
      <c r="M242" s="2"/>
      <c r="N242" s="2"/>
      <c r="O242" s="2"/>
      <c r="P242" s="2"/>
      <c r="Q242" s="2"/>
      <c r="R242" s="2"/>
      <c r="S242" s="2"/>
      <c r="T242" s="2"/>
      <c r="U242" s="2"/>
      <c r="V242" s="2"/>
      <c r="W242" s="2"/>
      <c r="X242" s="2"/>
      <c r="Y242" s="2"/>
      <c r="Z242" s="2"/>
    </row>
    <row r="243" spans="1:26" ht="14.25" customHeight="1" x14ac:dyDescent="0.3">
      <c r="A243" s="2"/>
      <c r="B243" s="2"/>
      <c r="C243" s="2"/>
      <c r="D243" s="2"/>
      <c r="E243" s="2"/>
      <c r="F243" s="2"/>
      <c r="G243" s="3"/>
      <c r="H243" s="3"/>
      <c r="I243" s="3"/>
      <c r="J243" s="2"/>
      <c r="K243" s="2"/>
      <c r="L243" s="2"/>
      <c r="M243" s="2"/>
      <c r="N243" s="2"/>
      <c r="O243" s="2"/>
      <c r="P243" s="2"/>
      <c r="Q243" s="2"/>
      <c r="R243" s="2"/>
      <c r="S243" s="2"/>
      <c r="T243" s="2"/>
      <c r="U243" s="2"/>
      <c r="V243" s="2"/>
      <c r="W243" s="2"/>
      <c r="X243" s="2"/>
      <c r="Y243" s="2"/>
      <c r="Z243" s="2"/>
    </row>
    <row r="244" spans="1:26" ht="14.25" customHeight="1" x14ac:dyDescent="0.3">
      <c r="A244" s="2"/>
      <c r="B244" s="2"/>
      <c r="C244" s="2"/>
      <c r="D244" s="2"/>
      <c r="E244" s="2"/>
      <c r="F244" s="2"/>
      <c r="G244" s="3"/>
      <c r="H244" s="3"/>
      <c r="I244" s="3"/>
      <c r="J244" s="2"/>
      <c r="K244" s="2"/>
      <c r="L244" s="2"/>
      <c r="M244" s="2"/>
      <c r="N244" s="2"/>
      <c r="O244" s="2"/>
      <c r="P244" s="2"/>
      <c r="Q244" s="2"/>
      <c r="R244" s="2"/>
      <c r="S244" s="2"/>
      <c r="T244" s="2"/>
      <c r="U244" s="2"/>
      <c r="V244" s="2"/>
      <c r="W244" s="2"/>
      <c r="X244" s="2"/>
      <c r="Y244" s="2"/>
      <c r="Z244" s="2"/>
    </row>
    <row r="245" spans="1:26" ht="14.25" customHeight="1" x14ac:dyDescent="0.3">
      <c r="A245" s="2"/>
      <c r="B245" s="2"/>
      <c r="C245" s="2"/>
      <c r="D245" s="2"/>
      <c r="E245" s="2"/>
      <c r="F245" s="2"/>
      <c r="G245" s="3"/>
      <c r="H245" s="3"/>
      <c r="I245" s="3"/>
      <c r="J245" s="2"/>
      <c r="K245" s="2"/>
      <c r="L245" s="2"/>
      <c r="M245" s="2"/>
      <c r="N245" s="2"/>
      <c r="O245" s="2"/>
      <c r="P245" s="2"/>
      <c r="Q245" s="2"/>
      <c r="R245" s="2"/>
      <c r="S245" s="2"/>
      <c r="T245" s="2"/>
      <c r="U245" s="2"/>
      <c r="V245" s="2"/>
      <c r="W245" s="2"/>
      <c r="X245" s="2"/>
      <c r="Y245" s="2"/>
      <c r="Z245" s="2"/>
    </row>
    <row r="246" spans="1:26" ht="14.25" customHeight="1" x14ac:dyDescent="0.3">
      <c r="A246" s="2"/>
      <c r="B246" s="2"/>
      <c r="C246" s="2"/>
      <c r="D246" s="2"/>
      <c r="E246" s="2"/>
      <c r="F246" s="2"/>
      <c r="G246" s="3"/>
      <c r="H246" s="3"/>
      <c r="I246" s="3"/>
      <c r="J246" s="2"/>
      <c r="K246" s="2"/>
      <c r="L246" s="2"/>
      <c r="M246" s="2"/>
      <c r="N246" s="2"/>
      <c r="O246" s="2"/>
      <c r="P246" s="2"/>
      <c r="Q246" s="2"/>
      <c r="R246" s="2"/>
      <c r="S246" s="2"/>
      <c r="T246" s="2"/>
      <c r="U246" s="2"/>
      <c r="V246" s="2"/>
      <c r="W246" s="2"/>
      <c r="X246" s="2"/>
      <c r="Y246" s="2"/>
      <c r="Z246" s="2"/>
    </row>
    <row r="247" spans="1:26" ht="14.25" customHeight="1" x14ac:dyDescent="0.3">
      <c r="A247" s="2"/>
      <c r="B247" s="2"/>
      <c r="C247" s="2"/>
      <c r="D247" s="2"/>
      <c r="E247" s="2"/>
      <c r="F247" s="2"/>
      <c r="G247" s="3"/>
      <c r="H247" s="3"/>
      <c r="I247" s="3"/>
      <c r="J247" s="2"/>
      <c r="K247" s="2"/>
      <c r="L247" s="2"/>
      <c r="M247" s="2"/>
      <c r="N247" s="2"/>
      <c r="O247" s="2"/>
      <c r="P247" s="2"/>
      <c r="Q247" s="2"/>
      <c r="R247" s="2"/>
      <c r="S247" s="2"/>
      <c r="T247" s="2"/>
      <c r="U247" s="2"/>
      <c r="V247" s="2"/>
      <c r="W247" s="2"/>
      <c r="X247" s="2"/>
      <c r="Y247" s="2"/>
      <c r="Z247" s="2"/>
    </row>
    <row r="248" spans="1:26" ht="14.25" customHeight="1" x14ac:dyDescent="0.3">
      <c r="A248" s="2"/>
      <c r="B248" s="2"/>
      <c r="C248" s="2"/>
      <c r="D248" s="2"/>
      <c r="E248" s="2"/>
      <c r="F248" s="2"/>
      <c r="G248" s="3"/>
      <c r="H248" s="3"/>
      <c r="I248" s="3"/>
      <c r="J248" s="2"/>
      <c r="K248" s="2"/>
      <c r="L248" s="2"/>
      <c r="M248" s="2"/>
      <c r="N248" s="2"/>
      <c r="O248" s="2"/>
      <c r="P248" s="2"/>
      <c r="Q248" s="2"/>
      <c r="R248" s="2"/>
      <c r="S248" s="2"/>
      <c r="T248" s="2"/>
      <c r="U248" s="2"/>
      <c r="V248" s="2"/>
      <c r="W248" s="2"/>
      <c r="X248" s="2"/>
      <c r="Y248" s="2"/>
      <c r="Z248" s="2"/>
    </row>
    <row r="249" spans="1:26" ht="14.25" customHeight="1" x14ac:dyDescent="0.3">
      <c r="A249" s="2"/>
      <c r="B249" s="2"/>
      <c r="C249" s="2"/>
      <c r="D249" s="2"/>
      <c r="E249" s="2"/>
      <c r="F249" s="2"/>
      <c r="G249" s="3"/>
      <c r="H249" s="3"/>
      <c r="I249" s="3"/>
      <c r="J249" s="2"/>
      <c r="K249" s="2"/>
      <c r="L249" s="2"/>
      <c r="M249" s="2"/>
      <c r="N249" s="2"/>
      <c r="O249" s="2"/>
      <c r="P249" s="2"/>
      <c r="Q249" s="2"/>
      <c r="R249" s="2"/>
      <c r="S249" s="2"/>
      <c r="T249" s="2"/>
      <c r="U249" s="2"/>
      <c r="V249" s="2"/>
      <c r="W249" s="2"/>
      <c r="X249" s="2"/>
      <c r="Y249" s="2"/>
      <c r="Z249" s="2"/>
    </row>
    <row r="250" spans="1:26" ht="14.25" customHeight="1" x14ac:dyDescent="0.3">
      <c r="A250" s="2"/>
      <c r="B250" s="2"/>
      <c r="C250" s="2"/>
      <c r="D250" s="2"/>
      <c r="E250" s="2"/>
      <c r="F250" s="2"/>
      <c r="G250" s="3"/>
      <c r="H250" s="3"/>
      <c r="I250" s="3"/>
      <c r="J250" s="2"/>
      <c r="K250" s="2"/>
      <c r="L250" s="2"/>
      <c r="M250" s="2"/>
      <c r="N250" s="2"/>
      <c r="O250" s="2"/>
      <c r="P250" s="2"/>
      <c r="Q250" s="2"/>
      <c r="R250" s="2"/>
      <c r="S250" s="2"/>
      <c r="T250" s="2"/>
      <c r="U250" s="2"/>
      <c r="V250" s="2"/>
      <c r="W250" s="2"/>
      <c r="X250" s="2"/>
      <c r="Y250" s="2"/>
      <c r="Z250" s="2"/>
    </row>
    <row r="251" spans="1:26" ht="14.25" customHeight="1" x14ac:dyDescent="0.3">
      <c r="A251" s="2"/>
      <c r="B251" s="2"/>
      <c r="C251" s="2"/>
      <c r="D251" s="2"/>
      <c r="E251" s="2"/>
      <c r="F251" s="2"/>
      <c r="G251" s="3"/>
      <c r="H251" s="3"/>
      <c r="I251" s="3"/>
      <c r="J251" s="2"/>
      <c r="K251" s="2"/>
      <c r="L251" s="2"/>
      <c r="M251" s="2"/>
      <c r="N251" s="2"/>
      <c r="O251" s="2"/>
      <c r="P251" s="2"/>
      <c r="Q251" s="2"/>
      <c r="R251" s="2"/>
      <c r="S251" s="2"/>
      <c r="T251" s="2"/>
      <c r="U251" s="2"/>
      <c r="V251" s="2"/>
      <c r="W251" s="2"/>
      <c r="X251" s="2"/>
      <c r="Y251" s="2"/>
      <c r="Z251" s="2"/>
    </row>
    <row r="252" spans="1:26" ht="14.25" customHeight="1" x14ac:dyDescent="0.3">
      <c r="A252" s="2"/>
      <c r="B252" s="2"/>
      <c r="C252" s="2"/>
      <c r="D252" s="2"/>
      <c r="E252" s="2"/>
      <c r="F252" s="2"/>
      <c r="G252" s="3"/>
      <c r="H252" s="3"/>
      <c r="I252" s="3"/>
      <c r="J252" s="2"/>
      <c r="K252" s="2"/>
      <c r="L252" s="2"/>
      <c r="M252" s="2"/>
      <c r="N252" s="2"/>
      <c r="O252" s="2"/>
      <c r="P252" s="2"/>
      <c r="Q252" s="2"/>
      <c r="R252" s="2"/>
      <c r="S252" s="2"/>
      <c r="T252" s="2"/>
      <c r="U252" s="2"/>
      <c r="V252" s="2"/>
      <c r="W252" s="2"/>
      <c r="X252" s="2"/>
      <c r="Y252" s="2"/>
      <c r="Z252" s="2"/>
    </row>
    <row r="253" spans="1:26" ht="14.25" customHeight="1" x14ac:dyDescent="0.3">
      <c r="A253" s="2"/>
      <c r="B253" s="2"/>
      <c r="C253" s="2"/>
      <c r="D253" s="2"/>
      <c r="E253" s="2"/>
      <c r="F253" s="2"/>
      <c r="G253" s="3"/>
      <c r="H253" s="3"/>
      <c r="I253" s="3"/>
      <c r="J253" s="2"/>
      <c r="K253" s="2"/>
      <c r="L253" s="2"/>
      <c r="M253" s="2"/>
      <c r="N253" s="2"/>
      <c r="O253" s="2"/>
      <c r="P253" s="2"/>
      <c r="Q253" s="2"/>
      <c r="R253" s="2"/>
      <c r="S253" s="2"/>
      <c r="T253" s="2"/>
      <c r="U253" s="2"/>
      <c r="V253" s="2"/>
      <c r="W253" s="2"/>
      <c r="X253" s="2"/>
      <c r="Y253" s="2"/>
      <c r="Z253" s="2"/>
    </row>
    <row r="254" spans="1:26" ht="14.25" customHeight="1" x14ac:dyDescent="0.3">
      <c r="A254" s="2"/>
      <c r="B254" s="2"/>
      <c r="C254" s="2"/>
      <c r="D254" s="2"/>
      <c r="E254" s="2"/>
      <c r="F254" s="2"/>
      <c r="G254" s="3"/>
      <c r="H254" s="3"/>
      <c r="I254" s="3"/>
      <c r="J254" s="2"/>
      <c r="K254" s="2"/>
      <c r="L254" s="2"/>
      <c r="M254" s="2"/>
      <c r="N254" s="2"/>
      <c r="O254" s="2"/>
      <c r="P254" s="2"/>
      <c r="Q254" s="2"/>
      <c r="R254" s="2"/>
      <c r="S254" s="2"/>
      <c r="T254" s="2"/>
      <c r="U254" s="2"/>
      <c r="V254" s="2"/>
      <c r="W254" s="2"/>
      <c r="X254" s="2"/>
      <c r="Y254" s="2"/>
      <c r="Z254" s="2"/>
    </row>
    <row r="255" spans="1:26" ht="14.25" customHeight="1" x14ac:dyDescent="0.3">
      <c r="A255" s="2"/>
      <c r="B255" s="2"/>
      <c r="C255" s="2"/>
      <c r="D255" s="2"/>
      <c r="E255" s="2"/>
      <c r="F255" s="2"/>
      <c r="G255" s="3"/>
      <c r="H255" s="3"/>
      <c r="I255" s="3"/>
      <c r="J255" s="2"/>
      <c r="K255" s="2"/>
      <c r="L255" s="2"/>
      <c r="M255" s="2"/>
      <c r="N255" s="2"/>
      <c r="O255" s="2"/>
      <c r="P255" s="2"/>
      <c r="Q255" s="2"/>
      <c r="R255" s="2"/>
      <c r="S255" s="2"/>
      <c r="T255" s="2"/>
      <c r="U255" s="2"/>
      <c r="V255" s="2"/>
      <c r="W255" s="2"/>
      <c r="X255" s="2"/>
      <c r="Y255" s="2"/>
      <c r="Z255" s="2"/>
    </row>
    <row r="256" spans="1:26" ht="14.25" customHeight="1" x14ac:dyDescent="0.3">
      <c r="A256" s="2"/>
      <c r="B256" s="2"/>
      <c r="C256" s="2"/>
      <c r="D256" s="2"/>
      <c r="E256" s="2"/>
      <c r="F256" s="2"/>
      <c r="G256" s="3"/>
      <c r="H256" s="3"/>
      <c r="I256" s="3"/>
      <c r="J256" s="2"/>
      <c r="K256" s="2"/>
      <c r="L256" s="2"/>
      <c r="M256" s="2"/>
      <c r="N256" s="2"/>
      <c r="O256" s="2"/>
      <c r="P256" s="2"/>
      <c r="Q256" s="2"/>
      <c r="R256" s="2"/>
      <c r="S256" s="2"/>
      <c r="T256" s="2"/>
      <c r="U256" s="2"/>
      <c r="V256" s="2"/>
      <c r="W256" s="2"/>
      <c r="X256" s="2"/>
      <c r="Y256" s="2"/>
      <c r="Z256" s="2"/>
    </row>
    <row r="257" spans="1:26" ht="14.25" customHeight="1" x14ac:dyDescent="0.3">
      <c r="A257" s="2"/>
      <c r="B257" s="2"/>
      <c r="C257" s="2"/>
      <c r="D257" s="2"/>
      <c r="E257" s="2"/>
      <c r="F257" s="2"/>
      <c r="G257" s="3"/>
      <c r="H257" s="3"/>
      <c r="I257" s="3"/>
      <c r="J257" s="2"/>
      <c r="K257" s="2"/>
      <c r="L257" s="2"/>
      <c r="M257" s="2"/>
      <c r="N257" s="2"/>
      <c r="O257" s="2"/>
      <c r="P257" s="2"/>
      <c r="Q257" s="2"/>
      <c r="R257" s="2"/>
      <c r="S257" s="2"/>
      <c r="T257" s="2"/>
      <c r="U257" s="2"/>
      <c r="V257" s="2"/>
      <c r="W257" s="2"/>
      <c r="X257" s="2"/>
      <c r="Y257" s="2"/>
      <c r="Z257" s="2"/>
    </row>
    <row r="258" spans="1:26" ht="14.25" customHeight="1" x14ac:dyDescent="0.3">
      <c r="A258" s="2"/>
      <c r="B258" s="2"/>
      <c r="C258" s="2"/>
      <c r="D258" s="2"/>
      <c r="E258" s="2"/>
      <c r="F258" s="2"/>
      <c r="G258" s="3"/>
      <c r="H258" s="3"/>
      <c r="I258" s="3"/>
      <c r="J258" s="2"/>
      <c r="K258" s="2"/>
      <c r="L258" s="2"/>
      <c r="M258" s="2"/>
      <c r="N258" s="2"/>
      <c r="O258" s="2"/>
      <c r="P258" s="2"/>
      <c r="Q258" s="2"/>
      <c r="R258" s="2"/>
      <c r="S258" s="2"/>
      <c r="T258" s="2"/>
      <c r="U258" s="2"/>
      <c r="V258" s="2"/>
      <c r="W258" s="2"/>
      <c r="X258" s="2"/>
      <c r="Y258" s="2"/>
      <c r="Z258" s="2"/>
    </row>
    <row r="259" spans="1:26" ht="14.25" customHeight="1" x14ac:dyDescent="0.3">
      <c r="A259" s="2"/>
      <c r="B259" s="2"/>
      <c r="C259" s="2"/>
      <c r="D259" s="2"/>
      <c r="E259" s="2"/>
      <c r="F259" s="2"/>
      <c r="G259" s="3"/>
      <c r="H259" s="3"/>
      <c r="I259" s="3"/>
      <c r="J259" s="2"/>
      <c r="K259" s="2"/>
      <c r="L259" s="2"/>
      <c r="M259" s="2"/>
      <c r="N259" s="2"/>
      <c r="O259" s="2"/>
      <c r="P259" s="2"/>
      <c r="Q259" s="2"/>
      <c r="R259" s="2"/>
      <c r="S259" s="2"/>
      <c r="T259" s="2"/>
      <c r="U259" s="2"/>
      <c r="V259" s="2"/>
      <c r="W259" s="2"/>
      <c r="X259" s="2"/>
      <c r="Y259" s="2"/>
      <c r="Z259" s="2"/>
    </row>
    <row r="260" spans="1:26" ht="14.25" customHeight="1" x14ac:dyDescent="0.3">
      <c r="A260" s="2"/>
      <c r="B260" s="2"/>
      <c r="C260" s="2"/>
      <c r="D260" s="2"/>
      <c r="E260" s="2"/>
      <c r="F260" s="2"/>
      <c r="G260" s="3"/>
      <c r="H260" s="3"/>
      <c r="I260" s="3"/>
      <c r="J260" s="2"/>
      <c r="K260" s="2"/>
      <c r="L260" s="2"/>
      <c r="M260" s="2"/>
      <c r="N260" s="2"/>
      <c r="O260" s="2"/>
      <c r="P260" s="2"/>
      <c r="Q260" s="2"/>
      <c r="R260" s="2"/>
      <c r="S260" s="2"/>
      <c r="T260" s="2"/>
      <c r="U260" s="2"/>
      <c r="V260" s="2"/>
      <c r="W260" s="2"/>
      <c r="X260" s="2"/>
      <c r="Y260" s="2"/>
      <c r="Z260" s="2"/>
    </row>
    <row r="261" spans="1:26" ht="14.25" customHeight="1" x14ac:dyDescent="0.3">
      <c r="A261" s="2"/>
      <c r="B261" s="2"/>
      <c r="C261" s="2"/>
      <c r="D261" s="2"/>
      <c r="E261" s="2"/>
      <c r="F261" s="2"/>
      <c r="G261" s="3"/>
      <c r="H261" s="3"/>
      <c r="I261" s="3"/>
      <c r="J261" s="2"/>
      <c r="K261" s="2"/>
      <c r="L261" s="2"/>
      <c r="M261" s="2"/>
      <c r="N261" s="2"/>
      <c r="O261" s="2"/>
      <c r="P261" s="2"/>
      <c r="Q261" s="2"/>
      <c r="R261" s="2"/>
      <c r="S261" s="2"/>
      <c r="T261" s="2"/>
      <c r="U261" s="2"/>
      <c r="V261" s="2"/>
      <c r="W261" s="2"/>
      <c r="X261" s="2"/>
      <c r="Y261" s="2"/>
      <c r="Z261" s="2"/>
    </row>
    <row r="262" spans="1:26" ht="14.25" customHeight="1" x14ac:dyDescent="0.3">
      <c r="A262" s="2"/>
      <c r="B262" s="2"/>
      <c r="C262" s="2"/>
      <c r="D262" s="2"/>
      <c r="E262" s="2"/>
      <c r="F262" s="2"/>
      <c r="G262" s="3"/>
      <c r="H262" s="3"/>
      <c r="I262" s="3"/>
      <c r="J262" s="2"/>
      <c r="K262" s="2"/>
      <c r="L262" s="2"/>
      <c r="M262" s="2"/>
      <c r="N262" s="2"/>
      <c r="O262" s="2"/>
      <c r="P262" s="2"/>
      <c r="Q262" s="2"/>
      <c r="R262" s="2"/>
      <c r="S262" s="2"/>
      <c r="T262" s="2"/>
      <c r="U262" s="2"/>
      <c r="V262" s="2"/>
      <c r="W262" s="2"/>
      <c r="X262" s="2"/>
      <c r="Y262" s="2"/>
      <c r="Z262" s="2"/>
    </row>
    <row r="263" spans="1:26" ht="14.25" customHeight="1" x14ac:dyDescent="0.3">
      <c r="A263" s="2"/>
      <c r="B263" s="2"/>
      <c r="C263" s="2"/>
      <c r="D263" s="2"/>
      <c r="E263" s="2"/>
      <c r="F263" s="2"/>
      <c r="G263" s="3"/>
      <c r="H263" s="3"/>
      <c r="I263" s="3"/>
      <c r="J263" s="2"/>
      <c r="K263" s="2"/>
      <c r="L263" s="2"/>
      <c r="M263" s="2"/>
      <c r="N263" s="2"/>
      <c r="O263" s="2"/>
      <c r="P263" s="2"/>
      <c r="Q263" s="2"/>
      <c r="R263" s="2"/>
      <c r="S263" s="2"/>
      <c r="T263" s="2"/>
      <c r="U263" s="2"/>
      <c r="V263" s="2"/>
      <c r="W263" s="2"/>
      <c r="X263" s="2"/>
      <c r="Y263" s="2"/>
      <c r="Z263" s="2"/>
    </row>
    <row r="264" spans="1:26" ht="14.25" customHeight="1" x14ac:dyDescent="0.3">
      <c r="A264" s="2"/>
      <c r="B264" s="2"/>
      <c r="C264" s="2"/>
      <c r="D264" s="2"/>
      <c r="E264" s="2"/>
      <c r="F264" s="2"/>
      <c r="G264" s="3"/>
      <c r="H264" s="3"/>
      <c r="I264" s="3"/>
      <c r="J264" s="2"/>
      <c r="K264" s="2"/>
      <c r="L264" s="2"/>
      <c r="M264" s="2"/>
      <c r="N264" s="2"/>
      <c r="O264" s="2"/>
      <c r="P264" s="2"/>
      <c r="Q264" s="2"/>
      <c r="R264" s="2"/>
      <c r="S264" s="2"/>
      <c r="T264" s="2"/>
      <c r="U264" s="2"/>
      <c r="V264" s="2"/>
      <c r="W264" s="2"/>
      <c r="X264" s="2"/>
      <c r="Y264" s="2"/>
      <c r="Z264" s="2"/>
    </row>
    <row r="265" spans="1:26" ht="14.25" customHeight="1" x14ac:dyDescent="0.3">
      <c r="A265" s="2"/>
      <c r="B265" s="2"/>
      <c r="C265" s="2"/>
      <c r="D265" s="2"/>
      <c r="E265" s="2"/>
      <c r="F265" s="2"/>
      <c r="G265" s="3"/>
      <c r="H265" s="3"/>
      <c r="I265" s="3"/>
      <c r="J265" s="2"/>
      <c r="K265" s="2"/>
      <c r="L265" s="2"/>
      <c r="M265" s="2"/>
      <c r="N265" s="2"/>
      <c r="O265" s="2"/>
      <c r="P265" s="2"/>
      <c r="Q265" s="2"/>
      <c r="R265" s="2"/>
      <c r="S265" s="2"/>
      <c r="T265" s="2"/>
      <c r="U265" s="2"/>
      <c r="V265" s="2"/>
      <c r="W265" s="2"/>
      <c r="X265" s="2"/>
      <c r="Y265" s="2"/>
      <c r="Z265" s="2"/>
    </row>
    <row r="266" spans="1:26" ht="14.25" customHeight="1" x14ac:dyDescent="0.3">
      <c r="A266" s="2"/>
      <c r="B266" s="2"/>
      <c r="C266" s="2"/>
      <c r="D266" s="2"/>
      <c r="E266" s="2"/>
      <c r="F266" s="2"/>
      <c r="G266" s="3"/>
      <c r="H266" s="3"/>
      <c r="I266" s="3"/>
      <c r="J266" s="2"/>
      <c r="K266" s="2"/>
      <c r="L266" s="2"/>
      <c r="M266" s="2"/>
      <c r="N266" s="2"/>
      <c r="O266" s="2"/>
      <c r="P266" s="2"/>
      <c r="Q266" s="2"/>
      <c r="R266" s="2"/>
      <c r="S266" s="2"/>
      <c r="T266" s="2"/>
      <c r="U266" s="2"/>
      <c r="V266" s="2"/>
      <c r="W266" s="2"/>
      <c r="X266" s="2"/>
      <c r="Y266" s="2"/>
      <c r="Z266" s="2"/>
    </row>
    <row r="267" spans="1:26" ht="14.25" customHeight="1" x14ac:dyDescent="0.3">
      <c r="A267" s="2"/>
      <c r="B267" s="2"/>
      <c r="C267" s="2"/>
      <c r="D267" s="2"/>
      <c r="E267" s="2"/>
      <c r="F267" s="2"/>
      <c r="G267" s="3"/>
      <c r="H267" s="3"/>
      <c r="I267" s="3"/>
      <c r="J267" s="2"/>
      <c r="K267" s="2"/>
      <c r="L267" s="2"/>
      <c r="M267" s="2"/>
      <c r="N267" s="2"/>
      <c r="O267" s="2"/>
      <c r="P267" s="2"/>
      <c r="Q267" s="2"/>
      <c r="R267" s="2"/>
      <c r="S267" s="2"/>
      <c r="T267" s="2"/>
      <c r="U267" s="2"/>
      <c r="V267" s="2"/>
      <c r="W267" s="2"/>
      <c r="X267" s="2"/>
      <c r="Y267" s="2"/>
      <c r="Z267" s="2"/>
    </row>
    <row r="268" spans="1:26" ht="14.25" customHeight="1" x14ac:dyDescent="0.3">
      <c r="A268" s="2"/>
      <c r="B268" s="2"/>
      <c r="C268" s="2"/>
      <c r="D268" s="2"/>
      <c r="E268" s="2"/>
      <c r="F268" s="2"/>
      <c r="G268" s="3"/>
      <c r="H268" s="3"/>
      <c r="I268" s="3"/>
      <c r="J268" s="2"/>
      <c r="K268" s="2"/>
      <c r="L268" s="2"/>
      <c r="M268" s="2"/>
      <c r="N268" s="2"/>
      <c r="O268" s="2"/>
      <c r="P268" s="2"/>
      <c r="Q268" s="2"/>
      <c r="R268" s="2"/>
      <c r="S268" s="2"/>
      <c r="T268" s="2"/>
      <c r="U268" s="2"/>
      <c r="V268" s="2"/>
      <c r="W268" s="2"/>
      <c r="X268" s="2"/>
      <c r="Y268" s="2"/>
      <c r="Z268" s="2"/>
    </row>
    <row r="269" spans="1:26" ht="14.25" customHeight="1" x14ac:dyDescent="0.3">
      <c r="A269" s="2"/>
      <c r="B269" s="2"/>
      <c r="C269" s="2"/>
      <c r="D269" s="2"/>
      <c r="E269" s="2"/>
      <c r="F269" s="2"/>
      <c r="G269" s="3"/>
      <c r="H269" s="3"/>
      <c r="I269" s="3"/>
      <c r="J269" s="2"/>
      <c r="K269" s="2"/>
      <c r="L269" s="2"/>
      <c r="M269" s="2"/>
      <c r="N269" s="2"/>
      <c r="O269" s="2"/>
      <c r="P269" s="2"/>
      <c r="Q269" s="2"/>
      <c r="R269" s="2"/>
      <c r="S269" s="2"/>
      <c r="T269" s="2"/>
      <c r="U269" s="2"/>
      <c r="V269" s="2"/>
      <c r="W269" s="2"/>
      <c r="X269" s="2"/>
      <c r="Y269" s="2"/>
      <c r="Z269" s="2"/>
    </row>
    <row r="270" spans="1:26" ht="14.25" customHeight="1" x14ac:dyDescent="0.3">
      <c r="A270" s="2"/>
      <c r="B270" s="2"/>
      <c r="C270" s="2"/>
      <c r="D270" s="2"/>
      <c r="E270" s="2"/>
      <c r="F270" s="2"/>
      <c r="G270" s="3"/>
      <c r="H270" s="3"/>
      <c r="I270" s="3"/>
      <c r="J270" s="2"/>
      <c r="K270" s="2"/>
      <c r="L270" s="2"/>
      <c r="M270" s="2"/>
      <c r="N270" s="2"/>
      <c r="O270" s="2"/>
      <c r="P270" s="2"/>
      <c r="Q270" s="2"/>
      <c r="R270" s="2"/>
      <c r="S270" s="2"/>
      <c r="T270" s="2"/>
      <c r="U270" s="2"/>
      <c r="V270" s="2"/>
      <c r="W270" s="2"/>
      <c r="X270" s="2"/>
      <c r="Y270" s="2"/>
      <c r="Z270" s="2"/>
    </row>
    <row r="271" spans="1:26" ht="14.25" customHeight="1" x14ac:dyDescent="0.3">
      <c r="A271" s="2"/>
      <c r="B271" s="2"/>
      <c r="C271" s="2"/>
      <c r="D271" s="2"/>
      <c r="E271" s="2"/>
      <c r="F271" s="2"/>
      <c r="G271" s="3"/>
      <c r="H271" s="3"/>
      <c r="I271" s="3"/>
      <c r="J271" s="2"/>
      <c r="K271" s="2"/>
      <c r="L271" s="2"/>
      <c r="M271" s="2"/>
      <c r="N271" s="2"/>
      <c r="O271" s="2"/>
      <c r="P271" s="2"/>
      <c r="Q271" s="2"/>
      <c r="R271" s="2"/>
      <c r="S271" s="2"/>
      <c r="T271" s="2"/>
      <c r="U271" s="2"/>
      <c r="V271" s="2"/>
      <c r="W271" s="2"/>
      <c r="X271" s="2"/>
      <c r="Y271" s="2"/>
      <c r="Z271" s="2"/>
    </row>
    <row r="272" spans="1:26" ht="14.25" customHeight="1" x14ac:dyDescent="0.3">
      <c r="A272" s="2"/>
      <c r="B272" s="2"/>
      <c r="C272" s="2"/>
      <c r="D272" s="2"/>
      <c r="E272" s="2"/>
      <c r="F272" s="2"/>
      <c r="G272" s="3"/>
      <c r="H272" s="3"/>
      <c r="I272" s="3"/>
      <c r="J272" s="2"/>
      <c r="K272" s="2"/>
      <c r="L272" s="2"/>
      <c r="M272" s="2"/>
      <c r="N272" s="2"/>
      <c r="O272" s="2"/>
      <c r="P272" s="2"/>
      <c r="Q272" s="2"/>
      <c r="R272" s="2"/>
      <c r="S272" s="2"/>
      <c r="T272" s="2"/>
      <c r="U272" s="2"/>
      <c r="V272" s="2"/>
      <c r="W272" s="2"/>
      <c r="X272" s="2"/>
      <c r="Y272" s="2"/>
      <c r="Z272" s="2"/>
    </row>
    <row r="273" spans="1:26" ht="14.25" customHeight="1" x14ac:dyDescent="0.3">
      <c r="A273" s="2"/>
      <c r="B273" s="2"/>
      <c r="C273" s="2"/>
      <c r="D273" s="2"/>
      <c r="E273" s="2"/>
      <c r="F273" s="2"/>
      <c r="G273" s="3"/>
      <c r="H273" s="3"/>
      <c r="I273" s="3"/>
      <c r="J273" s="2"/>
      <c r="K273" s="2"/>
      <c r="L273" s="2"/>
      <c r="M273" s="2"/>
      <c r="N273" s="2"/>
      <c r="O273" s="2"/>
      <c r="P273" s="2"/>
      <c r="Q273" s="2"/>
      <c r="R273" s="2"/>
      <c r="S273" s="2"/>
      <c r="T273" s="2"/>
      <c r="U273" s="2"/>
      <c r="V273" s="2"/>
      <c r="W273" s="2"/>
      <c r="X273" s="2"/>
      <c r="Y273" s="2"/>
      <c r="Z273" s="2"/>
    </row>
    <row r="274" spans="1:26" ht="14.25" customHeight="1" x14ac:dyDescent="0.3">
      <c r="A274" s="2"/>
      <c r="B274" s="2"/>
      <c r="C274" s="2"/>
      <c r="D274" s="2"/>
      <c r="E274" s="2"/>
      <c r="F274" s="2"/>
      <c r="G274" s="3"/>
      <c r="H274" s="3"/>
      <c r="I274" s="3"/>
      <c r="J274" s="2"/>
      <c r="K274" s="2"/>
      <c r="L274" s="2"/>
      <c r="M274" s="2"/>
      <c r="N274" s="2"/>
      <c r="O274" s="2"/>
      <c r="P274" s="2"/>
      <c r="Q274" s="2"/>
      <c r="R274" s="2"/>
      <c r="S274" s="2"/>
      <c r="T274" s="2"/>
      <c r="U274" s="2"/>
      <c r="V274" s="2"/>
      <c r="W274" s="2"/>
      <c r="X274" s="2"/>
      <c r="Y274" s="2"/>
      <c r="Z274" s="2"/>
    </row>
    <row r="275" spans="1:26" ht="14.25" customHeight="1" x14ac:dyDescent="0.3">
      <c r="A275" s="2"/>
      <c r="B275" s="2"/>
      <c r="C275" s="2"/>
      <c r="D275" s="2"/>
      <c r="E275" s="2"/>
      <c r="F275" s="2"/>
      <c r="G275" s="3"/>
      <c r="H275" s="3"/>
      <c r="I275" s="3"/>
      <c r="J275" s="2"/>
      <c r="K275" s="2"/>
      <c r="L275" s="2"/>
      <c r="M275" s="2"/>
      <c r="N275" s="2"/>
      <c r="O275" s="2"/>
      <c r="P275" s="2"/>
      <c r="Q275" s="2"/>
      <c r="R275" s="2"/>
      <c r="S275" s="2"/>
      <c r="T275" s="2"/>
      <c r="U275" s="2"/>
      <c r="V275" s="2"/>
      <c r="W275" s="2"/>
      <c r="X275" s="2"/>
      <c r="Y275" s="2"/>
      <c r="Z275" s="2"/>
    </row>
    <row r="276" spans="1:26" ht="14.25" customHeight="1" x14ac:dyDescent="0.3">
      <c r="A276" s="2"/>
      <c r="B276" s="2"/>
      <c r="C276" s="2"/>
      <c r="D276" s="2"/>
      <c r="E276" s="2"/>
      <c r="F276" s="2"/>
      <c r="G276" s="3"/>
      <c r="H276" s="3"/>
      <c r="I276" s="3"/>
      <c r="J276" s="2"/>
      <c r="K276" s="2"/>
      <c r="L276" s="2"/>
      <c r="M276" s="2"/>
      <c r="N276" s="2"/>
      <c r="O276" s="2"/>
      <c r="P276" s="2"/>
      <c r="Q276" s="2"/>
      <c r="R276" s="2"/>
      <c r="S276" s="2"/>
      <c r="T276" s="2"/>
      <c r="U276" s="2"/>
      <c r="V276" s="2"/>
      <c r="W276" s="2"/>
      <c r="X276" s="2"/>
      <c r="Y276" s="2"/>
      <c r="Z276" s="2"/>
    </row>
    <row r="277" spans="1:26" ht="14.25" customHeight="1" x14ac:dyDescent="0.3">
      <c r="A277" s="2"/>
      <c r="B277" s="2"/>
      <c r="C277" s="2"/>
      <c r="D277" s="2"/>
      <c r="E277" s="2"/>
      <c r="F277" s="2"/>
      <c r="G277" s="3"/>
      <c r="H277" s="3"/>
      <c r="I277" s="3"/>
      <c r="J277" s="2"/>
      <c r="K277" s="2"/>
      <c r="L277" s="2"/>
      <c r="M277" s="2"/>
      <c r="N277" s="2"/>
      <c r="O277" s="2"/>
      <c r="P277" s="2"/>
      <c r="Q277" s="2"/>
      <c r="R277" s="2"/>
      <c r="S277" s="2"/>
      <c r="T277" s="2"/>
      <c r="U277" s="2"/>
      <c r="V277" s="2"/>
      <c r="W277" s="2"/>
      <c r="X277" s="2"/>
      <c r="Y277" s="2"/>
      <c r="Z277" s="2"/>
    </row>
    <row r="278" spans="1:26" ht="14.25" customHeight="1" x14ac:dyDescent="0.3">
      <c r="A278" s="2"/>
      <c r="B278" s="2"/>
      <c r="C278" s="2"/>
      <c r="D278" s="2"/>
      <c r="E278" s="2"/>
      <c r="F278" s="2"/>
      <c r="G278" s="3"/>
      <c r="H278" s="3"/>
      <c r="I278" s="3"/>
      <c r="J278" s="2"/>
      <c r="K278" s="2"/>
      <c r="L278" s="2"/>
      <c r="M278" s="2"/>
      <c r="N278" s="2"/>
      <c r="O278" s="2"/>
      <c r="P278" s="2"/>
      <c r="Q278" s="2"/>
      <c r="R278" s="2"/>
      <c r="S278" s="2"/>
      <c r="T278" s="2"/>
      <c r="U278" s="2"/>
      <c r="V278" s="2"/>
      <c r="W278" s="2"/>
      <c r="X278" s="2"/>
      <c r="Y278" s="2"/>
      <c r="Z278" s="2"/>
    </row>
    <row r="279" spans="1:26" ht="14.25" customHeight="1" x14ac:dyDescent="0.3">
      <c r="A279" s="2"/>
      <c r="B279" s="2"/>
      <c r="C279" s="2"/>
      <c r="D279" s="2"/>
      <c r="E279" s="2"/>
      <c r="F279" s="2"/>
      <c r="G279" s="3"/>
      <c r="H279" s="3"/>
      <c r="I279" s="3"/>
      <c r="J279" s="2"/>
      <c r="K279" s="2"/>
      <c r="L279" s="2"/>
      <c r="M279" s="2"/>
      <c r="N279" s="2"/>
      <c r="O279" s="2"/>
      <c r="P279" s="2"/>
      <c r="Q279" s="2"/>
      <c r="R279" s="2"/>
      <c r="S279" s="2"/>
      <c r="T279" s="2"/>
      <c r="U279" s="2"/>
      <c r="V279" s="2"/>
      <c r="W279" s="2"/>
      <c r="X279" s="2"/>
      <c r="Y279" s="2"/>
      <c r="Z279" s="2"/>
    </row>
    <row r="280" spans="1:26" ht="14.25" customHeight="1" x14ac:dyDescent="0.3">
      <c r="A280" s="2"/>
      <c r="B280" s="2"/>
      <c r="C280" s="2"/>
      <c r="D280" s="2"/>
      <c r="E280" s="2"/>
      <c r="F280" s="2"/>
      <c r="G280" s="3"/>
      <c r="H280" s="3"/>
      <c r="I280" s="3"/>
      <c r="J280" s="2"/>
      <c r="K280" s="2"/>
      <c r="L280" s="2"/>
      <c r="M280" s="2"/>
      <c r="N280" s="2"/>
      <c r="O280" s="2"/>
      <c r="P280" s="2"/>
      <c r="Q280" s="2"/>
      <c r="R280" s="2"/>
      <c r="S280" s="2"/>
      <c r="T280" s="2"/>
      <c r="U280" s="2"/>
      <c r="V280" s="2"/>
      <c r="W280" s="2"/>
      <c r="X280" s="2"/>
      <c r="Y280" s="2"/>
      <c r="Z280" s="2"/>
    </row>
    <row r="281" spans="1:26" ht="14.25" customHeight="1" x14ac:dyDescent="0.3">
      <c r="A281" s="2"/>
      <c r="B281" s="2"/>
      <c r="C281" s="2"/>
      <c r="D281" s="2"/>
      <c r="E281" s="2"/>
      <c r="F281" s="2"/>
      <c r="G281" s="3"/>
      <c r="H281" s="3"/>
      <c r="I281" s="3"/>
      <c r="J281" s="2"/>
      <c r="K281" s="2"/>
      <c r="L281" s="2"/>
      <c r="M281" s="2"/>
      <c r="N281" s="2"/>
      <c r="O281" s="2"/>
      <c r="P281" s="2"/>
      <c r="Q281" s="2"/>
      <c r="R281" s="2"/>
      <c r="S281" s="2"/>
      <c r="T281" s="2"/>
      <c r="U281" s="2"/>
      <c r="V281" s="2"/>
      <c r="W281" s="2"/>
      <c r="X281" s="2"/>
      <c r="Y281" s="2"/>
      <c r="Z281" s="2"/>
    </row>
    <row r="282" spans="1:26" ht="14.25" customHeight="1" x14ac:dyDescent="0.3">
      <c r="A282" s="2"/>
      <c r="B282" s="2"/>
      <c r="C282" s="2"/>
      <c r="D282" s="2"/>
      <c r="E282" s="2"/>
      <c r="F282" s="2"/>
      <c r="G282" s="3"/>
      <c r="H282" s="3"/>
      <c r="I282" s="3"/>
      <c r="J282" s="2"/>
      <c r="K282" s="2"/>
      <c r="L282" s="2"/>
      <c r="M282" s="2"/>
      <c r="N282" s="2"/>
      <c r="O282" s="2"/>
      <c r="P282" s="2"/>
      <c r="Q282" s="2"/>
      <c r="R282" s="2"/>
      <c r="S282" s="2"/>
      <c r="T282" s="2"/>
      <c r="U282" s="2"/>
      <c r="V282" s="2"/>
      <c r="W282" s="2"/>
      <c r="X282" s="2"/>
      <c r="Y282" s="2"/>
      <c r="Z282" s="2"/>
    </row>
    <row r="283" spans="1:26" ht="14.25" customHeight="1" x14ac:dyDescent="0.3">
      <c r="A283" s="2"/>
      <c r="B283" s="2"/>
      <c r="C283" s="2"/>
      <c r="D283" s="2"/>
      <c r="E283" s="2"/>
      <c r="F283" s="2"/>
      <c r="G283" s="3"/>
      <c r="H283" s="3"/>
      <c r="I283" s="3"/>
      <c r="J283" s="2"/>
      <c r="K283" s="2"/>
      <c r="L283" s="2"/>
      <c r="M283" s="2"/>
      <c r="N283" s="2"/>
      <c r="O283" s="2"/>
      <c r="P283" s="2"/>
      <c r="Q283" s="2"/>
      <c r="R283" s="2"/>
      <c r="S283" s="2"/>
      <c r="T283" s="2"/>
      <c r="U283" s="2"/>
      <c r="V283" s="2"/>
      <c r="W283" s="2"/>
      <c r="X283" s="2"/>
      <c r="Y283" s="2"/>
      <c r="Z283" s="2"/>
    </row>
    <row r="284" spans="1:26" ht="14.25" customHeight="1" x14ac:dyDescent="0.3">
      <c r="A284" s="2"/>
      <c r="B284" s="2"/>
      <c r="C284" s="2"/>
      <c r="D284" s="2"/>
      <c r="E284" s="2"/>
      <c r="F284" s="2"/>
      <c r="G284" s="3"/>
      <c r="H284" s="3"/>
      <c r="I284" s="3"/>
      <c r="J284" s="2"/>
      <c r="K284" s="2"/>
      <c r="L284" s="2"/>
      <c r="M284" s="2"/>
      <c r="N284" s="2"/>
      <c r="O284" s="2"/>
      <c r="P284" s="2"/>
      <c r="Q284" s="2"/>
      <c r="R284" s="2"/>
      <c r="S284" s="2"/>
      <c r="T284" s="2"/>
      <c r="U284" s="2"/>
      <c r="V284" s="2"/>
      <c r="W284" s="2"/>
      <c r="X284" s="2"/>
      <c r="Y284" s="2"/>
      <c r="Z284" s="2"/>
    </row>
    <row r="285" spans="1:26" ht="14.25" customHeight="1" x14ac:dyDescent="0.3">
      <c r="A285" s="2"/>
      <c r="B285" s="2"/>
      <c r="C285" s="2"/>
      <c r="D285" s="2"/>
      <c r="E285" s="2"/>
      <c r="F285" s="2"/>
      <c r="G285" s="3"/>
      <c r="H285" s="3"/>
      <c r="I285" s="3"/>
      <c r="J285" s="2"/>
      <c r="K285" s="2"/>
      <c r="L285" s="2"/>
      <c r="M285" s="2"/>
      <c r="N285" s="2"/>
      <c r="O285" s="2"/>
      <c r="P285" s="2"/>
      <c r="Q285" s="2"/>
      <c r="R285" s="2"/>
      <c r="S285" s="2"/>
      <c r="T285" s="2"/>
      <c r="U285" s="2"/>
      <c r="V285" s="2"/>
      <c r="W285" s="2"/>
      <c r="X285" s="2"/>
      <c r="Y285" s="2"/>
      <c r="Z285" s="2"/>
    </row>
    <row r="286" spans="1:26" ht="14.25" customHeight="1" x14ac:dyDescent="0.3">
      <c r="A286" s="2"/>
      <c r="B286" s="2"/>
      <c r="C286" s="2"/>
      <c r="D286" s="2"/>
      <c r="E286" s="2"/>
      <c r="F286" s="2"/>
      <c r="G286" s="3"/>
      <c r="H286" s="3"/>
      <c r="I286" s="3"/>
      <c r="J286" s="2"/>
      <c r="K286" s="2"/>
      <c r="L286" s="2"/>
      <c r="M286" s="2"/>
      <c r="N286" s="2"/>
      <c r="O286" s="2"/>
      <c r="P286" s="2"/>
      <c r="Q286" s="2"/>
      <c r="R286" s="2"/>
      <c r="S286" s="2"/>
      <c r="T286" s="2"/>
      <c r="U286" s="2"/>
      <c r="V286" s="2"/>
      <c r="W286" s="2"/>
      <c r="X286" s="2"/>
      <c r="Y286" s="2"/>
      <c r="Z286" s="2"/>
    </row>
    <row r="287" spans="1:26" ht="14.25" customHeight="1" x14ac:dyDescent="0.3">
      <c r="A287" s="2"/>
      <c r="B287" s="2"/>
      <c r="C287" s="2"/>
      <c r="D287" s="2"/>
      <c r="E287" s="2"/>
      <c r="F287" s="2"/>
      <c r="G287" s="3"/>
      <c r="H287" s="3"/>
      <c r="I287" s="3"/>
      <c r="J287" s="2"/>
      <c r="K287" s="2"/>
      <c r="L287" s="2"/>
      <c r="M287" s="2"/>
      <c r="N287" s="2"/>
      <c r="O287" s="2"/>
      <c r="P287" s="2"/>
      <c r="Q287" s="2"/>
      <c r="R287" s="2"/>
      <c r="S287" s="2"/>
      <c r="T287" s="2"/>
      <c r="U287" s="2"/>
      <c r="V287" s="2"/>
      <c r="W287" s="2"/>
      <c r="X287" s="2"/>
      <c r="Y287" s="2"/>
      <c r="Z287" s="2"/>
    </row>
    <row r="288" spans="1:26" ht="14.25" customHeight="1" x14ac:dyDescent="0.3">
      <c r="A288" s="2"/>
      <c r="B288" s="2"/>
      <c r="C288" s="2"/>
      <c r="D288" s="2"/>
      <c r="E288" s="2"/>
      <c r="F288" s="2"/>
      <c r="G288" s="3"/>
      <c r="H288" s="3"/>
      <c r="I288" s="3"/>
      <c r="J288" s="2"/>
      <c r="K288" s="2"/>
      <c r="L288" s="2"/>
      <c r="M288" s="2"/>
      <c r="N288" s="2"/>
      <c r="O288" s="2"/>
      <c r="P288" s="2"/>
      <c r="Q288" s="2"/>
      <c r="R288" s="2"/>
      <c r="S288" s="2"/>
      <c r="T288" s="2"/>
      <c r="U288" s="2"/>
      <c r="V288" s="2"/>
      <c r="W288" s="2"/>
      <c r="X288" s="2"/>
      <c r="Y288" s="2"/>
      <c r="Z288" s="2"/>
    </row>
    <row r="289" spans="1:26" ht="14.25" customHeight="1" x14ac:dyDescent="0.3">
      <c r="A289" s="2"/>
      <c r="B289" s="2"/>
      <c r="C289" s="2"/>
      <c r="D289" s="2"/>
      <c r="E289" s="2"/>
      <c r="F289" s="2"/>
      <c r="G289" s="3"/>
      <c r="H289" s="3"/>
      <c r="I289" s="3"/>
      <c r="J289" s="2"/>
      <c r="K289" s="2"/>
      <c r="L289" s="2"/>
      <c r="M289" s="2"/>
      <c r="N289" s="2"/>
      <c r="O289" s="2"/>
      <c r="P289" s="2"/>
      <c r="Q289" s="2"/>
      <c r="R289" s="2"/>
      <c r="S289" s="2"/>
      <c r="T289" s="2"/>
      <c r="U289" s="2"/>
      <c r="V289" s="2"/>
      <c r="W289" s="2"/>
      <c r="X289" s="2"/>
      <c r="Y289" s="2"/>
      <c r="Z289" s="2"/>
    </row>
    <row r="290" spans="1:26" ht="14.25" customHeight="1" x14ac:dyDescent="0.3">
      <c r="A290" s="2"/>
      <c r="B290" s="2"/>
      <c r="C290" s="2"/>
      <c r="D290" s="2"/>
      <c r="E290" s="2"/>
      <c r="F290" s="2"/>
      <c r="G290" s="3"/>
      <c r="H290" s="3"/>
      <c r="I290" s="3"/>
      <c r="J290" s="2"/>
      <c r="K290" s="2"/>
      <c r="L290" s="2"/>
      <c r="M290" s="2"/>
      <c r="N290" s="2"/>
      <c r="O290" s="2"/>
      <c r="P290" s="2"/>
      <c r="Q290" s="2"/>
      <c r="R290" s="2"/>
      <c r="S290" s="2"/>
      <c r="T290" s="2"/>
      <c r="U290" s="2"/>
      <c r="V290" s="2"/>
      <c r="W290" s="2"/>
      <c r="X290" s="2"/>
      <c r="Y290" s="2"/>
      <c r="Z290" s="2"/>
    </row>
    <row r="291" spans="1:26" ht="14.25" customHeight="1" x14ac:dyDescent="0.3">
      <c r="A291" s="2"/>
      <c r="B291" s="2"/>
      <c r="C291" s="2"/>
      <c r="D291" s="2"/>
      <c r="E291" s="2"/>
      <c r="F291" s="2"/>
      <c r="G291" s="3"/>
      <c r="H291" s="3"/>
      <c r="I291" s="3"/>
      <c r="J291" s="2"/>
      <c r="K291" s="2"/>
      <c r="L291" s="2"/>
      <c r="M291" s="2"/>
      <c r="N291" s="2"/>
      <c r="O291" s="2"/>
      <c r="P291" s="2"/>
      <c r="Q291" s="2"/>
      <c r="R291" s="2"/>
      <c r="S291" s="2"/>
      <c r="T291" s="2"/>
      <c r="U291" s="2"/>
      <c r="V291" s="2"/>
      <c r="W291" s="2"/>
      <c r="X291" s="2"/>
      <c r="Y291" s="2"/>
      <c r="Z291" s="2"/>
    </row>
    <row r="292" spans="1:26" ht="14.25" customHeight="1" x14ac:dyDescent="0.3">
      <c r="A292" s="2"/>
      <c r="B292" s="2"/>
      <c r="C292" s="2"/>
      <c r="D292" s="2"/>
      <c r="E292" s="2"/>
      <c r="F292" s="2"/>
      <c r="G292" s="3"/>
      <c r="H292" s="3"/>
      <c r="I292" s="3"/>
      <c r="J292" s="2"/>
      <c r="K292" s="2"/>
      <c r="L292" s="2"/>
      <c r="M292" s="2"/>
      <c r="N292" s="2"/>
      <c r="O292" s="2"/>
      <c r="P292" s="2"/>
      <c r="Q292" s="2"/>
      <c r="R292" s="2"/>
      <c r="S292" s="2"/>
      <c r="T292" s="2"/>
      <c r="U292" s="2"/>
      <c r="V292" s="2"/>
      <c r="W292" s="2"/>
      <c r="X292" s="2"/>
      <c r="Y292" s="2"/>
      <c r="Z292" s="2"/>
    </row>
    <row r="293" spans="1:26" ht="14.25" customHeight="1" x14ac:dyDescent="0.3">
      <c r="A293" s="2"/>
      <c r="B293" s="2"/>
      <c r="C293" s="2"/>
      <c r="D293" s="2"/>
      <c r="E293" s="2"/>
      <c r="F293" s="2"/>
      <c r="G293" s="3"/>
      <c r="H293" s="3"/>
      <c r="I293" s="3"/>
      <c r="J293" s="2"/>
      <c r="K293" s="2"/>
      <c r="L293" s="2"/>
      <c r="M293" s="2"/>
      <c r="N293" s="2"/>
      <c r="O293" s="2"/>
      <c r="P293" s="2"/>
      <c r="Q293" s="2"/>
      <c r="R293" s="2"/>
      <c r="S293" s="2"/>
      <c r="T293" s="2"/>
      <c r="U293" s="2"/>
      <c r="V293" s="2"/>
      <c r="W293" s="2"/>
      <c r="X293" s="2"/>
      <c r="Y293" s="2"/>
      <c r="Z293" s="2"/>
    </row>
    <row r="294" spans="1:26" ht="14.25" customHeight="1" x14ac:dyDescent="0.3">
      <c r="A294" s="2"/>
      <c r="B294" s="2"/>
      <c r="C294" s="2"/>
      <c r="D294" s="2"/>
      <c r="E294" s="2"/>
      <c r="F294" s="2"/>
      <c r="G294" s="3"/>
      <c r="H294" s="3"/>
      <c r="I294" s="3"/>
      <c r="J294" s="2"/>
      <c r="K294" s="2"/>
      <c r="L294" s="2"/>
      <c r="M294" s="2"/>
      <c r="N294" s="2"/>
      <c r="O294" s="2"/>
      <c r="P294" s="2"/>
      <c r="Q294" s="2"/>
      <c r="R294" s="2"/>
      <c r="S294" s="2"/>
      <c r="T294" s="2"/>
      <c r="U294" s="2"/>
      <c r="V294" s="2"/>
      <c r="W294" s="2"/>
      <c r="X294" s="2"/>
      <c r="Y294" s="2"/>
      <c r="Z294" s="2"/>
    </row>
    <row r="295" spans="1:26" ht="14.25" customHeight="1" x14ac:dyDescent="0.3">
      <c r="A295" s="2"/>
      <c r="B295" s="2"/>
      <c r="C295" s="2"/>
      <c r="D295" s="2"/>
      <c r="E295" s="2"/>
      <c r="F295" s="2"/>
      <c r="G295" s="3"/>
      <c r="H295" s="3"/>
      <c r="I295" s="3"/>
      <c r="J295" s="2"/>
      <c r="K295" s="2"/>
      <c r="L295" s="2"/>
      <c r="M295" s="2"/>
      <c r="N295" s="2"/>
      <c r="O295" s="2"/>
      <c r="P295" s="2"/>
      <c r="Q295" s="2"/>
      <c r="R295" s="2"/>
      <c r="S295" s="2"/>
      <c r="T295" s="2"/>
      <c r="U295" s="2"/>
      <c r="V295" s="2"/>
      <c r="W295" s="2"/>
      <c r="X295" s="2"/>
      <c r="Y295" s="2"/>
      <c r="Z295" s="2"/>
    </row>
    <row r="296" spans="1:26" ht="14.25" customHeight="1" x14ac:dyDescent="0.3">
      <c r="A296" s="2"/>
      <c r="B296" s="2"/>
      <c r="C296" s="2"/>
      <c r="D296" s="2"/>
      <c r="E296" s="2"/>
      <c r="F296" s="2"/>
      <c r="G296" s="3"/>
      <c r="H296" s="3"/>
      <c r="I296" s="3"/>
      <c r="J296" s="2"/>
      <c r="K296" s="2"/>
      <c r="L296" s="2"/>
      <c r="M296" s="2"/>
      <c r="N296" s="2"/>
      <c r="O296" s="2"/>
      <c r="P296" s="2"/>
      <c r="Q296" s="2"/>
      <c r="R296" s="2"/>
      <c r="S296" s="2"/>
      <c r="T296" s="2"/>
      <c r="U296" s="2"/>
      <c r="V296" s="2"/>
      <c r="W296" s="2"/>
      <c r="X296" s="2"/>
      <c r="Y296" s="2"/>
      <c r="Z296" s="2"/>
    </row>
    <row r="297" spans="1:26" ht="14.25" customHeight="1" x14ac:dyDescent="0.3">
      <c r="A297" s="2"/>
      <c r="B297" s="2"/>
      <c r="C297" s="2"/>
      <c r="D297" s="2"/>
      <c r="E297" s="2"/>
      <c r="F297" s="2"/>
      <c r="G297" s="3"/>
      <c r="H297" s="3"/>
      <c r="I297" s="3"/>
      <c r="J297" s="2"/>
      <c r="K297" s="2"/>
      <c r="L297" s="2"/>
      <c r="M297" s="2"/>
      <c r="N297" s="2"/>
      <c r="O297" s="2"/>
      <c r="P297" s="2"/>
      <c r="Q297" s="2"/>
      <c r="R297" s="2"/>
      <c r="S297" s="2"/>
      <c r="T297" s="2"/>
      <c r="U297" s="2"/>
      <c r="V297" s="2"/>
      <c r="W297" s="2"/>
      <c r="X297" s="2"/>
      <c r="Y297" s="2"/>
      <c r="Z297" s="2"/>
    </row>
    <row r="298" spans="1:26" ht="14.25" customHeight="1" x14ac:dyDescent="0.3">
      <c r="A298" s="2"/>
      <c r="B298" s="2"/>
      <c r="C298" s="2"/>
      <c r="D298" s="2"/>
      <c r="E298" s="2"/>
      <c r="F298" s="2"/>
      <c r="G298" s="3"/>
      <c r="H298" s="3"/>
      <c r="I298" s="3"/>
      <c r="J298" s="2"/>
      <c r="K298" s="2"/>
      <c r="L298" s="2"/>
      <c r="M298" s="2"/>
      <c r="N298" s="2"/>
      <c r="O298" s="2"/>
      <c r="P298" s="2"/>
      <c r="Q298" s="2"/>
      <c r="R298" s="2"/>
      <c r="S298" s="2"/>
      <c r="T298" s="2"/>
      <c r="U298" s="2"/>
      <c r="V298" s="2"/>
      <c r="W298" s="2"/>
      <c r="X298" s="2"/>
      <c r="Y298" s="2"/>
      <c r="Z298" s="2"/>
    </row>
    <row r="299" spans="1:26" ht="14.25" customHeight="1" x14ac:dyDescent="0.3">
      <c r="A299" s="2"/>
      <c r="B299" s="2"/>
      <c r="C299" s="2"/>
      <c r="D299" s="2"/>
      <c r="E299" s="2"/>
      <c r="F299" s="2"/>
      <c r="G299" s="3"/>
      <c r="H299" s="3"/>
      <c r="I299" s="3"/>
      <c r="J299" s="2"/>
      <c r="K299" s="2"/>
      <c r="L299" s="2"/>
      <c r="M299" s="2"/>
      <c r="N299" s="2"/>
      <c r="O299" s="2"/>
      <c r="P299" s="2"/>
      <c r="Q299" s="2"/>
      <c r="R299" s="2"/>
      <c r="S299" s="2"/>
      <c r="T299" s="2"/>
      <c r="U299" s="2"/>
      <c r="V299" s="2"/>
      <c r="W299" s="2"/>
      <c r="X299" s="2"/>
      <c r="Y299" s="2"/>
      <c r="Z299" s="2"/>
    </row>
    <row r="300" spans="1:26" ht="14.25" customHeight="1" x14ac:dyDescent="0.3">
      <c r="A300" s="2"/>
      <c r="B300" s="2"/>
      <c r="C300" s="2"/>
      <c r="D300" s="2"/>
      <c r="E300" s="2"/>
      <c r="F300" s="2"/>
      <c r="G300" s="3"/>
      <c r="H300" s="3"/>
      <c r="I300" s="3"/>
      <c r="J300" s="2"/>
      <c r="K300" s="2"/>
      <c r="L300" s="2"/>
      <c r="M300" s="2"/>
      <c r="N300" s="2"/>
      <c r="O300" s="2"/>
      <c r="P300" s="2"/>
      <c r="Q300" s="2"/>
      <c r="R300" s="2"/>
      <c r="S300" s="2"/>
      <c r="T300" s="2"/>
      <c r="U300" s="2"/>
      <c r="V300" s="2"/>
      <c r="W300" s="2"/>
      <c r="X300" s="2"/>
      <c r="Y300" s="2"/>
      <c r="Z300" s="2"/>
    </row>
    <row r="301" spans="1:26" ht="14.25" customHeight="1" x14ac:dyDescent="0.3">
      <c r="A301" s="2"/>
      <c r="B301" s="2"/>
      <c r="C301" s="2"/>
      <c r="D301" s="2"/>
      <c r="E301" s="2"/>
      <c r="F301" s="2"/>
      <c r="G301" s="3"/>
      <c r="H301" s="3"/>
      <c r="I301" s="3"/>
      <c r="J301" s="2"/>
      <c r="K301" s="2"/>
      <c r="L301" s="2"/>
      <c r="M301" s="2"/>
      <c r="N301" s="2"/>
      <c r="O301" s="2"/>
      <c r="P301" s="2"/>
      <c r="Q301" s="2"/>
      <c r="R301" s="2"/>
      <c r="S301" s="2"/>
      <c r="T301" s="2"/>
      <c r="U301" s="2"/>
      <c r="V301" s="2"/>
      <c r="W301" s="2"/>
      <c r="X301" s="2"/>
      <c r="Y301" s="2"/>
      <c r="Z301" s="2"/>
    </row>
    <row r="302" spans="1:26" ht="14.25" customHeight="1" x14ac:dyDescent="0.3">
      <c r="A302" s="2"/>
      <c r="B302" s="2"/>
      <c r="C302" s="2"/>
      <c r="D302" s="2"/>
      <c r="E302" s="2"/>
      <c r="F302" s="2"/>
      <c r="G302" s="3"/>
      <c r="H302" s="3"/>
      <c r="I302" s="3"/>
      <c r="J302" s="2"/>
      <c r="K302" s="2"/>
      <c r="L302" s="2"/>
      <c r="M302" s="2"/>
      <c r="N302" s="2"/>
      <c r="O302" s="2"/>
      <c r="P302" s="2"/>
      <c r="Q302" s="2"/>
      <c r="R302" s="2"/>
      <c r="S302" s="2"/>
      <c r="T302" s="2"/>
      <c r="U302" s="2"/>
      <c r="V302" s="2"/>
      <c r="W302" s="2"/>
      <c r="X302" s="2"/>
      <c r="Y302" s="2"/>
      <c r="Z302" s="2"/>
    </row>
    <row r="303" spans="1:26" ht="14.25" customHeight="1" x14ac:dyDescent="0.3">
      <c r="A303" s="2"/>
      <c r="B303" s="2"/>
      <c r="C303" s="2"/>
      <c r="D303" s="2"/>
      <c r="E303" s="2"/>
      <c r="F303" s="2"/>
      <c r="G303" s="3"/>
      <c r="H303" s="3"/>
      <c r="I303" s="3"/>
      <c r="J303" s="2"/>
      <c r="K303" s="2"/>
      <c r="L303" s="2"/>
      <c r="M303" s="2"/>
      <c r="N303" s="2"/>
      <c r="O303" s="2"/>
      <c r="P303" s="2"/>
      <c r="Q303" s="2"/>
      <c r="R303" s="2"/>
      <c r="S303" s="2"/>
      <c r="T303" s="2"/>
      <c r="U303" s="2"/>
      <c r="V303" s="2"/>
      <c r="W303" s="2"/>
      <c r="X303" s="2"/>
      <c r="Y303" s="2"/>
      <c r="Z303" s="2"/>
    </row>
    <row r="304" spans="1:26" ht="14.25" customHeight="1" x14ac:dyDescent="0.3">
      <c r="A304" s="2"/>
      <c r="B304" s="2"/>
      <c r="C304" s="2"/>
      <c r="D304" s="2"/>
      <c r="E304" s="2"/>
      <c r="F304" s="2"/>
      <c r="G304" s="3"/>
      <c r="H304" s="3"/>
      <c r="I304" s="3"/>
      <c r="J304" s="2"/>
      <c r="K304" s="2"/>
      <c r="L304" s="2"/>
      <c r="M304" s="2"/>
      <c r="N304" s="2"/>
      <c r="O304" s="2"/>
      <c r="P304" s="2"/>
      <c r="Q304" s="2"/>
      <c r="R304" s="2"/>
      <c r="S304" s="2"/>
      <c r="T304" s="2"/>
      <c r="U304" s="2"/>
      <c r="V304" s="2"/>
      <c r="W304" s="2"/>
      <c r="X304" s="2"/>
      <c r="Y304" s="2"/>
      <c r="Z304" s="2"/>
    </row>
    <row r="305" spans="1:26" ht="14.25" customHeight="1" x14ac:dyDescent="0.3">
      <c r="A305" s="2"/>
      <c r="B305" s="2"/>
      <c r="C305" s="2"/>
      <c r="D305" s="2"/>
      <c r="E305" s="2"/>
      <c r="F305" s="2"/>
      <c r="G305" s="3"/>
      <c r="H305" s="3"/>
      <c r="I305" s="3"/>
      <c r="J305" s="2"/>
      <c r="K305" s="2"/>
      <c r="L305" s="2"/>
      <c r="M305" s="2"/>
      <c r="N305" s="2"/>
      <c r="O305" s="2"/>
      <c r="P305" s="2"/>
      <c r="Q305" s="2"/>
      <c r="R305" s="2"/>
      <c r="S305" s="2"/>
      <c r="T305" s="2"/>
      <c r="U305" s="2"/>
      <c r="V305" s="2"/>
      <c r="W305" s="2"/>
      <c r="X305" s="2"/>
      <c r="Y305" s="2"/>
      <c r="Z305" s="2"/>
    </row>
    <row r="306" spans="1:26" ht="14.25" customHeight="1" x14ac:dyDescent="0.3">
      <c r="A306" s="2"/>
      <c r="B306" s="2"/>
      <c r="C306" s="2"/>
      <c r="D306" s="2"/>
      <c r="E306" s="2"/>
      <c r="F306" s="2"/>
      <c r="G306" s="3"/>
      <c r="H306" s="3"/>
      <c r="I306" s="3"/>
      <c r="J306" s="2"/>
      <c r="K306" s="2"/>
      <c r="L306" s="2"/>
      <c r="M306" s="2"/>
      <c r="N306" s="2"/>
      <c r="O306" s="2"/>
      <c r="P306" s="2"/>
      <c r="Q306" s="2"/>
      <c r="R306" s="2"/>
      <c r="S306" s="2"/>
      <c r="T306" s="2"/>
      <c r="U306" s="2"/>
      <c r="V306" s="2"/>
      <c r="W306" s="2"/>
      <c r="X306" s="2"/>
      <c r="Y306" s="2"/>
      <c r="Z306" s="2"/>
    </row>
    <row r="307" spans="1:26" ht="14.25" customHeight="1" x14ac:dyDescent="0.3">
      <c r="A307" s="2"/>
      <c r="B307" s="2"/>
      <c r="C307" s="2"/>
      <c r="D307" s="2"/>
      <c r="E307" s="2"/>
      <c r="F307" s="2"/>
      <c r="G307" s="3"/>
      <c r="H307" s="3"/>
      <c r="I307" s="3"/>
      <c r="J307" s="2"/>
      <c r="K307" s="2"/>
      <c r="L307" s="2"/>
      <c r="M307" s="2"/>
      <c r="N307" s="2"/>
      <c r="O307" s="2"/>
      <c r="P307" s="2"/>
      <c r="Q307" s="2"/>
      <c r="R307" s="2"/>
      <c r="S307" s="2"/>
      <c r="T307" s="2"/>
      <c r="U307" s="2"/>
      <c r="V307" s="2"/>
      <c r="W307" s="2"/>
      <c r="X307" s="2"/>
      <c r="Y307" s="2"/>
      <c r="Z307" s="2"/>
    </row>
    <row r="308" spans="1:26" ht="14.25" customHeight="1" x14ac:dyDescent="0.3">
      <c r="A308" s="2"/>
      <c r="B308" s="2"/>
      <c r="C308" s="2"/>
      <c r="D308" s="2"/>
      <c r="E308" s="2"/>
      <c r="F308" s="2"/>
      <c r="G308" s="3"/>
      <c r="H308" s="3"/>
      <c r="I308" s="3"/>
      <c r="J308" s="2"/>
      <c r="K308" s="2"/>
      <c r="L308" s="2"/>
      <c r="M308" s="2"/>
      <c r="N308" s="2"/>
      <c r="O308" s="2"/>
      <c r="P308" s="2"/>
      <c r="Q308" s="2"/>
      <c r="R308" s="2"/>
      <c r="S308" s="2"/>
      <c r="T308" s="2"/>
      <c r="U308" s="2"/>
      <c r="V308" s="2"/>
      <c r="W308" s="2"/>
      <c r="X308" s="2"/>
      <c r="Y308" s="2"/>
      <c r="Z308" s="2"/>
    </row>
    <row r="309" spans="1:26" ht="14.25" customHeight="1" x14ac:dyDescent="0.3">
      <c r="A309" s="2"/>
      <c r="B309" s="2"/>
      <c r="C309" s="2"/>
      <c r="D309" s="2"/>
      <c r="E309" s="2"/>
      <c r="F309" s="2"/>
      <c r="G309" s="3"/>
      <c r="H309" s="3"/>
      <c r="I309" s="3"/>
      <c r="J309" s="2"/>
      <c r="K309" s="2"/>
      <c r="L309" s="2"/>
      <c r="M309" s="2"/>
      <c r="N309" s="2"/>
      <c r="O309" s="2"/>
      <c r="P309" s="2"/>
      <c r="Q309" s="2"/>
      <c r="R309" s="2"/>
      <c r="S309" s="2"/>
      <c r="T309" s="2"/>
      <c r="U309" s="2"/>
      <c r="V309" s="2"/>
      <c r="W309" s="2"/>
      <c r="X309" s="2"/>
      <c r="Y309" s="2"/>
      <c r="Z309" s="2"/>
    </row>
    <row r="310" spans="1:26" ht="14.25" customHeight="1" x14ac:dyDescent="0.3">
      <c r="A310" s="2"/>
      <c r="B310" s="2"/>
      <c r="C310" s="2"/>
      <c r="D310" s="2"/>
      <c r="E310" s="2"/>
      <c r="F310" s="2"/>
      <c r="G310" s="3"/>
      <c r="H310" s="3"/>
      <c r="I310" s="3"/>
      <c r="J310" s="2"/>
      <c r="K310" s="2"/>
      <c r="L310" s="2"/>
      <c r="M310" s="2"/>
      <c r="N310" s="2"/>
      <c r="O310" s="2"/>
      <c r="P310" s="2"/>
      <c r="Q310" s="2"/>
      <c r="R310" s="2"/>
      <c r="S310" s="2"/>
      <c r="T310" s="2"/>
      <c r="U310" s="2"/>
      <c r="V310" s="2"/>
      <c r="W310" s="2"/>
      <c r="X310" s="2"/>
      <c r="Y310" s="2"/>
      <c r="Z310" s="2"/>
    </row>
    <row r="311" spans="1:26" ht="14.25" customHeight="1" x14ac:dyDescent="0.3">
      <c r="A311" s="2"/>
      <c r="B311" s="2"/>
      <c r="C311" s="2"/>
      <c r="D311" s="2"/>
      <c r="E311" s="2"/>
      <c r="F311" s="2"/>
      <c r="G311" s="3"/>
      <c r="H311" s="3"/>
      <c r="I311" s="3"/>
      <c r="J311" s="2"/>
      <c r="K311" s="2"/>
      <c r="L311" s="2"/>
      <c r="M311" s="2"/>
      <c r="N311" s="2"/>
      <c r="O311" s="2"/>
      <c r="P311" s="2"/>
      <c r="Q311" s="2"/>
      <c r="R311" s="2"/>
      <c r="S311" s="2"/>
      <c r="T311" s="2"/>
      <c r="U311" s="2"/>
      <c r="V311" s="2"/>
      <c r="W311" s="2"/>
      <c r="X311" s="2"/>
      <c r="Y311" s="2"/>
      <c r="Z311" s="2"/>
    </row>
    <row r="312" spans="1:26" ht="14.25" customHeight="1" x14ac:dyDescent="0.3">
      <c r="A312" s="2"/>
      <c r="B312" s="2"/>
      <c r="C312" s="2"/>
      <c r="D312" s="2"/>
      <c r="E312" s="2"/>
      <c r="F312" s="2"/>
      <c r="G312" s="3"/>
      <c r="H312" s="3"/>
      <c r="I312" s="3"/>
      <c r="J312" s="2"/>
      <c r="K312" s="2"/>
      <c r="L312" s="2"/>
      <c r="M312" s="2"/>
      <c r="N312" s="2"/>
      <c r="O312" s="2"/>
      <c r="P312" s="2"/>
      <c r="Q312" s="2"/>
      <c r="R312" s="2"/>
      <c r="S312" s="2"/>
      <c r="T312" s="2"/>
      <c r="U312" s="2"/>
      <c r="V312" s="2"/>
      <c r="W312" s="2"/>
      <c r="X312" s="2"/>
      <c r="Y312" s="2"/>
      <c r="Z312" s="2"/>
    </row>
    <row r="313" spans="1:26" ht="14.25" customHeight="1" x14ac:dyDescent="0.3">
      <c r="A313" s="2"/>
      <c r="B313" s="2"/>
      <c r="C313" s="2"/>
      <c r="D313" s="2"/>
      <c r="E313" s="2"/>
      <c r="F313" s="2"/>
      <c r="G313" s="3"/>
      <c r="H313" s="3"/>
      <c r="I313" s="3"/>
      <c r="J313" s="2"/>
      <c r="K313" s="2"/>
      <c r="L313" s="2"/>
      <c r="M313" s="2"/>
      <c r="N313" s="2"/>
      <c r="O313" s="2"/>
      <c r="P313" s="2"/>
      <c r="Q313" s="2"/>
      <c r="R313" s="2"/>
      <c r="S313" s="2"/>
      <c r="T313" s="2"/>
      <c r="U313" s="2"/>
      <c r="V313" s="2"/>
      <c r="W313" s="2"/>
      <c r="X313" s="2"/>
      <c r="Y313" s="2"/>
      <c r="Z313" s="2"/>
    </row>
    <row r="314" spans="1:26" ht="14.25" customHeight="1" x14ac:dyDescent="0.3">
      <c r="A314" s="2"/>
      <c r="B314" s="2"/>
      <c r="C314" s="2"/>
      <c r="D314" s="2"/>
      <c r="E314" s="2"/>
      <c r="F314" s="2"/>
      <c r="G314" s="3"/>
      <c r="H314" s="3"/>
      <c r="I314" s="3"/>
      <c r="J314" s="2"/>
      <c r="K314" s="2"/>
      <c r="L314" s="2"/>
      <c r="M314" s="2"/>
      <c r="N314" s="2"/>
      <c r="O314" s="2"/>
      <c r="P314" s="2"/>
      <c r="Q314" s="2"/>
      <c r="R314" s="2"/>
      <c r="S314" s="2"/>
      <c r="T314" s="2"/>
      <c r="U314" s="2"/>
      <c r="V314" s="2"/>
      <c r="W314" s="2"/>
      <c r="X314" s="2"/>
      <c r="Y314" s="2"/>
      <c r="Z314" s="2"/>
    </row>
    <row r="315" spans="1:26" ht="14.25" customHeight="1" x14ac:dyDescent="0.3">
      <c r="A315" s="2"/>
      <c r="B315" s="2"/>
      <c r="C315" s="2"/>
      <c r="D315" s="2"/>
      <c r="E315" s="2"/>
      <c r="F315" s="2"/>
      <c r="G315" s="3"/>
      <c r="H315" s="3"/>
      <c r="I315" s="3"/>
      <c r="J315" s="2"/>
      <c r="K315" s="2"/>
      <c r="L315" s="2"/>
      <c r="M315" s="2"/>
      <c r="N315" s="2"/>
      <c r="O315" s="2"/>
      <c r="P315" s="2"/>
      <c r="Q315" s="2"/>
      <c r="R315" s="2"/>
      <c r="S315" s="2"/>
      <c r="T315" s="2"/>
      <c r="U315" s="2"/>
      <c r="V315" s="2"/>
      <c r="W315" s="2"/>
      <c r="X315" s="2"/>
      <c r="Y315" s="2"/>
      <c r="Z315" s="2"/>
    </row>
    <row r="316" spans="1:26" ht="14.25" customHeight="1" x14ac:dyDescent="0.3">
      <c r="A316" s="2"/>
      <c r="B316" s="2"/>
      <c r="C316" s="2"/>
      <c r="D316" s="2"/>
      <c r="E316" s="2"/>
      <c r="F316" s="2"/>
      <c r="G316" s="3"/>
      <c r="H316" s="3"/>
      <c r="I316" s="3"/>
      <c r="J316" s="2"/>
      <c r="K316" s="2"/>
      <c r="L316" s="2"/>
      <c r="M316" s="2"/>
      <c r="N316" s="2"/>
      <c r="O316" s="2"/>
      <c r="P316" s="2"/>
      <c r="Q316" s="2"/>
      <c r="R316" s="2"/>
      <c r="S316" s="2"/>
      <c r="T316" s="2"/>
      <c r="U316" s="2"/>
      <c r="V316" s="2"/>
      <c r="W316" s="2"/>
      <c r="X316" s="2"/>
      <c r="Y316" s="2"/>
      <c r="Z316" s="2"/>
    </row>
    <row r="317" spans="1:26" ht="14.25" customHeight="1" x14ac:dyDescent="0.3">
      <c r="A317" s="2"/>
      <c r="B317" s="2"/>
      <c r="C317" s="2"/>
      <c r="D317" s="2"/>
      <c r="E317" s="2"/>
      <c r="F317" s="2"/>
      <c r="G317" s="3"/>
      <c r="H317" s="3"/>
      <c r="I317" s="3"/>
      <c r="J317" s="2"/>
      <c r="K317" s="2"/>
      <c r="L317" s="2"/>
      <c r="M317" s="2"/>
      <c r="N317" s="2"/>
      <c r="O317" s="2"/>
      <c r="P317" s="2"/>
      <c r="Q317" s="2"/>
      <c r="R317" s="2"/>
      <c r="S317" s="2"/>
      <c r="T317" s="2"/>
      <c r="U317" s="2"/>
      <c r="V317" s="2"/>
      <c r="W317" s="2"/>
      <c r="X317" s="2"/>
      <c r="Y317" s="2"/>
      <c r="Z317" s="2"/>
    </row>
    <row r="318" spans="1:26" ht="14.25" customHeight="1" x14ac:dyDescent="0.3">
      <c r="A318" s="2"/>
      <c r="B318" s="2"/>
      <c r="C318" s="2"/>
      <c r="D318" s="2"/>
      <c r="E318" s="2"/>
      <c r="F318" s="2"/>
      <c r="G318" s="3"/>
      <c r="H318" s="3"/>
      <c r="I318" s="3"/>
      <c r="J318" s="2"/>
      <c r="K318" s="2"/>
      <c r="L318" s="2"/>
      <c r="M318" s="2"/>
      <c r="N318" s="2"/>
      <c r="O318" s="2"/>
      <c r="P318" s="2"/>
      <c r="Q318" s="2"/>
      <c r="R318" s="2"/>
      <c r="S318" s="2"/>
      <c r="T318" s="2"/>
      <c r="U318" s="2"/>
      <c r="V318" s="2"/>
      <c r="W318" s="2"/>
      <c r="X318" s="2"/>
      <c r="Y318" s="2"/>
      <c r="Z318" s="2"/>
    </row>
    <row r="319" spans="1:26" ht="14.25" customHeight="1" x14ac:dyDescent="0.3">
      <c r="A319" s="2"/>
      <c r="B319" s="2"/>
      <c r="C319" s="2"/>
      <c r="D319" s="2"/>
      <c r="E319" s="2"/>
      <c r="F319" s="2"/>
      <c r="G319" s="3"/>
      <c r="H319" s="3"/>
      <c r="I319" s="3"/>
      <c r="J319" s="2"/>
      <c r="K319" s="2"/>
      <c r="L319" s="2"/>
      <c r="M319" s="2"/>
      <c r="N319" s="2"/>
      <c r="O319" s="2"/>
      <c r="P319" s="2"/>
      <c r="Q319" s="2"/>
      <c r="R319" s="2"/>
      <c r="S319" s="2"/>
      <c r="T319" s="2"/>
      <c r="U319" s="2"/>
      <c r="V319" s="2"/>
      <c r="W319" s="2"/>
      <c r="X319" s="2"/>
      <c r="Y319" s="2"/>
      <c r="Z319" s="2"/>
    </row>
    <row r="320" spans="1:26" ht="14.25" customHeight="1" x14ac:dyDescent="0.3">
      <c r="A320" s="2"/>
      <c r="B320" s="2"/>
      <c r="C320" s="2"/>
      <c r="D320" s="2"/>
      <c r="E320" s="2"/>
      <c r="F320" s="2"/>
      <c r="G320" s="3"/>
      <c r="H320" s="3"/>
      <c r="I320" s="3"/>
      <c r="J320" s="2"/>
      <c r="K320" s="2"/>
      <c r="L320" s="2"/>
      <c r="M320" s="2"/>
      <c r="N320" s="2"/>
      <c r="O320" s="2"/>
      <c r="P320" s="2"/>
      <c r="Q320" s="2"/>
      <c r="R320" s="2"/>
      <c r="S320" s="2"/>
      <c r="T320" s="2"/>
      <c r="U320" s="2"/>
      <c r="V320" s="2"/>
      <c r="W320" s="2"/>
      <c r="X320" s="2"/>
      <c r="Y320" s="2"/>
      <c r="Z320" s="2"/>
    </row>
    <row r="321" spans="1:26" ht="14.25" customHeight="1" x14ac:dyDescent="0.3">
      <c r="A321" s="2"/>
      <c r="B321" s="2"/>
      <c r="C321" s="2"/>
      <c r="D321" s="2"/>
      <c r="E321" s="2"/>
      <c r="F321" s="2"/>
      <c r="G321" s="3"/>
      <c r="H321" s="3"/>
      <c r="I321" s="3"/>
      <c r="J321" s="2"/>
      <c r="K321" s="2"/>
      <c r="L321" s="2"/>
      <c r="M321" s="2"/>
      <c r="N321" s="2"/>
      <c r="O321" s="2"/>
      <c r="P321" s="2"/>
      <c r="Q321" s="2"/>
      <c r="R321" s="2"/>
      <c r="S321" s="2"/>
      <c r="T321" s="2"/>
      <c r="U321" s="2"/>
      <c r="V321" s="2"/>
      <c r="W321" s="2"/>
      <c r="X321" s="2"/>
      <c r="Y321" s="2"/>
      <c r="Z321" s="2"/>
    </row>
    <row r="322" spans="1:26" ht="14.25" customHeight="1" x14ac:dyDescent="0.3">
      <c r="A322" s="2"/>
      <c r="B322" s="2"/>
      <c r="C322" s="2"/>
      <c r="D322" s="2"/>
      <c r="E322" s="2"/>
      <c r="F322" s="2"/>
      <c r="G322" s="3"/>
      <c r="H322" s="3"/>
      <c r="I322" s="3"/>
      <c r="J322" s="2"/>
      <c r="K322" s="2"/>
      <c r="L322" s="2"/>
      <c r="M322" s="2"/>
      <c r="N322" s="2"/>
      <c r="O322" s="2"/>
      <c r="P322" s="2"/>
      <c r="Q322" s="2"/>
      <c r="R322" s="2"/>
      <c r="S322" s="2"/>
      <c r="T322" s="2"/>
      <c r="U322" s="2"/>
      <c r="V322" s="2"/>
      <c r="W322" s="2"/>
      <c r="X322" s="2"/>
      <c r="Y322" s="2"/>
      <c r="Z322" s="2"/>
    </row>
    <row r="323" spans="1:26" ht="14.25" customHeight="1" x14ac:dyDescent="0.3">
      <c r="A323" s="2"/>
      <c r="B323" s="2"/>
      <c r="C323" s="2"/>
      <c r="D323" s="2"/>
      <c r="E323" s="2"/>
      <c r="F323" s="2"/>
      <c r="G323" s="3"/>
      <c r="H323" s="3"/>
      <c r="I323" s="3"/>
      <c r="J323" s="2"/>
      <c r="K323" s="2"/>
      <c r="L323" s="2"/>
      <c r="M323" s="2"/>
      <c r="N323" s="2"/>
      <c r="O323" s="2"/>
      <c r="P323" s="2"/>
      <c r="Q323" s="2"/>
      <c r="R323" s="2"/>
      <c r="S323" s="2"/>
      <c r="T323" s="2"/>
      <c r="U323" s="2"/>
      <c r="V323" s="2"/>
      <c r="W323" s="2"/>
      <c r="X323" s="2"/>
      <c r="Y323" s="2"/>
      <c r="Z323" s="2"/>
    </row>
    <row r="324" spans="1:26" ht="14.25" customHeight="1" x14ac:dyDescent="0.3">
      <c r="A324" s="2"/>
      <c r="B324" s="2"/>
      <c r="C324" s="2"/>
      <c r="D324" s="2"/>
      <c r="E324" s="2"/>
      <c r="F324" s="2"/>
      <c r="G324" s="3"/>
      <c r="H324" s="3"/>
      <c r="I324" s="3"/>
      <c r="J324" s="2"/>
      <c r="K324" s="2"/>
      <c r="L324" s="2"/>
      <c r="M324" s="2"/>
      <c r="N324" s="2"/>
      <c r="O324" s="2"/>
      <c r="P324" s="2"/>
      <c r="Q324" s="2"/>
      <c r="R324" s="2"/>
      <c r="S324" s="2"/>
      <c r="T324" s="2"/>
      <c r="U324" s="2"/>
      <c r="V324" s="2"/>
      <c r="W324" s="2"/>
      <c r="X324" s="2"/>
      <c r="Y324" s="2"/>
      <c r="Z324" s="2"/>
    </row>
    <row r="325" spans="1:26" ht="14.25" customHeight="1" x14ac:dyDescent="0.3">
      <c r="A325" s="2"/>
      <c r="B325" s="2"/>
      <c r="C325" s="2"/>
      <c r="D325" s="2"/>
      <c r="E325" s="2"/>
      <c r="F325" s="2"/>
      <c r="G325" s="3"/>
      <c r="H325" s="3"/>
      <c r="I325" s="3"/>
      <c r="J325" s="2"/>
      <c r="K325" s="2"/>
      <c r="L325" s="2"/>
      <c r="M325" s="2"/>
      <c r="N325" s="2"/>
      <c r="O325" s="2"/>
      <c r="P325" s="2"/>
      <c r="Q325" s="2"/>
      <c r="R325" s="2"/>
      <c r="S325" s="2"/>
      <c r="T325" s="2"/>
      <c r="U325" s="2"/>
      <c r="V325" s="2"/>
      <c r="W325" s="2"/>
      <c r="X325" s="2"/>
      <c r="Y325" s="2"/>
      <c r="Z325" s="2"/>
    </row>
    <row r="326" spans="1:26" ht="14.25" customHeight="1" x14ac:dyDescent="0.3">
      <c r="A326" s="2"/>
      <c r="B326" s="2"/>
      <c r="C326" s="2"/>
      <c r="D326" s="2"/>
      <c r="E326" s="2"/>
      <c r="F326" s="2"/>
      <c r="G326" s="3"/>
      <c r="H326" s="3"/>
      <c r="I326" s="3"/>
      <c r="J326" s="2"/>
      <c r="K326" s="2"/>
      <c r="L326" s="2"/>
      <c r="M326" s="2"/>
      <c r="N326" s="2"/>
      <c r="O326" s="2"/>
      <c r="P326" s="2"/>
      <c r="Q326" s="2"/>
      <c r="R326" s="2"/>
      <c r="S326" s="2"/>
      <c r="T326" s="2"/>
      <c r="U326" s="2"/>
      <c r="V326" s="2"/>
      <c r="W326" s="2"/>
      <c r="X326" s="2"/>
      <c r="Y326" s="2"/>
      <c r="Z326" s="2"/>
    </row>
    <row r="327" spans="1:26" ht="14.25" customHeight="1" x14ac:dyDescent="0.3">
      <c r="A327" s="2"/>
      <c r="B327" s="2"/>
      <c r="C327" s="2"/>
      <c r="D327" s="2"/>
      <c r="E327" s="2"/>
      <c r="F327" s="2"/>
      <c r="G327" s="3"/>
      <c r="H327" s="3"/>
      <c r="I327" s="3"/>
      <c r="J327" s="2"/>
      <c r="K327" s="2"/>
      <c r="L327" s="2"/>
      <c r="M327" s="2"/>
      <c r="N327" s="2"/>
      <c r="O327" s="2"/>
      <c r="P327" s="2"/>
      <c r="Q327" s="2"/>
      <c r="R327" s="2"/>
      <c r="S327" s="2"/>
      <c r="T327" s="2"/>
      <c r="U327" s="2"/>
      <c r="V327" s="2"/>
      <c r="W327" s="2"/>
      <c r="X327" s="2"/>
      <c r="Y327" s="2"/>
      <c r="Z327" s="2"/>
    </row>
    <row r="328" spans="1:26" ht="14.25" customHeight="1" x14ac:dyDescent="0.3">
      <c r="A328" s="2"/>
      <c r="B328" s="2"/>
      <c r="C328" s="2"/>
      <c r="D328" s="2"/>
      <c r="E328" s="2"/>
      <c r="F328" s="2"/>
      <c r="G328" s="3"/>
      <c r="H328" s="3"/>
      <c r="I328" s="3"/>
      <c r="J328" s="2"/>
      <c r="K328" s="2"/>
      <c r="L328" s="2"/>
      <c r="M328" s="2"/>
      <c r="N328" s="2"/>
      <c r="O328" s="2"/>
      <c r="P328" s="2"/>
      <c r="Q328" s="2"/>
      <c r="R328" s="2"/>
      <c r="S328" s="2"/>
      <c r="T328" s="2"/>
      <c r="U328" s="2"/>
      <c r="V328" s="2"/>
      <c r="W328" s="2"/>
      <c r="X328" s="2"/>
      <c r="Y328" s="2"/>
      <c r="Z328" s="2"/>
    </row>
    <row r="329" spans="1:26" ht="14.25" customHeight="1" x14ac:dyDescent="0.3">
      <c r="A329" s="2"/>
      <c r="B329" s="2"/>
      <c r="C329" s="2"/>
      <c r="D329" s="2"/>
      <c r="E329" s="2"/>
      <c r="F329" s="2"/>
      <c r="G329" s="3"/>
      <c r="H329" s="3"/>
      <c r="I329" s="3"/>
      <c r="J329" s="2"/>
      <c r="K329" s="2"/>
      <c r="L329" s="2"/>
      <c r="M329" s="2"/>
      <c r="N329" s="2"/>
      <c r="O329" s="2"/>
      <c r="P329" s="2"/>
      <c r="Q329" s="2"/>
      <c r="R329" s="2"/>
      <c r="S329" s="2"/>
      <c r="T329" s="2"/>
      <c r="U329" s="2"/>
      <c r="V329" s="2"/>
      <c r="W329" s="2"/>
      <c r="X329" s="2"/>
      <c r="Y329" s="2"/>
      <c r="Z329" s="2"/>
    </row>
    <row r="330" spans="1:26" ht="14.25" customHeight="1" x14ac:dyDescent="0.3">
      <c r="A330" s="2"/>
      <c r="B330" s="2"/>
      <c r="C330" s="2"/>
      <c r="D330" s="2"/>
      <c r="E330" s="2"/>
      <c r="F330" s="2"/>
      <c r="G330" s="3"/>
      <c r="H330" s="3"/>
      <c r="I330" s="3"/>
      <c r="J330" s="2"/>
      <c r="K330" s="2"/>
      <c r="L330" s="2"/>
      <c r="M330" s="2"/>
      <c r="N330" s="2"/>
      <c r="O330" s="2"/>
      <c r="P330" s="2"/>
      <c r="Q330" s="2"/>
      <c r="R330" s="2"/>
      <c r="S330" s="2"/>
      <c r="T330" s="2"/>
      <c r="U330" s="2"/>
      <c r="V330" s="2"/>
      <c r="W330" s="2"/>
      <c r="X330" s="2"/>
      <c r="Y330" s="2"/>
      <c r="Z330" s="2"/>
    </row>
    <row r="331" spans="1:26" ht="14.25" customHeight="1" x14ac:dyDescent="0.3">
      <c r="A331" s="2"/>
      <c r="B331" s="2"/>
      <c r="C331" s="2"/>
      <c r="D331" s="2"/>
      <c r="E331" s="2"/>
      <c r="F331" s="2"/>
      <c r="G331" s="3"/>
      <c r="H331" s="3"/>
      <c r="I331" s="3"/>
      <c r="J331" s="2"/>
      <c r="K331" s="2"/>
      <c r="L331" s="2"/>
      <c r="M331" s="2"/>
      <c r="N331" s="2"/>
      <c r="O331" s="2"/>
      <c r="P331" s="2"/>
      <c r="Q331" s="2"/>
      <c r="R331" s="2"/>
      <c r="S331" s="2"/>
      <c r="T331" s="2"/>
      <c r="U331" s="2"/>
      <c r="V331" s="2"/>
      <c r="W331" s="2"/>
      <c r="X331" s="2"/>
      <c r="Y331" s="2"/>
      <c r="Z331" s="2"/>
    </row>
    <row r="332" spans="1:26" ht="14.25" customHeight="1" x14ac:dyDescent="0.3">
      <c r="A332" s="2"/>
      <c r="B332" s="2"/>
      <c r="C332" s="2"/>
      <c r="D332" s="2"/>
      <c r="E332" s="2"/>
      <c r="F332" s="2"/>
      <c r="G332" s="3"/>
      <c r="H332" s="3"/>
      <c r="I332" s="3"/>
      <c r="J332" s="2"/>
      <c r="K332" s="2"/>
      <c r="L332" s="2"/>
      <c r="M332" s="2"/>
      <c r="N332" s="2"/>
      <c r="O332" s="2"/>
      <c r="P332" s="2"/>
      <c r="Q332" s="2"/>
      <c r="R332" s="2"/>
      <c r="S332" s="2"/>
      <c r="T332" s="2"/>
      <c r="U332" s="2"/>
      <c r="V332" s="2"/>
      <c r="W332" s="2"/>
      <c r="X332" s="2"/>
      <c r="Y332" s="2"/>
      <c r="Z332" s="2"/>
    </row>
    <row r="333" spans="1:26" ht="14.25" customHeight="1" x14ac:dyDescent="0.3">
      <c r="A333" s="2"/>
      <c r="B333" s="2"/>
      <c r="C333" s="2"/>
      <c r="D333" s="2"/>
      <c r="E333" s="2"/>
      <c r="F333" s="2"/>
      <c r="G333" s="3"/>
      <c r="H333" s="3"/>
      <c r="I333" s="3"/>
      <c r="J333" s="2"/>
      <c r="K333" s="2"/>
      <c r="L333" s="2"/>
      <c r="M333" s="2"/>
      <c r="N333" s="2"/>
      <c r="O333" s="2"/>
      <c r="P333" s="2"/>
      <c r="Q333" s="2"/>
      <c r="R333" s="2"/>
      <c r="S333" s="2"/>
      <c r="T333" s="2"/>
      <c r="U333" s="2"/>
      <c r="V333" s="2"/>
      <c r="W333" s="2"/>
      <c r="X333" s="2"/>
      <c r="Y333" s="2"/>
      <c r="Z333" s="2"/>
    </row>
    <row r="334" spans="1:26" ht="14.25" customHeight="1" x14ac:dyDescent="0.3">
      <c r="A334" s="2"/>
      <c r="B334" s="2"/>
      <c r="C334" s="2"/>
      <c r="D334" s="2"/>
      <c r="E334" s="2"/>
      <c r="F334" s="2"/>
      <c r="G334" s="3"/>
      <c r="H334" s="3"/>
      <c r="I334" s="3"/>
      <c r="J334" s="2"/>
      <c r="K334" s="2"/>
      <c r="L334" s="2"/>
      <c r="M334" s="2"/>
      <c r="N334" s="2"/>
      <c r="O334" s="2"/>
      <c r="P334" s="2"/>
      <c r="Q334" s="2"/>
      <c r="R334" s="2"/>
      <c r="S334" s="2"/>
      <c r="T334" s="2"/>
      <c r="U334" s="2"/>
      <c r="V334" s="2"/>
      <c r="W334" s="2"/>
      <c r="X334" s="2"/>
      <c r="Y334" s="2"/>
      <c r="Z334" s="2"/>
    </row>
    <row r="335" spans="1:26" ht="14.25" customHeight="1" x14ac:dyDescent="0.3">
      <c r="A335" s="2"/>
      <c r="B335" s="2"/>
      <c r="C335" s="2"/>
      <c r="D335" s="2"/>
      <c r="E335" s="2"/>
      <c r="F335" s="2"/>
      <c r="G335" s="3"/>
      <c r="H335" s="3"/>
      <c r="I335" s="3"/>
      <c r="J335" s="2"/>
      <c r="K335" s="2"/>
      <c r="L335" s="2"/>
      <c r="M335" s="2"/>
      <c r="N335" s="2"/>
      <c r="O335" s="2"/>
      <c r="P335" s="2"/>
      <c r="Q335" s="2"/>
      <c r="R335" s="2"/>
      <c r="S335" s="2"/>
      <c r="T335" s="2"/>
      <c r="U335" s="2"/>
      <c r="V335" s="2"/>
      <c r="W335" s="2"/>
      <c r="X335" s="2"/>
      <c r="Y335" s="2"/>
      <c r="Z335" s="2"/>
    </row>
    <row r="336" spans="1:26" ht="14.25" customHeight="1" x14ac:dyDescent="0.3">
      <c r="A336" s="2"/>
      <c r="B336" s="2"/>
      <c r="C336" s="2"/>
      <c r="D336" s="2"/>
      <c r="E336" s="2"/>
      <c r="F336" s="2"/>
      <c r="G336" s="3"/>
      <c r="H336" s="3"/>
      <c r="I336" s="3"/>
      <c r="J336" s="2"/>
      <c r="K336" s="2"/>
      <c r="L336" s="2"/>
      <c r="M336" s="2"/>
      <c r="N336" s="2"/>
      <c r="O336" s="2"/>
      <c r="P336" s="2"/>
      <c r="Q336" s="2"/>
      <c r="R336" s="2"/>
      <c r="S336" s="2"/>
      <c r="T336" s="2"/>
      <c r="U336" s="2"/>
      <c r="V336" s="2"/>
      <c r="W336" s="2"/>
      <c r="X336" s="2"/>
      <c r="Y336" s="2"/>
      <c r="Z336" s="2"/>
    </row>
    <row r="337" spans="1:26" ht="14.25" customHeight="1" x14ac:dyDescent="0.3">
      <c r="A337" s="2"/>
      <c r="B337" s="2"/>
      <c r="C337" s="2"/>
      <c r="D337" s="2"/>
      <c r="E337" s="2"/>
      <c r="F337" s="2"/>
      <c r="G337" s="3"/>
      <c r="H337" s="3"/>
      <c r="I337" s="3"/>
      <c r="J337" s="2"/>
      <c r="K337" s="2"/>
      <c r="L337" s="2"/>
      <c r="M337" s="2"/>
      <c r="N337" s="2"/>
      <c r="O337" s="2"/>
      <c r="P337" s="2"/>
      <c r="Q337" s="2"/>
      <c r="R337" s="2"/>
      <c r="S337" s="2"/>
      <c r="T337" s="2"/>
      <c r="U337" s="2"/>
      <c r="V337" s="2"/>
      <c r="W337" s="2"/>
      <c r="X337" s="2"/>
      <c r="Y337" s="2"/>
      <c r="Z337" s="2"/>
    </row>
    <row r="338" spans="1:26" ht="14.25" customHeight="1" x14ac:dyDescent="0.3">
      <c r="A338" s="2"/>
      <c r="B338" s="2"/>
      <c r="C338" s="2"/>
      <c r="D338" s="2"/>
      <c r="E338" s="2"/>
      <c r="F338" s="2"/>
      <c r="G338" s="3"/>
      <c r="H338" s="3"/>
      <c r="I338" s="3"/>
      <c r="J338" s="2"/>
      <c r="K338" s="2"/>
      <c r="L338" s="2"/>
      <c r="M338" s="2"/>
      <c r="N338" s="2"/>
      <c r="O338" s="2"/>
      <c r="P338" s="2"/>
      <c r="Q338" s="2"/>
      <c r="R338" s="2"/>
      <c r="S338" s="2"/>
      <c r="T338" s="2"/>
      <c r="U338" s="2"/>
      <c r="V338" s="2"/>
      <c r="W338" s="2"/>
      <c r="X338" s="2"/>
      <c r="Y338" s="2"/>
      <c r="Z338" s="2"/>
    </row>
    <row r="339" spans="1:26" ht="14.25" customHeight="1" x14ac:dyDescent="0.3">
      <c r="A339" s="2"/>
      <c r="B339" s="2"/>
      <c r="C339" s="2"/>
      <c r="D339" s="2"/>
      <c r="E339" s="2"/>
      <c r="F339" s="2"/>
      <c r="G339" s="3"/>
      <c r="H339" s="3"/>
      <c r="I339" s="3"/>
      <c r="J339" s="2"/>
      <c r="K339" s="2"/>
      <c r="L339" s="2"/>
      <c r="M339" s="2"/>
      <c r="N339" s="2"/>
      <c r="O339" s="2"/>
      <c r="P339" s="2"/>
      <c r="Q339" s="2"/>
      <c r="R339" s="2"/>
      <c r="S339" s="2"/>
      <c r="T339" s="2"/>
      <c r="U339" s="2"/>
      <c r="V339" s="2"/>
      <c r="W339" s="2"/>
      <c r="X339" s="2"/>
      <c r="Y339" s="2"/>
      <c r="Z339" s="2"/>
    </row>
    <row r="340" spans="1:26" ht="14.25" customHeight="1" x14ac:dyDescent="0.3">
      <c r="A340" s="2"/>
      <c r="B340" s="2"/>
      <c r="C340" s="2"/>
      <c r="D340" s="2"/>
      <c r="E340" s="2"/>
      <c r="F340" s="2"/>
      <c r="G340" s="3"/>
      <c r="H340" s="3"/>
      <c r="I340" s="3"/>
      <c r="J340" s="2"/>
      <c r="K340" s="2"/>
      <c r="L340" s="2"/>
      <c r="M340" s="2"/>
      <c r="N340" s="2"/>
      <c r="O340" s="2"/>
      <c r="P340" s="2"/>
      <c r="Q340" s="2"/>
      <c r="R340" s="2"/>
      <c r="S340" s="2"/>
      <c r="T340" s="2"/>
      <c r="U340" s="2"/>
      <c r="V340" s="2"/>
      <c r="W340" s="2"/>
      <c r="X340" s="2"/>
      <c r="Y340" s="2"/>
      <c r="Z340" s="2"/>
    </row>
    <row r="341" spans="1:26" ht="14.25" customHeight="1" x14ac:dyDescent="0.3">
      <c r="A341" s="2"/>
      <c r="B341" s="2"/>
      <c r="C341" s="2"/>
      <c r="D341" s="2"/>
      <c r="E341" s="2"/>
      <c r="F341" s="2"/>
      <c r="G341" s="3"/>
      <c r="H341" s="3"/>
      <c r="I341" s="3"/>
      <c r="J341" s="2"/>
      <c r="K341" s="2"/>
      <c r="L341" s="2"/>
      <c r="M341" s="2"/>
      <c r="N341" s="2"/>
      <c r="O341" s="2"/>
      <c r="P341" s="2"/>
      <c r="Q341" s="2"/>
      <c r="R341" s="2"/>
      <c r="S341" s="2"/>
      <c r="T341" s="2"/>
      <c r="U341" s="2"/>
      <c r="V341" s="2"/>
      <c r="W341" s="2"/>
      <c r="X341" s="2"/>
      <c r="Y341" s="2"/>
      <c r="Z341" s="2"/>
    </row>
    <row r="342" spans="1:26" ht="14.25" customHeight="1" x14ac:dyDescent="0.3">
      <c r="A342" s="2"/>
      <c r="B342" s="2"/>
      <c r="C342" s="2"/>
      <c r="D342" s="2"/>
      <c r="E342" s="2"/>
      <c r="F342" s="2"/>
      <c r="G342" s="3"/>
      <c r="H342" s="3"/>
      <c r="I342" s="3"/>
      <c r="J342" s="2"/>
      <c r="K342" s="2"/>
      <c r="L342" s="2"/>
      <c r="M342" s="2"/>
      <c r="N342" s="2"/>
      <c r="O342" s="2"/>
      <c r="P342" s="2"/>
      <c r="Q342" s="2"/>
      <c r="R342" s="2"/>
      <c r="S342" s="2"/>
      <c r="T342" s="2"/>
      <c r="U342" s="2"/>
      <c r="V342" s="2"/>
      <c r="W342" s="2"/>
      <c r="X342" s="2"/>
      <c r="Y342" s="2"/>
      <c r="Z342" s="2"/>
    </row>
    <row r="343" spans="1:26" ht="14.25" customHeight="1" x14ac:dyDescent="0.3">
      <c r="A343" s="2"/>
      <c r="B343" s="2"/>
      <c r="C343" s="2"/>
      <c r="D343" s="2"/>
      <c r="E343" s="2"/>
      <c r="F343" s="2"/>
      <c r="G343" s="3"/>
      <c r="H343" s="3"/>
      <c r="I343" s="3"/>
      <c r="J343" s="2"/>
      <c r="K343" s="2"/>
      <c r="L343" s="2"/>
      <c r="M343" s="2"/>
      <c r="N343" s="2"/>
      <c r="O343" s="2"/>
      <c r="P343" s="2"/>
      <c r="Q343" s="2"/>
      <c r="R343" s="2"/>
      <c r="S343" s="2"/>
      <c r="T343" s="2"/>
      <c r="U343" s="2"/>
      <c r="V343" s="2"/>
      <c r="W343" s="2"/>
      <c r="X343" s="2"/>
      <c r="Y343" s="2"/>
      <c r="Z343" s="2"/>
    </row>
    <row r="344" spans="1:26" ht="14.25" customHeight="1" x14ac:dyDescent="0.3">
      <c r="A344" s="2"/>
      <c r="B344" s="2"/>
      <c r="C344" s="2"/>
      <c r="D344" s="2"/>
      <c r="E344" s="2"/>
      <c r="F344" s="2"/>
      <c r="G344" s="3"/>
      <c r="H344" s="3"/>
      <c r="I344" s="3"/>
      <c r="J344" s="2"/>
      <c r="K344" s="2"/>
      <c r="L344" s="2"/>
      <c r="M344" s="2"/>
      <c r="N344" s="2"/>
      <c r="O344" s="2"/>
      <c r="P344" s="2"/>
      <c r="Q344" s="2"/>
      <c r="R344" s="2"/>
      <c r="S344" s="2"/>
      <c r="T344" s="2"/>
      <c r="U344" s="2"/>
      <c r="V344" s="2"/>
      <c r="W344" s="2"/>
      <c r="X344" s="2"/>
      <c r="Y344" s="2"/>
      <c r="Z344" s="2"/>
    </row>
    <row r="345" spans="1:26" ht="14.25" customHeight="1" x14ac:dyDescent="0.3">
      <c r="A345" s="2"/>
      <c r="B345" s="2"/>
      <c r="C345" s="2"/>
      <c r="D345" s="2"/>
      <c r="E345" s="2"/>
      <c r="F345" s="2"/>
      <c r="G345" s="3"/>
      <c r="H345" s="3"/>
      <c r="I345" s="3"/>
      <c r="J345" s="2"/>
      <c r="K345" s="2"/>
      <c r="L345" s="2"/>
      <c r="M345" s="2"/>
      <c r="N345" s="2"/>
      <c r="O345" s="2"/>
      <c r="P345" s="2"/>
      <c r="Q345" s="2"/>
      <c r="R345" s="2"/>
      <c r="S345" s="2"/>
      <c r="T345" s="2"/>
      <c r="U345" s="2"/>
      <c r="V345" s="2"/>
      <c r="W345" s="2"/>
      <c r="X345" s="2"/>
      <c r="Y345" s="2"/>
      <c r="Z345" s="2"/>
    </row>
    <row r="346" spans="1:26" ht="14.25" customHeight="1" x14ac:dyDescent="0.3">
      <c r="A346" s="2"/>
      <c r="B346" s="2"/>
      <c r="C346" s="2"/>
      <c r="D346" s="2"/>
      <c r="E346" s="2"/>
      <c r="F346" s="2"/>
      <c r="G346" s="3"/>
      <c r="H346" s="3"/>
      <c r="I346" s="3"/>
      <c r="J346" s="2"/>
      <c r="K346" s="2"/>
      <c r="L346" s="2"/>
      <c r="M346" s="2"/>
      <c r="N346" s="2"/>
      <c r="O346" s="2"/>
      <c r="P346" s="2"/>
      <c r="Q346" s="2"/>
      <c r="R346" s="2"/>
      <c r="S346" s="2"/>
      <c r="T346" s="2"/>
      <c r="U346" s="2"/>
      <c r="V346" s="2"/>
      <c r="W346" s="2"/>
      <c r="X346" s="2"/>
      <c r="Y346" s="2"/>
      <c r="Z346" s="2"/>
    </row>
    <row r="347" spans="1:26" ht="14.25" customHeight="1" x14ac:dyDescent="0.3">
      <c r="A347" s="2"/>
      <c r="B347" s="2"/>
      <c r="C347" s="2"/>
      <c r="D347" s="2"/>
      <c r="E347" s="2"/>
      <c r="F347" s="2"/>
      <c r="G347" s="3"/>
      <c r="H347" s="3"/>
      <c r="I347" s="3"/>
      <c r="J347" s="2"/>
      <c r="K347" s="2"/>
      <c r="L347" s="2"/>
      <c r="M347" s="2"/>
      <c r="N347" s="2"/>
      <c r="O347" s="2"/>
      <c r="P347" s="2"/>
      <c r="Q347" s="2"/>
      <c r="R347" s="2"/>
      <c r="S347" s="2"/>
      <c r="T347" s="2"/>
      <c r="U347" s="2"/>
      <c r="V347" s="2"/>
      <c r="W347" s="2"/>
      <c r="X347" s="2"/>
      <c r="Y347" s="2"/>
      <c r="Z347" s="2"/>
    </row>
    <row r="348" spans="1:26" ht="14.25" customHeight="1" x14ac:dyDescent="0.3">
      <c r="A348" s="2"/>
      <c r="B348" s="2"/>
      <c r="C348" s="2"/>
      <c r="D348" s="2"/>
      <c r="E348" s="2"/>
      <c r="F348" s="2"/>
      <c r="G348" s="3"/>
      <c r="H348" s="3"/>
      <c r="I348" s="3"/>
      <c r="J348" s="2"/>
      <c r="K348" s="2"/>
      <c r="L348" s="2"/>
      <c r="M348" s="2"/>
      <c r="N348" s="2"/>
      <c r="O348" s="2"/>
      <c r="P348" s="2"/>
      <c r="Q348" s="2"/>
      <c r="R348" s="2"/>
      <c r="S348" s="2"/>
      <c r="T348" s="2"/>
      <c r="U348" s="2"/>
      <c r="V348" s="2"/>
      <c r="W348" s="2"/>
      <c r="X348" s="2"/>
      <c r="Y348" s="2"/>
      <c r="Z348" s="2"/>
    </row>
    <row r="349" spans="1:26" ht="14.25" customHeight="1" x14ac:dyDescent="0.3">
      <c r="A349" s="2"/>
      <c r="B349" s="2"/>
      <c r="C349" s="2"/>
      <c r="D349" s="2"/>
      <c r="E349" s="2"/>
      <c r="F349" s="2"/>
      <c r="G349" s="3"/>
      <c r="H349" s="3"/>
      <c r="I349" s="3"/>
      <c r="J349" s="2"/>
      <c r="K349" s="2"/>
      <c r="L349" s="2"/>
      <c r="M349" s="2"/>
      <c r="N349" s="2"/>
      <c r="O349" s="2"/>
      <c r="P349" s="2"/>
      <c r="Q349" s="2"/>
      <c r="R349" s="2"/>
      <c r="S349" s="2"/>
      <c r="T349" s="2"/>
      <c r="U349" s="2"/>
      <c r="V349" s="2"/>
      <c r="W349" s="2"/>
      <c r="X349" s="2"/>
      <c r="Y349" s="2"/>
      <c r="Z349" s="2"/>
    </row>
    <row r="350" spans="1:26" ht="14.25" customHeight="1" x14ac:dyDescent="0.3">
      <c r="A350" s="2"/>
      <c r="B350" s="2"/>
      <c r="C350" s="2"/>
      <c r="D350" s="2"/>
      <c r="E350" s="2"/>
      <c r="F350" s="2"/>
      <c r="G350" s="3"/>
      <c r="H350" s="3"/>
      <c r="I350" s="3"/>
      <c r="J350" s="2"/>
      <c r="K350" s="2"/>
      <c r="L350" s="2"/>
      <c r="M350" s="2"/>
      <c r="N350" s="2"/>
      <c r="O350" s="2"/>
      <c r="P350" s="2"/>
      <c r="Q350" s="2"/>
      <c r="R350" s="2"/>
      <c r="S350" s="2"/>
      <c r="T350" s="2"/>
      <c r="U350" s="2"/>
      <c r="V350" s="2"/>
      <c r="W350" s="2"/>
      <c r="X350" s="2"/>
      <c r="Y350" s="2"/>
      <c r="Z350" s="2"/>
    </row>
    <row r="351" spans="1:26" ht="14.25" customHeight="1" x14ac:dyDescent="0.3">
      <c r="A351" s="2"/>
      <c r="B351" s="2"/>
      <c r="C351" s="2"/>
      <c r="D351" s="2"/>
      <c r="E351" s="2"/>
      <c r="F351" s="2"/>
      <c r="G351" s="3"/>
      <c r="H351" s="3"/>
      <c r="I351" s="3"/>
      <c r="J351" s="2"/>
      <c r="K351" s="2"/>
      <c r="L351" s="2"/>
      <c r="M351" s="2"/>
      <c r="N351" s="2"/>
      <c r="O351" s="2"/>
      <c r="P351" s="2"/>
      <c r="Q351" s="2"/>
      <c r="R351" s="2"/>
      <c r="S351" s="2"/>
      <c r="T351" s="2"/>
      <c r="U351" s="2"/>
      <c r="V351" s="2"/>
      <c r="W351" s="2"/>
      <c r="X351" s="2"/>
      <c r="Y351" s="2"/>
      <c r="Z351" s="2"/>
    </row>
    <row r="352" spans="1:26" ht="14.25" customHeight="1" x14ac:dyDescent="0.3">
      <c r="A352" s="2"/>
      <c r="B352" s="2"/>
      <c r="C352" s="2"/>
      <c r="D352" s="2"/>
      <c r="E352" s="2"/>
      <c r="F352" s="2"/>
      <c r="G352" s="3"/>
      <c r="H352" s="3"/>
      <c r="I352" s="3"/>
      <c r="J352" s="2"/>
      <c r="K352" s="2"/>
      <c r="L352" s="2"/>
      <c r="M352" s="2"/>
      <c r="N352" s="2"/>
      <c r="O352" s="2"/>
      <c r="P352" s="2"/>
      <c r="Q352" s="2"/>
      <c r="R352" s="2"/>
      <c r="S352" s="2"/>
      <c r="T352" s="2"/>
      <c r="U352" s="2"/>
      <c r="V352" s="2"/>
      <c r="W352" s="2"/>
      <c r="X352" s="2"/>
      <c r="Y352" s="2"/>
      <c r="Z352" s="2"/>
    </row>
    <row r="353" spans="1:26" ht="14.25" customHeight="1" x14ac:dyDescent="0.3">
      <c r="A353" s="2"/>
      <c r="B353" s="2"/>
      <c r="C353" s="2"/>
      <c r="D353" s="2"/>
      <c r="E353" s="2"/>
      <c r="F353" s="2"/>
      <c r="G353" s="3"/>
      <c r="H353" s="3"/>
      <c r="I353" s="3"/>
      <c r="J353" s="2"/>
      <c r="K353" s="2"/>
      <c r="L353" s="2"/>
      <c r="M353" s="2"/>
      <c r="N353" s="2"/>
      <c r="O353" s="2"/>
      <c r="P353" s="2"/>
      <c r="Q353" s="2"/>
      <c r="R353" s="2"/>
      <c r="S353" s="2"/>
      <c r="T353" s="2"/>
      <c r="U353" s="2"/>
      <c r="V353" s="2"/>
      <c r="W353" s="2"/>
      <c r="X353" s="2"/>
      <c r="Y353" s="2"/>
      <c r="Z353" s="2"/>
    </row>
    <row r="354" spans="1:26" ht="14.25" customHeight="1" x14ac:dyDescent="0.3">
      <c r="A354" s="2"/>
      <c r="B354" s="2"/>
      <c r="C354" s="2"/>
      <c r="D354" s="2"/>
      <c r="E354" s="2"/>
      <c r="F354" s="2"/>
      <c r="G354" s="3"/>
      <c r="H354" s="3"/>
      <c r="I354" s="3"/>
      <c r="J354" s="2"/>
      <c r="K354" s="2"/>
      <c r="L354" s="2"/>
      <c r="M354" s="2"/>
      <c r="N354" s="2"/>
      <c r="O354" s="2"/>
      <c r="P354" s="2"/>
      <c r="Q354" s="2"/>
      <c r="R354" s="2"/>
      <c r="S354" s="2"/>
      <c r="T354" s="2"/>
      <c r="U354" s="2"/>
      <c r="V354" s="2"/>
      <c r="W354" s="2"/>
      <c r="X354" s="2"/>
      <c r="Y354" s="2"/>
      <c r="Z354" s="2"/>
    </row>
    <row r="355" spans="1:26" ht="14.25" customHeight="1" x14ac:dyDescent="0.3">
      <c r="A355" s="2"/>
      <c r="B355" s="2"/>
      <c r="C355" s="2"/>
      <c r="D355" s="2"/>
      <c r="E355" s="2"/>
      <c r="F355" s="2"/>
      <c r="G355" s="3"/>
      <c r="H355" s="3"/>
      <c r="I355" s="3"/>
      <c r="J355" s="2"/>
      <c r="K355" s="2"/>
      <c r="L355" s="2"/>
      <c r="M355" s="2"/>
      <c r="N355" s="2"/>
      <c r="O355" s="2"/>
      <c r="P355" s="2"/>
      <c r="Q355" s="2"/>
      <c r="R355" s="2"/>
      <c r="S355" s="2"/>
      <c r="T355" s="2"/>
      <c r="U355" s="2"/>
      <c r="V355" s="2"/>
      <c r="W355" s="2"/>
      <c r="X355" s="2"/>
      <c r="Y355" s="2"/>
      <c r="Z355" s="2"/>
    </row>
    <row r="356" spans="1:26" ht="14.25" customHeight="1" x14ac:dyDescent="0.3">
      <c r="A356" s="2"/>
      <c r="B356" s="2"/>
      <c r="C356" s="2"/>
      <c r="D356" s="2"/>
      <c r="E356" s="2"/>
      <c r="F356" s="2"/>
      <c r="G356" s="3"/>
      <c r="H356" s="3"/>
      <c r="I356" s="3"/>
      <c r="J356" s="2"/>
      <c r="K356" s="2"/>
      <c r="L356" s="2"/>
      <c r="M356" s="2"/>
      <c r="N356" s="2"/>
      <c r="O356" s="2"/>
      <c r="P356" s="2"/>
      <c r="Q356" s="2"/>
      <c r="R356" s="2"/>
      <c r="S356" s="2"/>
      <c r="T356" s="2"/>
      <c r="U356" s="2"/>
      <c r="V356" s="2"/>
      <c r="W356" s="2"/>
      <c r="X356" s="2"/>
      <c r="Y356" s="2"/>
      <c r="Z356" s="2"/>
    </row>
    <row r="357" spans="1:26" ht="14.25" customHeight="1" x14ac:dyDescent="0.3">
      <c r="A357" s="2"/>
      <c r="B357" s="2"/>
      <c r="C357" s="2"/>
      <c r="D357" s="2"/>
      <c r="E357" s="2"/>
      <c r="F357" s="2"/>
      <c r="G357" s="3"/>
      <c r="H357" s="3"/>
      <c r="I357" s="3"/>
      <c r="J357" s="2"/>
      <c r="K357" s="2"/>
      <c r="L357" s="2"/>
      <c r="M357" s="2"/>
      <c r="N357" s="2"/>
      <c r="O357" s="2"/>
      <c r="P357" s="2"/>
      <c r="Q357" s="2"/>
      <c r="R357" s="2"/>
      <c r="S357" s="2"/>
      <c r="T357" s="2"/>
      <c r="U357" s="2"/>
      <c r="V357" s="2"/>
      <c r="W357" s="2"/>
      <c r="X357" s="2"/>
      <c r="Y357" s="2"/>
      <c r="Z357" s="2"/>
    </row>
    <row r="358" spans="1:26" ht="14.25" customHeight="1" x14ac:dyDescent="0.3">
      <c r="A358" s="2"/>
      <c r="B358" s="2"/>
      <c r="C358" s="2"/>
      <c r="D358" s="2"/>
      <c r="E358" s="2"/>
      <c r="F358" s="2"/>
      <c r="G358" s="3"/>
      <c r="H358" s="3"/>
      <c r="I358" s="3"/>
      <c r="J358" s="2"/>
      <c r="K358" s="2"/>
      <c r="L358" s="2"/>
      <c r="M358" s="2"/>
      <c r="N358" s="2"/>
      <c r="O358" s="2"/>
      <c r="P358" s="2"/>
      <c r="Q358" s="2"/>
      <c r="R358" s="2"/>
      <c r="S358" s="2"/>
      <c r="T358" s="2"/>
      <c r="U358" s="2"/>
      <c r="V358" s="2"/>
      <c r="W358" s="2"/>
      <c r="X358" s="2"/>
      <c r="Y358" s="2"/>
      <c r="Z358" s="2"/>
    </row>
    <row r="359" spans="1:26" ht="14.25" customHeight="1" x14ac:dyDescent="0.3">
      <c r="A359" s="2"/>
      <c r="B359" s="2"/>
      <c r="C359" s="2"/>
      <c r="D359" s="2"/>
      <c r="E359" s="2"/>
      <c r="F359" s="2"/>
      <c r="G359" s="3"/>
      <c r="H359" s="3"/>
      <c r="I359" s="3"/>
      <c r="J359" s="2"/>
      <c r="K359" s="2"/>
      <c r="L359" s="2"/>
      <c r="M359" s="2"/>
      <c r="N359" s="2"/>
      <c r="O359" s="2"/>
      <c r="P359" s="2"/>
      <c r="Q359" s="2"/>
      <c r="R359" s="2"/>
      <c r="S359" s="2"/>
      <c r="T359" s="2"/>
      <c r="U359" s="2"/>
      <c r="V359" s="2"/>
      <c r="W359" s="2"/>
      <c r="X359" s="2"/>
      <c r="Y359" s="2"/>
      <c r="Z359" s="2"/>
    </row>
    <row r="360" spans="1:26" ht="14.25" customHeight="1" x14ac:dyDescent="0.3">
      <c r="A360" s="2"/>
      <c r="B360" s="2"/>
      <c r="C360" s="2"/>
      <c r="D360" s="2"/>
      <c r="E360" s="2"/>
      <c r="F360" s="2"/>
      <c r="G360" s="3"/>
      <c r="H360" s="3"/>
      <c r="I360" s="3"/>
      <c r="J360" s="2"/>
      <c r="K360" s="2"/>
      <c r="L360" s="2"/>
      <c r="M360" s="2"/>
      <c r="N360" s="2"/>
      <c r="O360" s="2"/>
      <c r="P360" s="2"/>
      <c r="Q360" s="2"/>
      <c r="R360" s="2"/>
      <c r="S360" s="2"/>
      <c r="T360" s="2"/>
      <c r="U360" s="2"/>
      <c r="V360" s="2"/>
      <c r="W360" s="2"/>
      <c r="X360" s="2"/>
      <c r="Y360" s="2"/>
      <c r="Z360" s="2"/>
    </row>
    <row r="361" spans="1:26" ht="14.25" customHeight="1" x14ac:dyDescent="0.3">
      <c r="A361" s="2"/>
      <c r="B361" s="2"/>
      <c r="C361" s="2"/>
      <c r="D361" s="2"/>
      <c r="E361" s="2"/>
      <c r="F361" s="2"/>
      <c r="G361" s="3"/>
      <c r="H361" s="3"/>
      <c r="I361" s="3"/>
      <c r="J361" s="2"/>
      <c r="K361" s="2"/>
      <c r="L361" s="2"/>
      <c r="M361" s="2"/>
      <c r="N361" s="2"/>
      <c r="O361" s="2"/>
      <c r="P361" s="2"/>
      <c r="Q361" s="2"/>
      <c r="R361" s="2"/>
      <c r="S361" s="2"/>
      <c r="T361" s="2"/>
      <c r="U361" s="2"/>
      <c r="V361" s="2"/>
      <c r="W361" s="2"/>
      <c r="X361" s="2"/>
      <c r="Y361" s="2"/>
      <c r="Z361" s="2"/>
    </row>
    <row r="362" spans="1:26" ht="14.25" customHeight="1" x14ac:dyDescent="0.3">
      <c r="A362" s="2"/>
      <c r="B362" s="2"/>
      <c r="C362" s="2"/>
      <c r="D362" s="2"/>
      <c r="E362" s="2"/>
      <c r="F362" s="2"/>
      <c r="G362" s="3"/>
      <c r="H362" s="3"/>
      <c r="I362" s="3"/>
      <c r="J362" s="2"/>
      <c r="K362" s="2"/>
      <c r="L362" s="2"/>
      <c r="M362" s="2"/>
      <c r="N362" s="2"/>
      <c r="O362" s="2"/>
      <c r="P362" s="2"/>
      <c r="Q362" s="2"/>
      <c r="R362" s="2"/>
      <c r="S362" s="2"/>
      <c r="T362" s="2"/>
      <c r="U362" s="2"/>
      <c r="V362" s="2"/>
      <c r="W362" s="2"/>
      <c r="X362" s="2"/>
      <c r="Y362" s="2"/>
      <c r="Z362" s="2"/>
    </row>
    <row r="363" spans="1:26" ht="14.25" customHeight="1" x14ac:dyDescent="0.3">
      <c r="A363" s="2"/>
      <c r="B363" s="2"/>
      <c r="C363" s="2"/>
      <c r="D363" s="2"/>
      <c r="E363" s="2"/>
      <c r="F363" s="2"/>
      <c r="G363" s="3"/>
      <c r="H363" s="3"/>
      <c r="I363" s="3"/>
      <c r="J363" s="2"/>
      <c r="K363" s="2"/>
      <c r="L363" s="2"/>
      <c r="M363" s="2"/>
      <c r="N363" s="2"/>
      <c r="O363" s="2"/>
      <c r="P363" s="2"/>
      <c r="Q363" s="2"/>
      <c r="R363" s="2"/>
      <c r="S363" s="2"/>
      <c r="T363" s="2"/>
      <c r="U363" s="2"/>
      <c r="V363" s="2"/>
      <c r="W363" s="2"/>
      <c r="X363" s="2"/>
      <c r="Y363" s="2"/>
      <c r="Z363" s="2"/>
    </row>
    <row r="364" spans="1:26" ht="14.25" customHeight="1" x14ac:dyDescent="0.3">
      <c r="A364" s="2"/>
      <c r="B364" s="2"/>
      <c r="C364" s="2"/>
      <c r="D364" s="2"/>
      <c r="E364" s="2"/>
      <c r="F364" s="2"/>
      <c r="G364" s="3"/>
      <c r="H364" s="3"/>
      <c r="I364" s="3"/>
      <c r="J364" s="2"/>
      <c r="K364" s="2"/>
      <c r="L364" s="2"/>
      <c r="M364" s="2"/>
      <c r="N364" s="2"/>
      <c r="O364" s="2"/>
      <c r="P364" s="2"/>
      <c r="Q364" s="2"/>
      <c r="R364" s="2"/>
      <c r="S364" s="2"/>
      <c r="T364" s="2"/>
      <c r="U364" s="2"/>
      <c r="V364" s="2"/>
      <c r="W364" s="2"/>
      <c r="X364" s="2"/>
      <c r="Y364" s="2"/>
      <c r="Z364" s="2"/>
    </row>
    <row r="365" spans="1:26" ht="14.25" customHeight="1" x14ac:dyDescent="0.3">
      <c r="A365" s="2"/>
      <c r="B365" s="2"/>
      <c r="C365" s="2"/>
      <c r="D365" s="2"/>
      <c r="E365" s="2"/>
      <c r="F365" s="2"/>
      <c r="G365" s="3"/>
      <c r="H365" s="3"/>
      <c r="I365" s="3"/>
      <c r="J365" s="2"/>
      <c r="K365" s="2"/>
      <c r="L365" s="2"/>
      <c r="M365" s="2"/>
      <c r="N365" s="2"/>
      <c r="O365" s="2"/>
      <c r="P365" s="2"/>
      <c r="Q365" s="2"/>
      <c r="R365" s="2"/>
      <c r="S365" s="2"/>
      <c r="T365" s="2"/>
      <c r="U365" s="2"/>
      <c r="V365" s="2"/>
      <c r="W365" s="2"/>
      <c r="X365" s="2"/>
      <c r="Y365" s="2"/>
      <c r="Z365" s="2"/>
    </row>
    <row r="366" spans="1:26" ht="14.25" customHeight="1" x14ac:dyDescent="0.3">
      <c r="A366" s="2"/>
      <c r="B366" s="2"/>
      <c r="C366" s="2"/>
      <c r="D366" s="2"/>
      <c r="E366" s="2"/>
      <c r="F366" s="2"/>
      <c r="G366" s="3"/>
      <c r="H366" s="3"/>
      <c r="I366" s="3"/>
      <c r="J366" s="2"/>
      <c r="K366" s="2"/>
      <c r="L366" s="2"/>
      <c r="M366" s="2"/>
      <c r="N366" s="2"/>
      <c r="O366" s="2"/>
      <c r="P366" s="2"/>
      <c r="Q366" s="2"/>
      <c r="R366" s="2"/>
      <c r="S366" s="2"/>
      <c r="T366" s="2"/>
      <c r="U366" s="2"/>
      <c r="V366" s="2"/>
      <c r="W366" s="2"/>
      <c r="X366" s="2"/>
      <c r="Y366" s="2"/>
      <c r="Z366" s="2"/>
    </row>
    <row r="367" spans="1:26" ht="14.25" customHeight="1" x14ac:dyDescent="0.3">
      <c r="A367" s="2"/>
      <c r="B367" s="2"/>
      <c r="C367" s="2"/>
      <c r="D367" s="2"/>
      <c r="E367" s="2"/>
      <c r="F367" s="2"/>
      <c r="G367" s="3"/>
      <c r="H367" s="3"/>
      <c r="I367" s="3"/>
      <c r="J367" s="2"/>
      <c r="K367" s="2"/>
      <c r="L367" s="2"/>
      <c r="M367" s="2"/>
      <c r="N367" s="2"/>
      <c r="O367" s="2"/>
      <c r="P367" s="2"/>
      <c r="Q367" s="2"/>
      <c r="R367" s="2"/>
      <c r="S367" s="2"/>
      <c r="T367" s="2"/>
      <c r="U367" s="2"/>
      <c r="V367" s="2"/>
      <c r="W367" s="2"/>
      <c r="X367" s="2"/>
      <c r="Y367" s="2"/>
      <c r="Z367" s="2"/>
    </row>
    <row r="368" spans="1:26" ht="14.25" customHeight="1" x14ac:dyDescent="0.3">
      <c r="A368" s="2"/>
      <c r="B368" s="2"/>
      <c r="C368" s="2"/>
      <c r="D368" s="2"/>
      <c r="E368" s="2"/>
      <c r="F368" s="2"/>
      <c r="G368" s="3"/>
      <c r="H368" s="3"/>
      <c r="I368" s="3"/>
      <c r="J368" s="2"/>
      <c r="K368" s="2"/>
      <c r="L368" s="2"/>
      <c r="M368" s="2"/>
      <c r="N368" s="2"/>
      <c r="O368" s="2"/>
      <c r="P368" s="2"/>
      <c r="Q368" s="2"/>
      <c r="R368" s="2"/>
      <c r="S368" s="2"/>
      <c r="T368" s="2"/>
      <c r="U368" s="2"/>
      <c r="V368" s="2"/>
      <c r="W368" s="2"/>
      <c r="X368" s="2"/>
      <c r="Y368" s="2"/>
      <c r="Z368" s="2"/>
    </row>
    <row r="369" spans="1:26" ht="14.25" customHeight="1" x14ac:dyDescent="0.3">
      <c r="A369" s="2"/>
      <c r="B369" s="2"/>
      <c r="C369" s="2"/>
      <c r="D369" s="2"/>
      <c r="E369" s="2"/>
      <c r="F369" s="2"/>
      <c r="G369" s="3"/>
      <c r="H369" s="3"/>
      <c r="I369" s="3"/>
      <c r="J369" s="2"/>
      <c r="K369" s="2"/>
      <c r="L369" s="2"/>
      <c r="M369" s="2"/>
      <c r="N369" s="2"/>
      <c r="O369" s="2"/>
      <c r="P369" s="2"/>
      <c r="Q369" s="2"/>
      <c r="R369" s="2"/>
      <c r="S369" s="2"/>
      <c r="T369" s="2"/>
      <c r="U369" s="2"/>
      <c r="V369" s="2"/>
      <c r="W369" s="2"/>
      <c r="X369" s="2"/>
      <c r="Y369" s="2"/>
      <c r="Z369" s="2"/>
    </row>
    <row r="370" spans="1:26" ht="14.25" customHeight="1" x14ac:dyDescent="0.3">
      <c r="A370" s="2"/>
      <c r="B370" s="2"/>
      <c r="C370" s="2"/>
      <c r="D370" s="2"/>
      <c r="E370" s="2"/>
      <c r="F370" s="2"/>
      <c r="G370" s="3"/>
      <c r="H370" s="3"/>
      <c r="I370" s="3"/>
      <c r="J370" s="2"/>
      <c r="K370" s="2"/>
      <c r="L370" s="2"/>
      <c r="M370" s="2"/>
      <c r="N370" s="2"/>
      <c r="O370" s="2"/>
      <c r="P370" s="2"/>
      <c r="Q370" s="2"/>
      <c r="R370" s="2"/>
      <c r="S370" s="2"/>
      <c r="T370" s="2"/>
      <c r="U370" s="2"/>
      <c r="V370" s="2"/>
      <c r="W370" s="2"/>
      <c r="X370" s="2"/>
      <c r="Y370" s="2"/>
      <c r="Z370" s="2"/>
    </row>
    <row r="371" spans="1:26" ht="14.25" customHeight="1" x14ac:dyDescent="0.3">
      <c r="A371" s="2"/>
      <c r="B371" s="2"/>
      <c r="C371" s="2"/>
      <c r="D371" s="2"/>
      <c r="E371" s="2"/>
      <c r="F371" s="2"/>
      <c r="G371" s="3"/>
      <c r="H371" s="3"/>
      <c r="I371" s="3"/>
      <c r="J371" s="2"/>
      <c r="K371" s="2"/>
      <c r="L371" s="2"/>
      <c r="M371" s="2"/>
      <c r="N371" s="2"/>
      <c r="O371" s="2"/>
      <c r="P371" s="2"/>
      <c r="Q371" s="2"/>
      <c r="R371" s="2"/>
      <c r="S371" s="2"/>
      <c r="T371" s="2"/>
      <c r="U371" s="2"/>
      <c r="V371" s="2"/>
      <c r="W371" s="2"/>
      <c r="X371" s="2"/>
      <c r="Y371" s="2"/>
      <c r="Z371" s="2"/>
    </row>
    <row r="372" spans="1:26" ht="14.25" customHeight="1" x14ac:dyDescent="0.3">
      <c r="A372" s="2"/>
      <c r="B372" s="2"/>
      <c r="C372" s="2"/>
      <c r="D372" s="2"/>
      <c r="E372" s="2"/>
      <c r="F372" s="2"/>
      <c r="G372" s="3"/>
      <c r="H372" s="3"/>
      <c r="I372" s="3"/>
      <c r="J372" s="2"/>
      <c r="K372" s="2"/>
      <c r="L372" s="2"/>
      <c r="M372" s="2"/>
      <c r="N372" s="2"/>
      <c r="O372" s="2"/>
      <c r="P372" s="2"/>
      <c r="Q372" s="2"/>
      <c r="R372" s="2"/>
      <c r="S372" s="2"/>
      <c r="T372" s="2"/>
      <c r="U372" s="2"/>
      <c r="V372" s="2"/>
      <c r="W372" s="2"/>
      <c r="X372" s="2"/>
      <c r="Y372" s="2"/>
      <c r="Z372" s="2"/>
    </row>
    <row r="373" spans="1:26" ht="14.25" customHeight="1" x14ac:dyDescent="0.3">
      <c r="A373" s="2"/>
      <c r="B373" s="2"/>
      <c r="C373" s="2"/>
      <c r="D373" s="2"/>
      <c r="E373" s="2"/>
      <c r="F373" s="2"/>
      <c r="G373" s="3"/>
      <c r="H373" s="3"/>
      <c r="I373" s="3"/>
      <c r="J373" s="2"/>
      <c r="K373" s="2"/>
      <c r="L373" s="2"/>
      <c r="M373" s="2"/>
      <c r="N373" s="2"/>
      <c r="O373" s="2"/>
      <c r="P373" s="2"/>
      <c r="Q373" s="2"/>
      <c r="R373" s="2"/>
      <c r="S373" s="2"/>
      <c r="T373" s="2"/>
      <c r="U373" s="2"/>
      <c r="V373" s="2"/>
      <c r="W373" s="2"/>
      <c r="X373" s="2"/>
      <c r="Y373" s="2"/>
      <c r="Z373" s="2"/>
    </row>
    <row r="374" spans="1:26" ht="14.25" customHeight="1" x14ac:dyDescent="0.3">
      <c r="A374" s="2"/>
      <c r="B374" s="2"/>
      <c r="C374" s="2"/>
      <c r="D374" s="2"/>
      <c r="E374" s="2"/>
      <c r="F374" s="2"/>
      <c r="G374" s="3"/>
      <c r="H374" s="3"/>
      <c r="I374" s="3"/>
      <c r="J374" s="2"/>
      <c r="K374" s="2"/>
      <c r="L374" s="2"/>
      <c r="M374" s="2"/>
      <c r="N374" s="2"/>
      <c r="O374" s="2"/>
      <c r="P374" s="2"/>
      <c r="Q374" s="2"/>
      <c r="R374" s="2"/>
      <c r="S374" s="2"/>
      <c r="T374" s="2"/>
      <c r="U374" s="2"/>
      <c r="V374" s="2"/>
      <c r="W374" s="2"/>
      <c r="X374" s="2"/>
      <c r="Y374" s="2"/>
      <c r="Z374" s="2"/>
    </row>
    <row r="375" spans="1:26" ht="14.25" customHeight="1" x14ac:dyDescent="0.3">
      <c r="A375" s="2"/>
      <c r="B375" s="2"/>
      <c r="C375" s="2"/>
      <c r="D375" s="2"/>
      <c r="E375" s="2"/>
      <c r="F375" s="2"/>
      <c r="G375" s="3"/>
      <c r="H375" s="3"/>
      <c r="I375" s="3"/>
      <c r="J375" s="2"/>
      <c r="K375" s="2"/>
      <c r="L375" s="2"/>
      <c r="M375" s="2"/>
      <c r="N375" s="2"/>
      <c r="O375" s="2"/>
      <c r="P375" s="2"/>
      <c r="Q375" s="2"/>
      <c r="R375" s="2"/>
      <c r="S375" s="2"/>
      <c r="T375" s="2"/>
      <c r="U375" s="2"/>
      <c r="V375" s="2"/>
      <c r="W375" s="2"/>
      <c r="X375" s="2"/>
      <c r="Y375" s="2"/>
      <c r="Z375" s="2"/>
    </row>
    <row r="376" spans="1:26" ht="14.25" customHeight="1" x14ac:dyDescent="0.3">
      <c r="A376" s="2"/>
      <c r="B376" s="2"/>
      <c r="C376" s="2"/>
      <c r="D376" s="2"/>
      <c r="E376" s="2"/>
      <c r="F376" s="2"/>
      <c r="G376" s="3"/>
      <c r="H376" s="3"/>
      <c r="I376" s="3"/>
      <c r="J376" s="2"/>
      <c r="K376" s="2"/>
      <c r="L376" s="2"/>
      <c r="M376" s="2"/>
      <c r="N376" s="2"/>
      <c r="O376" s="2"/>
      <c r="P376" s="2"/>
      <c r="Q376" s="2"/>
      <c r="R376" s="2"/>
      <c r="S376" s="2"/>
      <c r="T376" s="2"/>
      <c r="U376" s="2"/>
      <c r="V376" s="2"/>
      <c r="W376" s="2"/>
      <c r="X376" s="2"/>
      <c r="Y376" s="2"/>
      <c r="Z376" s="2"/>
    </row>
    <row r="377" spans="1:26" ht="14.25" customHeight="1" x14ac:dyDescent="0.3">
      <c r="A377" s="2"/>
      <c r="B377" s="2"/>
      <c r="C377" s="2"/>
      <c r="D377" s="2"/>
      <c r="E377" s="2"/>
      <c r="F377" s="2"/>
      <c r="G377" s="3"/>
      <c r="H377" s="3"/>
      <c r="I377" s="3"/>
      <c r="J377" s="2"/>
      <c r="K377" s="2"/>
      <c r="L377" s="2"/>
      <c r="M377" s="2"/>
      <c r="N377" s="2"/>
      <c r="O377" s="2"/>
      <c r="P377" s="2"/>
      <c r="Q377" s="2"/>
      <c r="R377" s="2"/>
      <c r="S377" s="2"/>
      <c r="T377" s="2"/>
      <c r="U377" s="2"/>
      <c r="V377" s="2"/>
      <c r="W377" s="2"/>
      <c r="X377" s="2"/>
      <c r="Y377" s="2"/>
      <c r="Z377" s="2"/>
    </row>
    <row r="378" spans="1:26" ht="14.25" customHeight="1" x14ac:dyDescent="0.3">
      <c r="A378" s="2"/>
      <c r="B378" s="2"/>
      <c r="C378" s="2"/>
      <c r="D378" s="2"/>
      <c r="E378" s="2"/>
      <c r="F378" s="2"/>
      <c r="G378" s="3"/>
      <c r="H378" s="3"/>
      <c r="I378" s="3"/>
      <c r="J378" s="2"/>
      <c r="K378" s="2"/>
      <c r="L378" s="2"/>
      <c r="M378" s="2"/>
      <c r="N378" s="2"/>
      <c r="O378" s="2"/>
      <c r="P378" s="2"/>
      <c r="Q378" s="2"/>
      <c r="R378" s="2"/>
      <c r="S378" s="2"/>
      <c r="T378" s="2"/>
      <c r="U378" s="2"/>
      <c r="V378" s="2"/>
      <c r="W378" s="2"/>
      <c r="X378" s="2"/>
      <c r="Y378" s="2"/>
      <c r="Z378" s="2"/>
    </row>
    <row r="379" spans="1:26" ht="14.25" customHeight="1" x14ac:dyDescent="0.3">
      <c r="A379" s="2"/>
      <c r="B379" s="2"/>
      <c r="C379" s="2"/>
      <c r="D379" s="2"/>
      <c r="E379" s="2"/>
      <c r="F379" s="2"/>
      <c r="G379" s="3"/>
      <c r="H379" s="3"/>
      <c r="I379" s="3"/>
      <c r="J379" s="2"/>
      <c r="K379" s="2"/>
      <c r="L379" s="2"/>
      <c r="M379" s="2"/>
      <c r="N379" s="2"/>
      <c r="O379" s="2"/>
      <c r="P379" s="2"/>
      <c r="Q379" s="2"/>
      <c r="R379" s="2"/>
      <c r="S379" s="2"/>
      <c r="T379" s="2"/>
      <c r="U379" s="2"/>
      <c r="V379" s="2"/>
      <c r="W379" s="2"/>
      <c r="X379" s="2"/>
      <c r="Y379" s="2"/>
      <c r="Z379" s="2"/>
    </row>
    <row r="380" spans="1:26" ht="14.25" customHeight="1" x14ac:dyDescent="0.3">
      <c r="A380" s="2"/>
      <c r="B380" s="2"/>
      <c r="C380" s="2"/>
      <c r="D380" s="2"/>
      <c r="E380" s="2"/>
      <c r="F380" s="2"/>
      <c r="G380" s="3"/>
      <c r="H380" s="3"/>
      <c r="I380" s="3"/>
      <c r="J380" s="2"/>
      <c r="K380" s="2"/>
      <c r="L380" s="2"/>
      <c r="M380" s="2"/>
      <c r="N380" s="2"/>
      <c r="O380" s="2"/>
      <c r="P380" s="2"/>
      <c r="Q380" s="2"/>
      <c r="R380" s="2"/>
      <c r="S380" s="2"/>
      <c r="T380" s="2"/>
      <c r="U380" s="2"/>
      <c r="V380" s="2"/>
      <c r="W380" s="2"/>
      <c r="X380" s="2"/>
      <c r="Y380" s="2"/>
      <c r="Z380" s="2"/>
    </row>
    <row r="381" spans="1:26" ht="14.25" customHeight="1" x14ac:dyDescent="0.3">
      <c r="A381" s="2"/>
      <c r="B381" s="2"/>
      <c r="C381" s="2"/>
      <c r="D381" s="2"/>
      <c r="E381" s="2"/>
      <c r="F381" s="2"/>
      <c r="G381" s="3"/>
      <c r="H381" s="3"/>
      <c r="I381" s="3"/>
      <c r="J381" s="2"/>
      <c r="K381" s="2"/>
      <c r="L381" s="2"/>
      <c r="M381" s="2"/>
      <c r="N381" s="2"/>
      <c r="O381" s="2"/>
      <c r="P381" s="2"/>
      <c r="Q381" s="2"/>
      <c r="R381" s="2"/>
      <c r="S381" s="2"/>
      <c r="T381" s="2"/>
      <c r="U381" s="2"/>
      <c r="V381" s="2"/>
      <c r="W381" s="2"/>
      <c r="X381" s="2"/>
      <c r="Y381" s="2"/>
      <c r="Z381" s="2"/>
    </row>
    <row r="382" spans="1:26" ht="14.25" customHeight="1" x14ac:dyDescent="0.3">
      <c r="A382" s="2"/>
      <c r="B382" s="2"/>
      <c r="C382" s="2"/>
      <c r="D382" s="2"/>
      <c r="E382" s="2"/>
      <c r="F382" s="2"/>
      <c r="G382" s="3"/>
      <c r="H382" s="3"/>
      <c r="I382" s="3"/>
      <c r="J382" s="2"/>
      <c r="K382" s="2"/>
      <c r="L382" s="2"/>
      <c r="M382" s="2"/>
      <c r="N382" s="2"/>
      <c r="O382" s="2"/>
      <c r="P382" s="2"/>
      <c r="Q382" s="2"/>
      <c r="R382" s="2"/>
      <c r="S382" s="2"/>
      <c r="T382" s="2"/>
      <c r="U382" s="2"/>
      <c r="V382" s="2"/>
      <c r="W382" s="2"/>
      <c r="X382" s="2"/>
      <c r="Y382" s="2"/>
      <c r="Z382" s="2"/>
    </row>
    <row r="383" spans="1:26" ht="14.25" customHeight="1" x14ac:dyDescent="0.3">
      <c r="A383" s="2"/>
      <c r="B383" s="2"/>
      <c r="C383" s="2"/>
      <c r="D383" s="2"/>
      <c r="E383" s="2"/>
      <c r="F383" s="2"/>
      <c r="G383" s="3"/>
      <c r="H383" s="3"/>
      <c r="I383" s="3"/>
      <c r="J383" s="2"/>
      <c r="K383" s="2"/>
      <c r="L383" s="2"/>
      <c r="M383" s="2"/>
      <c r="N383" s="2"/>
      <c r="O383" s="2"/>
      <c r="P383" s="2"/>
      <c r="Q383" s="2"/>
      <c r="R383" s="2"/>
      <c r="S383" s="2"/>
      <c r="T383" s="2"/>
      <c r="U383" s="2"/>
      <c r="V383" s="2"/>
      <c r="W383" s="2"/>
      <c r="X383" s="2"/>
      <c r="Y383" s="2"/>
      <c r="Z383" s="2"/>
    </row>
    <row r="384" spans="1:26" ht="14.25" customHeight="1" x14ac:dyDescent="0.3">
      <c r="A384" s="2"/>
      <c r="B384" s="2"/>
      <c r="C384" s="2"/>
      <c r="D384" s="2"/>
      <c r="E384" s="2"/>
      <c r="F384" s="2"/>
      <c r="G384" s="3"/>
      <c r="H384" s="3"/>
      <c r="I384" s="3"/>
      <c r="J384" s="2"/>
      <c r="K384" s="2"/>
      <c r="L384" s="2"/>
      <c r="M384" s="2"/>
      <c r="N384" s="2"/>
      <c r="O384" s="2"/>
      <c r="P384" s="2"/>
      <c r="Q384" s="2"/>
      <c r="R384" s="2"/>
      <c r="S384" s="2"/>
      <c r="T384" s="2"/>
      <c r="U384" s="2"/>
      <c r="V384" s="2"/>
      <c r="W384" s="2"/>
      <c r="X384" s="2"/>
      <c r="Y384" s="2"/>
      <c r="Z384" s="2"/>
    </row>
    <row r="385" spans="1:26" ht="14.25" customHeight="1" x14ac:dyDescent="0.3">
      <c r="A385" s="2"/>
      <c r="B385" s="2"/>
      <c r="C385" s="2"/>
      <c r="D385" s="2"/>
      <c r="E385" s="2"/>
      <c r="F385" s="2"/>
      <c r="G385" s="3"/>
      <c r="H385" s="3"/>
      <c r="I385" s="3"/>
      <c r="J385" s="2"/>
      <c r="K385" s="2"/>
      <c r="L385" s="2"/>
      <c r="M385" s="2"/>
      <c r="N385" s="2"/>
      <c r="O385" s="2"/>
      <c r="P385" s="2"/>
      <c r="Q385" s="2"/>
      <c r="R385" s="2"/>
      <c r="S385" s="2"/>
      <c r="T385" s="2"/>
      <c r="U385" s="2"/>
      <c r="V385" s="2"/>
      <c r="W385" s="2"/>
      <c r="X385" s="2"/>
      <c r="Y385" s="2"/>
      <c r="Z385" s="2"/>
    </row>
    <row r="386" spans="1:26" ht="14.25" customHeight="1" x14ac:dyDescent="0.3">
      <c r="A386" s="2"/>
      <c r="B386" s="2"/>
      <c r="C386" s="2"/>
      <c r="D386" s="2"/>
      <c r="E386" s="2"/>
      <c r="F386" s="2"/>
      <c r="G386" s="3"/>
      <c r="H386" s="3"/>
      <c r="I386" s="3"/>
      <c r="J386" s="2"/>
      <c r="K386" s="2"/>
      <c r="L386" s="2"/>
      <c r="M386" s="2"/>
      <c r="N386" s="2"/>
      <c r="O386" s="2"/>
      <c r="P386" s="2"/>
      <c r="Q386" s="2"/>
      <c r="R386" s="2"/>
      <c r="S386" s="2"/>
      <c r="T386" s="2"/>
      <c r="U386" s="2"/>
      <c r="V386" s="2"/>
      <c r="W386" s="2"/>
      <c r="X386" s="2"/>
      <c r="Y386" s="2"/>
      <c r="Z386" s="2"/>
    </row>
    <row r="387" spans="1:26" ht="14.25" customHeight="1" x14ac:dyDescent="0.3">
      <c r="A387" s="2"/>
      <c r="B387" s="2"/>
      <c r="C387" s="2"/>
      <c r="D387" s="2"/>
      <c r="E387" s="2"/>
      <c r="F387" s="2"/>
      <c r="G387" s="3"/>
      <c r="H387" s="3"/>
      <c r="I387" s="3"/>
      <c r="J387" s="2"/>
      <c r="K387" s="2"/>
      <c r="L387" s="2"/>
      <c r="M387" s="2"/>
      <c r="N387" s="2"/>
      <c r="O387" s="2"/>
      <c r="P387" s="2"/>
      <c r="Q387" s="2"/>
      <c r="R387" s="2"/>
      <c r="S387" s="2"/>
      <c r="T387" s="2"/>
      <c r="U387" s="2"/>
      <c r="V387" s="2"/>
      <c r="W387" s="2"/>
      <c r="X387" s="2"/>
      <c r="Y387" s="2"/>
      <c r="Z387" s="2"/>
    </row>
    <row r="388" spans="1:26" ht="14.25" customHeight="1" x14ac:dyDescent="0.3">
      <c r="A388" s="2"/>
      <c r="B388" s="2"/>
      <c r="C388" s="2"/>
      <c r="D388" s="2"/>
      <c r="E388" s="2"/>
      <c r="F388" s="2"/>
      <c r="G388" s="3"/>
      <c r="H388" s="3"/>
      <c r="I388" s="3"/>
      <c r="J388" s="2"/>
      <c r="K388" s="2"/>
      <c r="L388" s="2"/>
      <c r="M388" s="2"/>
      <c r="N388" s="2"/>
      <c r="O388" s="2"/>
      <c r="P388" s="2"/>
      <c r="Q388" s="2"/>
      <c r="R388" s="2"/>
      <c r="S388" s="2"/>
      <c r="T388" s="2"/>
      <c r="U388" s="2"/>
      <c r="V388" s="2"/>
      <c r="W388" s="2"/>
      <c r="X388" s="2"/>
      <c r="Y388" s="2"/>
      <c r="Z388" s="2"/>
    </row>
    <row r="389" spans="1:26" ht="14.25" customHeight="1" x14ac:dyDescent="0.3">
      <c r="A389" s="2"/>
      <c r="B389" s="2"/>
      <c r="C389" s="2"/>
      <c r="D389" s="2"/>
      <c r="E389" s="2"/>
      <c r="F389" s="2"/>
      <c r="G389" s="3"/>
      <c r="H389" s="3"/>
      <c r="I389" s="3"/>
      <c r="J389" s="2"/>
      <c r="K389" s="2"/>
      <c r="L389" s="2"/>
      <c r="M389" s="2"/>
      <c r="N389" s="2"/>
      <c r="O389" s="2"/>
      <c r="P389" s="2"/>
      <c r="Q389" s="2"/>
      <c r="R389" s="2"/>
      <c r="S389" s="2"/>
      <c r="T389" s="2"/>
      <c r="U389" s="2"/>
      <c r="V389" s="2"/>
      <c r="W389" s="2"/>
      <c r="X389" s="2"/>
      <c r="Y389" s="2"/>
      <c r="Z389" s="2"/>
    </row>
    <row r="390" spans="1:26" ht="14.25" customHeight="1" x14ac:dyDescent="0.3">
      <c r="A390" s="2"/>
      <c r="B390" s="2"/>
      <c r="C390" s="2"/>
      <c r="D390" s="2"/>
      <c r="E390" s="2"/>
      <c r="F390" s="2"/>
      <c r="G390" s="3"/>
      <c r="H390" s="3"/>
      <c r="I390" s="3"/>
      <c r="J390" s="2"/>
      <c r="K390" s="2"/>
      <c r="L390" s="2"/>
      <c r="M390" s="2"/>
      <c r="N390" s="2"/>
      <c r="O390" s="2"/>
      <c r="P390" s="2"/>
      <c r="Q390" s="2"/>
      <c r="R390" s="2"/>
      <c r="S390" s="2"/>
      <c r="T390" s="2"/>
      <c r="U390" s="2"/>
      <c r="V390" s="2"/>
      <c r="W390" s="2"/>
      <c r="X390" s="2"/>
      <c r="Y390" s="2"/>
      <c r="Z390" s="2"/>
    </row>
    <row r="391" spans="1:26" ht="14.25" customHeight="1" x14ac:dyDescent="0.3">
      <c r="A391" s="2"/>
      <c r="B391" s="2"/>
      <c r="C391" s="2"/>
      <c r="D391" s="2"/>
      <c r="E391" s="2"/>
      <c r="F391" s="2"/>
      <c r="G391" s="3"/>
      <c r="H391" s="3"/>
      <c r="I391" s="3"/>
      <c r="J391" s="2"/>
      <c r="K391" s="2"/>
      <c r="L391" s="2"/>
      <c r="M391" s="2"/>
      <c r="N391" s="2"/>
      <c r="O391" s="2"/>
      <c r="P391" s="2"/>
      <c r="Q391" s="2"/>
      <c r="R391" s="2"/>
      <c r="S391" s="2"/>
      <c r="T391" s="2"/>
      <c r="U391" s="2"/>
      <c r="V391" s="2"/>
      <c r="W391" s="2"/>
      <c r="X391" s="2"/>
      <c r="Y391" s="2"/>
      <c r="Z391" s="2"/>
    </row>
    <row r="392" spans="1:26" ht="14.25" customHeight="1" x14ac:dyDescent="0.3">
      <c r="A392" s="2"/>
      <c r="B392" s="2"/>
      <c r="C392" s="2"/>
      <c r="D392" s="2"/>
      <c r="E392" s="2"/>
      <c r="F392" s="2"/>
      <c r="G392" s="3"/>
      <c r="H392" s="3"/>
      <c r="I392" s="3"/>
      <c r="J392" s="2"/>
      <c r="K392" s="2"/>
      <c r="L392" s="2"/>
      <c r="M392" s="2"/>
      <c r="N392" s="2"/>
      <c r="O392" s="2"/>
      <c r="P392" s="2"/>
      <c r="Q392" s="2"/>
      <c r="R392" s="2"/>
      <c r="S392" s="2"/>
      <c r="T392" s="2"/>
      <c r="U392" s="2"/>
      <c r="V392" s="2"/>
      <c r="W392" s="2"/>
      <c r="X392" s="2"/>
      <c r="Y392" s="2"/>
      <c r="Z392" s="2"/>
    </row>
    <row r="393" spans="1:26" ht="14.25" customHeight="1" x14ac:dyDescent="0.3">
      <c r="A393" s="2"/>
      <c r="B393" s="2"/>
      <c r="C393" s="2"/>
      <c r="D393" s="2"/>
      <c r="E393" s="2"/>
      <c r="F393" s="2"/>
      <c r="G393" s="3"/>
      <c r="H393" s="3"/>
      <c r="I393" s="3"/>
      <c r="J393" s="2"/>
      <c r="K393" s="2"/>
      <c r="L393" s="2"/>
      <c r="M393" s="2"/>
      <c r="N393" s="2"/>
      <c r="O393" s="2"/>
      <c r="P393" s="2"/>
      <c r="Q393" s="2"/>
      <c r="R393" s="2"/>
      <c r="S393" s="2"/>
      <c r="T393" s="2"/>
      <c r="U393" s="2"/>
      <c r="V393" s="2"/>
      <c r="W393" s="2"/>
      <c r="X393" s="2"/>
      <c r="Y393" s="2"/>
      <c r="Z393" s="2"/>
    </row>
    <row r="394" spans="1:26" ht="14.25" customHeight="1" x14ac:dyDescent="0.3">
      <c r="A394" s="2"/>
      <c r="B394" s="2"/>
      <c r="C394" s="2"/>
      <c r="D394" s="2"/>
      <c r="E394" s="2"/>
      <c r="F394" s="2"/>
      <c r="G394" s="3"/>
      <c r="H394" s="3"/>
      <c r="I394" s="3"/>
      <c r="J394" s="2"/>
      <c r="K394" s="2"/>
      <c r="L394" s="2"/>
      <c r="M394" s="2"/>
      <c r="N394" s="2"/>
      <c r="O394" s="2"/>
      <c r="P394" s="2"/>
      <c r="Q394" s="2"/>
      <c r="R394" s="2"/>
      <c r="S394" s="2"/>
      <c r="T394" s="2"/>
      <c r="U394" s="2"/>
      <c r="V394" s="2"/>
      <c r="W394" s="2"/>
      <c r="X394" s="2"/>
      <c r="Y394" s="2"/>
      <c r="Z394" s="2"/>
    </row>
    <row r="395" spans="1:26" ht="14.25" customHeight="1" x14ac:dyDescent="0.3">
      <c r="A395" s="2"/>
      <c r="B395" s="2"/>
      <c r="C395" s="2"/>
      <c r="D395" s="2"/>
      <c r="E395" s="2"/>
      <c r="F395" s="2"/>
      <c r="G395" s="3"/>
      <c r="H395" s="3"/>
      <c r="I395" s="3"/>
      <c r="J395" s="2"/>
      <c r="K395" s="2"/>
      <c r="L395" s="2"/>
      <c r="M395" s="2"/>
      <c r="N395" s="2"/>
      <c r="O395" s="2"/>
      <c r="P395" s="2"/>
      <c r="Q395" s="2"/>
      <c r="R395" s="2"/>
      <c r="S395" s="2"/>
      <c r="T395" s="2"/>
      <c r="U395" s="2"/>
      <c r="V395" s="2"/>
      <c r="W395" s="2"/>
      <c r="X395" s="2"/>
      <c r="Y395" s="2"/>
      <c r="Z395" s="2"/>
    </row>
    <row r="396" spans="1:26" ht="14.25" customHeight="1" x14ac:dyDescent="0.3">
      <c r="A396" s="2"/>
      <c r="B396" s="2"/>
      <c r="C396" s="2"/>
      <c r="D396" s="2"/>
      <c r="E396" s="2"/>
      <c r="F396" s="2"/>
      <c r="G396" s="3"/>
      <c r="H396" s="3"/>
      <c r="I396" s="3"/>
      <c r="J396" s="2"/>
      <c r="K396" s="2"/>
      <c r="L396" s="2"/>
      <c r="M396" s="2"/>
      <c r="N396" s="2"/>
      <c r="O396" s="2"/>
      <c r="P396" s="2"/>
      <c r="Q396" s="2"/>
      <c r="R396" s="2"/>
      <c r="S396" s="2"/>
      <c r="T396" s="2"/>
      <c r="U396" s="2"/>
      <c r="V396" s="2"/>
      <c r="W396" s="2"/>
      <c r="X396" s="2"/>
      <c r="Y396" s="2"/>
      <c r="Z396" s="2"/>
    </row>
    <row r="397" spans="1:26" ht="14.25" customHeight="1" x14ac:dyDescent="0.3">
      <c r="A397" s="2"/>
      <c r="B397" s="2"/>
      <c r="C397" s="2"/>
      <c r="D397" s="2"/>
      <c r="E397" s="2"/>
      <c r="F397" s="2"/>
      <c r="G397" s="3"/>
      <c r="H397" s="3"/>
      <c r="I397" s="3"/>
      <c r="J397" s="2"/>
      <c r="K397" s="2"/>
      <c r="L397" s="2"/>
      <c r="M397" s="2"/>
      <c r="N397" s="2"/>
      <c r="O397" s="2"/>
      <c r="P397" s="2"/>
      <c r="Q397" s="2"/>
      <c r="R397" s="2"/>
      <c r="S397" s="2"/>
      <c r="T397" s="2"/>
      <c r="U397" s="2"/>
      <c r="V397" s="2"/>
      <c r="W397" s="2"/>
      <c r="X397" s="2"/>
      <c r="Y397" s="2"/>
      <c r="Z397" s="2"/>
    </row>
    <row r="398" spans="1:26" ht="14.25" customHeight="1" x14ac:dyDescent="0.3">
      <c r="A398" s="2"/>
      <c r="B398" s="2"/>
      <c r="C398" s="2"/>
      <c r="D398" s="2"/>
      <c r="E398" s="2"/>
      <c r="F398" s="2"/>
      <c r="G398" s="3"/>
      <c r="H398" s="3"/>
      <c r="I398" s="3"/>
      <c r="J398" s="2"/>
      <c r="K398" s="2"/>
      <c r="L398" s="2"/>
      <c r="M398" s="2"/>
      <c r="N398" s="2"/>
      <c r="O398" s="2"/>
      <c r="P398" s="2"/>
      <c r="Q398" s="2"/>
      <c r="R398" s="2"/>
      <c r="S398" s="2"/>
      <c r="T398" s="2"/>
      <c r="U398" s="2"/>
      <c r="V398" s="2"/>
      <c r="W398" s="2"/>
      <c r="X398" s="2"/>
      <c r="Y398" s="2"/>
      <c r="Z398" s="2"/>
    </row>
    <row r="399" spans="1:26" ht="14.25" customHeight="1" x14ac:dyDescent="0.3">
      <c r="A399" s="2"/>
      <c r="B399" s="2"/>
      <c r="C399" s="2"/>
      <c r="D399" s="2"/>
      <c r="E399" s="2"/>
      <c r="F399" s="2"/>
      <c r="G399" s="3"/>
      <c r="H399" s="3"/>
      <c r="I399" s="3"/>
      <c r="J399" s="2"/>
      <c r="K399" s="2"/>
      <c r="L399" s="2"/>
      <c r="M399" s="2"/>
      <c r="N399" s="2"/>
      <c r="O399" s="2"/>
      <c r="P399" s="2"/>
      <c r="Q399" s="2"/>
      <c r="R399" s="2"/>
      <c r="S399" s="2"/>
      <c r="T399" s="2"/>
      <c r="U399" s="2"/>
      <c r="V399" s="2"/>
      <c r="W399" s="2"/>
      <c r="X399" s="2"/>
      <c r="Y399" s="2"/>
      <c r="Z399" s="2"/>
    </row>
    <row r="400" spans="1:26" ht="14.25" customHeight="1" x14ac:dyDescent="0.3">
      <c r="A400" s="2"/>
      <c r="B400" s="2"/>
      <c r="C400" s="2"/>
      <c r="D400" s="2"/>
      <c r="E400" s="2"/>
      <c r="F400" s="2"/>
      <c r="G400" s="3"/>
      <c r="H400" s="3"/>
      <c r="I400" s="3"/>
      <c r="J400" s="2"/>
      <c r="K400" s="2"/>
      <c r="L400" s="2"/>
      <c r="M400" s="2"/>
      <c r="N400" s="2"/>
      <c r="O400" s="2"/>
      <c r="P400" s="2"/>
      <c r="Q400" s="2"/>
      <c r="R400" s="2"/>
      <c r="S400" s="2"/>
      <c r="T400" s="2"/>
      <c r="U400" s="2"/>
      <c r="V400" s="2"/>
      <c r="W400" s="2"/>
      <c r="X400" s="2"/>
      <c r="Y400" s="2"/>
      <c r="Z400" s="2"/>
    </row>
    <row r="401" spans="1:26" ht="14.25" customHeight="1" x14ac:dyDescent="0.3">
      <c r="A401" s="2"/>
      <c r="B401" s="2"/>
      <c r="C401" s="2"/>
      <c r="D401" s="2"/>
      <c r="E401" s="2"/>
      <c r="F401" s="2"/>
      <c r="G401" s="3"/>
      <c r="H401" s="3"/>
      <c r="I401" s="3"/>
      <c r="J401" s="2"/>
      <c r="K401" s="2"/>
      <c r="L401" s="2"/>
      <c r="M401" s="2"/>
      <c r="N401" s="2"/>
      <c r="O401" s="2"/>
      <c r="P401" s="2"/>
      <c r="Q401" s="2"/>
      <c r="R401" s="2"/>
      <c r="S401" s="2"/>
      <c r="T401" s="2"/>
      <c r="U401" s="2"/>
      <c r="V401" s="2"/>
      <c r="W401" s="2"/>
      <c r="X401" s="2"/>
      <c r="Y401" s="2"/>
      <c r="Z401" s="2"/>
    </row>
    <row r="402" spans="1:26" ht="14.25" customHeight="1" x14ac:dyDescent="0.3">
      <c r="A402" s="2"/>
      <c r="B402" s="2"/>
      <c r="C402" s="2"/>
      <c r="D402" s="2"/>
      <c r="E402" s="2"/>
      <c r="F402" s="2"/>
      <c r="G402" s="3"/>
      <c r="H402" s="3"/>
      <c r="I402" s="3"/>
      <c r="J402" s="2"/>
      <c r="K402" s="2"/>
      <c r="L402" s="2"/>
      <c r="M402" s="2"/>
      <c r="N402" s="2"/>
      <c r="O402" s="2"/>
      <c r="P402" s="2"/>
      <c r="Q402" s="2"/>
      <c r="R402" s="2"/>
      <c r="S402" s="2"/>
      <c r="T402" s="2"/>
      <c r="U402" s="2"/>
      <c r="V402" s="2"/>
      <c r="W402" s="2"/>
      <c r="X402" s="2"/>
      <c r="Y402" s="2"/>
      <c r="Z402" s="2"/>
    </row>
    <row r="403" spans="1:26" ht="14.25" customHeight="1" x14ac:dyDescent="0.3">
      <c r="A403" s="2"/>
      <c r="B403" s="2"/>
      <c r="C403" s="2"/>
      <c r="D403" s="2"/>
      <c r="E403" s="2"/>
      <c r="F403" s="2"/>
      <c r="G403" s="3"/>
      <c r="H403" s="3"/>
      <c r="I403" s="3"/>
      <c r="J403" s="2"/>
      <c r="K403" s="2"/>
      <c r="L403" s="2"/>
      <c r="M403" s="2"/>
      <c r="N403" s="2"/>
      <c r="O403" s="2"/>
      <c r="P403" s="2"/>
      <c r="Q403" s="2"/>
      <c r="R403" s="2"/>
      <c r="S403" s="2"/>
      <c r="T403" s="2"/>
      <c r="U403" s="2"/>
      <c r="V403" s="2"/>
      <c r="W403" s="2"/>
      <c r="X403" s="2"/>
      <c r="Y403" s="2"/>
      <c r="Z403" s="2"/>
    </row>
    <row r="404" spans="1:26" ht="14.25" customHeight="1" x14ac:dyDescent="0.3">
      <c r="A404" s="2"/>
      <c r="B404" s="2"/>
      <c r="C404" s="2"/>
      <c r="D404" s="2"/>
      <c r="E404" s="2"/>
      <c r="F404" s="2"/>
      <c r="G404" s="3"/>
      <c r="H404" s="3"/>
      <c r="I404" s="3"/>
      <c r="J404" s="2"/>
      <c r="K404" s="2"/>
      <c r="L404" s="2"/>
      <c r="M404" s="2"/>
      <c r="N404" s="2"/>
      <c r="O404" s="2"/>
      <c r="P404" s="2"/>
      <c r="Q404" s="2"/>
      <c r="R404" s="2"/>
      <c r="S404" s="2"/>
      <c r="T404" s="2"/>
      <c r="U404" s="2"/>
      <c r="V404" s="2"/>
      <c r="W404" s="2"/>
      <c r="X404" s="2"/>
      <c r="Y404" s="2"/>
      <c r="Z404" s="2"/>
    </row>
    <row r="405" spans="1:26" ht="14.25" customHeight="1" x14ac:dyDescent="0.3">
      <c r="A405" s="2"/>
      <c r="B405" s="2"/>
      <c r="C405" s="2"/>
      <c r="D405" s="2"/>
      <c r="E405" s="2"/>
      <c r="F405" s="2"/>
      <c r="G405" s="3"/>
      <c r="H405" s="3"/>
      <c r="I405" s="3"/>
      <c r="J405" s="2"/>
      <c r="K405" s="2"/>
      <c r="L405" s="2"/>
      <c r="M405" s="2"/>
      <c r="N405" s="2"/>
      <c r="O405" s="2"/>
      <c r="P405" s="2"/>
      <c r="Q405" s="2"/>
      <c r="R405" s="2"/>
      <c r="S405" s="2"/>
      <c r="T405" s="2"/>
      <c r="U405" s="2"/>
      <c r="V405" s="2"/>
      <c r="W405" s="2"/>
      <c r="X405" s="2"/>
      <c r="Y405" s="2"/>
      <c r="Z405" s="2"/>
    </row>
    <row r="406" spans="1:26" ht="14.25" customHeight="1" x14ac:dyDescent="0.3">
      <c r="A406" s="2"/>
      <c r="B406" s="2"/>
      <c r="C406" s="2"/>
      <c r="D406" s="2"/>
      <c r="E406" s="2"/>
      <c r="F406" s="2"/>
      <c r="G406" s="3"/>
      <c r="H406" s="3"/>
      <c r="I406" s="3"/>
      <c r="J406" s="2"/>
      <c r="K406" s="2"/>
      <c r="L406" s="2"/>
      <c r="M406" s="2"/>
      <c r="N406" s="2"/>
      <c r="O406" s="2"/>
      <c r="P406" s="2"/>
      <c r="Q406" s="2"/>
      <c r="R406" s="2"/>
      <c r="S406" s="2"/>
      <c r="T406" s="2"/>
      <c r="U406" s="2"/>
      <c r="V406" s="2"/>
      <c r="W406" s="2"/>
      <c r="X406" s="2"/>
      <c r="Y406" s="2"/>
      <c r="Z406" s="2"/>
    </row>
    <row r="407" spans="1:26" ht="14.25" customHeight="1" x14ac:dyDescent="0.3">
      <c r="A407" s="2"/>
      <c r="B407" s="2"/>
      <c r="C407" s="2"/>
      <c r="D407" s="2"/>
      <c r="E407" s="2"/>
      <c r="F407" s="2"/>
      <c r="G407" s="3"/>
      <c r="H407" s="3"/>
      <c r="I407" s="3"/>
      <c r="J407" s="2"/>
      <c r="K407" s="2"/>
      <c r="L407" s="2"/>
      <c r="M407" s="2"/>
      <c r="N407" s="2"/>
      <c r="O407" s="2"/>
      <c r="P407" s="2"/>
      <c r="Q407" s="2"/>
      <c r="R407" s="2"/>
      <c r="S407" s="2"/>
      <c r="T407" s="2"/>
      <c r="U407" s="2"/>
      <c r="V407" s="2"/>
      <c r="W407" s="2"/>
      <c r="X407" s="2"/>
      <c r="Y407" s="2"/>
      <c r="Z407" s="2"/>
    </row>
    <row r="408" spans="1:26" ht="14.25" customHeight="1" x14ac:dyDescent="0.3">
      <c r="A408" s="2"/>
      <c r="B408" s="2"/>
      <c r="C408" s="2"/>
      <c r="D408" s="2"/>
      <c r="E408" s="2"/>
      <c r="F408" s="2"/>
      <c r="G408" s="3"/>
      <c r="H408" s="3"/>
      <c r="I408" s="3"/>
      <c r="J408" s="2"/>
      <c r="K408" s="2"/>
      <c r="L408" s="2"/>
      <c r="M408" s="2"/>
      <c r="N408" s="2"/>
      <c r="O408" s="2"/>
      <c r="P408" s="2"/>
      <c r="Q408" s="2"/>
      <c r="R408" s="2"/>
      <c r="S408" s="2"/>
      <c r="T408" s="2"/>
      <c r="U408" s="2"/>
      <c r="V408" s="2"/>
      <c r="W408" s="2"/>
      <c r="X408" s="2"/>
      <c r="Y408" s="2"/>
      <c r="Z408" s="2"/>
    </row>
    <row r="409" spans="1:26" ht="14.25" customHeight="1" x14ac:dyDescent="0.3">
      <c r="A409" s="2"/>
      <c r="B409" s="2"/>
      <c r="C409" s="2"/>
      <c r="D409" s="2"/>
      <c r="E409" s="2"/>
      <c r="F409" s="2"/>
      <c r="G409" s="3"/>
      <c r="H409" s="3"/>
      <c r="I409" s="3"/>
      <c r="J409" s="2"/>
      <c r="K409" s="2"/>
      <c r="L409" s="2"/>
      <c r="M409" s="2"/>
      <c r="N409" s="2"/>
      <c r="O409" s="2"/>
      <c r="P409" s="2"/>
      <c r="Q409" s="2"/>
      <c r="R409" s="2"/>
      <c r="S409" s="2"/>
      <c r="T409" s="2"/>
      <c r="U409" s="2"/>
      <c r="V409" s="2"/>
      <c r="W409" s="2"/>
      <c r="X409" s="2"/>
      <c r="Y409" s="2"/>
      <c r="Z409" s="2"/>
    </row>
    <row r="410" spans="1:26" ht="14.25" customHeight="1" x14ac:dyDescent="0.3">
      <c r="A410" s="2"/>
      <c r="B410" s="2"/>
      <c r="C410" s="2"/>
      <c r="D410" s="2"/>
      <c r="E410" s="2"/>
      <c r="F410" s="2"/>
      <c r="G410" s="3"/>
      <c r="H410" s="3"/>
      <c r="I410" s="3"/>
      <c r="J410" s="2"/>
      <c r="K410" s="2"/>
      <c r="L410" s="2"/>
      <c r="M410" s="2"/>
      <c r="N410" s="2"/>
      <c r="O410" s="2"/>
      <c r="P410" s="2"/>
      <c r="Q410" s="2"/>
      <c r="R410" s="2"/>
      <c r="S410" s="2"/>
      <c r="T410" s="2"/>
      <c r="U410" s="2"/>
      <c r="V410" s="2"/>
      <c r="W410" s="2"/>
      <c r="X410" s="2"/>
      <c r="Y410" s="2"/>
      <c r="Z410" s="2"/>
    </row>
    <row r="411" spans="1:26" ht="14.25" customHeight="1" x14ac:dyDescent="0.3">
      <c r="A411" s="2"/>
      <c r="B411" s="2"/>
      <c r="C411" s="2"/>
      <c r="D411" s="2"/>
      <c r="E411" s="2"/>
      <c r="F411" s="2"/>
      <c r="G411" s="3"/>
      <c r="H411" s="3"/>
      <c r="I411" s="3"/>
      <c r="J411" s="2"/>
      <c r="K411" s="2"/>
      <c r="L411" s="2"/>
      <c r="M411" s="2"/>
      <c r="N411" s="2"/>
      <c r="O411" s="2"/>
      <c r="P411" s="2"/>
      <c r="Q411" s="2"/>
      <c r="R411" s="2"/>
      <c r="S411" s="2"/>
      <c r="T411" s="2"/>
      <c r="U411" s="2"/>
      <c r="V411" s="2"/>
      <c r="W411" s="2"/>
      <c r="X411" s="2"/>
      <c r="Y411" s="2"/>
      <c r="Z411" s="2"/>
    </row>
    <row r="412" spans="1:26" ht="14.25" customHeight="1" x14ac:dyDescent="0.3">
      <c r="A412" s="2"/>
      <c r="B412" s="2"/>
      <c r="C412" s="2"/>
      <c r="D412" s="2"/>
      <c r="E412" s="2"/>
      <c r="F412" s="2"/>
      <c r="G412" s="3"/>
      <c r="H412" s="3"/>
      <c r="I412" s="3"/>
      <c r="J412" s="2"/>
      <c r="K412" s="2"/>
      <c r="L412" s="2"/>
      <c r="M412" s="2"/>
      <c r="N412" s="2"/>
      <c r="O412" s="2"/>
      <c r="P412" s="2"/>
      <c r="Q412" s="2"/>
      <c r="R412" s="2"/>
      <c r="S412" s="2"/>
      <c r="T412" s="2"/>
      <c r="U412" s="2"/>
      <c r="V412" s="2"/>
      <c r="W412" s="2"/>
      <c r="X412" s="2"/>
      <c r="Y412" s="2"/>
      <c r="Z412" s="2"/>
    </row>
    <row r="413" spans="1:26" ht="14.25" customHeight="1" x14ac:dyDescent="0.3">
      <c r="A413" s="2"/>
      <c r="B413" s="2"/>
      <c r="C413" s="2"/>
      <c r="D413" s="2"/>
      <c r="E413" s="2"/>
      <c r="F413" s="2"/>
      <c r="G413" s="3"/>
      <c r="H413" s="3"/>
      <c r="I413" s="3"/>
      <c r="J413" s="2"/>
      <c r="K413" s="2"/>
      <c r="L413" s="2"/>
      <c r="M413" s="2"/>
      <c r="N413" s="2"/>
      <c r="O413" s="2"/>
      <c r="P413" s="2"/>
      <c r="Q413" s="2"/>
      <c r="R413" s="2"/>
      <c r="S413" s="2"/>
      <c r="T413" s="2"/>
      <c r="U413" s="2"/>
      <c r="V413" s="2"/>
      <c r="W413" s="2"/>
      <c r="X413" s="2"/>
      <c r="Y413" s="2"/>
      <c r="Z413" s="2"/>
    </row>
    <row r="414" spans="1:26" ht="14.25" customHeight="1" x14ac:dyDescent="0.3">
      <c r="A414" s="2"/>
      <c r="B414" s="2"/>
      <c r="C414" s="2"/>
      <c r="D414" s="2"/>
      <c r="E414" s="2"/>
      <c r="F414" s="2"/>
      <c r="G414" s="3"/>
      <c r="H414" s="3"/>
      <c r="I414" s="3"/>
      <c r="J414" s="2"/>
      <c r="K414" s="2"/>
      <c r="L414" s="2"/>
      <c r="M414" s="2"/>
      <c r="N414" s="2"/>
      <c r="O414" s="2"/>
      <c r="P414" s="2"/>
      <c r="Q414" s="2"/>
      <c r="R414" s="2"/>
      <c r="S414" s="2"/>
      <c r="T414" s="2"/>
      <c r="U414" s="2"/>
      <c r="V414" s="2"/>
      <c r="W414" s="2"/>
      <c r="X414" s="2"/>
      <c r="Y414" s="2"/>
      <c r="Z414" s="2"/>
    </row>
    <row r="415" spans="1:26" ht="14.25" customHeight="1" x14ac:dyDescent="0.3">
      <c r="A415" s="2"/>
      <c r="B415" s="2"/>
      <c r="C415" s="2"/>
      <c r="D415" s="2"/>
      <c r="E415" s="2"/>
      <c r="F415" s="2"/>
      <c r="G415" s="3"/>
      <c r="H415" s="3"/>
      <c r="I415" s="3"/>
      <c r="J415" s="2"/>
      <c r="K415" s="2"/>
      <c r="L415" s="2"/>
      <c r="M415" s="2"/>
      <c r="N415" s="2"/>
      <c r="O415" s="2"/>
      <c r="P415" s="2"/>
      <c r="Q415" s="2"/>
      <c r="R415" s="2"/>
      <c r="S415" s="2"/>
      <c r="T415" s="2"/>
      <c r="U415" s="2"/>
      <c r="V415" s="2"/>
      <c r="W415" s="2"/>
      <c r="X415" s="2"/>
      <c r="Y415" s="2"/>
      <c r="Z415" s="2"/>
    </row>
    <row r="416" spans="1:26" ht="14.25" customHeight="1" x14ac:dyDescent="0.3">
      <c r="A416" s="2"/>
      <c r="B416" s="2"/>
      <c r="C416" s="2"/>
      <c r="D416" s="2"/>
      <c r="E416" s="2"/>
      <c r="F416" s="2"/>
      <c r="G416" s="3"/>
      <c r="H416" s="3"/>
      <c r="I416" s="3"/>
      <c r="J416" s="2"/>
      <c r="K416" s="2"/>
      <c r="L416" s="2"/>
      <c r="M416" s="2"/>
      <c r="N416" s="2"/>
      <c r="O416" s="2"/>
      <c r="P416" s="2"/>
      <c r="Q416" s="2"/>
      <c r="R416" s="2"/>
      <c r="S416" s="2"/>
      <c r="T416" s="2"/>
      <c r="U416" s="2"/>
      <c r="V416" s="2"/>
      <c r="W416" s="2"/>
      <c r="X416" s="2"/>
      <c r="Y416" s="2"/>
      <c r="Z416" s="2"/>
    </row>
    <row r="417" spans="1:26" ht="14.25" customHeight="1" x14ac:dyDescent="0.3">
      <c r="A417" s="2"/>
      <c r="B417" s="2"/>
      <c r="C417" s="2"/>
      <c r="D417" s="2"/>
      <c r="E417" s="2"/>
      <c r="F417" s="2"/>
      <c r="G417" s="3"/>
      <c r="H417" s="3"/>
      <c r="I417" s="3"/>
      <c r="J417" s="2"/>
      <c r="K417" s="2"/>
      <c r="L417" s="2"/>
      <c r="M417" s="2"/>
      <c r="N417" s="2"/>
      <c r="O417" s="2"/>
      <c r="P417" s="2"/>
      <c r="Q417" s="2"/>
      <c r="R417" s="2"/>
      <c r="S417" s="2"/>
      <c r="T417" s="2"/>
      <c r="U417" s="2"/>
      <c r="V417" s="2"/>
      <c r="W417" s="2"/>
      <c r="X417" s="2"/>
      <c r="Y417" s="2"/>
      <c r="Z417" s="2"/>
    </row>
    <row r="418" spans="1:26" ht="14.25" customHeight="1" x14ac:dyDescent="0.3">
      <c r="A418" s="2"/>
      <c r="B418" s="2"/>
      <c r="C418" s="2"/>
      <c r="D418" s="2"/>
      <c r="E418" s="2"/>
      <c r="F418" s="2"/>
      <c r="G418" s="3"/>
      <c r="H418" s="3"/>
      <c r="I418" s="3"/>
      <c r="J418" s="2"/>
      <c r="K418" s="2"/>
      <c r="L418" s="2"/>
      <c r="M418" s="2"/>
      <c r="N418" s="2"/>
      <c r="O418" s="2"/>
      <c r="P418" s="2"/>
      <c r="Q418" s="2"/>
      <c r="R418" s="2"/>
      <c r="S418" s="2"/>
      <c r="T418" s="2"/>
      <c r="U418" s="2"/>
      <c r="V418" s="2"/>
      <c r="W418" s="2"/>
      <c r="X418" s="2"/>
      <c r="Y418" s="2"/>
      <c r="Z418" s="2"/>
    </row>
    <row r="419" spans="1:26" ht="14.25" customHeight="1" x14ac:dyDescent="0.3">
      <c r="A419" s="2"/>
      <c r="B419" s="2"/>
      <c r="C419" s="2"/>
      <c r="D419" s="2"/>
      <c r="E419" s="2"/>
      <c r="F419" s="2"/>
      <c r="G419" s="3"/>
      <c r="H419" s="3"/>
      <c r="I419" s="3"/>
      <c r="J419" s="2"/>
      <c r="K419" s="2"/>
      <c r="L419" s="2"/>
      <c r="M419" s="2"/>
      <c r="N419" s="2"/>
      <c r="O419" s="2"/>
      <c r="P419" s="2"/>
      <c r="Q419" s="2"/>
      <c r="R419" s="2"/>
      <c r="S419" s="2"/>
      <c r="T419" s="2"/>
      <c r="U419" s="2"/>
      <c r="V419" s="2"/>
      <c r="W419" s="2"/>
      <c r="X419" s="2"/>
      <c r="Y419" s="2"/>
      <c r="Z419" s="2"/>
    </row>
    <row r="420" spans="1:26" ht="14.25" customHeight="1" x14ac:dyDescent="0.3">
      <c r="A420" s="2"/>
      <c r="B420" s="2"/>
      <c r="C420" s="2"/>
      <c r="D420" s="2"/>
      <c r="E420" s="2"/>
      <c r="F420" s="2"/>
      <c r="G420" s="3"/>
      <c r="H420" s="3"/>
      <c r="I420" s="3"/>
      <c r="J420" s="2"/>
      <c r="K420" s="2"/>
      <c r="L420" s="2"/>
      <c r="M420" s="2"/>
      <c r="N420" s="2"/>
      <c r="O420" s="2"/>
      <c r="P420" s="2"/>
      <c r="Q420" s="2"/>
      <c r="R420" s="2"/>
      <c r="S420" s="2"/>
      <c r="T420" s="2"/>
      <c r="U420" s="2"/>
      <c r="V420" s="2"/>
      <c r="W420" s="2"/>
      <c r="X420" s="2"/>
      <c r="Y420" s="2"/>
      <c r="Z420" s="2"/>
    </row>
    <row r="421" spans="1:26" ht="14.25" customHeight="1" x14ac:dyDescent="0.3">
      <c r="A421" s="2"/>
      <c r="B421" s="2"/>
      <c r="C421" s="2"/>
      <c r="D421" s="2"/>
      <c r="E421" s="2"/>
      <c r="F421" s="2"/>
      <c r="G421" s="3"/>
      <c r="H421" s="3"/>
      <c r="I421" s="3"/>
      <c r="J421" s="2"/>
      <c r="K421" s="2"/>
      <c r="L421" s="2"/>
      <c r="M421" s="2"/>
      <c r="N421" s="2"/>
      <c r="O421" s="2"/>
      <c r="P421" s="2"/>
      <c r="Q421" s="2"/>
      <c r="R421" s="2"/>
      <c r="S421" s="2"/>
      <c r="T421" s="2"/>
      <c r="U421" s="2"/>
      <c r="V421" s="2"/>
      <c r="W421" s="2"/>
      <c r="X421" s="2"/>
      <c r="Y421" s="2"/>
      <c r="Z421" s="2"/>
    </row>
    <row r="422" spans="1:26" ht="14.25" customHeight="1" x14ac:dyDescent="0.3">
      <c r="A422" s="2"/>
      <c r="B422" s="2"/>
      <c r="C422" s="2"/>
      <c r="D422" s="2"/>
      <c r="E422" s="2"/>
      <c r="F422" s="2"/>
      <c r="G422" s="3"/>
      <c r="H422" s="3"/>
      <c r="I422" s="3"/>
      <c r="J422" s="2"/>
      <c r="K422" s="2"/>
      <c r="L422" s="2"/>
      <c r="M422" s="2"/>
      <c r="N422" s="2"/>
      <c r="O422" s="2"/>
      <c r="P422" s="2"/>
      <c r="Q422" s="2"/>
      <c r="R422" s="2"/>
      <c r="S422" s="2"/>
      <c r="T422" s="2"/>
      <c r="U422" s="2"/>
      <c r="V422" s="2"/>
      <c r="W422" s="2"/>
      <c r="X422" s="2"/>
      <c r="Y422" s="2"/>
      <c r="Z422" s="2"/>
    </row>
    <row r="423" spans="1:26" ht="14.25" customHeight="1" x14ac:dyDescent="0.3">
      <c r="A423" s="2"/>
      <c r="B423" s="2"/>
      <c r="C423" s="2"/>
      <c r="D423" s="2"/>
      <c r="E423" s="2"/>
      <c r="F423" s="2"/>
      <c r="G423" s="3"/>
      <c r="H423" s="3"/>
      <c r="I423" s="3"/>
      <c r="J423" s="2"/>
      <c r="K423" s="2"/>
      <c r="L423" s="2"/>
      <c r="M423" s="2"/>
      <c r="N423" s="2"/>
      <c r="O423" s="2"/>
      <c r="P423" s="2"/>
      <c r="Q423" s="2"/>
      <c r="R423" s="2"/>
      <c r="S423" s="2"/>
      <c r="T423" s="2"/>
      <c r="U423" s="2"/>
      <c r="V423" s="2"/>
      <c r="W423" s="2"/>
      <c r="X423" s="2"/>
      <c r="Y423" s="2"/>
      <c r="Z423" s="2"/>
    </row>
    <row r="424" spans="1:26" ht="14.25" customHeight="1" x14ac:dyDescent="0.3">
      <c r="A424" s="2"/>
      <c r="B424" s="2"/>
      <c r="C424" s="2"/>
      <c r="D424" s="2"/>
      <c r="E424" s="2"/>
      <c r="F424" s="2"/>
      <c r="G424" s="3"/>
      <c r="H424" s="3"/>
      <c r="I424" s="3"/>
      <c r="J424" s="2"/>
      <c r="K424" s="2"/>
      <c r="L424" s="2"/>
      <c r="M424" s="2"/>
      <c r="N424" s="2"/>
      <c r="O424" s="2"/>
      <c r="P424" s="2"/>
      <c r="Q424" s="2"/>
      <c r="R424" s="2"/>
      <c r="S424" s="2"/>
      <c r="T424" s="2"/>
      <c r="U424" s="2"/>
      <c r="V424" s="2"/>
      <c r="W424" s="2"/>
      <c r="X424" s="2"/>
      <c r="Y424" s="2"/>
      <c r="Z424" s="2"/>
    </row>
    <row r="425" spans="1:26" ht="14.25" customHeight="1" x14ac:dyDescent="0.3">
      <c r="A425" s="2"/>
      <c r="B425" s="2"/>
      <c r="C425" s="2"/>
      <c r="D425" s="2"/>
      <c r="E425" s="2"/>
      <c r="F425" s="2"/>
      <c r="G425" s="3"/>
      <c r="H425" s="3"/>
      <c r="I425" s="3"/>
      <c r="J425" s="2"/>
      <c r="K425" s="2"/>
      <c r="L425" s="2"/>
      <c r="M425" s="2"/>
      <c r="N425" s="2"/>
      <c r="O425" s="2"/>
      <c r="P425" s="2"/>
      <c r="Q425" s="2"/>
      <c r="R425" s="2"/>
      <c r="S425" s="2"/>
      <c r="T425" s="2"/>
      <c r="U425" s="2"/>
      <c r="V425" s="2"/>
      <c r="W425" s="2"/>
      <c r="X425" s="2"/>
      <c r="Y425" s="2"/>
      <c r="Z425" s="2"/>
    </row>
    <row r="426" spans="1:26" ht="14.25" customHeight="1" x14ac:dyDescent="0.3">
      <c r="A426" s="2"/>
      <c r="B426" s="2"/>
      <c r="C426" s="2"/>
      <c r="D426" s="2"/>
      <c r="E426" s="2"/>
      <c r="F426" s="2"/>
      <c r="G426" s="3"/>
      <c r="H426" s="3"/>
      <c r="I426" s="3"/>
      <c r="J426" s="2"/>
      <c r="K426" s="2"/>
      <c r="L426" s="2"/>
      <c r="M426" s="2"/>
      <c r="N426" s="2"/>
      <c r="O426" s="2"/>
      <c r="P426" s="2"/>
      <c r="Q426" s="2"/>
      <c r="R426" s="2"/>
      <c r="S426" s="2"/>
      <c r="T426" s="2"/>
      <c r="U426" s="2"/>
      <c r="V426" s="2"/>
      <c r="W426" s="2"/>
      <c r="X426" s="2"/>
      <c r="Y426" s="2"/>
      <c r="Z426" s="2"/>
    </row>
    <row r="427" spans="1:26" ht="14.25" customHeight="1" x14ac:dyDescent="0.3">
      <c r="A427" s="2"/>
      <c r="B427" s="2"/>
      <c r="C427" s="2"/>
      <c r="D427" s="2"/>
      <c r="E427" s="2"/>
      <c r="F427" s="2"/>
      <c r="G427" s="3"/>
      <c r="H427" s="3"/>
      <c r="I427" s="3"/>
      <c r="J427" s="2"/>
      <c r="K427" s="2"/>
      <c r="L427" s="2"/>
      <c r="M427" s="2"/>
      <c r="N427" s="2"/>
      <c r="O427" s="2"/>
      <c r="P427" s="2"/>
      <c r="Q427" s="2"/>
      <c r="R427" s="2"/>
      <c r="S427" s="2"/>
      <c r="T427" s="2"/>
      <c r="U427" s="2"/>
      <c r="V427" s="2"/>
      <c r="W427" s="2"/>
      <c r="X427" s="2"/>
      <c r="Y427" s="2"/>
      <c r="Z427" s="2"/>
    </row>
    <row r="428" spans="1:26" ht="14.25" customHeight="1" x14ac:dyDescent="0.3">
      <c r="A428" s="2"/>
      <c r="B428" s="2"/>
      <c r="C428" s="2"/>
      <c r="D428" s="2"/>
      <c r="E428" s="2"/>
      <c r="F428" s="2"/>
      <c r="G428" s="3"/>
      <c r="H428" s="3"/>
      <c r="I428" s="3"/>
      <c r="J428" s="2"/>
      <c r="K428" s="2"/>
      <c r="L428" s="2"/>
      <c r="M428" s="2"/>
      <c r="N428" s="2"/>
      <c r="O428" s="2"/>
      <c r="P428" s="2"/>
      <c r="Q428" s="2"/>
      <c r="R428" s="2"/>
      <c r="S428" s="2"/>
      <c r="T428" s="2"/>
      <c r="U428" s="2"/>
      <c r="V428" s="2"/>
      <c r="W428" s="2"/>
      <c r="X428" s="2"/>
      <c r="Y428" s="2"/>
      <c r="Z428" s="2"/>
    </row>
    <row r="429" spans="1:26" ht="14.25" customHeight="1" x14ac:dyDescent="0.3">
      <c r="A429" s="2"/>
      <c r="B429" s="2"/>
      <c r="C429" s="2"/>
      <c r="D429" s="2"/>
      <c r="E429" s="2"/>
      <c r="F429" s="2"/>
      <c r="G429" s="3"/>
      <c r="H429" s="3"/>
      <c r="I429" s="3"/>
      <c r="J429" s="2"/>
      <c r="K429" s="2"/>
      <c r="L429" s="2"/>
      <c r="M429" s="2"/>
      <c r="N429" s="2"/>
      <c r="O429" s="2"/>
      <c r="P429" s="2"/>
      <c r="Q429" s="2"/>
      <c r="R429" s="2"/>
      <c r="S429" s="2"/>
      <c r="T429" s="2"/>
      <c r="U429" s="2"/>
      <c r="V429" s="2"/>
      <c r="W429" s="2"/>
      <c r="X429" s="2"/>
      <c r="Y429" s="2"/>
      <c r="Z429" s="2"/>
    </row>
    <row r="430" spans="1:26" ht="14.25" customHeight="1" x14ac:dyDescent="0.3">
      <c r="A430" s="2"/>
      <c r="B430" s="2"/>
      <c r="C430" s="2"/>
      <c r="D430" s="2"/>
      <c r="E430" s="2"/>
      <c r="F430" s="2"/>
      <c r="G430" s="3"/>
      <c r="H430" s="3"/>
      <c r="I430" s="3"/>
      <c r="J430" s="2"/>
      <c r="K430" s="2"/>
      <c r="L430" s="2"/>
      <c r="M430" s="2"/>
      <c r="N430" s="2"/>
      <c r="O430" s="2"/>
      <c r="P430" s="2"/>
      <c r="Q430" s="2"/>
      <c r="R430" s="2"/>
      <c r="S430" s="2"/>
      <c r="T430" s="2"/>
      <c r="U430" s="2"/>
      <c r="V430" s="2"/>
      <c r="W430" s="2"/>
      <c r="X430" s="2"/>
      <c r="Y430" s="2"/>
      <c r="Z430" s="2"/>
    </row>
    <row r="431" spans="1:26" ht="14.25" customHeight="1" x14ac:dyDescent="0.3">
      <c r="A431" s="2"/>
      <c r="B431" s="2"/>
      <c r="C431" s="2"/>
      <c r="D431" s="2"/>
      <c r="E431" s="2"/>
      <c r="F431" s="2"/>
      <c r="G431" s="3"/>
      <c r="H431" s="3"/>
      <c r="I431" s="3"/>
      <c r="J431" s="2"/>
      <c r="K431" s="2"/>
      <c r="L431" s="2"/>
      <c r="M431" s="2"/>
      <c r="N431" s="2"/>
      <c r="O431" s="2"/>
      <c r="P431" s="2"/>
      <c r="Q431" s="2"/>
      <c r="R431" s="2"/>
      <c r="S431" s="2"/>
      <c r="T431" s="2"/>
      <c r="U431" s="2"/>
      <c r="V431" s="2"/>
      <c r="W431" s="2"/>
      <c r="X431" s="2"/>
      <c r="Y431" s="2"/>
      <c r="Z431" s="2"/>
    </row>
    <row r="432" spans="1:26" ht="14.25" customHeight="1" x14ac:dyDescent="0.3">
      <c r="A432" s="2"/>
      <c r="B432" s="2"/>
      <c r="C432" s="2"/>
      <c r="D432" s="2"/>
      <c r="E432" s="2"/>
      <c r="F432" s="2"/>
      <c r="G432" s="3"/>
      <c r="H432" s="3"/>
      <c r="I432" s="3"/>
      <c r="J432" s="2"/>
      <c r="K432" s="2"/>
      <c r="L432" s="2"/>
      <c r="M432" s="2"/>
      <c r="N432" s="2"/>
      <c r="O432" s="2"/>
      <c r="P432" s="2"/>
      <c r="Q432" s="2"/>
      <c r="R432" s="2"/>
      <c r="S432" s="2"/>
      <c r="T432" s="2"/>
      <c r="U432" s="2"/>
      <c r="V432" s="2"/>
      <c r="W432" s="2"/>
      <c r="X432" s="2"/>
      <c r="Y432" s="2"/>
      <c r="Z432" s="2"/>
    </row>
    <row r="433" spans="1:26" ht="14.25" customHeight="1" x14ac:dyDescent="0.3">
      <c r="A433" s="2"/>
      <c r="B433" s="2"/>
      <c r="C433" s="2"/>
      <c r="D433" s="2"/>
      <c r="E433" s="2"/>
      <c r="F433" s="2"/>
      <c r="G433" s="3"/>
      <c r="H433" s="3"/>
      <c r="I433" s="3"/>
      <c r="J433" s="2"/>
      <c r="K433" s="2"/>
      <c r="L433" s="2"/>
      <c r="M433" s="2"/>
      <c r="N433" s="2"/>
      <c r="O433" s="2"/>
      <c r="P433" s="2"/>
      <c r="Q433" s="2"/>
      <c r="R433" s="2"/>
      <c r="S433" s="2"/>
      <c r="T433" s="2"/>
      <c r="U433" s="2"/>
      <c r="V433" s="2"/>
      <c r="W433" s="2"/>
      <c r="X433" s="2"/>
      <c r="Y433" s="2"/>
      <c r="Z433" s="2"/>
    </row>
    <row r="434" spans="1:26" ht="14.25" customHeight="1" x14ac:dyDescent="0.3">
      <c r="A434" s="2"/>
      <c r="B434" s="2"/>
      <c r="C434" s="2"/>
      <c r="D434" s="2"/>
      <c r="E434" s="2"/>
      <c r="F434" s="2"/>
      <c r="G434" s="3"/>
      <c r="H434" s="3"/>
      <c r="I434" s="3"/>
      <c r="J434" s="2"/>
      <c r="K434" s="2"/>
      <c r="L434" s="2"/>
      <c r="M434" s="2"/>
      <c r="N434" s="2"/>
      <c r="O434" s="2"/>
      <c r="P434" s="2"/>
      <c r="Q434" s="2"/>
      <c r="R434" s="2"/>
      <c r="S434" s="2"/>
      <c r="T434" s="2"/>
      <c r="U434" s="2"/>
      <c r="V434" s="2"/>
      <c r="W434" s="2"/>
      <c r="X434" s="2"/>
      <c r="Y434" s="2"/>
      <c r="Z434" s="2"/>
    </row>
    <row r="435" spans="1:26" ht="14.25" customHeight="1" x14ac:dyDescent="0.3">
      <c r="A435" s="2"/>
      <c r="B435" s="2"/>
      <c r="C435" s="2"/>
      <c r="D435" s="2"/>
      <c r="E435" s="2"/>
      <c r="F435" s="2"/>
      <c r="G435" s="3"/>
      <c r="H435" s="3"/>
      <c r="I435" s="3"/>
      <c r="J435" s="2"/>
      <c r="K435" s="2"/>
      <c r="L435" s="2"/>
      <c r="M435" s="2"/>
      <c r="N435" s="2"/>
      <c r="O435" s="2"/>
      <c r="P435" s="2"/>
      <c r="Q435" s="2"/>
      <c r="R435" s="2"/>
      <c r="S435" s="2"/>
      <c r="T435" s="2"/>
      <c r="U435" s="2"/>
      <c r="V435" s="2"/>
      <c r="W435" s="2"/>
      <c r="X435" s="2"/>
      <c r="Y435" s="2"/>
      <c r="Z435" s="2"/>
    </row>
    <row r="436" spans="1:26" ht="14.25" customHeight="1" x14ac:dyDescent="0.3">
      <c r="A436" s="2"/>
      <c r="B436" s="2"/>
      <c r="C436" s="2"/>
      <c r="D436" s="2"/>
      <c r="E436" s="2"/>
      <c r="F436" s="2"/>
      <c r="G436" s="3"/>
      <c r="H436" s="3"/>
      <c r="I436" s="3"/>
      <c r="J436" s="2"/>
      <c r="K436" s="2"/>
      <c r="L436" s="2"/>
      <c r="M436" s="2"/>
      <c r="N436" s="2"/>
      <c r="O436" s="2"/>
      <c r="P436" s="2"/>
      <c r="Q436" s="2"/>
      <c r="R436" s="2"/>
      <c r="S436" s="2"/>
      <c r="T436" s="2"/>
      <c r="U436" s="2"/>
      <c r="V436" s="2"/>
      <c r="W436" s="2"/>
      <c r="X436" s="2"/>
      <c r="Y436" s="2"/>
      <c r="Z436" s="2"/>
    </row>
    <row r="437" spans="1:26" ht="14.25" customHeight="1" x14ac:dyDescent="0.3">
      <c r="A437" s="2"/>
      <c r="B437" s="2"/>
      <c r="C437" s="2"/>
      <c r="D437" s="2"/>
      <c r="E437" s="2"/>
      <c r="F437" s="2"/>
      <c r="G437" s="3"/>
      <c r="H437" s="3"/>
      <c r="I437" s="3"/>
      <c r="J437" s="2"/>
      <c r="K437" s="2"/>
      <c r="L437" s="2"/>
      <c r="M437" s="2"/>
      <c r="N437" s="2"/>
      <c r="O437" s="2"/>
      <c r="P437" s="2"/>
      <c r="Q437" s="2"/>
      <c r="R437" s="2"/>
      <c r="S437" s="2"/>
      <c r="T437" s="2"/>
      <c r="U437" s="2"/>
      <c r="V437" s="2"/>
      <c r="W437" s="2"/>
      <c r="X437" s="2"/>
      <c r="Y437" s="2"/>
      <c r="Z437" s="2"/>
    </row>
    <row r="438" spans="1:26" ht="14.25" customHeight="1" x14ac:dyDescent="0.3">
      <c r="A438" s="2"/>
      <c r="B438" s="2"/>
      <c r="C438" s="2"/>
      <c r="D438" s="2"/>
      <c r="E438" s="2"/>
      <c r="F438" s="2"/>
      <c r="G438" s="3"/>
      <c r="H438" s="3"/>
      <c r="I438" s="3"/>
      <c r="J438" s="2"/>
      <c r="K438" s="2"/>
      <c r="L438" s="2"/>
      <c r="M438" s="2"/>
      <c r="N438" s="2"/>
      <c r="O438" s="2"/>
      <c r="P438" s="2"/>
      <c r="Q438" s="2"/>
      <c r="R438" s="2"/>
      <c r="S438" s="2"/>
      <c r="T438" s="2"/>
      <c r="U438" s="2"/>
      <c r="V438" s="2"/>
      <c r="W438" s="2"/>
      <c r="X438" s="2"/>
      <c r="Y438" s="2"/>
      <c r="Z438" s="2"/>
    </row>
    <row r="439" spans="1:26" ht="14.25" customHeight="1" x14ac:dyDescent="0.3">
      <c r="A439" s="2"/>
      <c r="B439" s="2"/>
      <c r="C439" s="2"/>
      <c r="D439" s="2"/>
      <c r="E439" s="2"/>
      <c r="F439" s="2"/>
      <c r="G439" s="3"/>
      <c r="H439" s="3"/>
      <c r="I439" s="3"/>
      <c r="J439" s="2"/>
      <c r="K439" s="2"/>
      <c r="L439" s="2"/>
      <c r="M439" s="2"/>
      <c r="N439" s="2"/>
      <c r="O439" s="2"/>
      <c r="P439" s="2"/>
      <c r="Q439" s="2"/>
      <c r="R439" s="2"/>
      <c r="S439" s="2"/>
      <c r="T439" s="2"/>
      <c r="U439" s="2"/>
      <c r="V439" s="2"/>
      <c r="W439" s="2"/>
      <c r="X439" s="2"/>
      <c r="Y439" s="2"/>
      <c r="Z439" s="2"/>
    </row>
    <row r="440" spans="1:26" ht="14.25" customHeight="1" x14ac:dyDescent="0.3">
      <c r="A440" s="2"/>
      <c r="B440" s="2"/>
      <c r="C440" s="2"/>
      <c r="D440" s="2"/>
      <c r="E440" s="2"/>
      <c r="F440" s="2"/>
      <c r="G440" s="3"/>
      <c r="H440" s="3"/>
      <c r="I440" s="3"/>
      <c r="J440" s="2"/>
      <c r="K440" s="2"/>
      <c r="L440" s="2"/>
      <c r="M440" s="2"/>
      <c r="N440" s="2"/>
      <c r="O440" s="2"/>
      <c r="P440" s="2"/>
      <c r="Q440" s="2"/>
      <c r="R440" s="2"/>
      <c r="S440" s="2"/>
      <c r="T440" s="2"/>
      <c r="U440" s="2"/>
      <c r="V440" s="2"/>
      <c r="W440" s="2"/>
      <c r="X440" s="2"/>
      <c r="Y440" s="2"/>
      <c r="Z440" s="2"/>
    </row>
    <row r="441" spans="1:26" ht="14.25" customHeight="1" x14ac:dyDescent="0.3">
      <c r="A441" s="2"/>
      <c r="B441" s="2"/>
      <c r="C441" s="2"/>
      <c r="D441" s="2"/>
      <c r="E441" s="2"/>
      <c r="F441" s="2"/>
      <c r="G441" s="3"/>
      <c r="H441" s="3"/>
      <c r="I441" s="3"/>
      <c r="J441" s="2"/>
      <c r="K441" s="2"/>
      <c r="L441" s="2"/>
      <c r="M441" s="2"/>
      <c r="N441" s="2"/>
      <c r="O441" s="2"/>
      <c r="P441" s="2"/>
      <c r="Q441" s="2"/>
      <c r="R441" s="2"/>
      <c r="S441" s="2"/>
      <c r="T441" s="2"/>
      <c r="U441" s="2"/>
      <c r="V441" s="2"/>
      <c r="W441" s="2"/>
      <c r="X441" s="2"/>
      <c r="Y441" s="2"/>
      <c r="Z441" s="2"/>
    </row>
    <row r="442" spans="1:26" ht="14.25" customHeight="1" x14ac:dyDescent="0.3">
      <c r="A442" s="2"/>
      <c r="B442" s="2"/>
      <c r="C442" s="2"/>
      <c r="D442" s="2"/>
      <c r="E442" s="2"/>
      <c r="F442" s="2"/>
      <c r="G442" s="3"/>
      <c r="H442" s="3"/>
      <c r="I442" s="3"/>
      <c r="J442" s="2"/>
      <c r="K442" s="2"/>
      <c r="L442" s="2"/>
      <c r="M442" s="2"/>
      <c r="N442" s="2"/>
      <c r="O442" s="2"/>
      <c r="P442" s="2"/>
      <c r="Q442" s="2"/>
      <c r="R442" s="2"/>
      <c r="S442" s="2"/>
      <c r="T442" s="2"/>
      <c r="U442" s="2"/>
      <c r="V442" s="2"/>
      <c r="W442" s="2"/>
      <c r="X442" s="2"/>
      <c r="Y442" s="2"/>
      <c r="Z442" s="2"/>
    </row>
    <row r="443" spans="1:26" ht="14.25" customHeight="1" x14ac:dyDescent="0.3">
      <c r="A443" s="2"/>
      <c r="B443" s="2"/>
      <c r="C443" s="2"/>
      <c r="D443" s="2"/>
      <c r="E443" s="2"/>
      <c r="F443" s="2"/>
      <c r="G443" s="3"/>
      <c r="H443" s="3"/>
      <c r="I443" s="3"/>
      <c r="J443" s="2"/>
      <c r="K443" s="2"/>
      <c r="L443" s="2"/>
      <c r="M443" s="2"/>
      <c r="N443" s="2"/>
      <c r="O443" s="2"/>
      <c r="P443" s="2"/>
      <c r="Q443" s="2"/>
      <c r="R443" s="2"/>
      <c r="S443" s="2"/>
      <c r="T443" s="2"/>
      <c r="U443" s="2"/>
      <c r="V443" s="2"/>
      <c r="W443" s="2"/>
      <c r="X443" s="2"/>
      <c r="Y443" s="2"/>
      <c r="Z443" s="2"/>
    </row>
    <row r="444" spans="1:26" ht="14.25" customHeight="1" x14ac:dyDescent="0.3">
      <c r="A444" s="2"/>
      <c r="B444" s="2"/>
      <c r="C444" s="2"/>
      <c r="D444" s="2"/>
      <c r="E444" s="2"/>
      <c r="F444" s="2"/>
      <c r="G444" s="3"/>
      <c r="H444" s="3"/>
      <c r="I444" s="3"/>
      <c r="J444" s="2"/>
      <c r="K444" s="2"/>
      <c r="L444" s="2"/>
      <c r="M444" s="2"/>
      <c r="N444" s="2"/>
      <c r="O444" s="2"/>
      <c r="P444" s="2"/>
      <c r="Q444" s="2"/>
      <c r="R444" s="2"/>
      <c r="S444" s="2"/>
      <c r="T444" s="2"/>
      <c r="U444" s="2"/>
      <c r="V444" s="2"/>
      <c r="W444" s="2"/>
      <c r="X444" s="2"/>
      <c r="Y444" s="2"/>
      <c r="Z444" s="2"/>
    </row>
    <row r="445" spans="1:26" ht="14.25" customHeight="1" x14ac:dyDescent="0.3">
      <c r="A445" s="2"/>
      <c r="B445" s="2"/>
      <c r="C445" s="2"/>
      <c r="D445" s="2"/>
      <c r="E445" s="2"/>
      <c r="F445" s="2"/>
      <c r="G445" s="3"/>
      <c r="H445" s="3"/>
      <c r="I445" s="3"/>
      <c r="J445" s="2"/>
      <c r="K445" s="2"/>
      <c r="L445" s="2"/>
      <c r="M445" s="2"/>
      <c r="N445" s="2"/>
      <c r="O445" s="2"/>
      <c r="P445" s="2"/>
      <c r="Q445" s="2"/>
      <c r="R445" s="2"/>
      <c r="S445" s="2"/>
      <c r="T445" s="2"/>
      <c r="U445" s="2"/>
      <c r="V445" s="2"/>
      <c r="W445" s="2"/>
      <c r="X445" s="2"/>
      <c r="Y445" s="2"/>
      <c r="Z445" s="2"/>
    </row>
    <row r="446" spans="1:26" ht="14.25" customHeight="1" x14ac:dyDescent="0.3">
      <c r="A446" s="2"/>
      <c r="B446" s="2"/>
      <c r="C446" s="2"/>
      <c r="D446" s="2"/>
      <c r="E446" s="2"/>
      <c r="F446" s="2"/>
      <c r="G446" s="3"/>
      <c r="H446" s="3"/>
      <c r="I446" s="3"/>
      <c r="J446" s="2"/>
      <c r="K446" s="2"/>
      <c r="L446" s="2"/>
      <c r="M446" s="2"/>
      <c r="N446" s="2"/>
      <c r="O446" s="2"/>
      <c r="P446" s="2"/>
      <c r="Q446" s="2"/>
      <c r="R446" s="2"/>
      <c r="S446" s="2"/>
      <c r="T446" s="2"/>
      <c r="U446" s="2"/>
      <c r="V446" s="2"/>
      <c r="W446" s="2"/>
      <c r="X446" s="2"/>
      <c r="Y446" s="2"/>
      <c r="Z446" s="2"/>
    </row>
    <row r="447" spans="1:26" ht="14.25" customHeight="1" x14ac:dyDescent="0.3">
      <c r="A447" s="2"/>
      <c r="B447" s="2"/>
      <c r="C447" s="2"/>
      <c r="D447" s="2"/>
      <c r="E447" s="2"/>
      <c r="F447" s="2"/>
      <c r="G447" s="3"/>
      <c r="H447" s="3"/>
      <c r="I447" s="3"/>
      <c r="J447" s="2"/>
      <c r="K447" s="2"/>
      <c r="L447" s="2"/>
      <c r="M447" s="2"/>
      <c r="N447" s="2"/>
      <c r="O447" s="2"/>
      <c r="P447" s="2"/>
      <c r="Q447" s="2"/>
      <c r="R447" s="2"/>
      <c r="S447" s="2"/>
      <c r="T447" s="2"/>
      <c r="U447" s="2"/>
      <c r="V447" s="2"/>
      <c r="W447" s="2"/>
      <c r="X447" s="2"/>
      <c r="Y447" s="2"/>
      <c r="Z447" s="2"/>
    </row>
    <row r="448" spans="1:26" ht="14.25" customHeight="1" x14ac:dyDescent="0.3">
      <c r="A448" s="2"/>
      <c r="B448" s="2"/>
      <c r="C448" s="2"/>
      <c r="D448" s="2"/>
      <c r="E448" s="2"/>
      <c r="F448" s="2"/>
      <c r="G448" s="3"/>
      <c r="H448" s="3"/>
      <c r="I448" s="3"/>
      <c r="J448" s="2"/>
      <c r="K448" s="2"/>
      <c r="L448" s="2"/>
      <c r="M448" s="2"/>
      <c r="N448" s="2"/>
      <c r="O448" s="2"/>
      <c r="P448" s="2"/>
      <c r="Q448" s="2"/>
      <c r="R448" s="2"/>
      <c r="S448" s="2"/>
      <c r="T448" s="2"/>
      <c r="U448" s="2"/>
      <c r="V448" s="2"/>
      <c r="W448" s="2"/>
      <c r="X448" s="2"/>
      <c r="Y448" s="2"/>
      <c r="Z448" s="2"/>
    </row>
    <row r="449" spans="1:26" ht="14.25" customHeight="1" x14ac:dyDescent="0.3">
      <c r="A449" s="2"/>
      <c r="B449" s="2"/>
      <c r="C449" s="2"/>
      <c r="D449" s="2"/>
      <c r="E449" s="2"/>
      <c r="F449" s="2"/>
      <c r="G449" s="3"/>
      <c r="H449" s="3"/>
      <c r="I449" s="3"/>
      <c r="J449" s="2"/>
      <c r="K449" s="2"/>
      <c r="L449" s="2"/>
      <c r="M449" s="2"/>
      <c r="N449" s="2"/>
      <c r="O449" s="2"/>
      <c r="P449" s="2"/>
      <c r="Q449" s="2"/>
      <c r="R449" s="2"/>
      <c r="S449" s="2"/>
      <c r="T449" s="2"/>
      <c r="U449" s="2"/>
      <c r="V449" s="2"/>
      <c r="W449" s="2"/>
      <c r="X449" s="2"/>
      <c r="Y449" s="2"/>
      <c r="Z449" s="2"/>
    </row>
    <row r="450" spans="1:26" ht="14.25" customHeight="1" x14ac:dyDescent="0.3">
      <c r="A450" s="2"/>
      <c r="B450" s="2"/>
      <c r="C450" s="2"/>
      <c r="D450" s="2"/>
      <c r="E450" s="2"/>
      <c r="F450" s="2"/>
      <c r="G450" s="3"/>
      <c r="H450" s="3"/>
      <c r="I450" s="3"/>
      <c r="J450" s="2"/>
      <c r="K450" s="2"/>
      <c r="L450" s="2"/>
      <c r="M450" s="2"/>
      <c r="N450" s="2"/>
      <c r="O450" s="2"/>
      <c r="P450" s="2"/>
      <c r="Q450" s="2"/>
      <c r="R450" s="2"/>
      <c r="S450" s="2"/>
      <c r="T450" s="2"/>
      <c r="U450" s="2"/>
      <c r="V450" s="2"/>
      <c r="W450" s="2"/>
      <c r="X450" s="2"/>
      <c r="Y450" s="2"/>
      <c r="Z450" s="2"/>
    </row>
    <row r="451" spans="1:26" ht="14.25" customHeight="1" x14ac:dyDescent="0.3">
      <c r="A451" s="2"/>
      <c r="B451" s="2"/>
      <c r="C451" s="2"/>
      <c r="D451" s="2"/>
      <c r="E451" s="2"/>
      <c r="F451" s="2"/>
      <c r="G451" s="3"/>
      <c r="H451" s="3"/>
      <c r="I451" s="3"/>
      <c r="J451" s="2"/>
      <c r="K451" s="2"/>
      <c r="L451" s="2"/>
      <c r="M451" s="2"/>
      <c r="N451" s="2"/>
      <c r="O451" s="2"/>
      <c r="P451" s="2"/>
      <c r="Q451" s="2"/>
      <c r="R451" s="2"/>
      <c r="S451" s="2"/>
      <c r="T451" s="2"/>
      <c r="U451" s="2"/>
      <c r="V451" s="2"/>
      <c r="W451" s="2"/>
      <c r="X451" s="2"/>
      <c r="Y451" s="2"/>
      <c r="Z451" s="2"/>
    </row>
    <row r="452" spans="1:26" ht="14.25" customHeight="1" x14ac:dyDescent="0.3">
      <c r="A452" s="2"/>
      <c r="B452" s="2"/>
      <c r="C452" s="2"/>
      <c r="D452" s="2"/>
      <c r="E452" s="2"/>
      <c r="F452" s="2"/>
      <c r="G452" s="3"/>
      <c r="H452" s="3"/>
      <c r="I452" s="3"/>
      <c r="J452" s="2"/>
      <c r="K452" s="2"/>
      <c r="L452" s="2"/>
      <c r="M452" s="2"/>
      <c r="N452" s="2"/>
      <c r="O452" s="2"/>
      <c r="P452" s="2"/>
      <c r="Q452" s="2"/>
      <c r="R452" s="2"/>
      <c r="S452" s="2"/>
      <c r="T452" s="2"/>
      <c r="U452" s="2"/>
      <c r="V452" s="2"/>
      <c r="W452" s="2"/>
      <c r="X452" s="2"/>
      <c r="Y452" s="2"/>
      <c r="Z452" s="2"/>
    </row>
    <row r="453" spans="1:26" ht="14.25" customHeight="1" x14ac:dyDescent="0.3">
      <c r="A453" s="2"/>
      <c r="B453" s="2"/>
      <c r="C453" s="2"/>
      <c r="D453" s="2"/>
      <c r="E453" s="2"/>
      <c r="F453" s="2"/>
      <c r="G453" s="3"/>
      <c r="H453" s="3"/>
      <c r="I453" s="3"/>
      <c r="J453" s="2"/>
      <c r="K453" s="2"/>
      <c r="L453" s="2"/>
      <c r="M453" s="2"/>
      <c r="N453" s="2"/>
      <c r="O453" s="2"/>
      <c r="P453" s="2"/>
      <c r="Q453" s="2"/>
      <c r="R453" s="2"/>
      <c r="S453" s="2"/>
      <c r="T453" s="2"/>
      <c r="U453" s="2"/>
      <c r="V453" s="2"/>
      <c r="W453" s="2"/>
      <c r="X453" s="2"/>
      <c r="Y453" s="2"/>
      <c r="Z453" s="2"/>
    </row>
    <row r="454" spans="1:26" ht="14.25" customHeight="1" x14ac:dyDescent="0.3">
      <c r="A454" s="2"/>
      <c r="B454" s="2"/>
      <c r="C454" s="2"/>
      <c r="D454" s="2"/>
      <c r="E454" s="2"/>
      <c r="F454" s="2"/>
      <c r="G454" s="3"/>
      <c r="H454" s="3"/>
      <c r="I454" s="3"/>
      <c r="J454" s="2"/>
      <c r="K454" s="2"/>
      <c r="L454" s="2"/>
      <c r="M454" s="2"/>
      <c r="N454" s="2"/>
      <c r="O454" s="2"/>
      <c r="P454" s="2"/>
      <c r="Q454" s="2"/>
      <c r="R454" s="2"/>
      <c r="S454" s="2"/>
      <c r="T454" s="2"/>
      <c r="U454" s="2"/>
      <c r="V454" s="2"/>
      <c r="W454" s="2"/>
      <c r="X454" s="2"/>
      <c r="Y454" s="2"/>
      <c r="Z454" s="2"/>
    </row>
    <row r="455" spans="1:26" ht="14.25" customHeight="1" x14ac:dyDescent="0.3">
      <c r="A455" s="2"/>
      <c r="B455" s="2"/>
      <c r="C455" s="2"/>
      <c r="D455" s="2"/>
      <c r="E455" s="2"/>
      <c r="F455" s="2"/>
      <c r="G455" s="3"/>
      <c r="H455" s="3"/>
      <c r="I455" s="3"/>
      <c r="J455" s="2"/>
      <c r="K455" s="2"/>
      <c r="L455" s="2"/>
      <c r="M455" s="2"/>
      <c r="N455" s="2"/>
      <c r="O455" s="2"/>
      <c r="P455" s="2"/>
      <c r="Q455" s="2"/>
      <c r="R455" s="2"/>
      <c r="S455" s="2"/>
      <c r="T455" s="2"/>
      <c r="U455" s="2"/>
      <c r="V455" s="2"/>
      <c r="W455" s="2"/>
      <c r="X455" s="2"/>
      <c r="Y455" s="2"/>
      <c r="Z455" s="2"/>
    </row>
    <row r="456" spans="1:26" ht="14.25" customHeight="1" x14ac:dyDescent="0.3">
      <c r="A456" s="2"/>
      <c r="B456" s="2"/>
      <c r="C456" s="2"/>
      <c r="D456" s="2"/>
      <c r="E456" s="2"/>
      <c r="F456" s="2"/>
      <c r="G456" s="3"/>
      <c r="H456" s="3"/>
      <c r="I456" s="3"/>
      <c r="J456" s="2"/>
      <c r="K456" s="2"/>
      <c r="L456" s="2"/>
      <c r="M456" s="2"/>
      <c r="N456" s="2"/>
      <c r="O456" s="2"/>
      <c r="P456" s="2"/>
      <c r="Q456" s="2"/>
      <c r="R456" s="2"/>
      <c r="S456" s="2"/>
      <c r="T456" s="2"/>
      <c r="U456" s="2"/>
      <c r="V456" s="2"/>
      <c r="W456" s="2"/>
      <c r="X456" s="2"/>
      <c r="Y456" s="2"/>
      <c r="Z456" s="2"/>
    </row>
    <row r="457" spans="1:26" ht="14.25" customHeight="1" x14ac:dyDescent="0.3">
      <c r="A457" s="2"/>
      <c r="B457" s="2"/>
      <c r="C457" s="2"/>
      <c r="D457" s="2"/>
      <c r="E457" s="2"/>
      <c r="F457" s="2"/>
      <c r="G457" s="3"/>
      <c r="H457" s="3"/>
      <c r="I457" s="3"/>
      <c r="J457" s="2"/>
      <c r="K457" s="2"/>
      <c r="L457" s="2"/>
      <c r="M457" s="2"/>
      <c r="N457" s="2"/>
      <c r="O457" s="2"/>
      <c r="P457" s="2"/>
      <c r="Q457" s="2"/>
      <c r="R457" s="2"/>
      <c r="S457" s="2"/>
      <c r="T457" s="2"/>
      <c r="U457" s="2"/>
      <c r="V457" s="2"/>
      <c r="W457" s="2"/>
      <c r="X457" s="2"/>
      <c r="Y457" s="2"/>
      <c r="Z457" s="2"/>
    </row>
    <row r="458" spans="1:26" ht="14.25" customHeight="1" x14ac:dyDescent="0.3">
      <c r="A458" s="2"/>
      <c r="B458" s="2"/>
      <c r="C458" s="2"/>
      <c r="D458" s="2"/>
      <c r="E458" s="2"/>
      <c r="F458" s="2"/>
      <c r="G458" s="3"/>
      <c r="H458" s="3"/>
      <c r="I458" s="3"/>
      <c r="J458" s="2"/>
      <c r="K458" s="2"/>
      <c r="L458" s="2"/>
      <c r="M458" s="2"/>
      <c r="N458" s="2"/>
      <c r="O458" s="2"/>
      <c r="P458" s="2"/>
      <c r="Q458" s="2"/>
      <c r="R458" s="2"/>
      <c r="S458" s="2"/>
      <c r="T458" s="2"/>
      <c r="U458" s="2"/>
      <c r="V458" s="2"/>
      <c r="W458" s="2"/>
      <c r="X458" s="2"/>
      <c r="Y458" s="2"/>
      <c r="Z458" s="2"/>
    </row>
    <row r="459" spans="1:26" ht="14.25" customHeight="1" x14ac:dyDescent="0.3">
      <c r="A459" s="2"/>
      <c r="B459" s="2"/>
      <c r="C459" s="2"/>
      <c r="D459" s="2"/>
      <c r="E459" s="2"/>
      <c r="F459" s="2"/>
      <c r="G459" s="3"/>
      <c r="H459" s="3"/>
      <c r="I459" s="3"/>
      <c r="J459" s="2"/>
      <c r="K459" s="2"/>
      <c r="L459" s="2"/>
      <c r="M459" s="2"/>
      <c r="N459" s="2"/>
      <c r="O459" s="2"/>
      <c r="P459" s="2"/>
      <c r="Q459" s="2"/>
      <c r="R459" s="2"/>
      <c r="S459" s="2"/>
      <c r="T459" s="2"/>
      <c r="U459" s="2"/>
      <c r="V459" s="2"/>
      <c r="W459" s="2"/>
      <c r="X459" s="2"/>
      <c r="Y459" s="2"/>
      <c r="Z459" s="2"/>
    </row>
    <row r="460" spans="1:26" ht="14.25" customHeight="1" x14ac:dyDescent="0.3">
      <c r="A460" s="2"/>
      <c r="B460" s="2"/>
      <c r="C460" s="2"/>
      <c r="D460" s="2"/>
      <c r="E460" s="2"/>
      <c r="F460" s="2"/>
      <c r="G460" s="3"/>
      <c r="H460" s="3"/>
      <c r="I460" s="3"/>
      <c r="J460" s="2"/>
      <c r="K460" s="2"/>
      <c r="L460" s="2"/>
      <c r="M460" s="2"/>
      <c r="N460" s="2"/>
      <c r="O460" s="2"/>
      <c r="P460" s="2"/>
      <c r="Q460" s="2"/>
      <c r="R460" s="2"/>
      <c r="S460" s="2"/>
      <c r="T460" s="2"/>
      <c r="U460" s="2"/>
      <c r="V460" s="2"/>
      <c r="W460" s="2"/>
      <c r="X460" s="2"/>
      <c r="Y460" s="2"/>
      <c r="Z460" s="2"/>
    </row>
    <row r="461" spans="1:26" ht="14.25" customHeight="1" x14ac:dyDescent="0.3">
      <c r="A461" s="2"/>
      <c r="B461" s="2"/>
      <c r="C461" s="2"/>
      <c r="D461" s="2"/>
      <c r="E461" s="2"/>
      <c r="F461" s="2"/>
      <c r="G461" s="3"/>
      <c r="H461" s="3"/>
      <c r="I461" s="3"/>
      <c r="J461" s="2"/>
      <c r="K461" s="2"/>
      <c r="L461" s="2"/>
      <c r="M461" s="2"/>
      <c r="N461" s="2"/>
      <c r="O461" s="2"/>
      <c r="P461" s="2"/>
      <c r="Q461" s="2"/>
      <c r="R461" s="2"/>
      <c r="S461" s="2"/>
      <c r="T461" s="2"/>
      <c r="U461" s="2"/>
      <c r="V461" s="2"/>
      <c r="W461" s="2"/>
      <c r="X461" s="2"/>
      <c r="Y461" s="2"/>
      <c r="Z461" s="2"/>
    </row>
    <row r="462" spans="1:26" ht="14.25" customHeight="1" x14ac:dyDescent="0.3">
      <c r="A462" s="2"/>
      <c r="B462" s="2"/>
      <c r="C462" s="2"/>
      <c r="D462" s="2"/>
      <c r="E462" s="2"/>
      <c r="F462" s="2"/>
      <c r="G462" s="3"/>
      <c r="H462" s="3"/>
      <c r="I462" s="3"/>
      <c r="J462" s="2"/>
      <c r="K462" s="2"/>
      <c r="L462" s="2"/>
      <c r="M462" s="2"/>
      <c r="N462" s="2"/>
      <c r="O462" s="2"/>
      <c r="P462" s="2"/>
      <c r="Q462" s="2"/>
      <c r="R462" s="2"/>
      <c r="S462" s="2"/>
      <c r="T462" s="2"/>
      <c r="U462" s="2"/>
      <c r="V462" s="2"/>
      <c r="W462" s="2"/>
      <c r="X462" s="2"/>
      <c r="Y462" s="2"/>
      <c r="Z462" s="2"/>
    </row>
    <row r="463" spans="1:26" ht="14.25" customHeight="1" x14ac:dyDescent="0.3">
      <c r="A463" s="2"/>
      <c r="B463" s="2"/>
      <c r="C463" s="2"/>
      <c r="D463" s="2"/>
      <c r="E463" s="2"/>
      <c r="F463" s="2"/>
      <c r="G463" s="3"/>
      <c r="H463" s="3"/>
      <c r="I463" s="3"/>
      <c r="J463" s="2"/>
      <c r="K463" s="2"/>
      <c r="L463" s="2"/>
      <c r="M463" s="2"/>
      <c r="N463" s="2"/>
      <c r="O463" s="2"/>
      <c r="P463" s="2"/>
      <c r="Q463" s="2"/>
      <c r="R463" s="2"/>
      <c r="S463" s="2"/>
      <c r="T463" s="2"/>
      <c r="U463" s="2"/>
      <c r="V463" s="2"/>
      <c r="W463" s="2"/>
      <c r="X463" s="2"/>
      <c r="Y463" s="2"/>
      <c r="Z463" s="2"/>
    </row>
    <row r="464" spans="1:26" ht="14.25" customHeight="1" x14ac:dyDescent="0.3">
      <c r="A464" s="2"/>
      <c r="B464" s="2"/>
      <c r="C464" s="2"/>
      <c r="D464" s="2"/>
      <c r="E464" s="2"/>
      <c r="F464" s="2"/>
      <c r="G464" s="3"/>
      <c r="H464" s="3"/>
      <c r="I464" s="3"/>
      <c r="J464" s="2"/>
      <c r="K464" s="2"/>
      <c r="L464" s="2"/>
      <c r="M464" s="2"/>
      <c r="N464" s="2"/>
      <c r="O464" s="2"/>
      <c r="P464" s="2"/>
      <c r="Q464" s="2"/>
      <c r="R464" s="2"/>
      <c r="S464" s="2"/>
      <c r="T464" s="2"/>
      <c r="U464" s="2"/>
      <c r="V464" s="2"/>
      <c r="W464" s="2"/>
      <c r="X464" s="2"/>
      <c r="Y464" s="2"/>
      <c r="Z464" s="2"/>
    </row>
    <row r="465" spans="1:26" ht="14.25" customHeight="1" x14ac:dyDescent="0.3">
      <c r="A465" s="2"/>
      <c r="B465" s="2"/>
      <c r="C465" s="2"/>
      <c r="D465" s="2"/>
      <c r="E465" s="2"/>
      <c r="F465" s="2"/>
      <c r="G465" s="3"/>
      <c r="H465" s="3"/>
      <c r="I465" s="3"/>
      <c r="J465" s="2"/>
      <c r="K465" s="2"/>
      <c r="L465" s="2"/>
      <c r="M465" s="2"/>
      <c r="N465" s="2"/>
      <c r="O465" s="2"/>
      <c r="P465" s="2"/>
      <c r="Q465" s="2"/>
      <c r="R465" s="2"/>
      <c r="S465" s="2"/>
      <c r="T465" s="2"/>
      <c r="U465" s="2"/>
      <c r="V465" s="2"/>
      <c r="W465" s="2"/>
      <c r="X465" s="2"/>
      <c r="Y465" s="2"/>
      <c r="Z465" s="2"/>
    </row>
    <row r="466" spans="1:26" ht="14.25" customHeight="1" x14ac:dyDescent="0.3">
      <c r="A466" s="2"/>
      <c r="B466" s="2"/>
      <c r="C466" s="2"/>
      <c r="D466" s="2"/>
      <c r="E466" s="2"/>
      <c r="F466" s="2"/>
      <c r="G466" s="3"/>
      <c r="H466" s="3"/>
      <c r="I466" s="3"/>
      <c r="J466" s="2"/>
      <c r="K466" s="2"/>
      <c r="L466" s="2"/>
      <c r="M466" s="2"/>
      <c r="N466" s="2"/>
      <c r="O466" s="2"/>
      <c r="P466" s="2"/>
      <c r="Q466" s="2"/>
      <c r="R466" s="2"/>
      <c r="S466" s="2"/>
      <c r="T466" s="2"/>
      <c r="U466" s="2"/>
      <c r="V466" s="2"/>
      <c r="W466" s="2"/>
      <c r="X466" s="2"/>
      <c r="Y466" s="2"/>
      <c r="Z466" s="2"/>
    </row>
    <row r="467" spans="1:26" ht="14.25" customHeight="1" x14ac:dyDescent="0.3">
      <c r="A467" s="2"/>
      <c r="B467" s="2"/>
      <c r="C467" s="2"/>
      <c r="D467" s="2"/>
      <c r="E467" s="2"/>
      <c r="F467" s="2"/>
      <c r="G467" s="3"/>
      <c r="H467" s="3"/>
      <c r="I467" s="3"/>
      <c r="J467" s="2"/>
      <c r="K467" s="2"/>
      <c r="L467" s="2"/>
      <c r="M467" s="2"/>
      <c r="N467" s="2"/>
      <c r="O467" s="2"/>
      <c r="P467" s="2"/>
      <c r="Q467" s="2"/>
      <c r="R467" s="2"/>
      <c r="S467" s="2"/>
      <c r="T467" s="2"/>
      <c r="U467" s="2"/>
      <c r="V467" s="2"/>
      <c r="W467" s="2"/>
      <c r="X467" s="2"/>
      <c r="Y467" s="2"/>
      <c r="Z467" s="2"/>
    </row>
    <row r="468" spans="1:26" ht="14.25" customHeight="1" x14ac:dyDescent="0.3">
      <c r="A468" s="2"/>
      <c r="B468" s="2"/>
      <c r="C468" s="2"/>
      <c r="D468" s="2"/>
      <c r="E468" s="2"/>
      <c r="F468" s="2"/>
      <c r="G468" s="3"/>
      <c r="H468" s="3"/>
      <c r="I468" s="3"/>
      <c r="J468" s="2"/>
      <c r="K468" s="2"/>
      <c r="L468" s="2"/>
      <c r="M468" s="2"/>
      <c r="N468" s="2"/>
      <c r="O468" s="2"/>
      <c r="P468" s="2"/>
      <c r="Q468" s="2"/>
      <c r="R468" s="2"/>
      <c r="S468" s="2"/>
      <c r="T468" s="2"/>
      <c r="U468" s="2"/>
      <c r="V468" s="2"/>
      <c r="W468" s="2"/>
      <c r="X468" s="2"/>
      <c r="Y468" s="2"/>
      <c r="Z468" s="2"/>
    </row>
    <row r="469" spans="1:26" ht="14.25" customHeight="1" x14ac:dyDescent="0.3">
      <c r="A469" s="2"/>
      <c r="B469" s="2"/>
      <c r="C469" s="2"/>
      <c r="D469" s="2"/>
      <c r="E469" s="2"/>
      <c r="F469" s="2"/>
      <c r="G469" s="3"/>
      <c r="H469" s="3"/>
      <c r="I469" s="3"/>
      <c r="J469" s="2"/>
      <c r="K469" s="2"/>
      <c r="L469" s="2"/>
      <c r="M469" s="2"/>
      <c r="N469" s="2"/>
      <c r="O469" s="2"/>
      <c r="P469" s="2"/>
      <c r="Q469" s="2"/>
      <c r="R469" s="2"/>
      <c r="S469" s="2"/>
      <c r="T469" s="2"/>
      <c r="U469" s="2"/>
      <c r="V469" s="2"/>
      <c r="W469" s="2"/>
      <c r="X469" s="2"/>
      <c r="Y469" s="2"/>
      <c r="Z469" s="2"/>
    </row>
    <row r="470" spans="1:26" ht="14.25" customHeight="1" x14ac:dyDescent="0.3">
      <c r="A470" s="2"/>
      <c r="B470" s="2"/>
      <c r="C470" s="2"/>
      <c r="D470" s="2"/>
      <c r="E470" s="2"/>
      <c r="F470" s="2"/>
      <c r="G470" s="3"/>
      <c r="H470" s="3"/>
      <c r="I470" s="3"/>
      <c r="J470" s="2"/>
      <c r="K470" s="2"/>
      <c r="L470" s="2"/>
      <c r="M470" s="2"/>
      <c r="N470" s="2"/>
      <c r="O470" s="2"/>
      <c r="P470" s="2"/>
      <c r="Q470" s="2"/>
      <c r="R470" s="2"/>
      <c r="S470" s="2"/>
      <c r="T470" s="2"/>
      <c r="U470" s="2"/>
      <c r="V470" s="2"/>
      <c r="W470" s="2"/>
      <c r="X470" s="2"/>
      <c r="Y470" s="2"/>
      <c r="Z470" s="2"/>
    </row>
    <row r="471" spans="1:26" ht="14.25" customHeight="1" x14ac:dyDescent="0.3">
      <c r="A471" s="2"/>
      <c r="B471" s="2"/>
      <c r="C471" s="2"/>
      <c r="D471" s="2"/>
      <c r="E471" s="2"/>
      <c r="F471" s="2"/>
      <c r="G471" s="3"/>
      <c r="H471" s="3"/>
      <c r="I471" s="3"/>
      <c r="J471" s="2"/>
      <c r="K471" s="2"/>
      <c r="L471" s="2"/>
      <c r="M471" s="2"/>
      <c r="N471" s="2"/>
      <c r="O471" s="2"/>
      <c r="P471" s="2"/>
      <c r="Q471" s="2"/>
      <c r="R471" s="2"/>
      <c r="S471" s="2"/>
      <c r="T471" s="2"/>
      <c r="U471" s="2"/>
      <c r="V471" s="2"/>
      <c r="W471" s="2"/>
      <c r="X471" s="2"/>
      <c r="Y471" s="2"/>
      <c r="Z471" s="2"/>
    </row>
    <row r="472" spans="1:26" ht="14.25" customHeight="1" x14ac:dyDescent="0.3">
      <c r="A472" s="2"/>
      <c r="B472" s="2"/>
      <c r="C472" s="2"/>
      <c r="D472" s="2"/>
      <c r="E472" s="2"/>
      <c r="F472" s="2"/>
      <c r="G472" s="3"/>
      <c r="H472" s="3"/>
      <c r="I472" s="3"/>
      <c r="J472" s="2"/>
      <c r="K472" s="2"/>
      <c r="L472" s="2"/>
      <c r="M472" s="2"/>
      <c r="N472" s="2"/>
      <c r="O472" s="2"/>
      <c r="P472" s="2"/>
      <c r="Q472" s="2"/>
      <c r="R472" s="2"/>
      <c r="S472" s="2"/>
      <c r="T472" s="2"/>
      <c r="U472" s="2"/>
      <c r="V472" s="2"/>
      <c r="W472" s="2"/>
      <c r="X472" s="2"/>
      <c r="Y472" s="2"/>
      <c r="Z472" s="2"/>
    </row>
    <row r="473" spans="1:26" ht="14.25" customHeight="1" x14ac:dyDescent="0.3">
      <c r="A473" s="2"/>
      <c r="B473" s="2"/>
      <c r="C473" s="2"/>
      <c r="D473" s="2"/>
      <c r="E473" s="2"/>
      <c r="F473" s="2"/>
      <c r="G473" s="3"/>
      <c r="H473" s="3"/>
      <c r="I473" s="3"/>
      <c r="J473" s="2"/>
      <c r="K473" s="2"/>
      <c r="L473" s="2"/>
      <c r="M473" s="2"/>
      <c r="N473" s="2"/>
      <c r="O473" s="2"/>
      <c r="P473" s="2"/>
      <c r="Q473" s="2"/>
      <c r="R473" s="2"/>
      <c r="S473" s="2"/>
      <c r="T473" s="2"/>
      <c r="U473" s="2"/>
      <c r="V473" s="2"/>
      <c r="W473" s="2"/>
      <c r="X473" s="2"/>
      <c r="Y473" s="2"/>
      <c r="Z473" s="2"/>
    </row>
    <row r="474" spans="1:26" ht="14.25" customHeight="1" x14ac:dyDescent="0.3">
      <c r="A474" s="2"/>
      <c r="B474" s="2"/>
      <c r="C474" s="2"/>
      <c r="D474" s="2"/>
      <c r="E474" s="2"/>
      <c r="F474" s="2"/>
      <c r="G474" s="3"/>
      <c r="H474" s="3"/>
      <c r="I474" s="3"/>
      <c r="J474" s="2"/>
      <c r="K474" s="2"/>
      <c r="L474" s="2"/>
      <c r="M474" s="2"/>
      <c r="N474" s="2"/>
      <c r="O474" s="2"/>
      <c r="P474" s="2"/>
      <c r="Q474" s="2"/>
      <c r="R474" s="2"/>
      <c r="S474" s="2"/>
      <c r="T474" s="2"/>
      <c r="U474" s="2"/>
      <c r="V474" s="2"/>
      <c r="W474" s="2"/>
      <c r="X474" s="2"/>
      <c r="Y474" s="2"/>
      <c r="Z474" s="2"/>
    </row>
    <row r="475" spans="1:26" ht="14.25" customHeight="1" x14ac:dyDescent="0.3">
      <c r="A475" s="2"/>
      <c r="B475" s="2"/>
      <c r="C475" s="2"/>
      <c r="D475" s="2"/>
      <c r="E475" s="2"/>
      <c r="F475" s="2"/>
      <c r="G475" s="3"/>
      <c r="H475" s="3"/>
      <c r="I475" s="3"/>
      <c r="J475" s="2"/>
      <c r="K475" s="2"/>
      <c r="L475" s="2"/>
      <c r="M475" s="2"/>
      <c r="N475" s="2"/>
      <c r="O475" s="2"/>
      <c r="P475" s="2"/>
      <c r="Q475" s="2"/>
      <c r="R475" s="2"/>
      <c r="S475" s="2"/>
      <c r="T475" s="2"/>
      <c r="U475" s="2"/>
      <c r="V475" s="2"/>
      <c r="W475" s="2"/>
      <c r="X475" s="2"/>
      <c r="Y475" s="2"/>
      <c r="Z475" s="2"/>
    </row>
    <row r="476" spans="1:26" ht="14.25" customHeight="1" x14ac:dyDescent="0.3">
      <c r="A476" s="2"/>
      <c r="B476" s="2"/>
      <c r="C476" s="2"/>
      <c r="D476" s="2"/>
      <c r="E476" s="2"/>
      <c r="F476" s="2"/>
      <c r="G476" s="3"/>
      <c r="H476" s="3"/>
      <c r="I476" s="3"/>
      <c r="J476" s="2"/>
      <c r="K476" s="2"/>
      <c r="L476" s="2"/>
      <c r="M476" s="2"/>
      <c r="N476" s="2"/>
      <c r="O476" s="2"/>
      <c r="P476" s="2"/>
      <c r="Q476" s="2"/>
      <c r="R476" s="2"/>
      <c r="S476" s="2"/>
      <c r="T476" s="2"/>
      <c r="U476" s="2"/>
      <c r="V476" s="2"/>
      <c r="W476" s="2"/>
      <c r="X476" s="2"/>
      <c r="Y476" s="2"/>
      <c r="Z476" s="2"/>
    </row>
    <row r="477" spans="1:26" ht="14.25" customHeight="1" x14ac:dyDescent="0.3">
      <c r="A477" s="2"/>
      <c r="B477" s="2"/>
      <c r="C477" s="2"/>
      <c r="D477" s="2"/>
      <c r="E477" s="2"/>
      <c r="F477" s="2"/>
      <c r="G477" s="3"/>
      <c r="H477" s="3"/>
      <c r="I477" s="3"/>
      <c r="J477" s="2"/>
      <c r="K477" s="2"/>
      <c r="L477" s="2"/>
      <c r="M477" s="2"/>
      <c r="N477" s="2"/>
      <c r="O477" s="2"/>
      <c r="P477" s="2"/>
      <c r="Q477" s="2"/>
      <c r="R477" s="2"/>
      <c r="S477" s="2"/>
      <c r="T477" s="2"/>
      <c r="U477" s="2"/>
      <c r="V477" s="2"/>
      <c r="W477" s="2"/>
      <c r="X477" s="2"/>
      <c r="Y477" s="2"/>
      <c r="Z477" s="2"/>
    </row>
    <row r="478" spans="1:26" ht="14.25" customHeight="1" x14ac:dyDescent="0.3">
      <c r="A478" s="2"/>
      <c r="B478" s="2"/>
      <c r="C478" s="2"/>
      <c r="D478" s="2"/>
      <c r="E478" s="2"/>
      <c r="F478" s="2"/>
      <c r="G478" s="3"/>
      <c r="H478" s="3"/>
      <c r="I478" s="3"/>
      <c r="J478" s="2"/>
      <c r="K478" s="2"/>
      <c r="L478" s="2"/>
      <c r="M478" s="2"/>
      <c r="N478" s="2"/>
      <c r="O478" s="2"/>
      <c r="P478" s="2"/>
      <c r="Q478" s="2"/>
      <c r="R478" s="2"/>
      <c r="S478" s="2"/>
      <c r="T478" s="2"/>
      <c r="U478" s="2"/>
      <c r="V478" s="2"/>
      <c r="W478" s="2"/>
      <c r="X478" s="2"/>
      <c r="Y478" s="2"/>
      <c r="Z478" s="2"/>
    </row>
    <row r="479" spans="1:26" ht="14.25" customHeight="1" x14ac:dyDescent="0.3">
      <c r="A479" s="2"/>
      <c r="B479" s="2"/>
      <c r="C479" s="2"/>
      <c r="D479" s="2"/>
      <c r="E479" s="2"/>
      <c r="F479" s="2"/>
      <c r="G479" s="3"/>
      <c r="H479" s="3"/>
      <c r="I479" s="3"/>
      <c r="J479" s="2"/>
      <c r="K479" s="2"/>
      <c r="L479" s="2"/>
      <c r="M479" s="2"/>
      <c r="N479" s="2"/>
      <c r="O479" s="2"/>
      <c r="P479" s="2"/>
      <c r="Q479" s="2"/>
      <c r="R479" s="2"/>
      <c r="S479" s="2"/>
      <c r="T479" s="2"/>
      <c r="U479" s="2"/>
      <c r="V479" s="2"/>
      <c r="W479" s="2"/>
      <c r="X479" s="2"/>
      <c r="Y479" s="2"/>
      <c r="Z479" s="2"/>
    </row>
    <row r="480" spans="1:26" ht="14.25" customHeight="1" x14ac:dyDescent="0.3">
      <c r="A480" s="2"/>
      <c r="B480" s="2"/>
      <c r="C480" s="2"/>
      <c r="D480" s="2"/>
      <c r="E480" s="2"/>
      <c r="F480" s="2"/>
      <c r="G480" s="3"/>
      <c r="H480" s="3"/>
      <c r="I480" s="3"/>
      <c r="J480" s="2"/>
      <c r="K480" s="2"/>
      <c r="L480" s="2"/>
      <c r="M480" s="2"/>
      <c r="N480" s="2"/>
      <c r="O480" s="2"/>
      <c r="P480" s="2"/>
      <c r="Q480" s="2"/>
      <c r="R480" s="2"/>
      <c r="S480" s="2"/>
      <c r="T480" s="2"/>
      <c r="U480" s="2"/>
      <c r="V480" s="2"/>
      <c r="W480" s="2"/>
      <c r="X480" s="2"/>
      <c r="Y480" s="2"/>
      <c r="Z480" s="2"/>
    </row>
    <row r="481" spans="1:26" ht="14.25" customHeight="1" x14ac:dyDescent="0.3">
      <c r="A481" s="2"/>
      <c r="B481" s="2"/>
      <c r="C481" s="2"/>
      <c r="D481" s="2"/>
      <c r="E481" s="2"/>
      <c r="F481" s="2"/>
      <c r="G481" s="3"/>
      <c r="H481" s="3"/>
      <c r="I481" s="3"/>
      <c r="J481" s="2"/>
      <c r="K481" s="2"/>
      <c r="L481" s="2"/>
      <c r="M481" s="2"/>
      <c r="N481" s="2"/>
      <c r="O481" s="2"/>
      <c r="P481" s="2"/>
      <c r="Q481" s="2"/>
      <c r="R481" s="2"/>
      <c r="S481" s="2"/>
      <c r="T481" s="2"/>
      <c r="U481" s="2"/>
      <c r="V481" s="2"/>
      <c r="W481" s="2"/>
      <c r="X481" s="2"/>
      <c r="Y481" s="2"/>
      <c r="Z481" s="2"/>
    </row>
    <row r="482" spans="1:26" ht="14.25" customHeight="1" x14ac:dyDescent="0.3">
      <c r="A482" s="2"/>
      <c r="B482" s="2"/>
      <c r="C482" s="2"/>
      <c r="D482" s="2"/>
      <c r="E482" s="2"/>
      <c r="F482" s="2"/>
      <c r="G482" s="3"/>
      <c r="H482" s="3"/>
      <c r="I482" s="3"/>
      <c r="J482" s="2"/>
      <c r="K482" s="2"/>
      <c r="L482" s="2"/>
      <c r="M482" s="2"/>
      <c r="N482" s="2"/>
      <c r="O482" s="2"/>
      <c r="P482" s="2"/>
      <c r="Q482" s="2"/>
      <c r="R482" s="2"/>
      <c r="S482" s="2"/>
      <c r="T482" s="2"/>
      <c r="U482" s="2"/>
      <c r="V482" s="2"/>
      <c r="W482" s="2"/>
      <c r="X482" s="2"/>
      <c r="Y482" s="2"/>
      <c r="Z482" s="2"/>
    </row>
    <row r="483" spans="1:26" ht="14.25" customHeight="1" x14ac:dyDescent="0.3">
      <c r="A483" s="2"/>
      <c r="B483" s="2"/>
      <c r="C483" s="2"/>
      <c r="D483" s="2"/>
      <c r="E483" s="2"/>
      <c r="F483" s="2"/>
      <c r="G483" s="3"/>
      <c r="H483" s="3"/>
      <c r="I483" s="3"/>
      <c r="J483" s="2"/>
      <c r="K483" s="2"/>
      <c r="L483" s="2"/>
      <c r="M483" s="2"/>
      <c r="N483" s="2"/>
      <c r="O483" s="2"/>
      <c r="P483" s="2"/>
      <c r="Q483" s="2"/>
      <c r="R483" s="2"/>
      <c r="S483" s="2"/>
      <c r="T483" s="2"/>
      <c r="U483" s="2"/>
      <c r="V483" s="2"/>
      <c r="W483" s="2"/>
      <c r="X483" s="2"/>
      <c r="Y483" s="2"/>
      <c r="Z483" s="2"/>
    </row>
    <row r="484" spans="1:26" ht="14.25" customHeight="1" x14ac:dyDescent="0.3">
      <c r="A484" s="2"/>
      <c r="B484" s="2"/>
      <c r="C484" s="2"/>
      <c r="D484" s="2"/>
      <c r="E484" s="2"/>
      <c r="F484" s="2"/>
      <c r="G484" s="3"/>
      <c r="H484" s="3"/>
      <c r="I484" s="3"/>
      <c r="J484" s="2"/>
      <c r="K484" s="2"/>
      <c r="L484" s="2"/>
      <c r="M484" s="2"/>
      <c r="N484" s="2"/>
      <c r="O484" s="2"/>
      <c r="P484" s="2"/>
      <c r="Q484" s="2"/>
      <c r="R484" s="2"/>
      <c r="S484" s="2"/>
      <c r="T484" s="2"/>
      <c r="U484" s="2"/>
      <c r="V484" s="2"/>
      <c r="W484" s="2"/>
      <c r="X484" s="2"/>
      <c r="Y484" s="2"/>
      <c r="Z484" s="2"/>
    </row>
    <row r="485" spans="1:26" ht="14.25" customHeight="1" x14ac:dyDescent="0.3">
      <c r="A485" s="2"/>
      <c r="B485" s="2"/>
      <c r="C485" s="2"/>
      <c r="D485" s="2"/>
      <c r="E485" s="2"/>
      <c r="F485" s="2"/>
      <c r="G485" s="3"/>
      <c r="H485" s="3"/>
      <c r="I485" s="3"/>
      <c r="J485" s="2"/>
      <c r="K485" s="2"/>
      <c r="L485" s="2"/>
      <c r="M485" s="2"/>
      <c r="N485" s="2"/>
      <c r="O485" s="2"/>
      <c r="P485" s="2"/>
      <c r="Q485" s="2"/>
      <c r="R485" s="2"/>
      <c r="S485" s="2"/>
      <c r="T485" s="2"/>
      <c r="U485" s="2"/>
      <c r="V485" s="2"/>
      <c r="W485" s="2"/>
      <c r="X485" s="2"/>
      <c r="Y485" s="2"/>
      <c r="Z485" s="2"/>
    </row>
    <row r="486" spans="1:26" ht="14.25" customHeight="1" x14ac:dyDescent="0.3">
      <c r="A486" s="2"/>
      <c r="B486" s="2"/>
      <c r="C486" s="2"/>
      <c r="D486" s="2"/>
      <c r="E486" s="2"/>
      <c r="F486" s="2"/>
      <c r="G486" s="3"/>
      <c r="H486" s="3"/>
      <c r="I486" s="3"/>
      <c r="J486" s="2"/>
      <c r="K486" s="2"/>
      <c r="L486" s="2"/>
      <c r="M486" s="2"/>
      <c r="N486" s="2"/>
      <c r="O486" s="2"/>
      <c r="P486" s="2"/>
      <c r="Q486" s="2"/>
      <c r="R486" s="2"/>
      <c r="S486" s="2"/>
      <c r="T486" s="2"/>
      <c r="U486" s="2"/>
      <c r="V486" s="2"/>
      <c r="W486" s="2"/>
      <c r="X486" s="2"/>
      <c r="Y486" s="2"/>
      <c r="Z486" s="2"/>
    </row>
    <row r="487" spans="1:26" ht="14.25" customHeight="1" x14ac:dyDescent="0.3">
      <c r="A487" s="2"/>
      <c r="B487" s="2"/>
      <c r="C487" s="2"/>
      <c r="D487" s="2"/>
      <c r="E487" s="2"/>
      <c r="F487" s="2"/>
      <c r="G487" s="3"/>
      <c r="H487" s="3"/>
      <c r="I487" s="3"/>
      <c r="J487" s="2"/>
      <c r="K487" s="2"/>
      <c r="L487" s="2"/>
      <c r="M487" s="2"/>
      <c r="N487" s="2"/>
      <c r="O487" s="2"/>
      <c r="P487" s="2"/>
      <c r="Q487" s="2"/>
      <c r="R487" s="2"/>
      <c r="S487" s="2"/>
      <c r="T487" s="2"/>
      <c r="U487" s="2"/>
      <c r="V487" s="2"/>
      <c r="W487" s="2"/>
      <c r="X487" s="2"/>
      <c r="Y487" s="2"/>
      <c r="Z487" s="2"/>
    </row>
    <row r="488" spans="1:26" ht="14.25" customHeight="1" x14ac:dyDescent="0.3">
      <c r="A488" s="2"/>
      <c r="B488" s="2"/>
      <c r="C488" s="2"/>
      <c r="D488" s="2"/>
      <c r="E488" s="2"/>
      <c r="F488" s="2"/>
      <c r="G488" s="3"/>
      <c r="H488" s="3"/>
      <c r="I488" s="3"/>
      <c r="J488" s="2"/>
      <c r="K488" s="2"/>
      <c r="L488" s="2"/>
      <c r="M488" s="2"/>
      <c r="N488" s="2"/>
      <c r="O488" s="2"/>
      <c r="P488" s="2"/>
      <c r="Q488" s="2"/>
      <c r="R488" s="2"/>
      <c r="S488" s="2"/>
      <c r="T488" s="2"/>
      <c r="U488" s="2"/>
      <c r="V488" s="2"/>
      <c r="W488" s="2"/>
      <c r="X488" s="2"/>
      <c r="Y488" s="2"/>
      <c r="Z488" s="2"/>
    </row>
    <row r="489" spans="1:26" ht="14.25" customHeight="1" x14ac:dyDescent="0.3">
      <c r="A489" s="2"/>
      <c r="B489" s="2"/>
      <c r="C489" s="2"/>
      <c r="D489" s="2"/>
      <c r="E489" s="2"/>
      <c r="F489" s="2"/>
      <c r="G489" s="3"/>
      <c r="H489" s="3"/>
      <c r="I489" s="3"/>
      <c r="J489" s="2"/>
      <c r="K489" s="2"/>
      <c r="L489" s="2"/>
      <c r="M489" s="2"/>
      <c r="N489" s="2"/>
      <c r="O489" s="2"/>
      <c r="P489" s="2"/>
      <c r="Q489" s="2"/>
      <c r="R489" s="2"/>
      <c r="S489" s="2"/>
      <c r="T489" s="2"/>
      <c r="U489" s="2"/>
      <c r="V489" s="2"/>
      <c r="W489" s="2"/>
      <c r="X489" s="2"/>
      <c r="Y489" s="2"/>
      <c r="Z489" s="2"/>
    </row>
    <row r="490" spans="1:26" ht="14.25" customHeight="1" x14ac:dyDescent="0.3">
      <c r="A490" s="2"/>
      <c r="B490" s="2"/>
      <c r="C490" s="2"/>
      <c r="D490" s="2"/>
      <c r="E490" s="2"/>
      <c r="F490" s="2"/>
      <c r="G490" s="3"/>
      <c r="H490" s="3"/>
      <c r="I490" s="3"/>
      <c r="J490" s="2"/>
      <c r="K490" s="2"/>
      <c r="L490" s="2"/>
      <c r="M490" s="2"/>
      <c r="N490" s="2"/>
      <c r="O490" s="2"/>
      <c r="P490" s="2"/>
      <c r="Q490" s="2"/>
      <c r="R490" s="2"/>
      <c r="S490" s="2"/>
      <c r="T490" s="2"/>
      <c r="U490" s="2"/>
      <c r="V490" s="2"/>
      <c r="W490" s="2"/>
      <c r="X490" s="2"/>
      <c r="Y490" s="2"/>
      <c r="Z490" s="2"/>
    </row>
    <row r="491" spans="1:26" ht="14.25" customHeight="1" x14ac:dyDescent="0.3">
      <c r="A491" s="2"/>
      <c r="B491" s="2"/>
      <c r="C491" s="2"/>
      <c r="D491" s="2"/>
      <c r="E491" s="2"/>
      <c r="F491" s="2"/>
      <c r="G491" s="3"/>
      <c r="H491" s="3"/>
      <c r="I491" s="3"/>
      <c r="J491" s="2"/>
      <c r="K491" s="2"/>
      <c r="L491" s="2"/>
      <c r="M491" s="2"/>
      <c r="N491" s="2"/>
      <c r="O491" s="2"/>
      <c r="P491" s="2"/>
      <c r="Q491" s="2"/>
      <c r="R491" s="2"/>
      <c r="S491" s="2"/>
      <c r="T491" s="2"/>
      <c r="U491" s="2"/>
      <c r="V491" s="2"/>
      <c r="W491" s="2"/>
      <c r="X491" s="2"/>
      <c r="Y491" s="2"/>
      <c r="Z491" s="2"/>
    </row>
    <row r="492" spans="1:26" ht="14.25" customHeight="1" x14ac:dyDescent="0.3">
      <c r="A492" s="2"/>
      <c r="B492" s="2"/>
      <c r="C492" s="2"/>
      <c r="D492" s="2"/>
      <c r="E492" s="2"/>
      <c r="F492" s="2"/>
      <c r="G492" s="3"/>
      <c r="H492" s="3"/>
      <c r="I492" s="3"/>
      <c r="J492" s="2"/>
      <c r="K492" s="2"/>
      <c r="L492" s="2"/>
      <c r="M492" s="2"/>
      <c r="N492" s="2"/>
      <c r="O492" s="2"/>
      <c r="P492" s="2"/>
      <c r="Q492" s="2"/>
      <c r="R492" s="2"/>
      <c r="S492" s="2"/>
      <c r="T492" s="2"/>
      <c r="U492" s="2"/>
      <c r="V492" s="2"/>
      <c r="W492" s="2"/>
      <c r="X492" s="2"/>
      <c r="Y492" s="2"/>
      <c r="Z492" s="2"/>
    </row>
    <row r="493" spans="1:26" ht="14.25" customHeight="1" x14ac:dyDescent="0.3">
      <c r="A493" s="2"/>
      <c r="B493" s="2"/>
      <c r="C493" s="2"/>
      <c r="D493" s="2"/>
      <c r="E493" s="2"/>
      <c r="F493" s="2"/>
      <c r="G493" s="3"/>
      <c r="H493" s="3"/>
      <c r="I493" s="3"/>
      <c r="J493" s="2"/>
      <c r="K493" s="2"/>
      <c r="L493" s="2"/>
      <c r="M493" s="2"/>
      <c r="N493" s="2"/>
      <c r="O493" s="2"/>
      <c r="P493" s="2"/>
      <c r="Q493" s="2"/>
      <c r="R493" s="2"/>
      <c r="S493" s="2"/>
      <c r="T493" s="2"/>
      <c r="U493" s="2"/>
      <c r="V493" s="2"/>
      <c r="W493" s="2"/>
      <c r="X493" s="2"/>
      <c r="Y493" s="2"/>
      <c r="Z493" s="2"/>
    </row>
    <row r="494" spans="1:26" ht="14.25" customHeight="1" x14ac:dyDescent="0.3">
      <c r="A494" s="2"/>
      <c r="B494" s="2"/>
      <c r="C494" s="2"/>
      <c r="D494" s="2"/>
      <c r="E494" s="2"/>
      <c r="F494" s="2"/>
      <c r="G494" s="3"/>
      <c r="H494" s="3"/>
      <c r="I494" s="3"/>
      <c r="J494" s="2"/>
      <c r="K494" s="2"/>
      <c r="L494" s="2"/>
      <c r="M494" s="2"/>
      <c r="N494" s="2"/>
      <c r="O494" s="2"/>
      <c r="P494" s="2"/>
      <c r="Q494" s="2"/>
      <c r="R494" s="2"/>
      <c r="S494" s="2"/>
      <c r="T494" s="2"/>
      <c r="U494" s="2"/>
      <c r="V494" s="2"/>
      <c r="W494" s="2"/>
      <c r="X494" s="2"/>
      <c r="Y494" s="2"/>
      <c r="Z494" s="2"/>
    </row>
    <row r="495" spans="1:26" ht="14.25" customHeight="1" x14ac:dyDescent="0.3">
      <c r="A495" s="2"/>
      <c r="B495" s="2"/>
      <c r="C495" s="2"/>
      <c r="D495" s="2"/>
      <c r="E495" s="2"/>
      <c r="F495" s="2"/>
      <c r="G495" s="3"/>
      <c r="H495" s="3"/>
      <c r="I495" s="3"/>
      <c r="J495" s="2"/>
      <c r="K495" s="2"/>
      <c r="L495" s="2"/>
      <c r="M495" s="2"/>
      <c r="N495" s="2"/>
      <c r="O495" s="2"/>
      <c r="P495" s="2"/>
      <c r="Q495" s="2"/>
      <c r="R495" s="2"/>
      <c r="S495" s="2"/>
      <c r="T495" s="2"/>
      <c r="U495" s="2"/>
      <c r="V495" s="2"/>
      <c r="W495" s="2"/>
      <c r="X495" s="2"/>
      <c r="Y495" s="2"/>
      <c r="Z495" s="2"/>
    </row>
    <row r="496" spans="1:26" ht="14.25" customHeight="1" x14ac:dyDescent="0.3">
      <c r="A496" s="2"/>
      <c r="B496" s="2"/>
      <c r="C496" s="2"/>
      <c r="D496" s="2"/>
      <c r="E496" s="2"/>
      <c r="F496" s="2"/>
      <c r="G496" s="3"/>
      <c r="H496" s="3"/>
      <c r="I496" s="3"/>
      <c r="J496" s="2"/>
      <c r="K496" s="2"/>
      <c r="L496" s="2"/>
      <c r="M496" s="2"/>
      <c r="N496" s="2"/>
      <c r="O496" s="2"/>
      <c r="P496" s="2"/>
      <c r="Q496" s="2"/>
      <c r="R496" s="2"/>
      <c r="S496" s="2"/>
      <c r="T496" s="2"/>
      <c r="U496" s="2"/>
      <c r="V496" s="2"/>
      <c r="W496" s="2"/>
      <c r="X496" s="2"/>
      <c r="Y496" s="2"/>
      <c r="Z496" s="2"/>
    </row>
    <row r="497" spans="1:26" ht="14.25" customHeight="1" x14ac:dyDescent="0.3">
      <c r="A497" s="2"/>
      <c r="B497" s="2"/>
      <c r="C497" s="2"/>
      <c r="D497" s="2"/>
      <c r="E497" s="2"/>
      <c r="F497" s="2"/>
      <c r="G497" s="3"/>
      <c r="H497" s="3"/>
      <c r="I497" s="3"/>
      <c r="J497" s="2"/>
      <c r="K497" s="2"/>
      <c r="L497" s="2"/>
      <c r="M497" s="2"/>
      <c r="N497" s="2"/>
      <c r="O497" s="2"/>
      <c r="P497" s="2"/>
      <c r="Q497" s="2"/>
      <c r="R497" s="2"/>
      <c r="S497" s="2"/>
      <c r="T497" s="2"/>
      <c r="U497" s="2"/>
      <c r="V497" s="2"/>
      <c r="W497" s="2"/>
      <c r="X497" s="2"/>
      <c r="Y497" s="2"/>
      <c r="Z497" s="2"/>
    </row>
    <row r="498" spans="1:26" ht="14.25" customHeight="1" x14ac:dyDescent="0.3">
      <c r="A498" s="2"/>
      <c r="B498" s="2"/>
      <c r="C498" s="2"/>
      <c r="D498" s="2"/>
      <c r="E498" s="2"/>
      <c r="F498" s="2"/>
      <c r="G498" s="3"/>
      <c r="H498" s="3"/>
      <c r="I498" s="3"/>
      <c r="J498" s="2"/>
      <c r="K498" s="2"/>
      <c r="L498" s="2"/>
      <c r="M498" s="2"/>
      <c r="N498" s="2"/>
      <c r="O498" s="2"/>
      <c r="P498" s="2"/>
      <c r="Q498" s="2"/>
      <c r="R498" s="2"/>
      <c r="S498" s="2"/>
      <c r="T498" s="2"/>
      <c r="U498" s="2"/>
      <c r="V498" s="2"/>
      <c r="W498" s="2"/>
      <c r="X498" s="2"/>
      <c r="Y498" s="2"/>
      <c r="Z498" s="2"/>
    </row>
    <row r="499" spans="1:26" ht="14.25" customHeight="1" x14ac:dyDescent="0.3">
      <c r="A499" s="2"/>
      <c r="B499" s="2"/>
      <c r="C499" s="2"/>
      <c r="D499" s="2"/>
      <c r="E499" s="2"/>
      <c r="F499" s="2"/>
      <c r="G499" s="3"/>
      <c r="H499" s="3"/>
      <c r="I499" s="3"/>
      <c r="J499" s="2"/>
      <c r="K499" s="2"/>
      <c r="L499" s="2"/>
      <c r="M499" s="2"/>
      <c r="N499" s="2"/>
      <c r="O499" s="2"/>
      <c r="P499" s="2"/>
      <c r="Q499" s="2"/>
      <c r="R499" s="2"/>
      <c r="S499" s="2"/>
      <c r="T499" s="2"/>
      <c r="U499" s="2"/>
      <c r="V499" s="2"/>
      <c r="W499" s="2"/>
      <c r="X499" s="2"/>
      <c r="Y499" s="2"/>
      <c r="Z499" s="2"/>
    </row>
    <row r="500" spans="1:26" ht="14.25" customHeight="1" x14ac:dyDescent="0.3">
      <c r="A500" s="2"/>
      <c r="B500" s="2"/>
      <c r="C500" s="2"/>
      <c r="D500" s="2"/>
      <c r="E500" s="2"/>
      <c r="F500" s="2"/>
      <c r="G500" s="3"/>
      <c r="H500" s="3"/>
      <c r="I500" s="3"/>
      <c r="J500" s="2"/>
      <c r="K500" s="2"/>
      <c r="L500" s="2"/>
      <c r="M500" s="2"/>
      <c r="N500" s="2"/>
      <c r="O500" s="2"/>
      <c r="P500" s="2"/>
      <c r="Q500" s="2"/>
      <c r="R500" s="2"/>
      <c r="S500" s="2"/>
      <c r="T500" s="2"/>
      <c r="U500" s="2"/>
      <c r="V500" s="2"/>
      <c r="W500" s="2"/>
      <c r="X500" s="2"/>
      <c r="Y500" s="2"/>
      <c r="Z500" s="2"/>
    </row>
    <row r="501" spans="1:26" ht="14.25" customHeight="1" x14ac:dyDescent="0.3">
      <c r="A501" s="2"/>
      <c r="B501" s="2"/>
      <c r="C501" s="2"/>
      <c r="D501" s="2"/>
      <c r="E501" s="2"/>
      <c r="F501" s="2"/>
      <c r="G501" s="3"/>
      <c r="H501" s="3"/>
      <c r="I501" s="3"/>
      <c r="J501" s="2"/>
      <c r="K501" s="2"/>
      <c r="L501" s="2"/>
      <c r="M501" s="2"/>
      <c r="N501" s="2"/>
      <c r="O501" s="2"/>
      <c r="P501" s="2"/>
      <c r="Q501" s="2"/>
      <c r="R501" s="2"/>
      <c r="S501" s="2"/>
      <c r="T501" s="2"/>
      <c r="U501" s="2"/>
      <c r="V501" s="2"/>
      <c r="W501" s="2"/>
      <c r="X501" s="2"/>
      <c r="Y501" s="2"/>
      <c r="Z501" s="2"/>
    </row>
    <row r="502" spans="1:26" ht="14.25" customHeight="1" x14ac:dyDescent="0.3">
      <c r="A502" s="2"/>
      <c r="B502" s="2"/>
      <c r="C502" s="2"/>
      <c r="D502" s="2"/>
      <c r="E502" s="2"/>
      <c r="F502" s="2"/>
      <c r="G502" s="3"/>
      <c r="H502" s="3"/>
      <c r="I502" s="3"/>
      <c r="J502" s="2"/>
      <c r="K502" s="2"/>
      <c r="L502" s="2"/>
      <c r="M502" s="2"/>
      <c r="N502" s="2"/>
      <c r="O502" s="2"/>
      <c r="P502" s="2"/>
      <c r="Q502" s="2"/>
      <c r="R502" s="2"/>
      <c r="S502" s="2"/>
      <c r="T502" s="2"/>
      <c r="U502" s="2"/>
      <c r="V502" s="2"/>
      <c r="W502" s="2"/>
      <c r="X502" s="2"/>
      <c r="Y502" s="2"/>
      <c r="Z502" s="2"/>
    </row>
    <row r="503" spans="1:26" ht="14.25" customHeight="1" x14ac:dyDescent="0.3">
      <c r="A503" s="2"/>
      <c r="B503" s="2"/>
      <c r="C503" s="2"/>
      <c r="D503" s="2"/>
      <c r="E503" s="2"/>
      <c r="F503" s="2"/>
      <c r="G503" s="3"/>
      <c r="H503" s="3"/>
      <c r="I503" s="3"/>
      <c r="J503" s="2"/>
      <c r="K503" s="2"/>
      <c r="L503" s="2"/>
      <c r="M503" s="2"/>
      <c r="N503" s="2"/>
      <c r="O503" s="2"/>
      <c r="P503" s="2"/>
      <c r="Q503" s="2"/>
      <c r="R503" s="2"/>
      <c r="S503" s="2"/>
      <c r="T503" s="2"/>
      <c r="U503" s="2"/>
      <c r="V503" s="2"/>
      <c r="W503" s="2"/>
      <c r="X503" s="2"/>
      <c r="Y503" s="2"/>
      <c r="Z503" s="2"/>
    </row>
    <row r="504" spans="1:26" ht="14.25" customHeight="1" x14ac:dyDescent="0.3">
      <c r="A504" s="2"/>
      <c r="B504" s="2"/>
      <c r="C504" s="2"/>
      <c r="D504" s="2"/>
      <c r="E504" s="2"/>
      <c r="F504" s="2"/>
      <c r="G504" s="3"/>
      <c r="H504" s="3"/>
      <c r="I504" s="3"/>
      <c r="J504" s="2"/>
      <c r="K504" s="2"/>
      <c r="L504" s="2"/>
      <c r="M504" s="2"/>
      <c r="N504" s="2"/>
      <c r="O504" s="2"/>
      <c r="P504" s="2"/>
      <c r="Q504" s="2"/>
      <c r="R504" s="2"/>
      <c r="S504" s="2"/>
      <c r="T504" s="2"/>
      <c r="U504" s="2"/>
      <c r="V504" s="2"/>
      <c r="W504" s="2"/>
      <c r="X504" s="2"/>
      <c r="Y504" s="2"/>
      <c r="Z504" s="2"/>
    </row>
    <row r="505" spans="1:26" ht="14.25" customHeight="1" x14ac:dyDescent="0.3">
      <c r="A505" s="2"/>
      <c r="B505" s="2"/>
      <c r="C505" s="2"/>
      <c r="D505" s="2"/>
      <c r="E505" s="2"/>
      <c r="F505" s="2"/>
      <c r="G505" s="3"/>
      <c r="H505" s="3"/>
      <c r="I505" s="3"/>
      <c r="J505" s="2"/>
      <c r="K505" s="2"/>
      <c r="L505" s="2"/>
      <c r="M505" s="2"/>
      <c r="N505" s="2"/>
      <c r="O505" s="2"/>
      <c r="P505" s="2"/>
      <c r="Q505" s="2"/>
      <c r="R505" s="2"/>
      <c r="S505" s="2"/>
      <c r="T505" s="2"/>
      <c r="U505" s="2"/>
      <c r="V505" s="2"/>
      <c r="W505" s="2"/>
      <c r="X505" s="2"/>
      <c r="Y505" s="2"/>
      <c r="Z505" s="2"/>
    </row>
    <row r="506" spans="1:26" ht="14.25" customHeight="1" x14ac:dyDescent="0.3">
      <c r="A506" s="2"/>
      <c r="B506" s="2"/>
      <c r="C506" s="2"/>
      <c r="D506" s="2"/>
      <c r="E506" s="2"/>
      <c r="F506" s="2"/>
      <c r="G506" s="3"/>
      <c r="H506" s="3"/>
      <c r="I506" s="3"/>
      <c r="J506" s="2"/>
      <c r="K506" s="2"/>
      <c r="L506" s="2"/>
      <c r="M506" s="2"/>
      <c r="N506" s="2"/>
      <c r="O506" s="2"/>
      <c r="P506" s="2"/>
      <c r="Q506" s="2"/>
      <c r="R506" s="2"/>
      <c r="S506" s="2"/>
      <c r="T506" s="2"/>
      <c r="U506" s="2"/>
      <c r="V506" s="2"/>
      <c r="W506" s="2"/>
      <c r="X506" s="2"/>
      <c r="Y506" s="2"/>
      <c r="Z506" s="2"/>
    </row>
    <row r="507" spans="1:26" ht="14.25" customHeight="1" x14ac:dyDescent="0.3">
      <c r="A507" s="2"/>
      <c r="B507" s="2"/>
      <c r="C507" s="2"/>
      <c r="D507" s="2"/>
      <c r="E507" s="2"/>
      <c r="F507" s="2"/>
      <c r="G507" s="3"/>
      <c r="H507" s="3"/>
      <c r="I507" s="3"/>
      <c r="J507" s="2"/>
      <c r="K507" s="2"/>
      <c r="L507" s="2"/>
      <c r="M507" s="2"/>
      <c r="N507" s="2"/>
      <c r="O507" s="2"/>
      <c r="P507" s="2"/>
      <c r="Q507" s="2"/>
      <c r="R507" s="2"/>
      <c r="S507" s="2"/>
      <c r="T507" s="2"/>
      <c r="U507" s="2"/>
      <c r="V507" s="2"/>
      <c r="W507" s="2"/>
      <c r="X507" s="2"/>
      <c r="Y507" s="2"/>
      <c r="Z507" s="2"/>
    </row>
    <row r="508" spans="1:26" ht="14.25" customHeight="1" x14ac:dyDescent="0.3">
      <c r="A508" s="2"/>
      <c r="B508" s="2"/>
      <c r="C508" s="2"/>
      <c r="D508" s="2"/>
      <c r="E508" s="2"/>
      <c r="F508" s="2"/>
      <c r="G508" s="3"/>
      <c r="H508" s="3"/>
      <c r="I508" s="3"/>
      <c r="J508" s="2"/>
      <c r="K508" s="2"/>
      <c r="L508" s="2"/>
      <c r="M508" s="2"/>
      <c r="N508" s="2"/>
      <c r="O508" s="2"/>
      <c r="P508" s="2"/>
      <c r="Q508" s="2"/>
      <c r="R508" s="2"/>
      <c r="S508" s="2"/>
      <c r="T508" s="2"/>
      <c r="U508" s="2"/>
      <c r="V508" s="2"/>
      <c r="W508" s="2"/>
      <c r="X508" s="2"/>
      <c r="Y508" s="2"/>
      <c r="Z508" s="2"/>
    </row>
    <row r="509" spans="1:26" ht="14.25" customHeight="1" x14ac:dyDescent="0.3">
      <c r="A509" s="2"/>
      <c r="B509" s="2"/>
      <c r="C509" s="2"/>
      <c r="D509" s="2"/>
      <c r="E509" s="2"/>
      <c r="F509" s="2"/>
      <c r="G509" s="3"/>
      <c r="H509" s="3"/>
      <c r="I509" s="3"/>
      <c r="J509" s="2"/>
      <c r="K509" s="2"/>
      <c r="L509" s="2"/>
      <c r="M509" s="2"/>
      <c r="N509" s="2"/>
      <c r="O509" s="2"/>
      <c r="P509" s="2"/>
      <c r="Q509" s="2"/>
      <c r="R509" s="2"/>
      <c r="S509" s="2"/>
      <c r="T509" s="2"/>
      <c r="U509" s="2"/>
      <c r="V509" s="2"/>
      <c r="W509" s="2"/>
      <c r="X509" s="2"/>
      <c r="Y509" s="2"/>
      <c r="Z509" s="2"/>
    </row>
    <row r="510" spans="1:26" ht="14.25" customHeight="1" x14ac:dyDescent="0.3">
      <c r="A510" s="2"/>
      <c r="B510" s="2"/>
      <c r="C510" s="2"/>
      <c r="D510" s="2"/>
      <c r="E510" s="2"/>
      <c r="F510" s="2"/>
      <c r="G510" s="3"/>
      <c r="H510" s="3"/>
      <c r="I510" s="3"/>
      <c r="J510" s="2"/>
      <c r="K510" s="2"/>
      <c r="L510" s="2"/>
      <c r="M510" s="2"/>
      <c r="N510" s="2"/>
      <c r="O510" s="2"/>
      <c r="P510" s="2"/>
      <c r="Q510" s="2"/>
      <c r="R510" s="2"/>
      <c r="S510" s="2"/>
      <c r="T510" s="2"/>
      <c r="U510" s="2"/>
      <c r="V510" s="2"/>
      <c r="W510" s="2"/>
      <c r="X510" s="2"/>
      <c r="Y510" s="2"/>
      <c r="Z510" s="2"/>
    </row>
    <row r="511" spans="1:26" ht="14.25" customHeight="1" x14ac:dyDescent="0.3">
      <c r="A511" s="2"/>
      <c r="B511" s="2"/>
      <c r="C511" s="2"/>
      <c r="D511" s="2"/>
      <c r="E511" s="2"/>
      <c r="F511" s="2"/>
      <c r="G511" s="3"/>
      <c r="H511" s="3"/>
      <c r="I511" s="3"/>
      <c r="J511" s="2"/>
      <c r="K511" s="2"/>
      <c r="L511" s="2"/>
      <c r="M511" s="2"/>
      <c r="N511" s="2"/>
      <c r="O511" s="2"/>
      <c r="P511" s="2"/>
      <c r="Q511" s="2"/>
      <c r="R511" s="2"/>
      <c r="S511" s="2"/>
      <c r="T511" s="2"/>
      <c r="U511" s="2"/>
      <c r="V511" s="2"/>
      <c r="W511" s="2"/>
      <c r="X511" s="2"/>
      <c r="Y511" s="2"/>
      <c r="Z511" s="2"/>
    </row>
    <row r="512" spans="1:26" ht="14.25" customHeight="1" x14ac:dyDescent="0.3">
      <c r="A512" s="2"/>
      <c r="B512" s="2"/>
      <c r="C512" s="2"/>
      <c r="D512" s="2"/>
      <c r="E512" s="2"/>
      <c r="F512" s="2"/>
      <c r="G512" s="3"/>
      <c r="H512" s="3"/>
      <c r="I512" s="3"/>
      <c r="J512" s="2"/>
      <c r="K512" s="2"/>
      <c r="L512" s="2"/>
      <c r="M512" s="2"/>
      <c r="N512" s="2"/>
      <c r="O512" s="2"/>
      <c r="P512" s="2"/>
      <c r="Q512" s="2"/>
      <c r="R512" s="2"/>
      <c r="S512" s="2"/>
      <c r="T512" s="2"/>
      <c r="U512" s="2"/>
      <c r="V512" s="2"/>
      <c r="W512" s="2"/>
      <c r="X512" s="2"/>
      <c r="Y512" s="2"/>
      <c r="Z512" s="2"/>
    </row>
    <row r="513" spans="1:26" ht="14.25" customHeight="1" x14ac:dyDescent="0.3">
      <c r="A513" s="2"/>
      <c r="B513" s="2"/>
      <c r="C513" s="2"/>
      <c r="D513" s="2"/>
      <c r="E513" s="2"/>
      <c r="F513" s="2"/>
      <c r="G513" s="3"/>
      <c r="H513" s="3"/>
      <c r="I513" s="3"/>
      <c r="J513" s="2"/>
      <c r="K513" s="2"/>
      <c r="L513" s="2"/>
      <c r="M513" s="2"/>
      <c r="N513" s="2"/>
      <c r="O513" s="2"/>
      <c r="P513" s="2"/>
      <c r="Q513" s="2"/>
      <c r="R513" s="2"/>
      <c r="S513" s="2"/>
      <c r="T513" s="2"/>
      <c r="U513" s="2"/>
      <c r="V513" s="2"/>
      <c r="W513" s="2"/>
      <c r="X513" s="2"/>
      <c r="Y513" s="2"/>
      <c r="Z513" s="2"/>
    </row>
    <row r="514" spans="1:26" ht="14.25" customHeight="1" x14ac:dyDescent="0.3">
      <c r="A514" s="2"/>
      <c r="B514" s="2"/>
      <c r="C514" s="2"/>
      <c r="D514" s="2"/>
      <c r="E514" s="2"/>
      <c r="F514" s="2"/>
      <c r="G514" s="3"/>
      <c r="H514" s="3"/>
      <c r="I514" s="3"/>
      <c r="J514" s="2"/>
      <c r="K514" s="2"/>
      <c r="L514" s="2"/>
      <c r="M514" s="2"/>
      <c r="N514" s="2"/>
      <c r="O514" s="2"/>
      <c r="P514" s="2"/>
      <c r="Q514" s="2"/>
      <c r="R514" s="2"/>
      <c r="S514" s="2"/>
      <c r="T514" s="2"/>
      <c r="U514" s="2"/>
      <c r="V514" s="2"/>
      <c r="W514" s="2"/>
      <c r="X514" s="2"/>
      <c r="Y514" s="2"/>
      <c r="Z514" s="2"/>
    </row>
    <row r="515" spans="1:26" ht="14.25" customHeight="1" x14ac:dyDescent="0.3">
      <c r="A515" s="2"/>
      <c r="B515" s="2"/>
      <c r="C515" s="2"/>
      <c r="D515" s="2"/>
      <c r="E515" s="2"/>
      <c r="F515" s="2"/>
      <c r="G515" s="3"/>
      <c r="H515" s="3"/>
      <c r="I515" s="3"/>
      <c r="J515" s="2"/>
      <c r="K515" s="2"/>
      <c r="L515" s="2"/>
      <c r="M515" s="2"/>
      <c r="N515" s="2"/>
      <c r="O515" s="2"/>
      <c r="P515" s="2"/>
      <c r="Q515" s="2"/>
      <c r="R515" s="2"/>
      <c r="S515" s="2"/>
      <c r="T515" s="2"/>
      <c r="U515" s="2"/>
      <c r="V515" s="2"/>
      <c r="W515" s="2"/>
      <c r="X515" s="2"/>
      <c r="Y515" s="2"/>
      <c r="Z515" s="2"/>
    </row>
    <row r="516" spans="1:26" ht="14.25" customHeight="1" x14ac:dyDescent="0.3">
      <c r="A516" s="2"/>
      <c r="B516" s="2"/>
      <c r="C516" s="2"/>
      <c r="D516" s="2"/>
      <c r="E516" s="2"/>
      <c r="F516" s="2"/>
      <c r="G516" s="3"/>
      <c r="H516" s="3"/>
      <c r="I516" s="3"/>
      <c r="J516" s="2"/>
      <c r="K516" s="2"/>
      <c r="L516" s="2"/>
      <c r="M516" s="2"/>
      <c r="N516" s="2"/>
      <c r="O516" s="2"/>
      <c r="P516" s="2"/>
      <c r="Q516" s="2"/>
      <c r="R516" s="2"/>
      <c r="S516" s="2"/>
      <c r="T516" s="2"/>
      <c r="U516" s="2"/>
      <c r="V516" s="2"/>
      <c r="W516" s="2"/>
      <c r="X516" s="2"/>
      <c r="Y516" s="2"/>
      <c r="Z516" s="2"/>
    </row>
    <row r="517" spans="1:26" ht="14.25" customHeight="1" x14ac:dyDescent="0.3">
      <c r="A517" s="2"/>
      <c r="B517" s="2"/>
      <c r="C517" s="2"/>
      <c r="D517" s="2"/>
      <c r="E517" s="2"/>
      <c r="F517" s="2"/>
      <c r="G517" s="3"/>
      <c r="H517" s="3"/>
      <c r="I517" s="3"/>
      <c r="J517" s="2"/>
      <c r="K517" s="2"/>
      <c r="L517" s="2"/>
      <c r="M517" s="2"/>
      <c r="N517" s="2"/>
      <c r="O517" s="2"/>
      <c r="P517" s="2"/>
      <c r="Q517" s="2"/>
      <c r="R517" s="2"/>
      <c r="S517" s="2"/>
      <c r="T517" s="2"/>
      <c r="U517" s="2"/>
      <c r="V517" s="2"/>
      <c r="W517" s="2"/>
      <c r="X517" s="2"/>
      <c r="Y517" s="2"/>
      <c r="Z517" s="2"/>
    </row>
    <row r="518" spans="1:26" ht="14.25" customHeight="1" x14ac:dyDescent="0.3">
      <c r="A518" s="2"/>
      <c r="B518" s="2"/>
      <c r="C518" s="2"/>
      <c r="D518" s="2"/>
      <c r="E518" s="2"/>
      <c r="F518" s="2"/>
      <c r="G518" s="3"/>
      <c r="H518" s="3"/>
      <c r="I518" s="3"/>
      <c r="J518" s="2"/>
      <c r="K518" s="2"/>
      <c r="L518" s="2"/>
      <c r="M518" s="2"/>
      <c r="N518" s="2"/>
      <c r="O518" s="2"/>
      <c r="P518" s="2"/>
      <c r="Q518" s="2"/>
      <c r="R518" s="2"/>
      <c r="S518" s="2"/>
      <c r="T518" s="2"/>
      <c r="U518" s="2"/>
      <c r="V518" s="2"/>
      <c r="W518" s="2"/>
      <c r="X518" s="2"/>
      <c r="Y518" s="2"/>
      <c r="Z518" s="2"/>
    </row>
    <row r="519" spans="1:26" ht="14.25" customHeight="1" x14ac:dyDescent="0.3">
      <c r="A519" s="2"/>
      <c r="B519" s="2"/>
      <c r="C519" s="2"/>
      <c r="D519" s="2"/>
      <c r="E519" s="2"/>
      <c r="F519" s="2"/>
      <c r="G519" s="3"/>
      <c r="H519" s="3"/>
      <c r="I519" s="3"/>
      <c r="J519" s="2"/>
      <c r="K519" s="2"/>
      <c r="L519" s="2"/>
      <c r="M519" s="2"/>
      <c r="N519" s="2"/>
      <c r="O519" s="2"/>
      <c r="P519" s="2"/>
      <c r="Q519" s="2"/>
      <c r="R519" s="2"/>
      <c r="S519" s="2"/>
      <c r="T519" s="2"/>
      <c r="U519" s="2"/>
      <c r="V519" s="2"/>
      <c r="W519" s="2"/>
      <c r="X519" s="2"/>
      <c r="Y519" s="2"/>
      <c r="Z519" s="2"/>
    </row>
    <row r="520" spans="1:26" ht="14.25" customHeight="1" x14ac:dyDescent="0.3">
      <c r="A520" s="2"/>
      <c r="B520" s="2"/>
      <c r="C520" s="2"/>
      <c r="D520" s="2"/>
      <c r="E520" s="2"/>
      <c r="F520" s="2"/>
      <c r="G520" s="3"/>
      <c r="H520" s="3"/>
      <c r="I520" s="3"/>
      <c r="J520" s="2"/>
      <c r="K520" s="2"/>
      <c r="L520" s="2"/>
      <c r="M520" s="2"/>
      <c r="N520" s="2"/>
      <c r="O520" s="2"/>
      <c r="P520" s="2"/>
      <c r="Q520" s="2"/>
      <c r="R520" s="2"/>
      <c r="S520" s="2"/>
      <c r="T520" s="2"/>
      <c r="U520" s="2"/>
      <c r="V520" s="2"/>
      <c r="W520" s="2"/>
      <c r="X520" s="2"/>
      <c r="Y520" s="2"/>
      <c r="Z520" s="2"/>
    </row>
    <row r="521" spans="1:26" ht="14.25" customHeight="1" x14ac:dyDescent="0.3">
      <c r="A521" s="2"/>
      <c r="B521" s="2"/>
      <c r="C521" s="2"/>
      <c r="D521" s="2"/>
      <c r="E521" s="2"/>
      <c r="F521" s="2"/>
      <c r="G521" s="3"/>
      <c r="H521" s="3"/>
      <c r="I521" s="3"/>
      <c r="J521" s="2"/>
      <c r="K521" s="2"/>
      <c r="L521" s="2"/>
      <c r="M521" s="2"/>
      <c r="N521" s="2"/>
      <c r="O521" s="2"/>
      <c r="P521" s="2"/>
      <c r="Q521" s="2"/>
      <c r="R521" s="2"/>
      <c r="S521" s="2"/>
      <c r="T521" s="2"/>
      <c r="U521" s="2"/>
      <c r="V521" s="2"/>
      <c r="W521" s="2"/>
      <c r="X521" s="2"/>
      <c r="Y521" s="2"/>
      <c r="Z521" s="2"/>
    </row>
    <row r="522" spans="1:26" ht="14.25" customHeight="1" x14ac:dyDescent="0.3">
      <c r="A522" s="2"/>
      <c r="B522" s="2"/>
      <c r="C522" s="2"/>
      <c r="D522" s="2"/>
      <c r="E522" s="2"/>
      <c r="F522" s="2"/>
      <c r="G522" s="3"/>
      <c r="H522" s="3"/>
      <c r="I522" s="3"/>
      <c r="J522" s="2"/>
      <c r="K522" s="2"/>
      <c r="L522" s="2"/>
      <c r="M522" s="2"/>
      <c r="N522" s="2"/>
      <c r="O522" s="2"/>
      <c r="P522" s="2"/>
      <c r="Q522" s="2"/>
      <c r="R522" s="2"/>
      <c r="S522" s="2"/>
      <c r="T522" s="2"/>
      <c r="U522" s="2"/>
      <c r="V522" s="2"/>
      <c r="W522" s="2"/>
      <c r="X522" s="2"/>
      <c r="Y522" s="2"/>
      <c r="Z522" s="2"/>
    </row>
    <row r="523" spans="1:26" ht="14.25" customHeight="1" x14ac:dyDescent="0.3">
      <c r="A523" s="2"/>
      <c r="B523" s="2"/>
      <c r="C523" s="2"/>
      <c r="D523" s="2"/>
      <c r="E523" s="2"/>
      <c r="F523" s="2"/>
      <c r="G523" s="3"/>
      <c r="H523" s="3"/>
      <c r="I523" s="3"/>
      <c r="J523" s="2"/>
      <c r="K523" s="2"/>
      <c r="L523" s="2"/>
      <c r="M523" s="2"/>
      <c r="N523" s="2"/>
      <c r="O523" s="2"/>
      <c r="P523" s="2"/>
      <c r="Q523" s="2"/>
      <c r="R523" s="2"/>
      <c r="S523" s="2"/>
      <c r="T523" s="2"/>
      <c r="U523" s="2"/>
      <c r="V523" s="2"/>
      <c r="W523" s="2"/>
      <c r="X523" s="2"/>
      <c r="Y523" s="2"/>
      <c r="Z523" s="2"/>
    </row>
    <row r="524" spans="1:26" ht="14.25" customHeight="1" x14ac:dyDescent="0.3">
      <c r="A524" s="2"/>
      <c r="B524" s="2"/>
      <c r="C524" s="2"/>
      <c r="D524" s="2"/>
      <c r="E524" s="2"/>
      <c r="F524" s="2"/>
      <c r="G524" s="3"/>
      <c r="H524" s="3"/>
      <c r="I524" s="3"/>
      <c r="J524" s="2"/>
      <c r="K524" s="2"/>
      <c r="L524" s="2"/>
      <c r="M524" s="2"/>
      <c r="N524" s="2"/>
      <c r="O524" s="2"/>
      <c r="P524" s="2"/>
      <c r="Q524" s="2"/>
      <c r="R524" s="2"/>
      <c r="S524" s="2"/>
      <c r="T524" s="2"/>
      <c r="U524" s="2"/>
      <c r="V524" s="2"/>
      <c r="W524" s="2"/>
      <c r="X524" s="2"/>
      <c r="Y524" s="2"/>
      <c r="Z524" s="2"/>
    </row>
    <row r="525" spans="1:26" ht="14.25" customHeight="1" x14ac:dyDescent="0.3">
      <c r="A525" s="2"/>
      <c r="B525" s="2"/>
      <c r="C525" s="2"/>
      <c r="D525" s="2"/>
      <c r="E525" s="2"/>
      <c r="F525" s="2"/>
      <c r="G525" s="3"/>
      <c r="H525" s="3"/>
      <c r="I525" s="3"/>
      <c r="J525" s="2"/>
      <c r="K525" s="2"/>
      <c r="L525" s="2"/>
      <c r="M525" s="2"/>
      <c r="N525" s="2"/>
      <c r="O525" s="2"/>
      <c r="P525" s="2"/>
      <c r="Q525" s="2"/>
      <c r="R525" s="2"/>
      <c r="S525" s="2"/>
      <c r="T525" s="2"/>
      <c r="U525" s="2"/>
      <c r="V525" s="2"/>
      <c r="W525" s="2"/>
      <c r="X525" s="2"/>
      <c r="Y525" s="2"/>
      <c r="Z525" s="2"/>
    </row>
    <row r="526" spans="1:26" ht="14.25" customHeight="1" x14ac:dyDescent="0.3">
      <c r="A526" s="2"/>
      <c r="B526" s="2"/>
      <c r="C526" s="2"/>
      <c r="D526" s="2"/>
      <c r="E526" s="2"/>
      <c r="F526" s="2"/>
      <c r="G526" s="3"/>
      <c r="H526" s="3"/>
      <c r="I526" s="3"/>
      <c r="J526" s="2"/>
      <c r="K526" s="2"/>
      <c r="L526" s="2"/>
      <c r="M526" s="2"/>
      <c r="N526" s="2"/>
      <c r="O526" s="2"/>
      <c r="P526" s="2"/>
      <c r="Q526" s="2"/>
      <c r="R526" s="2"/>
      <c r="S526" s="2"/>
      <c r="T526" s="2"/>
      <c r="U526" s="2"/>
      <c r="V526" s="2"/>
      <c r="W526" s="2"/>
      <c r="X526" s="2"/>
      <c r="Y526" s="2"/>
      <c r="Z526" s="2"/>
    </row>
    <row r="527" spans="1:26" ht="14.25" customHeight="1" x14ac:dyDescent="0.3">
      <c r="A527" s="2"/>
      <c r="B527" s="2"/>
      <c r="C527" s="2"/>
      <c r="D527" s="2"/>
      <c r="E527" s="2"/>
      <c r="F527" s="2"/>
      <c r="G527" s="3"/>
      <c r="H527" s="3"/>
      <c r="I527" s="3"/>
      <c r="J527" s="2"/>
      <c r="K527" s="2"/>
      <c r="L527" s="2"/>
      <c r="M527" s="2"/>
      <c r="N527" s="2"/>
      <c r="O527" s="2"/>
      <c r="P527" s="2"/>
      <c r="Q527" s="2"/>
      <c r="R527" s="2"/>
      <c r="S527" s="2"/>
      <c r="T527" s="2"/>
      <c r="U527" s="2"/>
      <c r="V527" s="2"/>
      <c r="W527" s="2"/>
      <c r="X527" s="2"/>
      <c r="Y527" s="2"/>
      <c r="Z527" s="2"/>
    </row>
    <row r="528" spans="1:26" ht="14.25" customHeight="1" x14ac:dyDescent="0.3">
      <c r="A528" s="2"/>
      <c r="B528" s="2"/>
      <c r="C528" s="2"/>
      <c r="D528" s="2"/>
      <c r="E528" s="2"/>
      <c r="F528" s="2"/>
      <c r="G528" s="3"/>
      <c r="H528" s="3"/>
      <c r="I528" s="3"/>
      <c r="J528" s="2"/>
      <c r="K528" s="2"/>
      <c r="L528" s="2"/>
      <c r="M528" s="2"/>
      <c r="N528" s="2"/>
      <c r="O528" s="2"/>
      <c r="P528" s="2"/>
      <c r="Q528" s="2"/>
      <c r="R528" s="2"/>
      <c r="S528" s="2"/>
      <c r="T528" s="2"/>
      <c r="U528" s="2"/>
      <c r="V528" s="2"/>
      <c r="W528" s="2"/>
      <c r="X528" s="2"/>
      <c r="Y528" s="2"/>
      <c r="Z528" s="2"/>
    </row>
    <row r="529" spans="1:26" ht="14.25" customHeight="1" x14ac:dyDescent="0.3">
      <c r="A529" s="2"/>
      <c r="B529" s="2"/>
      <c r="C529" s="2"/>
      <c r="D529" s="2"/>
      <c r="E529" s="2"/>
      <c r="F529" s="2"/>
      <c r="G529" s="3"/>
      <c r="H529" s="3"/>
      <c r="I529" s="3"/>
      <c r="J529" s="2"/>
      <c r="K529" s="2"/>
      <c r="L529" s="2"/>
      <c r="M529" s="2"/>
      <c r="N529" s="2"/>
      <c r="O529" s="2"/>
      <c r="P529" s="2"/>
      <c r="Q529" s="2"/>
      <c r="R529" s="2"/>
      <c r="S529" s="2"/>
      <c r="T529" s="2"/>
      <c r="U529" s="2"/>
      <c r="V529" s="2"/>
      <c r="W529" s="2"/>
      <c r="X529" s="2"/>
      <c r="Y529" s="2"/>
      <c r="Z529" s="2"/>
    </row>
    <row r="530" spans="1:26" ht="14.25" customHeight="1" x14ac:dyDescent="0.3">
      <c r="A530" s="2"/>
      <c r="B530" s="2"/>
      <c r="C530" s="2"/>
      <c r="D530" s="2"/>
      <c r="E530" s="2"/>
      <c r="F530" s="2"/>
      <c r="G530" s="3"/>
      <c r="H530" s="3"/>
      <c r="I530" s="3"/>
      <c r="J530" s="2"/>
      <c r="K530" s="2"/>
      <c r="L530" s="2"/>
      <c r="M530" s="2"/>
      <c r="N530" s="2"/>
      <c r="O530" s="2"/>
      <c r="P530" s="2"/>
      <c r="Q530" s="2"/>
      <c r="R530" s="2"/>
      <c r="S530" s="2"/>
      <c r="T530" s="2"/>
      <c r="U530" s="2"/>
      <c r="V530" s="2"/>
      <c r="W530" s="2"/>
      <c r="X530" s="2"/>
      <c r="Y530" s="2"/>
      <c r="Z530" s="2"/>
    </row>
    <row r="531" spans="1:26" ht="14.25" customHeight="1" x14ac:dyDescent="0.3">
      <c r="A531" s="2"/>
      <c r="B531" s="2"/>
      <c r="C531" s="2"/>
      <c r="D531" s="2"/>
      <c r="E531" s="2"/>
      <c r="F531" s="2"/>
      <c r="G531" s="3"/>
      <c r="H531" s="3"/>
      <c r="I531" s="3"/>
      <c r="J531" s="2"/>
      <c r="K531" s="2"/>
      <c r="L531" s="2"/>
      <c r="M531" s="2"/>
      <c r="N531" s="2"/>
      <c r="O531" s="2"/>
      <c r="P531" s="2"/>
      <c r="Q531" s="2"/>
      <c r="R531" s="2"/>
      <c r="S531" s="2"/>
      <c r="T531" s="2"/>
      <c r="U531" s="2"/>
      <c r="V531" s="2"/>
      <c r="W531" s="2"/>
      <c r="X531" s="2"/>
      <c r="Y531" s="2"/>
      <c r="Z531" s="2"/>
    </row>
    <row r="532" spans="1:26" ht="14.25" customHeight="1" x14ac:dyDescent="0.3">
      <c r="A532" s="2"/>
      <c r="B532" s="2"/>
      <c r="C532" s="2"/>
      <c r="D532" s="2"/>
      <c r="E532" s="2"/>
      <c r="F532" s="2"/>
      <c r="G532" s="3"/>
      <c r="H532" s="3"/>
      <c r="I532" s="3"/>
      <c r="J532" s="2"/>
      <c r="K532" s="2"/>
      <c r="L532" s="2"/>
      <c r="M532" s="2"/>
      <c r="N532" s="2"/>
      <c r="O532" s="2"/>
      <c r="P532" s="2"/>
      <c r="Q532" s="2"/>
      <c r="R532" s="2"/>
      <c r="S532" s="2"/>
      <c r="T532" s="2"/>
      <c r="U532" s="2"/>
      <c r="V532" s="2"/>
      <c r="W532" s="2"/>
      <c r="X532" s="2"/>
      <c r="Y532" s="2"/>
      <c r="Z532" s="2"/>
    </row>
    <row r="533" spans="1:26" ht="14.25" customHeight="1" x14ac:dyDescent="0.3">
      <c r="A533" s="2"/>
      <c r="B533" s="2"/>
      <c r="C533" s="2"/>
      <c r="D533" s="2"/>
      <c r="E533" s="2"/>
      <c r="F533" s="2"/>
      <c r="G533" s="3"/>
      <c r="H533" s="3"/>
      <c r="I533" s="3"/>
      <c r="J533" s="2"/>
      <c r="K533" s="2"/>
      <c r="L533" s="2"/>
      <c r="M533" s="2"/>
      <c r="N533" s="2"/>
      <c r="O533" s="2"/>
      <c r="P533" s="2"/>
      <c r="Q533" s="2"/>
      <c r="R533" s="2"/>
      <c r="S533" s="2"/>
      <c r="T533" s="2"/>
      <c r="U533" s="2"/>
      <c r="V533" s="2"/>
      <c r="W533" s="2"/>
      <c r="X533" s="2"/>
      <c r="Y533" s="2"/>
      <c r="Z533" s="2"/>
    </row>
    <row r="534" spans="1:26" ht="14.25" customHeight="1" x14ac:dyDescent="0.3">
      <c r="A534" s="2"/>
      <c r="B534" s="2"/>
      <c r="C534" s="2"/>
      <c r="D534" s="2"/>
      <c r="E534" s="2"/>
      <c r="F534" s="2"/>
      <c r="G534" s="3"/>
      <c r="H534" s="3"/>
      <c r="I534" s="3"/>
      <c r="J534" s="2"/>
      <c r="K534" s="2"/>
      <c r="L534" s="2"/>
      <c r="M534" s="2"/>
      <c r="N534" s="2"/>
      <c r="O534" s="2"/>
      <c r="P534" s="2"/>
      <c r="Q534" s="2"/>
      <c r="R534" s="2"/>
      <c r="S534" s="2"/>
      <c r="T534" s="2"/>
      <c r="U534" s="2"/>
      <c r="V534" s="2"/>
      <c r="W534" s="2"/>
      <c r="X534" s="2"/>
      <c r="Y534" s="2"/>
      <c r="Z534" s="2"/>
    </row>
    <row r="535" spans="1:26" ht="14.25" customHeight="1" x14ac:dyDescent="0.3">
      <c r="A535" s="2"/>
      <c r="B535" s="2"/>
      <c r="C535" s="2"/>
      <c r="D535" s="2"/>
      <c r="E535" s="2"/>
      <c r="F535" s="2"/>
      <c r="G535" s="3"/>
      <c r="H535" s="3"/>
      <c r="I535" s="3"/>
      <c r="J535" s="2"/>
      <c r="K535" s="2"/>
      <c r="L535" s="2"/>
      <c r="M535" s="2"/>
      <c r="N535" s="2"/>
      <c r="O535" s="2"/>
      <c r="P535" s="2"/>
      <c r="Q535" s="2"/>
      <c r="R535" s="2"/>
      <c r="S535" s="2"/>
      <c r="T535" s="2"/>
      <c r="U535" s="2"/>
      <c r="V535" s="2"/>
      <c r="W535" s="2"/>
      <c r="X535" s="2"/>
      <c r="Y535" s="2"/>
      <c r="Z535" s="2"/>
    </row>
    <row r="536" spans="1:26" ht="14.25" customHeight="1" x14ac:dyDescent="0.3">
      <c r="A536" s="2"/>
      <c r="B536" s="2"/>
      <c r="C536" s="2"/>
      <c r="D536" s="2"/>
      <c r="E536" s="2"/>
      <c r="F536" s="2"/>
      <c r="G536" s="3"/>
      <c r="H536" s="3"/>
      <c r="I536" s="3"/>
      <c r="J536" s="2"/>
      <c r="K536" s="2"/>
      <c r="L536" s="2"/>
      <c r="M536" s="2"/>
      <c r="N536" s="2"/>
      <c r="O536" s="2"/>
      <c r="P536" s="2"/>
      <c r="Q536" s="2"/>
      <c r="R536" s="2"/>
      <c r="S536" s="2"/>
      <c r="T536" s="2"/>
      <c r="U536" s="2"/>
      <c r="V536" s="2"/>
      <c r="W536" s="2"/>
      <c r="X536" s="2"/>
      <c r="Y536" s="2"/>
      <c r="Z536" s="2"/>
    </row>
    <row r="537" spans="1:26" ht="14.25" customHeight="1" x14ac:dyDescent="0.3">
      <c r="A537" s="2"/>
      <c r="B537" s="2"/>
      <c r="C537" s="2"/>
      <c r="D537" s="2"/>
      <c r="E537" s="2"/>
      <c r="F537" s="2"/>
      <c r="G537" s="3"/>
      <c r="H537" s="3"/>
      <c r="I537" s="3"/>
      <c r="J537" s="2"/>
      <c r="K537" s="2"/>
      <c r="L537" s="2"/>
      <c r="M537" s="2"/>
      <c r="N537" s="2"/>
      <c r="O537" s="2"/>
      <c r="P537" s="2"/>
      <c r="Q537" s="2"/>
      <c r="R537" s="2"/>
      <c r="S537" s="2"/>
      <c r="T537" s="2"/>
      <c r="U537" s="2"/>
      <c r="V537" s="2"/>
      <c r="W537" s="2"/>
      <c r="X537" s="2"/>
      <c r="Y537" s="2"/>
      <c r="Z537" s="2"/>
    </row>
    <row r="538" spans="1:26" ht="14.25" customHeight="1" x14ac:dyDescent="0.3">
      <c r="A538" s="2"/>
      <c r="B538" s="2"/>
      <c r="C538" s="2"/>
      <c r="D538" s="2"/>
      <c r="E538" s="2"/>
      <c r="F538" s="2"/>
      <c r="G538" s="3"/>
      <c r="H538" s="3"/>
      <c r="I538" s="3"/>
      <c r="J538" s="2"/>
      <c r="K538" s="2"/>
      <c r="L538" s="2"/>
      <c r="M538" s="2"/>
      <c r="N538" s="2"/>
      <c r="O538" s="2"/>
      <c r="P538" s="2"/>
      <c r="Q538" s="2"/>
      <c r="R538" s="2"/>
      <c r="S538" s="2"/>
      <c r="T538" s="2"/>
      <c r="U538" s="2"/>
      <c r="V538" s="2"/>
      <c r="W538" s="2"/>
      <c r="X538" s="2"/>
      <c r="Y538" s="2"/>
      <c r="Z538" s="2"/>
    </row>
    <row r="539" spans="1:26" ht="14.25" customHeight="1" x14ac:dyDescent="0.3">
      <c r="A539" s="2"/>
      <c r="B539" s="2"/>
      <c r="C539" s="2"/>
      <c r="D539" s="2"/>
      <c r="E539" s="2"/>
      <c r="F539" s="2"/>
      <c r="G539" s="3"/>
      <c r="H539" s="3"/>
      <c r="I539" s="3"/>
      <c r="J539" s="2"/>
      <c r="K539" s="2"/>
      <c r="L539" s="2"/>
      <c r="M539" s="2"/>
      <c r="N539" s="2"/>
      <c r="O539" s="2"/>
      <c r="P539" s="2"/>
      <c r="Q539" s="2"/>
      <c r="R539" s="2"/>
      <c r="S539" s="2"/>
      <c r="T539" s="2"/>
      <c r="U539" s="2"/>
      <c r="V539" s="2"/>
      <c r="W539" s="2"/>
      <c r="X539" s="2"/>
      <c r="Y539" s="2"/>
      <c r="Z539" s="2"/>
    </row>
    <row r="540" spans="1:26" ht="14.25" customHeight="1" x14ac:dyDescent="0.3">
      <c r="A540" s="2"/>
      <c r="B540" s="2"/>
      <c r="C540" s="2"/>
      <c r="D540" s="2"/>
      <c r="E540" s="2"/>
      <c r="F540" s="2"/>
      <c r="G540" s="3"/>
      <c r="H540" s="3"/>
      <c r="I540" s="3"/>
      <c r="J540" s="2"/>
      <c r="K540" s="2"/>
      <c r="L540" s="2"/>
      <c r="M540" s="2"/>
      <c r="N540" s="2"/>
      <c r="O540" s="2"/>
      <c r="P540" s="2"/>
      <c r="Q540" s="2"/>
      <c r="R540" s="2"/>
      <c r="S540" s="2"/>
      <c r="T540" s="2"/>
      <c r="U540" s="2"/>
      <c r="V540" s="2"/>
      <c r="W540" s="2"/>
      <c r="X540" s="2"/>
      <c r="Y540" s="2"/>
      <c r="Z540" s="2"/>
    </row>
    <row r="541" spans="1:26" ht="14.25" customHeight="1" x14ac:dyDescent="0.3">
      <c r="A541" s="2"/>
      <c r="B541" s="2"/>
      <c r="C541" s="2"/>
      <c r="D541" s="2"/>
      <c r="E541" s="2"/>
      <c r="F541" s="2"/>
      <c r="G541" s="3"/>
      <c r="H541" s="3"/>
      <c r="I541" s="3"/>
      <c r="J541" s="2"/>
      <c r="K541" s="2"/>
      <c r="L541" s="2"/>
      <c r="M541" s="2"/>
      <c r="N541" s="2"/>
      <c r="O541" s="2"/>
      <c r="P541" s="2"/>
      <c r="Q541" s="2"/>
      <c r="R541" s="2"/>
      <c r="S541" s="2"/>
      <c r="T541" s="2"/>
      <c r="U541" s="2"/>
      <c r="V541" s="2"/>
      <c r="W541" s="2"/>
      <c r="X541" s="2"/>
      <c r="Y541" s="2"/>
      <c r="Z541" s="2"/>
    </row>
    <row r="542" spans="1:26" ht="14.25" customHeight="1" x14ac:dyDescent="0.3">
      <c r="A542" s="2"/>
      <c r="B542" s="2"/>
      <c r="C542" s="2"/>
      <c r="D542" s="2"/>
      <c r="E542" s="2"/>
      <c r="F542" s="2"/>
      <c r="G542" s="3"/>
      <c r="H542" s="3"/>
      <c r="I542" s="3"/>
      <c r="J542" s="2"/>
      <c r="K542" s="2"/>
      <c r="L542" s="2"/>
      <c r="M542" s="2"/>
      <c r="N542" s="2"/>
      <c r="O542" s="2"/>
      <c r="P542" s="2"/>
      <c r="Q542" s="2"/>
      <c r="R542" s="2"/>
      <c r="S542" s="2"/>
      <c r="T542" s="2"/>
      <c r="U542" s="2"/>
      <c r="V542" s="2"/>
      <c r="W542" s="2"/>
      <c r="X542" s="2"/>
      <c r="Y542" s="2"/>
      <c r="Z542" s="2"/>
    </row>
    <row r="543" spans="1:26" ht="14.25" customHeight="1" x14ac:dyDescent="0.3">
      <c r="A543" s="2"/>
      <c r="B543" s="2"/>
      <c r="C543" s="2"/>
      <c r="D543" s="2"/>
      <c r="E543" s="2"/>
      <c r="F543" s="2"/>
      <c r="G543" s="3"/>
      <c r="H543" s="3"/>
      <c r="I543" s="3"/>
      <c r="J543" s="2"/>
      <c r="K543" s="2"/>
      <c r="L543" s="2"/>
      <c r="M543" s="2"/>
      <c r="N543" s="2"/>
      <c r="O543" s="2"/>
      <c r="P543" s="2"/>
      <c r="Q543" s="2"/>
      <c r="R543" s="2"/>
      <c r="S543" s="2"/>
      <c r="T543" s="2"/>
      <c r="U543" s="2"/>
      <c r="V543" s="2"/>
      <c r="W543" s="2"/>
      <c r="X543" s="2"/>
      <c r="Y543" s="2"/>
      <c r="Z543" s="2"/>
    </row>
    <row r="544" spans="1:26" ht="14.25" customHeight="1" x14ac:dyDescent="0.3">
      <c r="A544" s="2"/>
      <c r="B544" s="2"/>
      <c r="C544" s="2"/>
      <c r="D544" s="2"/>
      <c r="E544" s="2"/>
      <c r="F544" s="2"/>
      <c r="G544" s="3"/>
      <c r="H544" s="3"/>
      <c r="I544" s="3"/>
      <c r="J544" s="2"/>
      <c r="K544" s="2"/>
      <c r="L544" s="2"/>
      <c r="M544" s="2"/>
      <c r="N544" s="2"/>
      <c r="O544" s="2"/>
      <c r="P544" s="2"/>
      <c r="Q544" s="2"/>
      <c r="R544" s="2"/>
      <c r="S544" s="2"/>
      <c r="T544" s="2"/>
      <c r="U544" s="2"/>
      <c r="V544" s="2"/>
      <c r="W544" s="2"/>
      <c r="X544" s="2"/>
      <c r="Y544" s="2"/>
      <c r="Z544" s="2"/>
    </row>
    <row r="545" spans="1:26" ht="14.25" customHeight="1" x14ac:dyDescent="0.3">
      <c r="A545" s="2"/>
      <c r="B545" s="2"/>
      <c r="C545" s="2"/>
      <c r="D545" s="2"/>
      <c r="E545" s="2"/>
      <c r="F545" s="2"/>
      <c r="G545" s="3"/>
      <c r="H545" s="3"/>
      <c r="I545" s="3"/>
      <c r="J545" s="2"/>
      <c r="K545" s="2"/>
      <c r="L545" s="2"/>
      <c r="M545" s="2"/>
      <c r="N545" s="2"/>
      <c r="O545" s="2"/>
      <c r="P545" s="2"/>
      <c r="Q545" s="2"/>
      <c r="R545" s="2"/>
      <c r="S545" s="2"/>
      <c r="T545" s="2"/>
      <c r="U545" s="2"/>
      <c r="V545" s="2"/>
      <c r="W545" s="2"/>
      <c r="X545" s="2"/>
      <c r="Y545" s="2"/>
      <c r="Z545" s="2"/>
    </row>
    <row r="546" spans="1:26" ht="14.25" customHeight="1" x14ac:dyDescent="0.3">
      <c r="A546" s="2"/>
      <c r="B546" s="2"/>
      <c r="C546" s="2"/>
      <c r="D546" s="2"/>
      <c r="E546" s="2"/>
      <c r="F546" s="2"/>
      <c r="G546" s="3"/>
      <c r="H546" s="3"/>
      <c r="I546" s="3"/>
      <c r="J546" s="2"/>
      <c r="K546" s="2"/>
      <c r="L546" s="2"/>
      <c r="M546" s="2"/>
      <c r="N546" s="2"/>
      <c r="O546" s="2"/>
      <c r="P546" s="2"/>
      <c r="Q546" s="2"/>
      <c r="R546" s="2"/>
      <c r="S546" s="2"/>
      <c r="T546" s="2"/>
      <c r="U546" s="2"/>
      <c r="V546" s="2"/>
      <c r="W546" s="2"/>
      <c r="X546" s="2"/>
      <c r="Y546" s="2"/>
      <c r="Z546" s="2"/>
    </row>
    <row r="547" spans="1:26" ht="14.25" customHeight="1" x14ac:dyDescent="0.3">
      <c r="A547" s="2"/>
      <c r="B547" s="2"/>
      <c r="C547" s="2"/>
      <c r="D547" s="2"/>
      <c r="E547" s="2"/>
      <c r="F547" s="2"/>
      <c r="G547" s="3"/>
      <c r="H547" s="3"/>
      <c r="I547" s="3"/>
      <c r="J547" s="2"/>
      <c r="K547" s="2"/>
      <c r="L547" s="2"/>
      <c r="M547" s="2"/>
      <c r="N547" s="2"/>
      <c r="O547" s="2"/>
      <c r="P547" s="2"/>
      <c r="Q547" s="2"/>
      <c r="R547" s="2"/>
      <c r="S547" s="2"/>
      <c r="T547" s="2"/>
      <c r="U547" s="2"/>
      <c r="V547" s="2"/>
      <c r="W547" s="2"/>
      <c r="X547" s="2"/>
      <c r="Y547" s="2"/>
      <c r="Z547" s="2"/>
    </row>
    <row r="548" spans="1:26" ht="14.25" customHeight="1" x14ac:dyDescent="0.3">
      <c r="A548" s="2"/>
      <c r="B548" s="2"/>
      <c r="C548" s="2"/>
      <c r="D548" s="2"/>
      <c r="E548" s="2"/>
      <c r="F548" s="2"/>
      <c r="G548" s="3"/>
      <c r="H548" s="3"/>
      <c r="I548" s="3"/>
      <c r="J548" s="2"/>
      <c r="K548" s="2"/>
      <c r="L548" s="2"/>
      <c r="M548" s="2"/>
      <c r="N548" s="2"/>
      <c r="O548" s="2"/>
      <c r="P548" s="2"/>
      <c r="Q548" s="2"/>
      <c r="R548" s="2"/>
      <c r="S548" s="2"/>
      <c r="T548" s="2"/>
      <c r="U548" s="2"/>
      <c r="V548" s="2"/>
      <c r="W548" s="2"/>
      <c r="X548" s="2"/>
      <c r="Y548" s="2"/>
      <c r="Z548" s="2"/>
    </row>
    <row r="549" spans="1:26" ht="14.25" customHeight="1" x14ac:dyDescent="0.3">
      <c r="A549" s="2"/>
      <c r="B549" s="2"/>
      <c r="C549" s="2"/>
      <c r="D549" s="2"/>
      <c r="E549" s="2"/>
      <c r="F549" s="2"/>
      <c r="G549" s="3"/>
      <c r="H549" s="3"/>
      <c r="I549" s="3"/>
      <c r="J549" s="2"/>
      <c r="K549" s="2"/>
      <c r="L549" s="2"/>
      <c r="M549" s="2"/>
      <c r="N549" s="2"/>
      <c r="O549" s="2"/>
      <c r="P549" s="2"/>
      <c r="Q549" s="2"/>
      <c r="R549" s="2"/>
      <c r="S549" s="2"/>
      <c r="T549" s="2"/>
      <c r="U549" s="2"/>
      <c r="V549" s="2"/>
      <c r="W549" s="2"/>
      <c r="X549" s="2"/>
      <c r="Y549" s="2"/>
      <c r="Z549" s="2"/>
    </row>
    <row r="550" spans="1:26" ht="14.25" customHeight="1" x14ac:dyDescent="0.3">
      <c r="A550" s="2"/>
      <c r="B550" s="2"/>
      <c r="C550" s="2"/>
      <c r="D550" s="2"/>
      <c r="E550" s="2"/>
      <c r="F550" s="2"/>
      <c r="G550" s="3"/>
      <c r="H550" s="3"/>
      <c r="I550" s="3"/>
      <c r="J550" s="2"/>
      <c r="K550" s="2"/>
      <c r="L550" s="2"/>
      <c r="M550" s="2"/>
      <c r="N550" s="2"/>
      <c r="O550" s="2"/>
      <c r="P550" s="2"/>
      <c r="Q550" s="2"/>
      <c r="R550" s="2"/>
      <c r="S550" s="2"/>
      <c r="T550" s="2"/>
      <c r="U550" s="2"/>
      <c r="V550" s="2"/>
      <c r="W550" s="2"/>
      <c r="X550" s="2"/>
      <c r="Y550" s="2"/>
      <c r="Z550" s="2"/>
    </row>
    <row r="551" spans="1:26" ht="14.25" customHeight="1" x14ac:dyDescent="0.3">
      <c r="A551" s="2"/>
      <c r="B551" s="2"/>
      <c r="C551" s="2"/>
      <c r="D551" s="2"/>
      <c r="E551" s="2"/>
      <c r="F551" s="2"/>
      <c r="G551" s="3"/>
      <c r="H551" s="3"/>
      <c r="I551" s="3"/>
      <c r="J551" s="2"/>
      <c r="K551" s="2"/>
      <c r="L551" s="2"/>
      <c r="M551" s="2"/>
      <c r="N551" s="2"/>
      <c r="O551" s="2"/>
      <c r="P551" s="2"/>
      <c r="Q551" s="2"/>
      <c r="R551" s="2"/>
      <c r="S551" s="2"/>
      <c r="T551" s="2"/>
      <c r="U551" s="2"/>
      <c r="V551" s="2"/>
      <c r="W551" s="2"/>
      <c r="X551" s="2"/>
      <c r="Y551" s="2"/>
      <c r="Z551" s="2"/>
    </row>
    <row r="552" spans="1:26" ht="14.25" customHeight="1" x14ac:dyDescent="0.3">
      <c r="A552" s="2"/>
      <c r="B552" s="2"/>
      <c r="C552" s="2"/>
      <c r="D552" s="2"/>
      <c r="E552" s="2"/>
      <c r="F552" s="2"/>
      <c r="G552" s="3"/>
      <c r="H552" s="3"/>
      <c r="I552" s="3"/>
      <c r="J552" s="2"/>
      <c r="K552" s="2"/>
      <c r="L552" s="2"/>
      <c r="M552" s="2"/>
      <c r="N552" s="2"/>
      <c r="O552" s="2"/>
      <c r="P552" s="2"/>
      <c r="Q552" s="2"/>
      <c r="R552" s="2"/>
      <c r="S552" s="2"/>
      <c r="T552" s="2"/>
      <c r="U552" s="2"/>
      <c r="V552" s="2"/>
      <c r="W552" s="2"/>
      <c r="X552" s="2"/>
      <c r="Y552" s="2"/>
      <c r="Z552" s="2"/>
    </row>
    <row r="553" spans="1:26" ht="14.25" customHeight="1" x14ac:dyDescent="0.3">
      <c r="A553" s="2"/>
      <c r="B553" s="2"/>
      <c r="C553" s="2"/>
      <c r="D553" s="2"/>
      <c r="E553" s="2"/>
      <c r="F553" s="2"/>
      <c r="G553" s="3"/>
      <c r="H553" s="3"/>
      <c r="I553" s="3"/>
      <c r="J553" s="2"/>
      <c r="K553" s="2"/>
      <c r="L553" s="2"/>
      <c r="M553" s="2"/>
      <c r="N553" s="2"/>
      <c r="O553" s="2"/>
      <c r="P553" s="2"/>
      <c r="Q553" s="2"/>
      <c r="R553" s="2"/>
      <c r="S553" s="2"/>
      <c r="T553" s="2"/>
      <c r="U553" s="2"/>
      <c r="V553" s="2"/>
      <c r="W553" s="2"/>
      <c r="X553" s="2"/>
      <c r="Y553" s="2"/>
      <c r="Z553" s="2"/>
    </row>
    <row r="554" spans="1:26" ht="14.25" customHeight="1" x14ac:dyDescent="0.3">
      <c r="A554" s="2"/>
      <c r="B554" s="2"/>
      <c r="C554" s="2"/>
      <c r="D554" s="2"/>
      <c r="E554" s="2"/>
      <c r="F554" s="2"/>
      <c r="G554" s="3"/>
      <c r="H554" s="3"/>
      <c r="I554" s="3"/>
      <c r="J554" s="2"/>
      <c r="K554" s="2"/>
      <c r="L554" s="2"/>
      <c r="M554" s="2"/>
      <c r="N554" s="2"/>
      <c r="O554" s="2"/>
      <c r="P554" s="2"/>
      <c r="Q554" s="2"/>
      <c r="R554" s="2"/>
      <c r="S554" s="2"/>
      <c r="T554" s="2"/>
      <c r="U554" s="2"/>
      <c r="V554" s="2"/>
      <c r="W554" s="2"/>
      <c r="X554" s="2"/>
      <c r="Y554" s="2"/>
      <c r="Z554" s="2"/>
    </row>
    <row r="555" spans="1:26" ht="14.25" customHeight="1" x14ac:dyDescent="0.3">
      <c r="A555" s="2"/>
      <c r="B555" s="2"/>
      <c r="C555" s="2"/>
      <c r="D555" s="2"/>
      <c r="E555" s="2"/>
      <c r="F555" s="2"/>
      <c r="G555" s="3"/>
      <c r="H555" s="3"/>
      <c r="I555" s="3"/>
      <c r="J555" s="2"/>
      <c r="K555" s="2"/>
      <c r="L555" s="2"/>
      <c r="M555" s="2"/>
      <c r="N555" s="2"/>
      <c r="O555" s="2"/>
      <c r="P555" s="2"/>
      <c r="Q555" s="2"/>
      <c r="R555" s="2"/>
      <c r="S555" s="2"/>
      <c r="T555" s="2"/>
      <c r="U555" s="2"/>
      <c r="V555" s="2"/>
      <c r="W555" s="2"/>
      <c r="X555" s="2"/>
      <c r="Y555" s="2"/>
      <c r="Z555" s="2"/>
    </row>
    <row r="556" spans="1:26" ht="14.25" customHeight="1" x14ac:dyDescent="0.3">
      <c r="A556" s="2"/>
      <c r="B556" s="2"/>
      <c r="C556" s="2"/>
      <c r="D556" s="2"/>
      <c r="E556" s="2"/>
      <c r="F556" s="2"/>
      <c r="G556" s="3"/>
      <c r="H556" s="3"/>
      <c r="I556" s="3"/>
      <c r="J556" s="2"/>
      <c r="K556" s="2"/>
      <c r="L556" s="2"/>
      <c r="M556" s="2"/>
      <c r="N556" s="2"/>
      <c r="O556" s="2"/>
      <c r="P556" s="2"/>
      <c r="Q556" s="2"/>
      <c r="R556" s="2"/>
      <c r="S556" s="2"/>
      <c r="T556" s="2"/>
      <c r="U556" s="2"/>
      <c r="V556" s="2"/>
      <c r="W556" s="2"/>
      <c r="X556" s="2"/>
      <c r="Y556" s="2"/>
      <c r="Z556" s="2"/>
    </row>
    <row r="557" spans="1:26" ht="14.25" customHeight="1" x14ac:dyDescent="0.3">
      <c r="A557" s="2"/>
      <c r="B557" s="2"/>
      <c r="C557" s="2"/>
      <c r="D557" s="2"/>
      <c r="E557" s="2"/>
      <c r="F557" s="2"/>
      <c r="G557" s="3"/>
      <c r="H557" s="3"/>
      <c r="I557" s="3"/>
      <c r="J557" s="2"/>
      <c r="K557" s="2"/>
      <c r="L557" s="2"/>
      <c r="M557" s="2"/>
      <c r="N557" s="2"/>
      <c r="O557" s="2"/>
      <c r="P557" s="2"/>
      <c r="Q557" s="2"/>
      <c r="R557" s="2"/>
      <c r="S557" s="2"/>
      <c r="T557" s="2"/>
      <c r="U557" s="2"/>
      <c r="V557" s="2"/>
      <c r="W557" s="2"/>
      <c r="X557" s="2"/>
      <c r="Y557" s="2"/>
      <c r="Z557" s="2"/>
    </row>
    <row r="558" spans="1:26" ht="14.25" customHeight="1" x14ac:dyDescent="0.3">
      <c r="A558" s="2"/>
      <c r="B558" s="2"/>
      <c r="C558" s="2"/>
      <c r="D558" s="2"/>
      <c r="E558" s="2"/>
      <c r="F558" s="2"/>
      <c r="G558" s="3"/>
      <c r="H558" s="3"/>
      <c r="I558" s="3"/>
      <c r="J558" s="2"/>
      <c r="K558" s="2"/>
      <c r="L558" s="2"/>
      <c r="M558" s="2"/>
      <c r="N558" s="2"/>
      <c r="O558" s="2"/>
      <c r="P558" s="2"/>
      <c r="Q558" s="2"/>
      <c r="R558" s="2"/>
      <c r="S558" s="2"/>
      <c r="T558" s="2"/>
      <c r="U558" s="2"/>
      <c r="V558" s="2"/>
      <c r="W558" s="2"/>
      <c r="X558" s="2"/>
      <c r="Y558" s="2"/>
      <c r="Z558" s="2"/>
    </row>
    <row r="559" spans="1:26" ht="14.25" customHeight="1" x14ac:dyDescent="0.3">
      <c r="A559" s="2"/>
      <c r="B559" s="2"/>
      <c r="C559" s="2"/>
      <c r="D559" s="2"/>
      <c r="E559" s="2"/>
      <c r="F559" s="2"/>
      <c r="G559" s="3"/>
      <c r="H559" s="3"/>
      <c r="I559" s="3"/>
      <c r="J559" s="2"/>
      <c r="K559" s="2"/>
      <c r="L559" s="2"/>
      <c r="M559" s="2"/>
      <c r="N559" s="2"/>
      <c r="O559" s="2"/>
      <c r="P559" s="2"/>
      <c r="Q559" s="2"/>
      <c r="R559" s="2"/>
      <c r="S559" s="2"/>
      <c r="T559" s="2"/>
      <c r="U559" s="2"/>
      <c r="V559" s="2"/>
      <c r="W559" s="2"/>
      <c r="X559" s="2"/>
      <c r="Y559" s="2"/>
      <c r="Z559" s="2"/>
    </row>
    <row r="560" spans="1:26" ht="14.25" customHeight="1" x14ac:dyDescent="0.3">
      <c r="A560" s="2"/>
      <c r="B560" s="2"/>
      <c r="C560" s="2"/>
      <c r="D560" s="2"/>
      <c r="E560" s="2"/>
      <c r="F560" s="2"/>
      <c r="G560" s="3"/>
      <c r="H560" s="3"/>
      <c r="I560" s="3"/>
      <c r="J560" s="2"/>
      <c r="K560" s="2"/>
      <c r="L560" s="2"/>
      <c r="M560" s="2"/>
      <c r="N560" s="2"/>
      <c r="O560" s="2"/>
      <c r="P560" s="2"/>
      <c r="Q560" s="2"/>
      <c r="R560" s="2"/>
      <c r="S560" s="2"/>
      <c r="T560" s="2"/>
      <c r="U560" s="2"/>
      <c r="V560" s="2"/>
      <c r="W560" s="2"/>
      <c r="X560" s="2"/>
      <c r="Y560" s="2"/>
      <c r="Z560" s="2"/>
    </row>
    <row r="561" spans="1:26" ht="14.25" customHeight="1" x14ac:dyDescent="0.3">
      <c r="A561" s="2"/>
      <c r="B561" s="2"/>
      <c r="C561" s="2"/>
      <c r="D561" s="2"/>
      <c r="E561" s="2"/>
      <c r="F561" s="2"/>
      <c r="G561" s="3"/>
      <c r="H561" s="3"/>
      <c r="I561" s="3"/>
      <c r="J561" s="2"/>
      <c r="K561" s="2"/>
      <c r="L561" s="2"/>
      <c r="M561" s="2"/>
      <c r="N561" s="2"/>
      <c r="O561" s="2"/>
      <c r="P561" s="2"/>
      <c r="Q561" s="2"/>
      <c r="R561" s="2"/>
      <c r="S561" s="2"/>
      <c r="T561" s="2"/>
      <c r="U561" s="2"/>
      <c r="V561" s="2"/>
      <c r="W561" s="2"/>
      <c r="X561" s="2"/>
      <c r="Y561" s="2"/>
      <c r="Z561" s="2"/>
    </row>
    <row r="562" spans="1:26" ht="14.25" customHeight="1" x14ac:dyDescent="0.3">
      <c r="A562" s="2"/>
      <c r="B562" s="2"/>
      <c r="C562" s="2"/>
      <c r="D562" s="2"/>
      <c r="E562" s="2"/>
      <c r="F562" s="2"/>
      <c r="G562" s="3"/>
      <c r="H562" s="3"/>
      <c r="I562" s="3"/>
      <c r="J562" s="2"/>
      <c r="K562" s="2"/>
      <c r="L562" s="2"/>
      <c r="M562" s="2"/>
      <c r="N562" s="2"/>
      <c r="O562" s="2"/>
      <c r="P562" s="2"/>
      <c r="Q562" s="2"/>
      <c r="R562" s="2"/>
      <c r="S562" s="2"/>
      <c r="T562" s="2"/>
      <c r="U562" s="2"/>
      <c r="V562" s="2"/>
      <c r="W562" s="2"/>
      <c r="X562" s="2"/>
      <c r="Y562" s="2"/>
      <c r="Z562" s="2"/>
    </row>
    <row r="563" spans="1:26" ht="14.25" customHeight="1" x14ac:dyDescent="0.3">
      <c r="A563" s="2"/>
      <c r="B563" s="2"/>
      <c r="C563" s="2"/>
      <c r="D563" s="2"/>
      <c r="E563" s="2"/>
      <c r="F563" s="2"/>
      <c r="G563" s="3"/>
      <c r="H563" s="3"/>
      <c r="I563" s="3"/>
      <c r="J563" s="2"/>
      <c r="K563" s="2"/>
      <c r="L563" s="2"/>
      <c r="M563" s="2"/>
      <c r="N563" s="2"/>
      <c r="O563" s="2"/>
      <c r="P563" s="2"/>
      <c r="Q563" s="2"/>
      <c r="R563" s="2"/>
      <c r="S563" s="2"/>
      <c r="T563" s="2"/>
      <c r="U563" s="2"/>
      <c r="V563" s="2"/>
      <c r="W563" s="2"/>
      <c r="X563" s="2"/>
      <c r="Y563" s="2"/>
      <c r="Z563" s="2"/>
    </row>
    <row r="564" spans="1:26" ht="14.25" customHeight="1" x14ac:dyDescent="0.3">
      <c r="A564" s="2"/>
      <c r="B564" s="2"/>
      <c r="C564" s="2"/>
      <c r="D564" s="2"/>
      <c r="E564" s="2"/>
      <c r="F564" s="2"/>
      <c r="G564" s="3"/>
      <c r="H564" s="3"/>
      <c r="I564" s="3"/>
      <c r="J564" s="2"/>
      <c r="K564" s="2"/>
      <c r="L564" s="2"/>
      <c r="M564" s="2"/>
      <c r="N564" s="2"/>
      <c r="O564" s="2"/>
      <c r="P564" s="2"/>
      <c r="Q564" s="2"/>
      <c r="R564" s="2"/>
      <c r="S564" s="2"/>
      <c r="T564" s="2"/>
      <c r="U564" s="2"/>
      <c r="V564" s="2"/>
      <c r="W564" s="2"/>
      <c r="X564" s="2"/>
      <c r="Y564" s="2"/>
      <c r="Z564" s="2"/>
    </row>
    <row r="565" spans="1:26" ht="14.25" customHeight="1" x14ac:dyDescent="0.3">
      <c r="A565" s="2"/>
      <c r="B565" s="2"/>
      <c r="C565" s="2"/>
      <c r="D565" s="2"/>
      <c r="E565" s="2"/>
      <c r="F565" s="2"/>
      <c r="G565" s="3"/>
      <c r="H565" s="3"/>
      <c r="I565" s="3"/>
      <c r="J565" s="2"/>
      <c r="K565" s="2"/>
      <c r="L565" s="2"/>
      <c r="M565" s="2"/>
      <c r="N565" s="2"/>
      <c r="O565" s="2"/>
      <c r="P565" s="2"/>
      <c r="Q565" s="2"/>
      <c r="R565" s="2"/>
      <c r="S565" s="2"/>
      <c r="T565" s="2"/>
      <c r="U565" s="2"/>
      <c r="V565" s="2"/>
      <c r="W565" s="2"/>
      <c r="X565" s="2"/>
      <c r="Y565" s="2"/>
      <c r="Z565" s="2"/>
    </row>
    <row r="566" spans="1:26" ht="14.25" customHeight="1" x14ac:dyDescent="0.3">
      <c r="A566" s="2"/>
      <c r="B566" s="2"/>
      <c r="C566" s="2"/>
      <c r="D566" s="2"/>
      <c r="E566" s="2"/>
      <c r="F566" s="2"/>
      <c r="G566" s="3"/>
      <c r="H566" s="3"/>
      <c r="I566" s="3"/>
      <c r="J566" s="2"/>
      <c r="K566" s="2"/>
      <c r="L566" s="2"/>
      <c r="M566" s="2"/>
      <c r="N566" s="2"/>
      <c r="O566" s="2"/>
      <c r="P566" s="2"/>
      <c r="Q566" s="2"/>
      <c r="R566" s="2"/>
      <c r="S566" s="2"/>
      <c r="T566" s="2"/>
      <c r="U566" s="2"/>
      <c r="V566" s="2"/>
      <c r="W566" s="2"/>
      <c r="X566" s="2"/>
      <c r="Y566" s="2"/>
      <c r="Z566" s="2"/>
    </row>
    <row r="567" spans="1:26" ht="14.25" customHeight="1" x14ac:dyDescent="0.3">
      <c r="A567" s="2"/>
      <c r="B567" s="2"/>
      <c r="C567" s="2"/>
      <c r="D567" s="2"/>
      <c r="E567" s="2"/>
      <c r="F567" s="2"/>
      <c r="G567" s="3"/>
      <c r="H567" s="3"/>
      <c r="I567" s="3"/>
      <c r="J567" s="2"/>
      <c r="K567" s="2"/>
      <c r="L567" s="2"/>
      <c r="M567" s="2"/>
      <c r="N567" s="2"/>
      <c r="O567" s="2"/>
      <c r="P567" s="2"/>
      <c r="Q567" s="2"/>
      <c r="R567" s="2"/>
      <c r="S567" s="2"/>
      <c r="T567" s="2"/>
      <c r="U567" s="2"/>
      <c r="V567" s="2"/>
      <c r="W567" s="2"/>
      <c r="X567" s="2"/>
      <c r="Y567" s="2"/>
      <c r="Z567" s="2"/>
    </row>
    <row r="568" spans="1:26" ht="14.25" customHeight="1" x14ac:dyDescent="0.3">
      <c r="A568" s="2"/>
      <c r="B568" s="2"/>
      <c r="C568" s="2"/>
      <c r="D568" s="2"/>
      <c r="E568" s="2"/>
      <c r="F568" s="2"/>
      <c r="G568" s="3"/>
      <c r="H568" s="3"/>
      <c r="I568" s="3"/>
      <c r="J568" s="2"/>
      <c r="K568" s="2"/>
      <c r="L568" s="2"/>
      <c r="M568" s="2"/>
      <c r="N568" s="2"/>
      <c r="O568" s="2"/>
      <c r="P568" s="2"/>
      <c r="Q568" s="2"/>
      <c r="R568" s="2"/>
      <c r="S568" s="2"/>
      <c r="T568" s="2"/>
      <c r="U568" s="2"/>
      <c r="V568" s="2"/>
      <c r="W568" s="2"/>
      <c r="X568" s="2"/>
      <c r="Y568" s="2"/>
      <c r="Z568" s="2"/>
    </row>
    <row r="569" spans="1:26" ht="14.25" customHeight="1" x14ac:dyDescent="0.3">
      <c r="A569" s="2"/>
      <c r="B569" s="2"/>
      <c r="C569" s="2"/>
      <c r="D569" s="2"/>
      <c r="E569" s="2"/>
      <c r="F569" s="2"/>
      <c r="G569" s="3"/>
      <c r="H569" s="3"/>
      <c r="I569" s="3"/>
      <c r="J569" s="2"/>
      <c r="K569" s="2"/>
      <c r="L569" s="2"/>
      <c r="M569" s="2"/>
      <c r="N569" s="2"/>
      <c r="O569" s="2"/>
      <c r="P569" s="2"/>
      <c r="Q569" s="2"/>
      <c r="R569" s="2"/>
      <c r="S569" s="2"/>
      <c r="T569" s="2"/>
      <c r="U569" s="2"/>
      <c r="V569" s="2"/>
      <c r="W569" s="2"/>
      <c r="X569" s="2"/>
      <c r="Y569" s="2"/>
      <c r="Z569" s="2"/>
    </row>
    <row r="570" spans="1:26" ht="14.25" customHeight="1" x14ac:dyDescent="0.3">
      <c r="A570" s="2"/>
      <c r="B570" s="2"/>
      <c r="C570" s="2"/>
      <c r="D570" s="2"/>
      <c r="E570" s="2"/>
      <c r="F570" s="2"/>
      <c r="G570" s="3"/>
      <c r="H570" s="3"/>
      <c r="I570" s="3"/>
      <c r="J570" s="2"/>
      <c r="K570" s="2"/>
      <c r="L570" s="2"/>
      <c r="M570" s="2"/>
      <c r="N570" s="2"/>
      <c r="O570" s="2"/>
      <c r="P570" s="2"/>
      <c r="Q570" s="2"/>
      <c r="R570" s="2"/>
      <c r="S570" s="2"/>
      <c r="T570" s="2"/>
      <c r="U570" s="2"/>
      <c r="V570" s="2"/>
      <c r="W570" s="2"/>
      <c r="X570" s="2"/>
      <c r="Y570" s="2"/>
      <c r="Z570" s="2"/>
    </row>
    <row r="571" spans="1:26" ht="14.25" customHeight="1" x14ac:dyDescent="0.3">
      <c r="A571" s="2"/>
      <c r="B571" s="2"/>
      <c r="C571" s="2"/>
      <c r="D571" s="2"/>
      <c r="E571" s="2"/>
      <c r="F571" s="2"/>
      <c r="G571" s="3"/>
      <c r="H571" s="3"/>
      <c r="I571" s="3"/>
      <c r="J571" s="2"/>
      <c r="K571" s="2"/>
      <c r="L571" s="2"/>
      <c r="M571" s="2"/>
      <c r="N571" s="2"/>
      <c r="O571" s="2"/>
      <c r="P571" s="2"/>
      <c r="Q571" s="2"/>
      <c r="R571" s="2"/>
      <c r="S571" s="2"/>
      <c r="T571" s="2"/>
      <c r="U571" s="2"/>
      <c r="V571" s="2"/>
      <c r="W571" s="2"/>
      <c r="X571" s="2"/>
      <c r="Y571" s="2"/>
      <c r="Z571" s="2"/>
    </row>
    <row r="572" spans="1:26" ht="14.25" customHeight="1" x14ac:dyDescent="0.3">
      <c r="A572" s="2"/>
      <c r="B572" s="2"/>
      <c r="C572" s="2"/>
      <c r="D572" s="2"/>
      <c r="E572" s="2"/>
      <c r="F572" s="2"/>
      <c r="G572" s="3"/>
      <c r="H572" s="3"/>
      <c r="I572" s="3"/>
      <c r="J572" s="2"/>
      <c r="K572" s="2"/>
      <c r="L572" s="2"/>
      <c r="M572" s="2"/>
      <c r="N572" s="2"/>
      <c r="O572" s="2"/>
      <c r="P572" s="2"/>
      <c r="Q572" s="2"/>
      <c r="R572" s="2"/>
      <c r="S572" s="2"/>
      <c r="T572" s="2"/>
      <c r="U572" s="2"/>
      <c r="V572" s="2"/>
      <c r="W572" s="2"/>
      <c r="X572" s="2"/>
      <c r="Y572" s="2"/>
      <c r="Z572" s="2"/>
    </row>
    <row r="573" spans="1:26" ht="14.25" customHeight="1" x14ac:dyDescent="0.3">
      <c r="A573" s="2"/>
      <c r="B573" s="2"/>
      <c r="C573" s="2"/>
      <c r="D573" s="2"/>
      <c r="E573" s="2"/>
      <c r="F573" s="2"/>
      <c r="G573" s="3"/>
      <c r="H573" s="3"/>
      <c r="I573" s="3"/>
      <c r="J573" s="2"/>
      <c r="K573" s="2"/>
      <c r="L573" s="2"/>
      <c r="M573" s="2"/>
      <c r="N573" s="2"/>
      <c r="O573" s="2"/>
      <c r="P573" s="2"/>
      <c r="Q573" s="2"/>
      <c r="R573" s="2"/>
      <c r="S573" s="2"/>
      <c r="T573" s="2"/>
      <c r="U573" s="2"/>
      <c r="V573" s="2"/>
      <c r="W573" s="2"/>
      <c r="X573" s="2"/>
      <c r="Y573" s="2"/>
      <c r="Z573" s="2"/>
    </row>
    <row r="574" spans="1:26" ht="14.25" customHeight="1" x14ac:dyDescent="0.3">
      <c r="A574" s="2"/>
      <c r="B574" s="2"/>
      <c r="C574" s="2"/>
      <c r="D574" s="2"/>
      <c r="E574" s="2"/>
      <c r="F574" s="2"/>
      <c r="G574" s="3"/>
      <c r="H574" s="3"/>
      <c r="I574" s="3"/>
      <c r="J574" s="2"/>
      <c r="K574" s="2"/>
      <c r="L574" s="2"/>
      <c r="M574" s="2"/>
      <c r="N574" s="2"/>
      <c r="O574" s="2"/>
      <c r="P574" s="2"/>
      <c r="Q574" s="2"/>
      <c r="R574" s="2"/>
      <c r="S574" s="2"/>
      <c r="T574" s="2"/>
      <c r="U574" s="2"/>
      <c r="V574" s="2"/>
      <c r="W574" s="2"/>
      <c r="X574" s="2"/>
      <c r="Y574" s="2"/>
      <c r="Z574" s="2"/>
    </row>
    <row r="575" spans="1:26" ht="14.25" customHeight="1" x14ac:dyDescent="0.3">
      <c r="A575" s="2"/>
      <c r="B575" s="2"/>
      <c r="C575" s="2"/>
      <c r="D575" s="2"/>
      <c r="E575" s="2"/>
      <c r="F575" s="2"/>
      <c r="G575" s="3"/>
      <c r="H575" s="3"/>
      <c r="I575" s="3"/>
      <c r="J575" s="2"/>
      <c r="K575" s="2"/>
      <c r="L575" s="2"/>
      <c r="M575" s="2"/>
      <c r="N575" s="2"/>
      <c r="O575" s="2"/>
      <c r="P575" s="2"/>
      <c r="Q575" s="2"/>
      <c r="R575" s="2"/>
      <c r="S575" s="2"/>
      <c r="T575" s="2"/>
      <c r="U575" s="2"/>
      <c r="V575" s="2"/>
      <c r="W575" s="2"/>
      <c r="X575" s="2"/>
      <c r="Y575" s="2"/>
      <c r="Z575" s="2"/>
    </row>
    <row r="576" spans="1:26" ht="14.25" customHeight="1" x14ac:dyDescent="0.3">
      <c r="A576" s="2"/>
      <c r="B576" s="2"/>
      <c r="C576" s="2"/>
      <c r="D576" s="2"/>
      <c r="E576" s="2"/>
      <c r="F576" s="2"/>
      <c r="G576" s="3"/>
      <c r="H576" s="3"/>
      <c r="I576" s="3"/>
      <c r="J576" s="2"/>
      <c r="K576" s="2"/>
      <c r="L576" s="2"/>
      <c r="M576" s="2"/>
      <c r="N576" s="2"/>
      <c r="O576" s="2"/>
      <c r="P576" s="2"/>
      <c r="Q576" s="2"/>
      <c r="R576" s="2"/>
      <c r="S576" s="2"/>
      <c r="T576" s="2"/>
      <c r="U576" s="2"/>
      <c r="V576" s="2"/>
      <c r="W576" s="2"/>
      <c r="X576" s="2"/>
      <c r="Y576" s="2"/>
      <c r="Z576" s="2"/>
    </row>
    <row r="577" spans="1:26" ht="14.25" customHeight="1" x14ac:dyDescent="0.3">
      <c r="A577" s="2"/>
      <c r="B577" s="2"/>
      <c r="C577" s="2"/>
      <c r="D577" s="2"/>
      <c r="E577" s="2"/>
      <c r="F577" s="2"/>
      <c r="G577" s="3"/>
      <c r="H577" s="3"/>
      <c r="I577" s="3"/>
      <c r="J577" s="2"/>
      <c r="K577" s="2"/>
      <c r="L577" s="2"/>
      <c r="M577" s="2"/>
      <c r="N577" s="2"/>
      <c r="O577" s="2"/>
      <c r="P577" s="2"/>
      <c r="Q577" s="2"/>
      <c r="R577" s="2"/>
      <c r="S577" s="2"/>
      <c r="T577" s="2"/>
      <c r="U577" s="2"/>
      <c r="V577" s="2"/>
      <c r="W577" s="2"/>
      <c r="X577" s="2"/>
      <c r="Y577" s="2"/>
      <c r="Z577" s="2"/>
    </row>
    <row r="578" spans="1:26" ht="14.25" customHeight="1" x14ac:dyDescent="0.3">
      <c r="A578" s="2"/>
      <c r="B578" s="2"/>
      <c r="C578" s="2"/>
      <c r="D578" s="2"/>
      <c r="E578" s="2"/>
      <c r="F578" s="2"/>
      <c r="G578" s="3"/>
      <c r="H578" s="3"/>
      <c r="I578" s="3"/>
      <c r="J578" s="2"/>
      <c r="K578" s="2"/>
      <c r="L578" s="2"/>
      <c r="M578" s="2"/>
      <c r="N578" s="2"/>
      <c r="O578" s="2"/>
      <c r="P578" s="2"/>
      <c r="Q578" s="2"/>
      <c r="R578" s="2"/>
      <c r="S578" s="2"/>
      <c r="T578" s="2"/>
      <c r="U578" s="2"/>
      <c r="V578" s="2"/>
      <c r="W578" s="2"/>
      <c r="X578" s="2"/>
      <c r="Y578" s="2"/>
      <c r="Z578" s="2"/>
    </row>
    <row r="579" spans="1:26" ht="14.25" customHeight="1" x14ac:dyDescent="0.3">
      <c r="A579" s="2"/>
      <c r="B579" s="2"/>
      <c r="C579" s="2"/>
      <c r="D579" s="2"/>
      <c r="E579" s="2"/>
      <c r="F579" s="2"/>
      <c r="G579" s="3"/>
      <c r="H579" s="3"/>
      <c r="I579" s="3"/>
      <c r="J579" s="2"/>
      <c r="K579" s="2"/>
      <c r="L579" s="2"/>
      <c r="M579" s="2"/>
      <c r="N579" s="2"/>
      <c r="O579" s="2"/>
      <c r="P579" s="2"/>
      <c r="Q579" s="2"/>
      <c r="R579" s="2"/>
      <c r="S579" s="2"/>
      <c r="T579" s="2"/>
      <c r="U579" s="2"/>
      <c r="V579" s="2"/>
      <c r="W579" s="2"/>
      <c r="X579" s="2"/>
      <c r="Y579" s="2"/>
      <c r="Z579" s="2"/>
    </row>
    <row r="580" spans="1:26" ht="14.25" customHeight="1" x14ac:dyDescent="0.3">
      <c r="A580" s="2"/>
      <c r="B580" s="2"/>
      <c r="C580" s="2"/>
      <c r="D580" s="2"/>
      <c r="E580" s="2"/>
      <c r="F580" s="2"/>
      <c r="G580" s="3"/>
      <c r="H580" s="3"/>
      <c r="I580" s="3"/>
      <c r="J580" s="2"/>
      <c r="K580" s="2"/>
      <c r="L580" s="2"/>
      <c r="M580" s="2"/>
      <c r="N580" s="2"/>
      <c r="O580" s="2"/>
      <c r="P580" s="2"/>
      <c r="Q580" s="2"/>
      <c r="R580" s="2"/>
      <c r="S580" s="2"/>
      <c r="T580" s="2"/>
      <c r="U580" s="2"/>
      <c r="V580" s="2"/>
      <c r="W580" s="2"/>
      <c r="X580" s="2"/>
      <c r="Y580" s="2"/>
      <c r="Z580" s="2"/>
    </row>
    <row r="581" spans="1:26" ht="14.25" customHeight="1" x14ac:dyDescent="0.3">
      <c r="A581" s="2"/>
      <c r="B581" s="2"/>
      <c r="C581" s="2"/>
      <c r="D581" s="2"/>
      <c r="E581" s="2"/>
      <c r="F581" s="2"/>
      <c r="G581" s="3"/>
      <c r="H581" s="3"/>
      <c r="I581" s="3"/>
      <c r="J581" s="2"/>
      <c r="K581" s="2"/>
      <c r="L581" s="2"/>
      <c r="M581" s="2"/>
      <c r="N581" s="2"/>
      <c r="O581" s="2"/>
      <c r="P581" s="2"/>
      <c r="Q581" s="2"/>
      <c r="R581" s="2"/>
      <c r="S581" s="2"/>
      <c r="T581" s="2"/>
      <c r="U581" s="2"/>
      <c r="V581" s="2"/>
      <c r="W581" s="2"/>
      <c r="X581" s="2"/>
      <c r="Y581" s="2"/>
      <c r="Z581" s="2"/>
    </row>
    <row r="582" spans="1:26" ht="14.25" customHeight="1" x14ac:dyDescent="0.3">
      <c r="A582" s="2"/>
      <c r="B582" s="2"/>
      <c r="C582" s="2"/>
      <c r="D582" s="2"/>
      <c r="E582" s="2"/>
      <c r="F582" s="2"/>
      <c r="G582" s="3"/>
      <c r="H582" s="3"/>
      <c r="I582" s="3"/>
      <c r="J582" s="2"/>
      <c r="K582" s="2"/>
      <c r="L582" s="2"/>
      <c r="M582" s="2"/>
      <c r="N582" s="2"/>
      <c r="O582" s="2"/>
      <c r="P582" s="2"/>
      <c r="Q582" s="2"/>
      <c r="R582" s="2"/>
      <c r="S582" s="2"/>
      <c r="T582" s="2"/>
      <c r="U582" s="2"/>
      <c r="V582" s="2"/>
      <c r="W582" s="2"/>
      <c r="X582" s="2"/>
      <c r="Y582" s="2"/>
      <c r="Z582" s="2"/>
    </row>
    <row r="583" spans="1:26" ht="14.25" customHeight="1" x14ac:dyDescent="0.3">
      <c r="A583" s="2"/>
      <c r="B583" s="2"/>
      <c r="C583" s="2"/>
      <c r="D583" s="2"/>
      <c r="E583" s="2"/>
      <c r="F583" s="2"/>
      <c r="G583" s="3"/>
      <c r="H583" s="3"/>
      <c r="I583" s="3"/>
      <c r="J583" s="2"/>
      <c r="K583" s="2"/>
      <c r="L583" s="2"/>
      <c r="M583" s="2"/>
      <c r="N583" s="2"/>
      <c r="O583" s="2"/>
      <c r="P583" s="2"/>
      <c r="Q583" s="2"/>
      <c r="R583" s="2"/>
      <c r="S583" s="2"/>
      <c r="T583" s="2"/>
      <c r="U583" s="2"/>
      <c r="V583" s="2"/>
      <c r="W583" s="2"/>
      <c r="X583" s="2"/>
      <c r="Y583" s="2"/>
      <c r="Z583" s="2"/>
    </row>
    <row r="584" spans="1:26" ht="14.25" customHeight="1" x14ac:dyDescent="0.3">
      <c r="A584" s="2"/>
      <c r="B584" s="2"/>
      <c r="C584" s="2"/>
      <c r="D584" s="2"/>
      <c r="E584" s="2"/>
      <c r="F584" s="2"/>
      <c r="G584" s="3"/>
      <c r="H584" s="3"/>
      <c r="I584" s="3"/>
      <c r="J584" s="2"/>
      <c r="K584" s="2"/>
      <c r="L584" s="2"/>
      <c r="M584" s="2"/>
      <c r="N584" s="2"/>
      <c r="O584" s="2"/>
      <c r="P584" s="2"/>
      <c r="Q584" s="2"/>
      <c r="R584" s="2"/>
      <c r="S584" s="2"/>
      <c r="T584" s="2"/>
      <c r="U584" s="2"/>
      <c r="V584" s="2"/>
      <c r="W584" s="2"/>
      <c r="X584" s="2"/>
      <c r="Y584" s="2"/>
      <c r="Z584" s="2"/>
    </row>
    <row r="585" spans="1:26" ht="14.25" customHeight="1" x14ac:dyDescent="0.3">
      <c r="A585" s="2"/>
      <c r="B585" s="2"/>
      <c r="C585" s="2"/>
      <c r="D585" s="2"/>
      <c r="E585" s="2"/>
      <c r="F585" s="2"/>
      <c r="G585" s="3"/>
      <c r="H585" s="3"/>
      <c r="I585" s="3"/>
      <c r="J585" s="2"/>
      <c r="K585" s="2"/>
      <c r="L585" s="2"/>
      <c r="M585" s="2"/>
      <c r="N585" s="2"/>
      <c r="O585" s="2"/>
      <c r="P585" s="2"/>
      <c r="Q585" s="2"/>
      <c r="R585" s="2"/>
      <c r="S585" s="2"/>
      <c r="T585" s="2"/>
      <c r="U585" s="2"/>
      <c r="V585" s="2"/>
      <c r="W585" s="2"/>
      <c r="X585" s="2"/>
      <c r="Y585" s="2"/>
      <c r="Z585" s="2"/>
    </row>
    <row r="586" spans="1:26" ht="14.25" customHeight="1" x14ac:dyDescent="0.3">
      <c r="A586" s="2"/>
      <c r="B586" s="2"/>
      <c r="C586" s="2"/>
      <c r="D586" s="2"/>
      <c r="E586" s="2"/>
      <c r="F586" s="2"/>
      <c r="G586" s="3"/>
      <c r="H586" s="3"/>
      <c r="I586" s="3"/>
      <c r="J586" s="2"/>
      <c r="K586" s="2"/>
      <c r="L586" s="2"/>
      <c r="M586" s="2"/>
      <c r="N586" s="2"/>
      <c r="O586" s="2"/>
      <c r="P586" s="2"/>
      <c r="Q586" s="2"/>
      <c r="R586" s="2"/>
      <c r="S586" s="2"/>
      <c r="T586" s="2"/>
      <c r="U586" s="2"/>
      <c r="V586" s="2"/>
      <c r="W586" s="2"/>
      <c r="X586" s="2"/>
      <c r="Y586" s="2"/>
      <c r="Z586" s="2"/>
    </row>
    <row r="587" spans="1:26" ht="14.25" customHeight="1" x14ac:dyDescent="0.3">
      <c r="A587" s="2"/>
      <c r="B587" s="2"/>
      <c r="C587" s="2"/>
      <c r="D587" s="2"/>
      <c r="E587" s="2"/>
      <c r="F587" s="2"/>
      <c r="G587" s="3"/>
      <c r="H587" s="3"/>
      <c r="I587" s="3"/>
      <c r="J587" s="2"/>
      <c r="K587" s="2"/>
      <c r="L587" s="2"/>
      <c r="M587" s="2"/>
      <c r="N587" s="2"/>
      <c r="O587" s="2"/>
      <c r="P587" s="2"/>
      <c r="Q587" s="2"/>
      <c r="R587" s="2"/>
      <c r="S587" s="2"/>
      <c r="T587" s="2"/>
      <c r="U587" s="2"/>
      <c r="V587" s="2"/>
      <c r="W587" s="2"/>
      <c r="X587" s="2"/>
      <c r="Y587" s="2"/>
      <c r="Z587" s="2"/>
    </row>
    <row r="588" spans="1:26" ht="14.25" customHeight="1" x14ac:dyDescent="0.3">
      <c r="A588" s="2"/>
      <c r="B588" s="2"/>
      <c r="C588" s="2"/>
      <c r="D588" s="2"/>
      <c r="E588" s="2"/>
      <c r="F588" s="2"/>
      <c r="G588" s="3"/>
      <c r="H588" s="3"/>
      <c r="I588" s="3"/>
      <c r="J588" s="2"/>
      <c r="K588" s="2"/>
      <c r="L588" s="2"/>
      <c r="M588" s="2"/>
      <c r="N588" s="2"/>
      <c r="O588" s="2"/>
      <c r="P588" s="2"/>
      <c r="Q588" s="2"/>
      <c r="R588" s="2"/>
      <c r="S588" s="2"/>
      <c r="T588" s="2"/>
      <c r="U588" s="2"/>
      <c r="V588" s="2"/>
      <c r="W588" s="2"/>
      <c r="X588" s="2"/>
      <c r="Y588" s="2"/>
      <c r="Z588" s="2"/>
    </row>
    <row r="589" spans="1:26" ht="14.25" customHeight="1" x14ac:dyDescent="0.3">
      <c r="A589" s="2"/>
      <c r="B589" s="2"/>
      <c r="C589" s="2"/>
      <c r="D589" s="2"/>
      <c r="E589" s="2"/>
      <c r="F589" s="2"/>
      <c r="G589" s="3"/>
      <c r="H589" s="3"/>
      <c r="I589" s="3"/>
      <c r="J589" s="2"/>
      <c r="K589" s="2"/>
      <c r="L589" s="2"/>
      <c r="M589" s="2"/>
      <c r="N589" s="2"/>
      <c r="O589" s="2"/>
      <c r="P589" s="2"/>
      <c r="Q589" s="2"/>
      <c r="R589" s="2"/>
      <c r="S589" s="2"/>
      <c r="T589" s="2"/>
      <c r="U589" s="2"/>
      <c r="V589" s="2"/>
      <c r="W589" s="2"/>
      <c r="X589" s="2"/>
      <c r="Y589" s="2"/>
      <c r="Z589" s="2"/>
    </row>
    <row r="590" spans="1:26" ht="14.25" customHeight="1" x14ac:dyDescent="0.3">
      <c r="A590" s="2"/>
      <c r="B590" s="2"/>
      <c r="C590" s="2"/>
      <c r="D590" s="2"/>
      <c r="E590" s="2"/>
      <c r="F590" s="2"/>
      <c r="G590" s="3"/>
      <c r="H590" s="3"/>
      <c r="I590" s="3"/>
      <c r="J590" s="2"/>
      <c r="K590" s="2"/>
      <c r="L590" s="2"/>
      <c r="M590" s="2"/>
      <c r="N590" s="2"/>
      <c r="O590" s="2"/>
      <c r="P590" s="2"/>
      <c r="Q590" s="2"/>
      <c r="R590" s="2"/>
      <c r="S590" s="2"/>
      <c r="T590" s="2"/>
      <c r="U590" s="2"/>
      <c r="V590" s="2"/>
      <c r="W590" s="2"/>
      <c r="X590" s="2"/>
      <c r="Y590" s="2"/>
      <c r="Z590" s="2"/>
    </row>
    <row r="591" spans="1:26" ht="14.25" customHeight="1" x14ac:dyDescent="0.3">
      <c r="A591" s="2"/>
      <c r="B591" s="2"/>
      <c r="C591" s="2"/>
      <c r="D591" s="2"/>
      <c r="E591" s="2"/>
      <c r="F591" s="2"/>
      <c r="G591" s="3"/>
      <c r="H591" s="3"/>
      <c r="I591" s="3"/>
      <c r="J591" s="2"/>
      <c r="K591" s="2"/>
      <c r="L591" s="2"/>
      <c r="M591" s="2"/>
      <c r="N591" s="2"/>
      <c r="O591" s="2"/>
      <c r="P591" s="2"/>
      <c r="Q591" s="2"/>
      <c r="R591" s="2"/>
      <c r="S591" s="2"/>
      <c r="T591" s="2"/>
      <c r="U591" s="2"/>
      <c r="V591" s="2"/>
      <c r="W591" s="2"/>
      <c r="X591" s="2"/>
      <c r="Y591" s="2"/>
      <c r="Z591" s="2"/>
    </row>
    <row r="592" spans="1:26" ht="14.25" customHeight="1" x14ac:dyDescent="0.3">
      <c r="A592" s="2"/>
      <c r="B592" s="2"/>
      <c r="C592" s="2"/>
      <c r="D592" s="2"/>
      <c r="E592" s="2"/>
      <c r="F592" s="2"/>
      <c r="G592" s="3"/>
      <c r="H592" s="3"/>
      <c r="I592" s="3"/>
      <c r="J592" s="2"/>
      <c r="K592" s="2"/>
      <c r="L592" s="2"/>
      <c r="M592" s="2"/>
      <c r="N592" s="2"/>
      <c r="O592" s="2"/>
      <c r="P592" s="2"/>
      <c r="Q592" s="2"/>
      <c r="R592" s="2"/>
      <c r="S592" s="2"/>
      <c r="T592" s="2"/>
      <c r="U592" s="2"/>
      <c r="V592" s="2"/>
      <c r="W592" s="2"/>
      <c r="X592" s="2"/>
      <c r="Y592" s="2"/>
      <c r="Z592" s="2"/>
    </row>
    <row r="593" spans="1:26" ht="14.25" customHeight="1" x14ac:dyDescent="0.3">
      <c r="A593" s="2"/>
      <c r="B593" s="2"/>
      <c r="C593" s="2"/>
      <c r="D593" s="2"/>
      <c r="E593" s="2"/>
      <c r="F593" s="2"/>
      <c r="G593" s="3"/>
      <c r="H593" s="3"/>
      <c r="I593" s="3"/>
      <c r="J593" s="2"/>
      <c r="K593" s="2"/>
      <c r="L593" s="2"/>
      <c r="M593" s="2"/>
      <c r="N593" s="2"/>
      <c r="O593" s="2"/>
      <c r="P593" s="2"/>
      <c r="Q593" s="2"/>
      <c r="R593" s="2"/>
      <c r="S593" s="2"/>
      <c r="T593" s="2"/>
      <c r="U593" s="2"/>
      <c r="V593" s="2"/>
      <c r="W593" s="2"/>
      <c r="X593" s="2"/>
      <c r="Y593" s="2"/>
      <c r="Z593" s="2"/>
    </row>
    <row r="594" spans="1:26" ht="14.25" customHeight="1" x14ac:dyDescent="0.3">
      <c r="A594" s="2"/>
      <c r="B594" s="2"/>
      <c r="C594" s="2"/>
      <c r="D594" s="2"/>
      <c r="E594" s="2"/>
      <c r="F594" s="2"/>
      <c r="G594" s="3"/>
      <c r="H594" s="3"/>
      <c r="I594" s="3"/>
      <c r="J594" s="2"/>
      <c r="K594" s="2"/>
      <c r="L594" s="2"/>
      <c r="M594" s="2"/>
      <c r="N594" s="2"/>
      <c r="O594" s="2"/>
      <c r="P594" s="2"/>
      <c r="Q594" s="2"/>
      <c r="R594" s="2"/>
      <c r="S594" s="2"/>
      <c r="T594" s="2"/>
      <c r="U594" s="2"/>
      <c r="V594" s="2"/>
      <c r="W594" s="2"/>
      <c r="X594" s="2"/>
      <c r="Y594" s="2"/>
      <c r="Z594" s="2"/>
    </row>
    <row r="595" spans="1:26" ht="14.25" customHeight="1" x14ac:dyDescent="0.3">
      <c r="A595" s="2"/>
      <c r="B595" s="2"/>
      <c r="C595" s="2"/>
      <c r="D595" s="2"/>
      <c r="E595" s="2"/>
      <c r="F595" s="2"/>
      <c r="G595" s="3"/>
      <c r="H595" s="3"/>
      <c r="I595" s="3"/>
      <c r="J595" s="2"/>
      <c r="K595" s="2"/>
      <c r="L595" s="2"/>
      <c r="M595" s="2"/>
      <c r="N595" s="2"/>
      <c r="O595" s="2"/>
      <c r="P595" s="2"/>
      <c r="Q595" s="2"/>
      <c r="R595" s="2"/>
      <c r="S595" s="2"/>
      <c r="T595" s="2"/>
      <c r="U595" s="2"/>
      <c r="V595" s="2"/>
      <c r="W595" s="2"/>
      <c r="X595" s="2"/>
      <c r="Y595" s="2"/>
      <c r="Z595" s="2"/>
    </row>
    <row r="596" spans="1:26" ht="14.25" customHeight="1" x14ac:dyDescent="0.3">
      <c r="A596" s="2"/>
      <c r="B596" s="2"/>
      <c r="C596" s="2"/>
      <c r="D596" s="2"/>
      <c r="E596" s="2"/>
      <c r="F596" s="2"/>
      <c r="G596" s="3"/>
      <c r="H596" s="3"/>
      <c r="I596" s="3"/>
      <c r="J596" s="2"/>
      <c r="K596" s="2"/>
      <c r="L596" s="2"/>
      <c r="M596" s="2"/>
      <c r="N596" s="2"/>
      <c r="O596" s="2"/>
      <c r="P596" s="2"/>
      <c r="Q596" s="2"/>
      <c r="R596" s="2"/>
      <c r="S596" s="2"/>
      <c r="T596" s="2"/>
      <c r="U596" s="2"/>
      <c r="V596" s="2"/>
      <c r="W596" s="2"/>
      <c r="X596" s="2"/>
      <c r="Y596" s="2"/>
      <c r="Z596" s="2"/>
    </row>
    <row r="597" spans="1:26" ht="14.25" customHeight="1" x14ac:dyDescent="0.3">
      <c r="A597" s="2"/>
      <c r="B597" s="2"/>
      <c r="C597" s="2"/>
      <c r="D597" s="2"/>
      <c r="E597" s="2"/>
      <c r="F597" s="2"/>
      <c r="G597" s="3"/>
      <c r="H597" s="3"/>
      <c r="I597" s="3"/>
      <c r="J597" s="2"/>
      <c r="K597" s="2"/>
      <c r="L597" s="2"/>
      <c r="M597" s="2"/>
      <c r="N597" s="2"/>
      <c r="O597" s="2"/>
      <c r="P597" s="2"/>
      <c r="Q597" s="2"/>
      <c r="R597" s="2"/>
      <c r="S597" s="2"/>
      <c r="T597" s="2"/>
      <c r="U597" s="2"/>
      <c r="V597" s="2"/>
      <c r="W597" s="2"/>
      <c r="X597" s="2"/>
      <c r="Y597" s="2"/>
      <c r="Z597" s="2"/>
    </row>
    <row r="598" spans="1:26" ht="14.25" customHeight="1" x14ac:dyDescent="0.3">
      <c r="A598" s="2"/>
      <c r="B598" s="2"/>
      <c r="C598" s="2"/>
      <c r="D598" s="2"/>
      <c r="E598" s="2"/>
      <c r="F598" s="2"/>
      <c r="G598" s="3"/>
      <c r="H598" s="3"/>
      <c r="I598" s="3"/>
      <c r="J598" s="2"/>
      <c r="K598" s="2"/>
      <c r="L598" s="2"/>
      <c r="M598" s="2"/>
      <c r="N598" s="2"/>
      <c r="O598" s="2"/>
      <c r="P598" s="2"/>
      <c r="Q598" s="2"/>
      <c r="R598" s="2"/>
      <c r="S598" s="2"/>
      <c r="T598" s="2"/>
      <c r="U598" s="2"/>
      <c r="V598" s="2"/>
      <c r="W598" s="2"/>
      <c r="X598" s="2"/>
      <c r="Y598" s="2"/>
      <c r="Z598" s="2"/>
    </row>
    <row r="599" spans="1:26" ht="14.25" customHeight="1" x14ac:dyDescent="0.3">
      <c r="A599" s="2"/>
      <c r="B599" s="2"/>
      <c r="C599" s="2"/>
      <c r="D599" s="2"/>
      <c r="E599" s="2"/>
      <c r="F599" s="2"/>
      <c r="G599" s="3"/>
      <c r="H599" s="3"/>
      <c r="I599" s="3"/>
      <c r="J599" s="2"/>
      <c r="K599" s="2"/>
      <c r="L599" s="2"/>
      <c r="M599" s="2"/>
      <c r="N599" s="2"/>
      <c r="O599" s="2"/>
      <c r="P599" s="2"/>
      <c r="Q599" s="2"/>
      <c r="R599" s="2"/>
      <c r="S599" s="2"/>
      <c r="T599" s="2"/>
      <c r="U599" s="2"/>
      <c r="V599" s="2"/>
      <c r="W599" s="2"/>
      <c r="X599" s="2"/>
      <c r="Y599" s="2"/>
      <c r="Z599" s="2"/>
    </row>
    <row r="600" spans="1:26" ht="14.25" customHeight="1" x14ac:dyDescent="0.3">
      <c r="A600" s="2"/>
      <c r="B600" s="2"/>
      <c r="C600" s="2"/>
      <c r="D600" s="2"/>
      <c r="E600" s="2"/>
      <c r="F600" s="2"/>
      <c r="G600" s="3"/>
      <c r="H600" s="3"/>
      <c r="I600" s="3"/>
      <c r="J600" s="2"/>
      <c r="K600" s="2"/>
      <c r="L600" s="2"/>
      <c r="M600" s="2"/>
      <c r="N600" s="2"/>
      <c r="O600" s="2"/>
      <c r="P600" s="2"/>
      <c r="Q600" s="2"/>
      <c r="R600" s="2"/>
      <c r="S600" s="2"/>
      <c r="T600" s="2"/>
      <c r="U600" s="2"/>
      <c r="V600" s="2"/>
      <c r="W600" s="2"/>
      <c r="X600" s="2"/>
      <c r="Y600" s="2"/>
      <c r="Z600" s="2"/>
    </row>
    <row r="601" spans="1:26" ht="14.25" customHeight="1" x14ac:dyDescent="0.3">
      <c r="A601" s="2"/>
      <c r="B601" s="2"/>
      <c r="C601" s="2"/>
      <c r="D601" s="2"/>
      <c r="E601" s="2"/>
      <c r="F601" s="2"/>
      <c r="G601" s="3"/>
      <c r="H601" s="3"/>
      <c r="I601" s="3"/>
      <c r="J601" s="2"/>
      <c r="K601" s="2"/>
      <c r="L601" s="2"/>
      <c r="M601" s="2"/>
      <c r="N601" s="2"/>
      <c r="O601" s="2"/>
      <c r="P601" s="2"/>
      <c r="Q601" s="2"/>
      <c r="R601" s="2"/>
      <c r="S601" s="2"/>
      <c r="T601" s="2"/>
      <c r="U601" s="2"/>
      <c r="V601" s="2"/>
      <c r="W601" s="2"/>
      <c r="X601" s="2"/>
      <c r="Y601" s="2"/>
      <c r="Z601" s="2"/>
    </row>
    <row r="602" spans="1:26" ht="14.25" customHeight="1" x14ac:dyDescent="0.3">
      <c r="A602" s="2"/>
      <c r="B602" s="2"/>
      <c r="C602" s="2"/>
      <c r="D602" s="2"/>
      <c r="E602" s="2"/>
      <c r="F602" s="2"/>
      <c r="G602" s="3"/>
      <c r="H602" s="3"/>
      <c r="I602" s="3"/>
      <c r="J602" s="2"/>
      <c r="K602" s="2"/>
      <c r="L602" s="2"/>
      <c r="M602" s="2"/>
      <c r="N602" s="2"/>
      <c r="O602" s="2"/>
      <c r="P602" s="2"/>
      <c r="Q602" s="2"/>
      <c r="R602" s="2"/>
      <c r="S602" s="2"/>
      <c r="T602" s="2"/>
      <c r="U602" s="2"/>
      <c r="V602" s="2"/>
      <c r="W602" s="2"/>
      <c r="X602" s="2"/>
      <c r="Y602" s="2"/>
      <c r="Z602" s="2"/>
    </row>
    <row r="603" spans="1:26" ht="14.25" customHeight="1" x14ac:dyDescent="0.3">
      <c r="A603" s="2"/>
      <c r="B603" s="2"/>
      <c r="C603" s="2"/>
      <c r="D603" s="2"/>
      <c r="E603" s="2"/>
      <c r="F603" s="2"/>
      <c r="G603" s="3"/>
      <c r="H603" s="3"/>
      <c r="I603" s="3"/>
      <c r="J603" s="2"/>
      <c r="K603" s="2"/>
      <c r="L603" s="2"/>
      <c r="M603" s="2"/>
      <c r="N603" s="2"/>
      <c r="O603" s="2"/>
      <c r="P603" s="2"/>
      <c r="Q603" s="2"/>
      <c r="R603" s="2"/>
      <c r="S603" s="2"/>
      <c r="T603" s="2"/>
      <c r="U603" s="2"/>
      <c r="V603" s="2"/>
      <c r="W603" s="2"/>
      <c r="X603" s="2"/>
      <c r="Y603" s="2"/>
      <c r="Z603" s="2"/>
    </row>
    <row r="604" spans="1:26" ht="14.25" customHeight="1" x14ac:dyDescent="0.3">
      <c r="A604" s="2"/>
      <c r="B604" s="2"/>
      <c r="C604" s="2"/>
      <c r="D604" s="2"/>
      <c r="E604" s="2"/>
      <c r="F604" s="2"/>
      <c r="G604" s="3"/>
      <c r="H604" s="3"/>
      <c r="I604" s="3"/>
      <c r="J604" s="2"/>
      <c r="K604" s="2"/>
      <c r="L604" s="2"/>
      <c r="M604" s="2"/>
      <c r="N604" s="2"/>
      <c r="O604" s="2"/>
      <c r="P604" s="2"/>
      <c r="Q604" s="2"/>
      <c r="R604" s="2"/>
      <c r="S604" s="2"/>
      <c r="T604" s="2"/>
      <c r="U604" s="2"/>
      <c r="V604" s="2"/>
      <c r="W604" s="2"/>
      <c r="X604" s="2"/>
      <c r="Y604" s="2"/>
      <c r="Z604" s="2"/>
    </row>
    <row r="605" spans="1:26" ht="14.25" customHeight="1" x14ac:dyDescent="0.3">
      <c r="A605" s="2"/>
      <c r="B605" s="2"/>
      <c r="C605" s="2"/>
      <c r="D605" s="2"/>
      <c r="E605" s="2"/>
      <c r="F605" s="2"/>
      <c r="G605" s="3"/>
      <c r="H605" s="3"/>
      <c r="I605" s="3"/>
      <c r="J605" s="2"/>
      <c r="K605" s="2"/>
      <c r="L605" s="2"/>
      <c r="M605" s="2"/>
      <c r="N605" s="2"/>
      <c r="O605" s="2"/>
      <c r="P605" s="2"/>
      <c r="Q605" s="2"/>
      <c r="R605" s="2"/>
      <c r="S605" s="2"/>
      <c r="T605" s="2"/>
      <c r="U605" s="2"/>
      <c r="V605" s="2"/>
      <c r="W605" s="2"/>
      <c r="X605" s="2"/>
      <c r="Y605" s="2"/>
      <c r="Z605" s="2"/>
    </row>
    <row r="606" spans="1:26" ht="14.25" customHeight="1" x14ac:dyDescent="0.3">
      <c r="A606" s="2"/>
      <c r="B606" s="2"/>
      <c r="C606" s="2"/>
      <c r="D606" s="2"/>
      <c r="E606" s="2"/>
      <c r="F606" s="2"/>
      <c r="G606" s="3"/>
      <c r="H606" s="3"/>
      <c r="I606" s="3"/>
      <c r="J606" s="2"/>
      <c r="K606" s="2"/>
      <c r="L606" s="2"/>
      <c r="M606" s="2"/>
      <c r="N606" s="2"/>
      <c r="O606" s="2"/>
      <c r="P606" s="2"/>
      <c r="Q606" s="2"/>
      <c r="R606" s="2"/>
      <c r="S606" s="2"/>
      <c r="T606" s="2"/>
      <c r="U606" s="2"/>
      <c r="V606" s="2"/>
      <c r="W606" s="2"/>
      <c r="X606" s="2"/>
      <c r="Y606" s="2"/>
      <c r="Z606" s="2"/>
    </row>
    <row r="607" spans="1:26" ht="14.25" customHeight="1" x14ac:dyDescent="0.3">
      <c r="A607" s="2"/>
      <c r="B607" s="2"/>
      <c r="C607" s="2"/>
      <c r="D607" s="2"/>
      <c r="E607" s="2"/>
      <c r="F607" s="2"/>
      <c r="G607" s="3"/>
      <c r="H607" s="3"/>
      <c r="I607" s="3"/>
      <c r="J607" s="2"/>
      <c r="K607" s="2"/>
      <c r="L607" s="2"/>
      <c r="M607" s="2"/>
      <c r="N607" s="2"/>
      <c r="O607" s="2"/>
      <c r="P607" s="2"/>
      <c r="Q607" s="2"/>
      <c r="R607" s="2"/>
      <c r="S607" s="2"/>
      <c r="T607" s="2"/>
      <c r="U607" s="2"/>
      <c r="V607" s="2"/>
      <c r="W607" s="2"/>
      <c r="X607" s="2"/>
      <c r="Y607" s="2"/>
      <c r="Z607" s="2"/>
    </row>
    <row r="608" spans="1:26" ht="14.25" customHeight="1" x14ac:dyDescent="0.3">
      <c r="A608" s="2"/>
      <c r="B608" s="2"/>
      <c r="C608" s="2"/>
      <c r="D608" s="2"/>
      <c r="E608" s="2"/>
      <c r="F608" s="2"/>
      <c r="G608" s="3"/>
      <c r="H608" s="3"/>
      <c r="I608" s="3"/>
      <c r="J608" s="2"/>
      <c r="K608" s="2"/>
      <c r="L608" s="2"/>
      <c r="M608" s="2"/>
      <c r="N608" s="2"/>
      <c r="O608" s="2"/>
      <c r="P608" s="2"/>
      <c r="Q608" s="2"/>
      <c r="R608" s="2"/>
      <c r="S608" s="2"/>
      <c r="T608" s="2"/>
      <c r="U608" s="2"/>
      <c r="V608" s="2"/>
      <c r="W608" s="2"/>
      <c r="X608" s="2"/>
      <c r="Y608" s="2"/>
      <c r="Z608" s="2"/>
    </row>
    <row r="609" spans="1:26" ht="14.25" customHeight="1" x14ac:dyDescent="0.3">
      <c r="A609" s="2"/>
      <c r="B609" s="2"/>
      <c r="C609" s="2"/>
      <c r="D609" s="2"/>
      <c r="E609" s="2"/>
      <c r="F609" s="2"/>
      <c r="G609" s="3"/>
      <c r="H609" s="3"/>
      <c r="I609" s="3"/>
      <c r="J609" s="2"/>
      <c r="K609" s="2"/>
      <c r="L609" s="2"/>
      <c r="M609" s="2"/>
      <c r="N609" s="2"/>
      <c r="O609" s="2"/>
      <c r="P609" s="2"/>
      <c r="Q609" s="2"/>
      <c r="R609" s="2"/>
      <c r="S609" s="2"/>
      <c r="T609" s="2"/>
      <c r="U609" s="2"/>
      <c r="V609" s="2"/>
      <c r="W609" s="2"/>
      <c r="X609" s="2"/>
      <c r="Y609" s="2"/>
      <c r="Z609" s="2"/>
    </row>
    <row r="610" spans="1:26" ht="14.25" customHeight="1" x14ac:dyDescent="0.3">
      <c r="A610" s="2"/>
      <c r="B610" s="2"/>
      <c r="C610" s="2"/>
      <c r="D610" s="2"/>
      <c r="E610" s="2"/>
      <c r="F610" s="2"/>
      <c r="G610" s="3"/>
      <c r="H610" s="3"/>
      <c r="I610" s="3"/>
      <c r="J610" s="2"/>
      <c r="K610" s="2"/>
      <c r="L610" s="2"/>
      <c r="M610" s="2"/>
      <c r="N610" s="2"/>
      <c r="O610" s="2"/>
      <c r="P610" s="2"/>
      <c r="Q610" s="2"/>
      <c r="R610" s="2"/>
      <c r="S610" s="2"/>
      <c r="T610" s="2"/>
      <c r="U610" s="2"/>
      <c r="V610" s="2"/>
      <c r="W610" s="2"/>
      <c r="X610" s="2"/>
      <c r="Y610" s="2"/>
      <c r="Z610" s="2"/>
    </row>
    <row r="611" spans="1:26" ht="14.25" customHeight="1" x14ac:dyDescent="0.3">
      <c r="A611" s="2"/>
      <c r="B611" s="2"/>
      <c r="C611" s="2"/>
      <c r="D611" s="2"/>
      <c r="E611" s="2"/>
      <c r="F611" s="2"/>
      <c r="G611" s="3"/>
      <c r="H611" s="3"/>
      <c r="I611" s="3"/>
      <c r="J611" s="2"/>
      <c r="K611" s="2"/>
      <c r="L611" s="2"/>
      <c r="M611" s="2"/>
      <c r="N611" s="2"/>
      <c r="O611" s="2"/>
      <c r="P611" s="2"/>
      <c r="Q611" s="2"/>
      <c r="R611" s="2"/>
      <c r="S611" s="2"/>
      <c r="T611" s="2"/>
      <c r="U611" s="2"/>
      <c r="V611" s="2"/>
      <c r="W611" s="2"/>
      <c r="X611" s="2"/>
      <c r="Y611" s="2"/>
      <c r="Z611" s="2"/>
    </row>
    <row r="612" spans="1:26" ht="14.25" customHeight="1" x14ac:dyDescent="0.3">
      <c r="A612" s="2"/>
      <c r="B612" s="2"/>
      <c r="C612" s="2"/>
      <c r="D612" s="2"/>
      <c r="E612" s="2"/>
      <c r="F612" s="2"/>
      <c r="G612" s="3"/>
      <c r="H612" s="3"/>
      <c r="I612" s="3"/>
      <c r="J612" s="2"/>
      <c r="K612" s="2"/>
      <c r="L612" s="2"/>
      <c r="M612" s="2"/>
      <c r="N612" s="2"/>
      <c r="O612" s="2"/>
      <c r="P612" s="2"/>
      <c r="Q612" s="2"/>
      <c r="R612" s="2"/>
      <c r="S612" s="2"/>
      <c r="T612" s="2"/>
      <c r="U612" s="2"/>
      <c r="V612" s="2"/>
      <c r="W612" s="2"/>
      <c r="X612" s="2"/>
      <c r="Y612" s="2"/>
      <c r="Z612" s="2"/>
    </row>
    <row r="613" spans="1:26" ht="14.25" customHeight="1" x14ac:dyDescent="0.3">
      <c r="A613" s="2"/>
      <c r="B613" s="2"/>
      <c r="C613" s="2"/>
      <c r="D613" s="2"/>
      <c r="E613" s="2"/>
      <c r="F613" s="2"/>
      <c r="G613" s="3"/>
      <c r="H613" s="3"/>
      <c r="I613" s="3"/>
      <c r="J613" s="2"/>
      <c r="K613" s="2"/>
      <c r="L613" s="2"/>
      <c r="M613" s="2"/>
      <c r="N613" s="2"/>
      <c r="O613" s="2"/>
      <c r="P613" s="2"/>
      <c r="Q613" s="2"/>
      <c r="R613" s="2"/>
      <c r="S613" s="2"/>
      <c r="T613" s="2"/>
      <c r="U613" s="2"/>
      <c r="V613" s="2"/>
      <c r="W613" s="2"/>
      <c r="X613" s="2"/>
      <c r="Y613" s="2"/>
      <c r="Z613" s="2"/>
    </row>
    <row r="614" spans="1:26" ht="14.25" customHeight="1" x14ac:dyDescent="0.3">
      <c r="A614" s="2"/>
      <c r="B614" s="2"/>
      <c r="C614" s="2"/>
      <c r="D614" s="2"/>
      <c r="E614" s="2"/>
      <c r="F614" s="2"/>
      <c r="G614" s="3"/>
      <c r="H614" s="3"/>
      <c r="I614" s="3"/>
      <c r="J614" s="2"/>
      <c r="K614" s="2"/>
      <c r="L614" s="2"/>
      <c r="M614" s="2"/>
      <c r="N614" s="2"/>
      <c r="O614" s="2"/>
      <c r="P614" s="2"/>
      <c r="Q614" s="2"/>
      <c r="R614" s="2"/>
      <c r="S614" s="2"/>
      <c r="T614" s="2"/>
      <c r="U614" s="2"/>
      <c r="V614" s="2"/>
      <c r="W614" s="2"/>
      <c r="X614" s="2"/>
      <c r="Y614" s="2"/>
      <c r="Z614" s="2"/>
    </row>
    <row r="615" spans="1:26" ht="14.25" customHeight="1" x14ac:dyDescent="0.3">
      <c r="A615" s="2"/>
      <c r="B615" s="2"/>
      <c r="C615" s="2"/>
      <c r="D615" s="2"/>
      <c r="E615" s="2"/>
      <c r="F615" s="2"/>
      <c r="G615" s="3"/>
      <c r="H615" s="3"/>
      <c r="I615" s="3"/>
      <c r="J615" s="2"/>
      <c r="K615" s="2"/>
      <c r="L615" s="2"/>
      <c r="M615" s="2"/>
      <c r="N615" s="2"/>
      <c r="O615" s="2"/>
      <c r="P615" s="2"/>
      <c r="Q615" s="2"/>
      <c r="R615" s="2"/>
      <c r="S615" s="2"/>
      <c r="T615" s="2"/>
      <c r="U615" s="2"/>
      <c r="V615" s="2"/>
      <c r="W615" s="2"/>
      <c r="X615" s="2"/>
      <c r="Y615" s="2"/>
      <c r="Z615" s="2"/>
    </row>
    <row r="616" spans="1:26" ht="14.25" customHeight="1" x14ac:dyDescent="0.3">
      <c r="A616" s="2"/>
      <c r="B616" s="2"/>
      <c r="C616" s="2"/>
      <c r="D616" s="2"/>
      <c r="E616" s="2"/>
      <c r="F616" s="2"/>
      <c r="G616" s="3"/>
      <c r="H616" s="3"/>
      <c r="I616" s="3"/>
      <c r="J616" s="2"/>
      <c r="K616" s="2"/>
      <c r="L616" s="2"/>
      <c r="M616" s="2"/>
      <c r="N616" s="2"/>
      <c r="O616" s="2"/>
      <c r="P616" s="2"/>
      <c r="Q616" s="2"/>
      <c r="R616" s="2"/>
      <c r="S616" s="2"/>
      <c r="T616" s="2"/>
      <c r="U616" s="2"/>
      <c r="V616" s="2"/>
      <c r="W616" s="2"/>
      <c r="X616" s="2"/>
      <c r="Y616" s="2"/>
      <c r="Z616" s="2"/>
    </row>
    <row r="617" spans="1:26" ht="14.25" customHeight="1" x14ac:dyDescent="0.3">
      <c r="A617" s="2"/>
      <c r="B617" s="2"/>
      <c r="C617" s="2"/>
      <c r="D617" s="2"/>
      <c r="E617" s="2"/>
      <c r="F617" s="2"/>
      <c r="G617" s="3"/>
      <c r="H617" s="3"/>
      <c r="I617" s="3"/>
      <c r="J617" s="2"/>
      <c r="K617" s="2"/>
      <c r="L617" s="2"/>
      <c r="M617" s="2"/>
      <c r="N617" s="2"/>
      <c r="O617" s="2"/>
      <c r="P617" s="2"/>
      <c r="Q617" s="2"/>
      <c r="R617" s="2"/>
      <c r="S617" s="2"/>
      <c r="T617" s="2"/>
      <c r="U617" s="2"/>
      <c r="V617" s="2"/>
      <c r="W617" s="2"/>
      <c r="X617" s="2"/>
      <c r="Y617" s="2"/>
      <c r="Z617" s="2"/>
    </row>
    <row r="618" spans="1:26" ht="14.25" customHeight="1" x14ac:dyDescent="0.3">
      <c r="A618" s="2"/>
      <c r="B618" s="2"/>
      <c r="C618" s="2"/>
      <c r="D618" s="2"/>
      <c r="E618" s="2"/>
      <c r="F618" s="2"/>
      <c r="G618" s="3"/>
      <c r="H618" s="3"/>
      <c r="I618" s="3"/>
      <c r="J618" s="2"/>
      <c r="K618" s="2"/>
      <c r="L618" s="2"/>
      <c r="M618" s="2"/>
      <c r="N618" s="2"/>
      <c r="O618" s="2"/>
      <c r="P618" s="2"/>
      <c r="Q618" s="2"/>
      <c r="R618" s="2"/>
      <c r="S618" s="2"/>
      <c r="T618" s="2"/>
      <c r="U618" s="2"/>
      <c r="V618" s="2"/>
      <c r="W618" s="2"/>
      <c r="X618" s="2"/>
      <c r="Y618" s="2"/>
      <c r="Z618" s="2"/>
    </row>
    <row r="619" spans="1:26" ht="14.25" customHeight="1" x14ac:dyDescent="0.3">
      <c r="A619" s="2"/>
      <c r="B619" s="2"/>
      <c r="C619" s="2"/>
      <c r="D619" s="2"/>
      <c r="E619" s="2"/>
      <c r="F619" s="2"/>
      <c r="G619" s="3"/>
      <c r="H619" s="3"/>
      <c r="I619" s="3"/>
      <c r="J619" s="2"/>
      <c r="K619" s="2"/>
      <c r="L619" s="2"/>
      <c r="M619" s="2"/>
      <c r="N619" s="2"/>
      <c r="O619" s="2"/>
      <c r="P619" s="2"/>
      <c r="Q619" s="2"/>
      <c r="R619" s="2"/>
      <c r="S619" s="2"/>
      <c r="T619" s="2"/>
      <c r="U619" s="2"/>
      <c r="V619" s="2"/>
      <c r="W619" s="2"/>
      <c r="X619" s="2"/>
      <c r="Y619" s="2"/>
      <c r="Z619" s="2"/>
    </row>
    <row r="620" spans="1:26" ht="14.25" customHeight="1" x14ac:dyDescent="0.3">
      <c r="A620" s="2"/>
      <c r="B620" s="2"/>
      <c r="C620" s="2"/>
      <c r="D620" s="2"/>
      <c r="E620" s="2"/>
      <c r="F620" s="2"/>
      <c r="G620" s="3"/>
      <c r="H620" s="3"/>
      <c r="I620" s="3"/>
      <c r="J620" s="2"/>
      <c r="K620" s="2"/>
      <c r="L620" s="2"/>
      <c r="M620" s="2"/>
      <c r="N620" s="2"/>
      <c r="O620" s="2"/>
      <c r="P620" s="2"/>
      <c r="Q620" s="2"/>
      <c r="R620" s="2"/>
      <c r="S620" s="2"/>
      <c r="T620" s="2"/>
      <c r="U620" s="2"/>
      <c r="V620" s="2"/>
      <c r="W620" s="2"/>
      <c r="X620" s="2"/>
      <c r="Y620" s="2"/>
      <c r="Z620" s="2"/>
    </row>
    <row r="621" spans="1:26" ht="14.25" customHeight="1" x14ac:dyDescent="0.3">
      <c r="A621" s="2"/>
      <c r="B621" s="2"/>
      <c r="C621" s="2"/>
      <c r="D621" s="2"/>
      <c r="E621" s="2"/>
      <c r="F621" s="2"/>
      <c r="G621" s="3"/>
      <c r="H621" s="3"/>
      <c r="I621" s="3"/>
      <c r="J621" s="2"/>
      <c r="K621" s="2"/>
      <c r="L621" s="2"/>
      <c r="M621" s="2"/>
      <c r="N621" s="2"/>
      <c r="O621" s="2"/>
      <c r="P621" s="2"/>
      <c r="Q621" s="2"/>
      <c r="R621" s="2"/>
      <c r="S621" s="2"/>
      <c r="T621" s="2"/>
      <c r="U621" s="2"/>
      <c r="V621" s="2"/>
      <c r="W621" s="2"/>
      <c r="X621" s="2"/>
      <c r="Y621" s="2"/>
      <c r="Z621" s="2"/>
    </row>
    <row r="622" spans="1:26" ht="14.25" customHeight="1" x14ac:dyDescent="0.3">
      <c r="A622" s="2"/>
      <c r="B622" s="2"/>
      <c r="C622" s="2"/>
      <c r="D622" s="2"/>
      <c r="E622" s="2"/>
      <c r="F622" s="2"/>
      <c r="G622" s="3"/>
      <c r="H622" s="3"/>
      <c r="I622" s="3"/>
      <c r="J622" s="2"/>
      <c r="K622" s="2"/>
      <c r="L622" s="2"/>
      <c r="M622" s="2"/>
      <c r="N622" s="2"/>
      <c r="O622" s="2"/>
      <c r="P622" s="2"/>
      <c r="Q622" s="2"/>
      <c r="R622" s="2"/>
      <c r="S622" s="2"/>
      <c r="T622" s="2"/>
      <c r="U622" s="2"/>
      <c r="V622" s="2"/>
      <c r="W622" s="2"/>
      <c r="X622" s="2"/>
      <c r="Y622" s="2"/>
      <c r="Z622" s="2"/>
    </row>
    <row r="623" spans="1:26" ht="14.25" customHeight="1" x14ac:dyDescent="0.3">
      <c r="A623" s="2"/>
      <c r="B623" s="2"/>
      <c r="C623" s="2"/>
      <c r="D623" s="2"/>
      <c r="E623" s="2"/>
      <c r="F623" s="2"/>
      <c r="G623" s="3"/>
      <c r="H623" s="3"/>
      <c r="I623" s="3"/>
      <c r="J623" s="2"/>
      <c r="K623" s="2"/>
      <c r="L623" s="2"/>
      <c r="M623" s="2"/>
      <c r="N623" s="2"/>
      <c r="O623" s="2"/>
      <c r="P623" s="2"/>
      <c r="Q623" s="2"/>
      <c r="R623" s="2"/>
      <c r="S623" s="2"/>
      <c r="T623" s="2"/>
      <c r="U623" s="2"/>
      <c r="V623" s="2"/>
      <c r="W623" s="2"/>
      <c r="X623" s="2"/>
      <c r="Y623" s="2"/>
      <c r="Z623" s="2"/>
    </row>
    <row r="624" spans="1:26" ht="14.25" customHeight="1" x14ac:dyDescent="0.3">
      <c r="A624" s="2"/>
      <c r="B624" s="2"/>
      <c r="C624" s="2"/>
      <c r="D624" s="2"/>
      <c r="E624" s="2"/>
      <c r="F624" s="2"/>
      <c r="G624" s="3"/>
      <c r="H624" s="3"/>
      <c r="I624" s="3"/>
      <c r="J624" s="2"/>
      <c r="K624" s="2"/>
      <c r="L624" s="2"/>
      <c r="M624" s="2"/>
      <c r="N624" s="2"/>
      <c r="O624" s="2"/>
      <c r="P624" s="2"/>
      <c r="Q624" s="2"/>
      <c r="R624" s="2"/>
      <c r="S624" s="2"/>
      <c r="T624" s="2"/>
      <c r="U624" s="2"/>
      <c r="V624" s="2"/>
      <c r="W624" s="2"/>
      <c r="X624" s="2"/>
      <c r="Y624" s="2"/>
      <c r="Z624" s="2"/>
    </row>
    <row r="625" spans="1:26" ht="14.25" customHeight="1" x14ac:dyDescent="0.3">
      <c r="A625" s="2"/>
      <c r="B625" s="2"/>
      <c r="C625" s="2"/>
      <c r="D625" s="2"/>
      <c r="E625" s="2"/>
      <c r="F625" s="2"/>
      <c r="G625" s="3"/>
      <c r="H625" s="3"/>
      <c r="I625" s="3"/>
      <c r="J625" s="2"/>
      <c r="K625" s="2"/>
      <c r="L625" s="2"/>
      <c r="M625" s="2"/>
      <c r="N625" s="2"/>
      <c r="O625" s="2"/>
      <c r="P625" s="2"/>
      <c r="Q625" s="2"/>
      <c r="R625" s="2"/>
      <c r="S625" s="2"/>
      <c r="T625" s="2"/>
      <c r="U625" s="2"/>
      <c r="V625" s="2"/>
      <c r="W625" s="2"/>
      <c r="X625" s="2"/>
      <c r="Y625" s="2"/>
      <c r="Z625" s="2"/>
    </row>
    <row r="626" spans="1:26" ht="14.25" customHeight="1" x14ac:dyDescent="0.3">
      <c r="A626" s="2"/>
      <c r="B626" s="2"/>
      <c r="C626" s="2"/>
      <c r="D626" s="2"/>
      <c r="E626" s="2"/>
      <c r="F626" s="2"/>
      <c r="G626" s="3"/>
      <c r="H626" s="3"/>
      <c r="I626" s="3"/>
      <c r="J626" s="2"/>
      <c r="K626" s="2"/>
      <c r="L626" s="2"/>
      <c r="M626" s="2"/>
      <c r="N626" s="2"/>
      <c r="O626" s="2"/>
      <c r="P626" s="2"/>
      <c r="Q626" s="2"/>
      <c r="R626" s="2"/>
      <c r="S626" s="2"/>
      <c r="T626" s="2"/>
      <c r="U626" s="2"/>
      <c r="V626" s="2"/>
      <c r="W626" s="2"/>
      <c r="X626" s="2"/>
      <c r="Y626" s="2"/>
      <c r="Z626" s="2"/>
    </row>
    <row r="627" spans="1:26" ht="14.25" customHeight="1" x14ac:dyDescent="0.3">
      <c r="A627" s="2"/>
      <c r="B627" s="2"/>
      <c r="C627" s="2"/>
      <c r="D627" s="2"/>
      <c r="E627" s="2"/>
      <c r="F627" s="2"/>
      <c r="G627" s="3"/>
      <c r="H627" s="3"/>
      <c r="I627" s="3"/>
      <c r="J627" s="2"/>
      <c r="K627" s="2"/>
      <c r="L627" s="2"/>
      <c r="M627" s="2"/>
      <c r="N627" s="2"/>
      <c r="O627" s="2"/>
      <c r="P627" s="2"/>
      <c r="Q627" s="2"/>
      <c r="R627" s="2"/>
      <c r="S627" s="2"/>
      <c r="T627" s="2"/>
      <c r="U627" s="2"/>
      <c r="V627" s="2"/>
      <c r="W627" s="2"/>
      <c r="X627" s="2"/>
      <c r="Y627" s="2"/>
      <c r="Z627" s="2"/>
    </row>
    <row r="628" spans="1:26" ht="14.25" customHeight="1" x14ac:dyDescent="0.3">
      <c r="A628" s="2"/>
      <c r="B628" s="2"/>
      <c r="C628" s="2"/>
      <c r="D628" s="2"/>
      <c r="E628" s="2"/>
      <c r="F628" s="2"/>
      <c r="G628" s="3"/>
      <c r="H628" s="3"/>
      <c r="I628" s="3"/>
      <c r="J628" s="2"/>
      <c r="K628" s="2"/>
      <c r="L628" s="2"/>
      <c r="M628" s="2"/>
      <c r="N628" s="2"/>
      <c r="O628" s="2"/>
      <c r="P628" s="2"/>
      <c r="Q628" s="2"/>
      <c r="R628" s="2"/>
      <c r="S628" s="2"/>
      <c r="T628" s="2"/>
      <c r="U628" s="2"/>
      <c r="V628" s="2"/>
      <c r="W628" s="2"/>
      <c r="X628" s="2"/>
      <c r="Y628" s="2"/>
      <c r="Z628" s="2"/>
    </row>
    <row r="629" spans="1:26" ht="14.25" customHeight="1" x14ac:dyDescent="0.3">
      <c r="A629" s="2"/>
      <c r="B629" s="2"/>
      <c r="C629" s="2"/>
      <c r="D629" s="2"/>
      <c r="E629" s="2"/>
      <c r="F629" s="2"/>
      <c r="G629" s="3"/>
      <c r="H629" s="3"/>
      <c r="I629" s="3"/>
      <c r="J629" s="2"/>
      <c r="K629" s="2"/>
      <c r="L629" s="2"/>
      <c r="M629" s="2"/>
      <c r="N629" s="2"/>
      <c r="O629" s="2"/>
      <c r="P629" s="2"/>
      <c r="Q629" s="2"/>
      <c r="R629" s="2"/>
      <c r="S629" s="2"/>
      <c r="T629" s="2"/>
      <c r="U629" s="2"/>
      <c r="V629" s="2"/>
      <c r="W629" s="2"/>
      <c r="X629" s="2"/>
      <c r="Y629" s="2"/>
      <c r="Z629" s="2"/>
    </row>
    <row r="630" spans="1:26" ht="14.25" customHeight="1" x14ac:dyDescent="0.3">
      <c r="A630" s="2"/>
      <c r="B630" s="2"/>
      <c r="C630" s="2"/>
      <c r="D630" s="2"/>
      <c r="E630" s="2"/>
      <c r="F630" s="2"/>
      <c r="G630" s="3"/>
      <c r="H630" s="3"/>
      <c r="I630" s="3"/>
      <c r="J630" s="2"/>
      <c r="K630" s="2"/>
      <c r="L630" s="2"/>
      <c r="M630" s="2"/>
      <c r="N630" s="2"/>
      <c r="O630" s="2"/>
      <c r="P630" s="2"/>
      <c r="Q630" s="2"/>
      <c r="R630" s="2"/>
      <c r="S630" s="2"/>
      <c r="T630" s="2"/>
      <c r="U630" s="2"/>
      <c r="V630" s="2"/>
      <c r="W630" s="2"/>
      <c r="X630" s="2"/>
      <c r="Y630" s="2"/>
      <c r="Z630" s="2"/>
    </row>
    <row r="631" spans="1:26" ht="14.25" customHeight="1" x14ac:dyDescent="0.3">
      <c r="A631" s="2"/>
      <c r="B631" s="2"/>
      <c r="C631" s="2"/>
      <c r="D631" s="2"/>
      <c r="E631" s="2"/>
      <c r="F631" s="2"/>
      <c r="G631" s="3"/>
      <c r="H631" s="3"/>
      <c r="I631" s="3"/>
      <c r="J631" s="2"/>
      <c r="K631" s="2"/>
      <c r="L631" s="2"/>
      <c r="M631" s="2"/>
      <c r="N631" s="2"/>
      <c r="O631" s="2"/>
      <c r="P631" s="2"/>
      <c r="Q631" s="2"/>
      <c r="R631" s="2"/>
      <c r="S631" s="2"/>
      <c r="T631" s="2"/>
      <c r="U631" s="2"/>
      <c r="V631" s="2"/>
      <c r="W631" s="2"/>
      <c r="X631" s="2"/>
      <c r="Y631" s="2"/>
      <c r="Z631" s="2"/>
    </row>
    <row r="632" spans="1:26" ht="14.25" customHeight="1" x14ac:dyDescent="0.3">
      <c r="A632" s="2"/>
      <c r="B632" s="2"/>
      <c r="C632" s="2"/>
      <c r="D632" s="2"/>
      <c r="E632" s="2"/>
      <c r="F632" s="2"/>
      <c r="G632" s="3"/>
      <c r="H632" s="3"/>
      <c r="I632" s="3"/>
      <c r="J632" s="2"/>
      <c r="K632" s="2"/>
      <c r="L632" s="2"/>
      <c r="M632" s="2"/>
      <c r="N632" s="2"/>
      <c r="O632" s="2"/>
      <c r="P632" s="2"/>
      <c r="Q632" s="2"/>
      <c r="R632" s="2"/>
      <c r="S632" s="2"/>
      <c r="T632" s="2"/>
      <c r="U632" s="2"/>
      <c r="V632" s="2"/>
      <c r="W632" s="2"/>
      <c r="X632" s="2"/>
      <c r="Y632" s="2"/>
      <c r="Z632" s="2"/>
    </row>
    <row r="633" spans="1:26" ht="14.25" customHeight="1" x14ac:dyDescent="0.3">
      <c r="A633" s="2"/>
      <c r="B633" s="2"/>
      <c r="C633" s="2"/>
      <c r="D633" s="2"/>
      <c r="E633" s="2"/>
      <c r="F633" s="2"/>
      <c r="G633" s="3"/>
      <c r="H633" s="3"/>
      <c r="I633" s="3"/>
      <c r="J633" s="2"/>
      <c r="K633" s="2"/>
      <c r="L633" s="2"/>
      <c r="M633" s="2"/>
      <c r="N633" s="2"/>
      <c r="O633" s="2"/>
      <c r="P633" s="2"/>
      <c r="Q633" s="2"/>
      <c r="R633" s="2"/>
      <c r="S633" s="2"/>
      <c r="T633" s="2"/>
      <c r="U633" s="2"/>
      <c r="V633" s="2"/>
      <c r="W633" s="2"/>
      <c r="X633" s="2"/>
      <c r="Y633" s="2"/>
      <c r="Z633" s="2"/>
    </row>
    <row r="634" spans="1:26" ht="14.25" customHeight="1" x14ac:dyDescent="0.3">
      <c r="A634" s="2"/>
      <c r="B634" s="2"/>
      <c r="C634" s="2"/>
      <c r="D634" s="2"/>
      <c r="E634" s="2"/>
      <c r="F634" s="2"/>
      <c r="G634" s="3"/>
      <c r="H634" s="3"/>
      <c r="I634" s="3"/>
      <c r="J634" s="2"/>
      <c r="K634" s="2"/>
      <c r="L634" s="2"/>
      <c r="M634" s="2"/>
      <c r="N634" s="2"/>
      <c r="O634" s="2"/>
      <c r="P634" s="2"/>
      <c r="Q634" s="2"/>
      <c r="R634" s="2"/>
      <c r="S634" s="2"/>
      <c r="T634" s="2"/>
      <c r="U634" s="2"/>
      <c r="V634" s="2"/>
      <c r="W634" s="2"/>
      <c r="X634" s="2"/>
      <c r="Y634" s="2"/>
      <c r="Z634" s="2"/>
    </row>
    <row r="635" spans="1:26" ht="14.25" customHeight="1" x14ac:dyDescent="0.3">
      <c r="A635" s="2"/>
      <c r="B635" s="2"/>
      <c r="C635" s="2"/>
      <c r="D635" s="2"/>
      <c r="E635" s="2"/>
      <c r="F635" s="2"/>
      <c r="G635" s="3"/>
      <c r="H635" s="3"/>
      <c r="I635" s="3"/>
      <c r="J635" s="2"/>
      <c r="K635" s="2"/>
      <c r="L635" s="2"/>
      <c r="M635" s="2"/>
      <c r="N635" s="2"/>
      <c r="O635" s="2"/>
      <c r="P635" s="2"/>
      <c r="Q635" s="2"/>
      <c r="R635" s="2"/>
      <c r="S635" s="2"/>
      <c r="T635" s="2"/>
      <c r="U635" s="2"/>
      <c r="V635" s="2"/>
      <c r="W635" s="2"/>
      <c r="X635" s="2"/>
      <c r="Y635" s="2"/>
      <c r="Z635" s="2"/>
    </row>
    <row r="636" spans="1:26" ht="14.25" customHeight="1" x14ac:dyDescent="0.3">
      <c r="A636" s="2"/>
      <c r="B636" s="2"/>
      <c r="C636" s="2"/>
      <c r="D636" s="2"/>
      <c r="E636" s="2"/>
      <c r="F636" s="2"/>
      <c r="G636" s="3"/>
      <c r="H636" s="3"/>
      <c r="I636" s="3"/>
      <c r="J636" s="2"/>
      <c r="K636" s="2"/>
      <c r="L636" s="2"/>
      <c r="M636" s="2"/>
      <c r="N636" s="2"/>
      <c r="O636" s="2"/>
      <c r="P636" s="2"/>
      <c r="Q636" s="2"/>
      <c r="R636" s="2"/>
      <c r="S636" s="2"/>
      <c r="T636" s="2"/>
      <c r="U636" s="2"/>
      <c r="V636" s="2"/>
      <c r="W636" s="2"/>
      <c r="X636" s="2"/>
      <c r="Y636" s="2"/>
      <c r="Z636" s="2"/>
    </row>
    <row r="637" spans="1:26" ht="14.25" customHeight="1" x14ac:dyDescent="0.3">
      <c r="A637" s="2"/>
      <c r="B637" s="2"/>
      <c r="C637" s="2"/>
      <c r="D637" s="2"/>
      <c r="E637" s="2"/>
      <c r="F637" s="2"/>
      <c r="G637" s="3"/>
      <c r="H637" s="3"/>
      <c r="I637" s="3"/>
      <c r="J637" s="2"/>
      <c r="K637" s="2"/>
      <c r="L637" s="2"/>
      <c r="M637" s="2"/>
      <c r="N637" s="2"/>
      <c r="O637" s="2"/>
      <c r="P637" s="2"/>
      <c r="Q637" s="2"/>
      <c r="R637" s="2"/>
      <c r="S637" s="2"/>
      <c r="T637" s="2"/>
      <c r="U637" s="2"/>
      <c r="V637" s="2"/>
      <c r="W637" s="2"/>
      <c r="X637" s="2"/>
      <c r="Y637" s="2"/>
      <c r="Z637" s="2"/>
    </row>
    <row r="638" spans="1:26" ht="14.25" customHeight="1" x14ac:dyDescent="0.3">
      <c r="A638" s="2"/>
      <c r="B638" s="2"/>
      <c r="C638" s="2"/>
      <c r="D638" s="2"/>
      <c r="E638" s="2"/>
      <c r="F638" s="2"/>
      <c r="G638" s="3"/>
      <c r="H638" s="3"/>
      <c r="I638" s="3"/>
      <c r="J638" s="2"/>
      <c r="K638" s="2"/>
      <c r="L638" s="2"/>
      <c r="M638" s="2"/>
      <c r="N638" s="2"/>
      <c r="O638" s="2"/>
      <c r="P638" s="2"/>
      <c r="Q638" s="2"/>
      <c r="R638" s="2"/>
      <c r="S638" s="2"/>
      <c r="T638" s="2"/>
      <c r="U638" s="2"/>
      <c r="V638" s="2"/>
      <c r="W638" s="2"/>
      <c r="X638" s="2"/>
      <c r="Y638" s="2"/>
      <c r="Z638" s="2"/>
    </row>
    <row r="639" spans="1:26" ht="14.25" customHeight="1" x14ac:dyDescent="0.3">
      <c r="A639" s="2"/>
      <c r="B639" s="2"/>
      <c r="C639" s="2"/>
      <c r="D639" s="2"/>
      <c r="E639" s="2"/>
      <c r="F639" s="2"/>
      <c r="G639" s="3"/>
      <c r="H639" s="3"/>
      <c r="I639" s="3"/>
      <c r="J639" s="2"/>
      <c r="K639" s="2"/>
      <c r="L639" s="2"/>
      <c r="M639" s="2"/>
      <c r="N639" s="2"/>
      <c r="O639" s="2"/>
      <c r="P639" s="2"/>
      <c r="Q639" s="2"/>
      <c r="R639" s="2"/>
      <c r="S639" s="2"/>
      <c r="T639" s="2"/>
      <c r="U639" s="2"/>
      <c r="V639" s="2"/>
      <c r="W639" s="2"/>
      <c r="X639" s="2"/>
      <c r="Y639" s="2"/>
      <c r="Z639" s="2"/>
    </row>
    <row r="640" spans="1:26" ht="14.25" customHeight="1" x14ac:dyDescent="0.3">
      <c r="A640" s="2"/>
      <c r="B640" s="2"/>
      <c r="C640" s="2"/>
      <c r="D640" s="2"/>
      <c r="E640" s="2"/>
      <c r="F640" s="2"/>
      <c r="G640" s="3"/>
      <c r="H640" s="3"/>
      <c r="I640" s="3"/>
      <c r="J640" s="2"/>
      <c r="K640" s="2"/>
      <c r="L640" s="2"/>
      <c r="M640" s="2"/>
      <c r="N640" s="2"/>
      <c r="O640" s="2"/>
      <c r="P640" s="2"/>
      <c r="Q640" s="2"/>
      <c r="R640" s="2"/>
      <c r="S640" s="2"/>
      <c r="T640" s="2"/>
      <c r="U640" s="2"/>
      <c r="V640" s="2"/>
      <c r="W640" s="2"/>
      <c r="X640" s="2"/>
      <c r="Y640" s="2"/>
      <c r="Z640" s="2"/>
    </row>
    <row r="641" spans="1:26" ht="14.25" customHeight="1" x14ac:dyDescent="0.3">
      <c r="A641" s="2"/>
      <c r="B641" s="2"/>
      <c r="C641" s="2"/>
      <c r="D641" s="2"/>
      <c r="E641" s="2"/>
      <c r="F641" s="2"/>
      <c r="G641" s="3"/>
      <c r="H641" s="3"/>
      <c r="I641" s="3"/>
      <c r="J641" s="2"/>
      <c r="K641" s="2"/>
      <c r="L641" s="2"/>
      <c r="M641" s="2"/>
      <c r="N641" s="2"/>
      <c r="O641" s="2"/>
      <c r="P641" s="2"/>
      <c r="Q641" s="2"/>
      <c r="R641" s="2"/>
      <c r="S641" s="2"/>
      <c r="T641" s="2"/>
      <c r="U641" s="2"/>
      <c r="V641" s="2"/>
      <c r="W641" s="2"/>
      <c r="X641" s="2"/>
      <c r="Y641" s="2"/>
      <c r="Z641" s="2"/>
    </row>
    <row r="642" spans="1:26" ht="14.25" customHeight="1" x14ac:dyDescent="0.3">
      <c r="A642" s="2"/>
      <c r="B642" s="2"/>
      <c r="C642" s="2"/>
      <c r="D642" s="2"/>
      <c r="E642" s="2"/>
      <c r="F642" s="2"/>
      <c r="G642" s="3"/>
      <c r="H642" s="3"/>
      <c r="I642" s="3"/>
      <c r="J642" s="2"/>
      <c r="K642" s="2"/>
      <c r="L642" s="2"/>
      <c r="M642" s="2"/>
      <c r="N642" s="2"/>
      <c r="O642" s="2"/>
      <c r="P642" s="2"/>
      <c r="Q642" s="2"/>
      <c r="R642" s="2"/>
      <c r="S642" s="2"/>
      <c r="T642" s="2"/>
      <c r="U642" s="2"/>
      <c r="V642" s="2"/>
      <c r="W642" s="2"/>
      <c r="X642" s="2"/>
      <c r="Y642" s="2"/>
      <c r="Z642" s="2"/>
    </row>
    <row r="643" spans="1:26" ht="14.25" customHeight="1" x14ac:dyDescent="0.3">
      <c r="A643" s="2"/>
      <c r="B643" s="2"/>
      <c r="C643" s="2"/>
      <c r="D643" s="2"/>
      <c r="E643" s="2"/>
      <c r="F643" s="2"/>
      <c r="G643" s="3"/>
      <c r="H643" s="3"/>
      <c r="I643" s="3"/>
      <c r="J643" s="2"/>
      <c r="K643" s="2"/>
      <c r="L643" s="2"/>
      <c r="M643" s="2"/>
      <c r="N643" s="2"/>
      <c r="O643" s="2"/>
      <c r="P643" s="2"/>
      <c r="Q643" s="2"/>
      <c r="R643" s="2"/>
      <c r="S643" s="2"/>
      <c r="T643" s="2"/>
      <c r="U643" s="2"/>
      <c r="V643" s="2"/>
      <c r="W643" s="2"/>
      <c r="X643" s="2"/>
      <c r="Y643" s="2"/>
      <c r="Z643" s="2"/>
    </row>
    <row r="644" spans="1:26" ht="14.25" customHeight="1" x14ac:dyDescent="0.3">
      <c r="A644" s="2"/>
      <c r="B644" s="2"/>
      <c r="C644" s="2"/>
      <c r="D644" s="2"/>
      <c r="E644" s="2"/>
      <c r="F644" s="2"/>
      <c r="G644" s="3"/>
      <c r="H644" s="3"/>
      <c r="I644" s="3"/>
      <c r="J644" s="2"/>
      <c r="K644" s="2"/>
      <c r="L644" s="2"/>
      <c r="M644" s="2"/>
      <c r="N644" s="2"/>
      <c r="O644" s="2"/>
      <c r="P644" s="2"/>
      <c r="Q644" s="2"/>
      <c r="R644" s="2"/>
      <c r="S644" s="2"/>
      <c r="T644" s="2"/>
      <c r="U644" s="2"/>
      <c r="V644" s="2"/>
      <c r="W644" s="2"/>
      <c r="X644" s="2"/>
      <c r="Y644" s="2"/>
      <c r="Z644" s="2"/>
    </row>
    <row r="645" spans="1:26" ht="14.25" customHeight="1" x14ac:dyDescent="0.3">
      <c r="A645" s="2"/>
      <c r="B645" s="2"/>
      <c r="C645" s="2"/>
      <c r="D645" s="2"/>
      <c r="E645" s="2"/>
      <c r="F645" s="2"/>
      <c r="G645" s="3"/>
      <c r="H645" s="3"/>
      <c r="I645" s="3"/>
      <c r="J645" s="2"/>
      <c r="K645" s="2"/>
      <c r="L645" s="2"/>
      <c r="M645" s="2"/>
      <c r="N645" s="2"/>
      <c r="O645" s="2"/>
      <c r="P645" s="2"/>
      <c r="Q645" s="2"/>
      <c r="R645" s="2"/>
      <c r="S645" s="2"/>
      <c r="T645" s="2"/>
      <c r="U645" s="2"/>
      <c r="V645" s="2"/>
      <c r="W645" s="2"/>
      <c r="X645" s="2"/>
      <c r="Y645" s="2"/>
      <c r="Z645" s="2"/>
    </row>
    <row r="646" spans="1:26" ht="14.25" customHeight="1" x14ac:dyDescent="0.3">
      <c r="A646" s="2"/>
      <c r="B646" s="2"/>
      <c r="C646" s="2"/>
      <c r="D646" s="2"/>
      <c r="E646" s="2"/>
      <c r="F646" s="2"/>
      <c r="G646" s="3"/>
      <c r="H646" s="3"/>
      <c r="I646" s="3"/>
      <c r="J646" s="2"/>
      <c r="K646" s="2"/>
      <c r="L646" s="2"/>
      <c r="M646" s="2"/>
      <c r="N646" s="2"/>
      <c r="O646" s="2"/>
      <c r="P646" s="2"/>
      <c r="Q646" s="2"/>
      <c r="R646" s="2"/>
      <c r="S646" s="2"/>
      <c r="T646" s="2"/>
      <c r="U646" s="2"/>
      <c r="V646" s="2"/>
      <c r="W646" s="2"/>
      <c r="X646" s="2"/>
      <c r="Y646" s="2"/>
      <c r="Z646" s="2"/>
    </row>
    <row r="647" spans="1:26" ht="14.25" customHeight="1" x14ac:dyDescent="0.3">
      <c r="A647" s="2"/>
      <c r="B647" s="2"/>
      <c r="C647" s="2"/>
      <c r="D647" s="2"/>
      <c r="E647" s="2"/>
      <c r="F647" s="2"/>
      <c r="G647" s="3"/>
      <c r="H647" s="3"/>
      <c r="I647" s="3"/>
      <c r="J647" s="2"/>
      <c r="K647" s="2"/>
      <c r="L647" s="2"/>
      <c r="M647" s="2"/>
      <c r="N647" s="2"/>
      <c r="O647" s="2"/>
      <c r="P647" s="2"/>
      <c r="Q647" s="2"/>
      <c r="R647" s="2"/>
      <c r="S647" s="2"/>
      <c r="T647" s="2"/>
      <c r="U647" s="2"/>
      <c r="V647" s="2"/>
      <c r="W647" s="2"/>
      <c r="X647" s="2"/>
      <c r="Y647" s="2"/>
      <c r="Z647" s="2"/>
    </row>
    <row r="648" spans="1:26" ht="14.25" customHeight="1" x14ac:dyDescent="0.3">
      <c r="A648" s="2"/>
      <c r="B648" s="2"/>
      <c r="C648" s="2"/>
      <c r="D648" s="2"/>
      <c r="E648" s="2"/>
      <c r="F648" s="2"/>
      <c r="G648" s="3"/>
      <c r="H648" s="3"/>
      <c r="I648" s="3"/>
      <c r="J648" s="2"/>
      <c r="K648" s="2"/>
      <c r="L648" s="2"/>
      <c r="M648" s="2"/>
      <c r="N648" s="2"/>
      <c r="O648" s="2"/>
      <c r="P648" s="2"/>
      <c r="Q648" s="2"/>
      <c r="R648" s="2"/>
      <c r="S648" s="2"/>
      <c r="T648" s="2"/>
      <c r="U648" s="2"/>
      <c r="V648" s="2"/>
      <c r="W648" s="2"/>
      <c r="X648" s="2"/>
      <c r="Y648" s="2"/>
      <c r="Z648" s="2"/>
    </row>
    <row r="649" spans="1:26" ht="14.25" customHeight="1" x14ac:dyDescent="0.3">
      <c r="A649" s="2"/>
      <c r="B649" s="2"/>
      <c r="C649" s="2"/>
      <c r="D649" s="2"/>
      <c r="E649" s="2"/>
      <c r="F649" s="2"/>
      <c r="G649" s="3"/>
      <c r="H649" s="3"/>
      <c r="I649" s="3"/>
      <c r="J649" s="2"/>
      <c r="K649" s="2"/>
      <c r="L649" s="2"/>
      <c r="M649" s="2"/>
      <c r="N649" s="2"/>
      <c r="O649" s="2"/>
      <c r="P649" s="2"/>
      <c r="Q649" s="2"/>
      <c r="R649" s="2"/>
      <c r="S649" s="2"/>
      <c r="T649" s="2"/>
      <c r="U649" s="2"/>
      <c r="V649" s="2"/>
      <c r="W649" s="2"/>
      <c r="X649" s="2"/>
      <c r="Y649" s="2"/>
      <c r="Z649" s="2"/>
    </row>
    <row r="650" spans="1:26" ht="14.25" customHeight="1" x14ac:dyDescent="0.3">
      <c r="A650" s="2"/>
      <c r="B650" s="2"/>
      <c r="C650" s="2"/>
      <c r="D650" s="2"/>
      <c r="E650" s="2"/>
      <c r="F650" s="2"/>
      <c r="G650" s="3"/>
      <c r="H650" s="3"/>
      <c r="I650" s="3"/>
      <c r="J650" s="2"/>
      <c r="K650" s="2"/>
      <c r="L650" s="2"/>
      <c r="M650" s="2"/>
      <c r="N650" s="2"/>
      <c r="O650" s="2"/>
      <c r="P650" s="2"/>
      <c r="Q650" s="2"/>
      <c r="R650" s="2"/>
      <c r="S650" s="2"/>
      <c r="T650" s="2"/>
      <c r="U650" s="2"/>
      <c r="V650" s="2"/>
      <c r="W650" s="2"/>
      <c r="X650" s="2"/>
      <c r="Y650" s="2"/>
      <c r="Z650" s="2"/>
    </row>
    <row r="651" spans="1:26" ht="14.25" customHeight="1" x14ac:dyDescent="0.3">
      <c r="A651" s="2"/>
      <c r="B651" s="2"/>
      <c r="C651" s="2"/>
      <c r="D651" s="2"/>
      <c r="E651" s="2"/>
      <c r="F651" s="2"/>
      <c r="G651" s="3"/>
      <c r="H651" s="3"/>
      <c r="I651" s="3"/>
      <c r="J651" s="2"/>
      <c r="K651" s="2"/>
      <c r="L651" s="2"/>
      <c r="M651" s="2"/>
      <c r="N651" s="2"/>
      <c r="O651" s="2"/>
      <c r="P651" s="2"/>
      <c r="Q651" s="2"/>
      <c r="R651" s="2"/>
      <c r="S651" s="2"/>
      <c r="T651" s="2"/>
      <c r="U651" s="2"/>
      <c r="V651" s="2"/>
      <c r="W651" s="2"/>
      <c r="X651" s="2"/>
      <c r="Y651" s="2"/>
      <c r="Z651" s="2"/>
    </row>
    <row r="652" spans="1:26" ht="14.25" customHeight="1" x14ac:dyDescent="0.3">
      <c r="A652" s="2"/>
      <c r="B652" s="2"/>
      <c r="C652" s="2"/>
      <c r="D652" s="2"/>
      <c r="E652" s="2"/>
      <c r="F652" s="2"/>
      <c r="G652" s="3"/>
      <c r="H652" s="3"/>
      <c r="I652" s="3"/>
      <c r="J652" s="2"/>
      <c r="K652" s="2"/>
      <c r="L652" s="2"/>
      <c r="M652" s="2"/>
      <c r="N652" s="2"/>
      <c r="O652" s="2"/>
      <c r="P652" s="2"/>
      <c r="Q652" s="2"/>
      <c r="R652" s="2"/>
      <c r="S652" s="2"/>
      <c r="T652" s="2"/>
      <c r="U652" s="2"/>
      <c r="V652" s="2"/>
      <c r="W652" s="2"/>
      <c r="X652" s="2"/>
      <c r="Y652" s="2"/>
      <c r="Z652" s="2"/>
    </row>
    <row r="653" spans="1:26" ht="14.25" customHeight="1" x14ac:dyDescent="0.3">
      <c r="A653" s="2"/>
      <c r="B653" s="2"/>
      <c r="C653" s="2"/>
      <c r="D653" s="2"/>
      <c r="E653" s="2"/>
      <c r="F653" s="2"/>
      <c r="G653" s="3"/>
      <c r="H653" s="3"/>
      <c r="I653" s="3"/>
      <c r="J653" s="2"/>
      <c r="K653" s="2"/>
      <c r="L653" s="2"/>
      <c r="M653" s="2"/>
      <c r="N653" s="2"/>
      <c r="O653" s="2"/>
      <c r="P653" s="2"/>
      <c r="Q653" s="2"/>
      <c r="R653" s="2"/>
      <c r="S653" s="2"/>
      <c r="T653" s="2"/>
      <c r="U653" s="2"/>
      <c r="V653" s="2"/>
      <c r="W653" s="2"/>
      <c r="X653" s="2"/>
      <c r="Y653" s="2"/>
      <c r="Z653" s="2"/>
    </row>
    <row r="654" spans="1:26" ht="14.25" customHeight="1" x14ac:dyDescent="0.3">
      <c r="A654" s="2"/>
      <c r="B654" s="2"/>
      <c r="C654" s="2"/>
      <c r="D654" s="2"/>
      <c r="E654" s="2"/>
      <c r="F654" s="2"/>
      <c r="G654" s="3"/>
      <c r="H654" s="3"/>
      <c r="I654" s="3"/>
      <c r="J654" s="2"/>
      <c r="K654" s="2"/>
      <c r="L654" s="2"/>
      <c r="M654" s="2"/>
      <c r="N654" s="2"/>
      <c r="O654" s="2"/>
      <c r="P654" s="2"/>
      <c r="Q654" s="2"/>
      <c r="R654" s="2"/>
      <c r="S654" s="2"/>
      <c r="T654" s="2"/>
      <c r="U654" s="2"/>
      <c r="V654" s="2"/>
      <c r="W654" s="2"/>
      <c r="X654" s="2"/>
      <c r="Y654" s="2"/>
      <c r="Z654" s="2"/>
    </row>
    <row r="655" spans="1:26" ht="14.25" customHeight="1" x14ac:dyDescent="0.3">
      <c r="A655" s="2"/>
      <c r="B655" s="2"/>
      <c r="C655" s="2"/>
      <c r="D655" s="2"/>
      <c r="E655" s="2"/>
      <c r="F655" s="2"/>
      <c r="G655" s="3"/>
      <c r="H655" s="3"/>
      <c r="I655" s="3"/>
      <c r="J655" s="2"/>
      <c r="K655" s="2"/>
      <c r="L655" s="2"/>
      <c r="M655" s="2"/>
      <c r="N655" s="2"/>
      <c r="O655" s="2"/>
      <c r="P655" s="2"/>
      <c r="Q655" s="2"/>
      <c r="R655" s="2"/>
      <c r="S655" s="2"/>
      <c r="T655" s="2"/>
      <c r="U655" s="2"/>
      <c r="V655" s="2"/>
      <c r="W655" s="2"/>
      <c r="X655" s="2"/>
      <c r="Y655" s="2"/>
      <c r="Z655" s="2"/>
    </row>
    <row r="656" spans="1:26" ht="14.25" customHeight="1" x14ac:dyDescent="0.3">
      <c r="A656" s="2"/>
      <c r="B656" s="2"/>
      <c r="C656" s="2"/>
      <c r="D656" s="2"/>
      <c r="E656" s="2"/>
      <c r="F656" s="2"/>
      <c r="G656" s="3"/>
      <c r="H656" s="3"/>
      <c r="I656" s="3"/>
      <c r="J656" s="2"/>
      <c r="K656" s="2"/>
      <c r="L656" s="2"/>
      <c r="M656" s="2"/>
      <c r="N656" s="2"/>
      <c r="O656" s="2"/>
      <c r="P656" s="2"/>
      <c r="Q656" s="2"/>
      <c r="R656" s="2"/>
      <c r="S656" s="2"/>
      <c r="T656" s="2"/>
      <c r="U656" s="2"/>
      <c r="V656" s="2"/>
      <c r="W656" s="2"/>
      <c r="X656" s="2"/>
      <c r="Y656" s="2"/>
      <c r="Z656" s="2"/>
    </row>
    <row r="657" spans="1:26" ht="14.25" customHeight="1" x14ac:dyDescent="0.3">
      <c r="A657" s="2"/>
      <c r="B657" s="2"/>
      <c r="C657" s="2"/>
      <c r="D657" s="2"/>
      <c r="E657" s="2"/>
      <c r="F657" s="2"/>
      <c r="G657" s="3"/>
      <c r="H657" s="3"/>
      <c r="I657" s="3"/>
      <c r="J657" s="2"/>
      <c r="K657" s="2"/>
      <c r="L657" s="2"/>
      <c r="M657" s="2"/>
      <c r="N657" s="2"/>
      <c r="O657" s="2"/>
      <c r="P657" s="2"/>
      <c r="Q657" s="2"/>
      <c r="R657" s="2"/>
      <c r="S657" s="2"/>
      <c r="T657" s="2"/>
      <c r="U657" s="2"/>
      <c r="V657" s="2"/>
      <c r="W657" s="2"/>
      <c r="X657" s="2"/>
      <c r="Y657" s="2"/>
      <c r="Z657" s="2"/>
    </row>
    <row r="658" spans="1:26" ht="14.25" customHeight="1" x14ac:dyDescent="0.3">
      <c r="A658" s="2"/>
      <c r="B658" s="2"/>
      <c r="C658" s="2"/>
      <c r="D658" s="2"/>
      <c r="E658" s="2"/>
      <c r="F658" s="2"/>
      <c r="G658" s="3"/>
      <c r="H658" s="3"/>
      <c r="I658" s="3"/>
      <c r="J658" s="2"/>
      <c r="K658" s="2"/>
      <c r="L658" s="2"/>
      <c r="M658" s="2"/>
      <c r="N658" s="2"/>
      <c r="O658" s="2"/>
      <c r="P658" s="2"/>
      <c r="Q658" s="2"/>
      <c r="R658" s="2"/>
      <c r="S658" s="2"/>
      <c r="T658" s="2"/>
      <c r="U658" s="2"/>
      <c r="V658" s="2"/>
      <c r="W658" s="2"/>
      <c r="X658" s="2"/>
      <c r="Y658" s="2"/>
      <c r="Z658" s="2"/>
    </row>
    <row r="659" spans="1:26" ht="14.25" customHeight="1" x14ac:dyDescent="0.3">
      <c r="A659" s="2"/>
      <c r="B659" s="2"/>
      <c r="C659" s="2"/>
      <c r="D659" s="2"/>
      <c r="E659" s="2"/>
      <c r="F659" s="2"/>
      <c r="G659" s="3"/>
      <c r="H659" s="3"/>
      <c r="I659" s="3"/>
      <c r="J659" s="2"/>
      <c r="K659" s="2"/>
      <c r="L659" s="2"/>
      <c r="M659" s="2"/>
      <c r="N659" s="2"/>
      <c r="O659" s="2"/>
      <c r="P659" s="2"/>
      <c r="Q659" s="2"/>
      <c r="R659" s="2"/>
      <c r="S659" s="2"/>
      <c r="T659" s="2"/>
      <c r="U659" s="2"/>
      <c r="V659" s="2"/>
      <c r="W659" s="2"/>
      <c r="X659" s="2"/>
      <c r="Y659" s="2"/>
      <c r="Z659" s="2"/>
    </row>
    <row r="660" spans="1:26" ht="14.25" customHeight="1" x14ac:dyDescent="0.3">
      <c r="A660" s="2"/>
      <c r="B660" s="2"/>
      <c r="C660" s="2"/>
      <c r="D660" s="2"/>
      <c r="E660" s="2"/>
      <c r="F660" s="2"/>
      <c r="G660" s="3"/>
      <c r="H660" s="3"/>
      <c r="I660" s="3"/>
      <c r="J660" s="2"/>
      <c r="K660" s="2"/>
      <c r="L660" s="2"/>
      <c r="M660" s="2"/>
      <c r="N660" s="2"/>
      <c r="O660" s="2"/>
      <c r="P660" s="2"/>
      <c r="Q660" s="2"/>
      <c r="R660" s="2"/>
      <c r="S660" s="2"/>
      <c r="T660" s="2"/>
      <c r="U660" s="2"/>
      <c r="V660" s="2"/>
      <c r="W660" s="2"/>
      <c r="X660" s="2"/>
      <c r="Y660" s="2"/>
      <c r="Z660" s="2"/>
    </row>
    <row r="661" spans="1:26" ht="14.25" customHeight="1" x14ac:dyDescent="0.3">
      <c r="A661" s="2"/>
      <c r="B661" s="2"/>
      <c r="C661" s="2"/>
      <c r="D661" s="2"/>
      <c r="E661" s="2"/>
      <c r="F661" s="2"/>
      <c r="G661" s="3"/>
      <c r="H661" s="3"/>
      <c r="I661" s="3"/>
      <c r="J661" s="2"/>
      <c r="K661" s="2"/>
      <c r="L661" s="2"/>
      <c r="M661" s="2"/>
      <c r="N661" s="2"/>
      <c r="O661" s="2"/>
      <c r="P661" s="2"/>
      <c r="Q661" s="2"/>
      <c r="R661" s="2"/>
      <c r="S661" s="2"/>
      <c r="T661" s="2"/>
      <c r="U661" s="2"/>
      <c r="V661" s="2"/>
      <c r="W661" s="2"/>
      <c r="X661" s="2"/>
      <c r="Y661" s="2"/>
      <c r="Z661" s="2"/>
    </row>
    <row r="662" spans="1:26" ht="14.25" customHeight="1" x14ac:dyDescent="0.3">
      <c r="A662" s="2"/>
      <c r="B662" s="2"/>
      <c r="C662" s="2"/>
      <c r="D662" s="2"/>
      <c r="E662" s="2"/>
      <c r="F662" s="2"/>
      <c r="G662" s="3"/>
      <c r="H662" s="3"/>
      <c r="I662" s="3"/>
      <c r="J662" s="2"/>
      <c r="K662" s="2"/>
      <c r="L662" s="2"/>
      <c r="M662" s="2"/>
      <c r="N662" s="2"/>
      <c r="O662" s="2"/>
      <c r="P662" s="2"/>
      <c r="Q662" s="2"/>
      <c r="R662" s="2"/>
      <c r="S662" s="2"/>
      <c r="T662" s="2"/>
      <c r="U662" s="2"/>
      <c r="V662" s="2"/>
      <c r="W662" s="2"/>
      <c r="X662" s="2"/>
      <c r="Y662" s="2"/>
      <c r="Z662" s="2"/>
    </row>
    <row r="663" spans="1:26" ht="14.25" customHeight="1" x14ac:dyDescent="0.3">
      <c r="A663" s="2"/>
      <c r="B663" s="2"/>
      <c r="C663" s="2"/>
      <c r="D663" s="2"/>
      <c r="E663" s="2"/>
      <c r="F663" s="2"/>
      <c r="G663" s="3"/>
      <c r="H663" s="3"/>
      <c r="I663" s="3"/>
      <c r="J663" s="2"/>
      <c r="K663" s="2"/>
      <c r="L663" s="2"/>
      <c r="M663" s="2"/>
      <c r="N663" s="2"/>
      <c r="O663" s="2"/>
      <c r="P663" s="2"/>
      <c r="Q663" s="2"/>
      <c r="R663" s="2"/>
      <c r="S663" s="2"/>
      <c r="T663" s="2"/>
      <c r="U663" s="2"/>
      <c r="V663" s="2"/>
      <c r="W663" s="2"/>
      <c r="X663" s="2"/>
      <c r="Y663" s="2"/>
      <c r="Z663" s="2"/>
    </row>
    <row r="664" spans="1:26" ht="14.25" customHeight="1" x14ac:dyDescent="0.3">
      <c r="A664" s="2"/>
      <c r="B664" s="2"/>
      <c r="C664" s="2"/>
      <c r="D664" s="2"/>
      <c r="E664" s="2"/>
      <c r="F664" s="2"/>
      <c r="G664" s="3"/>
      <c r="H664" s="3"/>
      <c r="I664" s="3"/>
      <c r="J664" s="2"/>
      <c r="K664" s="2"/>
      <c r="L664" s="2"/>
      <c r="M664" s="2"/>
      <c r="N664" s="2"/>
      <c r="O664" s="2"/>
      <c r="P664" s="2"/>
      <c r="Q664" s="2"/>
      <c r="R664" s="2"/>
      <c r="S664" s="2"/>
      <c r="T664" s="2"/>
      <c r="U664" s="2"/>
      <c r="V664" s="2"/>
      <c r="W664" s="2"/>
      <c r="X664" s="2"/>
      <c r="Y664" s="2"/>
      <c r="Z664" s="2"/>
    </row>
    <row r="665" spans="1:26" ht="14.25" customHeight="1" x14ac:dyDescent="0.3">
      <c r="A665" s="2"/>
      <c r="B665" s="2"/>
      <c r="C665" s="2"/>
      <c r="D665" s="2"/>
      <c r="E665" s="2"/>
      <c r="F665" s="2"/>
      <c r="G665" s="3"/>
      <c r="H665" s="3"/>
      <c r="I665" s="3"/>
      <c r="J665" s="2"/>
      <c r="K665" s="2"/>
      <c r="L665" s="2"/>
      <c r="M665" s="2"/>
      <c r="N665" s="2"/>
      <c r="O665" s="2"/>
      <c r="P665" s="2"/>
      <c r="Q665" s="2"/>
      <c r="R665" s="2"/>
      <c r="S665" s="2"/>
      <c r="T665" s="2"/>
      <c r="U665" s="2"/>
      <c r="V665" s="2"/>
      <c r="W665" s="2"/>
      <c r="X665" s="2"/>
      <c r="Y665" s="2"/>
      <c r="Z665" s="2"/>
    </row>
    <row r="666" spans="1:26" ht="14.25" customHeight="1" x14ac:dyDescent="0.3">
      <c r="A666" s="2"/>
      <c r="B666" s="2"/>
      <c r="C666" s="2"/>
      <c r="D666" s="2"/>
      <c r="E666" s="2"/>
      <c r="F666" s="2"/>
      <c r="G666" s="3"/>
      <c r="H666" s="3"/>
      <c r="I666" s="3"/>
      <c r="J666" s="2"/>
      <c r="K666" s="2"/>
      <c r="L666" s="2"/>
      <c r="M666" s="2"/>
      <c r="N666" s="2"/>
      <c r="O666" s="2"/>
      <c r="P666" s="2"/>
      <c r="Q666" s="2"/>
      <c r="R666" s="2"/>
      <c r="S666" s="2"/>
      <c r="T666" s="2"/>
      <c r="U666" s="2"/>
      <c r="V666" s="2"/>
      <c r="W666" s="2"/>
      <c r="X666" s="2"/>
      <c r="Y666" s="2"/>
      <c r="Z666" s="2"/>
    </row>
    <row r="667" spans="1:26" ht="14.25" customHeight="1" x14ac:dyDescent="0.3">
      <c r="A667" s="2"/>
      <c r="B667" s="2"/>
      <c r="C667" s="2"/>
      <c r="D667" s="2"/>
      <c r="E667" s="2"/>
      <c r="F667" s="2"/>
      <c r="G667" s="3"/>
      <c r="H667" s="3"/>
      <c r="I667" s="3"/>
      <c r="J667" s="2"/>
      <c r="K667" s="2"/>
      <c r="L667" s="2"/>
      <c r="M667" s="2"/>
      <c r="N667" s="2"/>
      <c r="O667" s="2"/>
      <c r="P667" s="2"/>
      <c r="Q667" s="2"/>
      <c r="R667" s="2"/>
      <c r="S667" s="2"/>
      <c r="T667" s="2"/>
      <c r="U667" s="2"/>
      <c r="V667" s="2"/>
      <c r="W667" s="2"/>
      <c r="X667" s="2"/>
      <c r="Y667" s="2"/>
      <c r="Z667" s="2"/>
    </row>
    <row r="668" spans="1:26" ht="14.25" customHeight="1" x14ac:dyDescent="0.3">
      <c r="A668" s="2"/>
      <c r="B668" s="2"/>
      <c r="C668" s="2"/>
      <c r="D668" s="2"/>
      <c r="E668" s="2"/>
      <c r="F668" s="2"/>
      <c r="G668" s="3"/>
      <c r="H668" s="3"/>
      <c r="I668" s="3"/>
      <c r="J668" s="2"/>
      <c r="K668" s="2"/>
      <c r="L668" s="2"/>
      <c r="M668" s="2"/>
      <c r="N668" s="2"/>
      <c r="O668" s="2"/>
      <c r="P668" s="2"/>
      <c r="Q668" s="2"/>
      <c r="R668" s="2"/>
      <c r="S668" s="2"/>
      <c r="T668" s="2"/>
      <c r="U668" s="2"/>
      <c r="V668" s="2"/>
      <c r="W668" s="2"/>
      <c r="X668" s="2"/>
      <c r="Y668" s="2"/>
      <c r="Z668" s="2"/>
    </row>
    <row r="669" spans="1:26" ht="14.25" customHeight="1" x14ac:dyDescent="0.3">
      <c r="A669" s="2"/>
      <c r="B669" s="2"/>
      <c r="C669" s="2"/>
      <c r="D669" s="2"/>
      <c r="E669" s="2"/>
      <c r="F669" s="2"/>
      <c r="G669" s="3"/>
      <c r="H669" s="3"/>
      <c r="I669" s="3"/>
      <c r="J669" s="2"/>
      <c r="K669" s="2"/>
      <c r="L669" s="2"/>
      <c r="M669" s="2"/>
      <c r="N669" s="2"/>
      <c r="O669" s="2"/>
      <c r="P669" s="2"/>
      <c r="Q669" s="2"/>
      <c r="R669" s="2"/>
      <c r="S669" s="2"/>
      <c r="T669" s="2"/>
      <c r="U669" s="2"/>
      <c r="V669" s="2"/>
      <c r="W669" s="2"/>
      <c r="X669" s="2"/>
      <c r="Y669" s="2"/>
      <c r="Z669" s="2"/>
    </row>
    <row r="670" spans="1:26" ht="14.25" customHeight="1" x14ac:dyDescent="0.3">
      <c r="A670" s="2"/>
      <c r="B670" s="2"/>
      <c r="C670" s="2"/>
      <c r="D670" s="2"/>
      <c r="E670" s="2"/>
      <c r="F670" s="2"/>
      <c r="G670" s="3"/>
      <c r="H670" s="3"/>
      <c r="I670" s="3"/>
      <c r="J670" s="2"/>
      <c r="K670" s="2"/>
      <c r="L670" s="2"/>
      <c r="M670" s="2"/>
      <c r="N670" s="2"/>
      <c r="O670" s="2"/>
      <c r="P670" s="2"/>
      <c r="Q670" s="2"/>
      <c r="R670" s="2"/>
      <c r="S670" s="2"/>
      <c r="T670" s="2"/>
      <c r="U670" s="2"/>
      <c r="V670" s="2"/>
      <c r="W670" s="2"/>
      <c r="X670" s="2"/>
      <c r="Y670" s="2"/>
      <c r="Z670" s="2"/>
    </row>
    <row r="671" spans="1:26" ht="14.25" customHeight="1" x14ac:dyDescent="0.3">
      <c r="A671" s="2"/>
      <c r="B671" s="2"/>
      <c r="C671" s="2"/>
      <c r="D671" s="2"/>
      <c r="E671" s="2"/>
      <c r="F671" s="2"/>
      <c r="G671" s="3"/>
      <c r="H671" s="3"/>
      <c r="I671" s="3"/>
      <c r="J671" s="2"/>
      <c r="K671" s="2"/>
      <c r="L671" s="2"/>
      <c r="M671" s="2"/>
      <c r="N671" s="2"/>
      <c r="O671" s="2"/>
      <c r="P671" s="2"/>
      <c r="Q671" s="2"/>
      <c r="R671" s="2"/>
      <c r="S671" s="2"/>
      <c r="T671" s="2"/>
      <c r="U671" s="2"/>
      <c r="V671" s="2"/>
      <c r="W671" s="2"/>
      <c r="X671" s="2"/>
      <c r="Y671" s="2"/>
      <c r="Z671" s="2"/>
    </row>
    <row r="672" spans="1:26" ht="14.25" customHeight="1" x14ac:dyDescent="0.3">
      <c r="A672" s="2"/>
      <c r="B672" s="2"/>
      <c r="C672" s="2"/>
      <c r="D672" s="2"/>
      <c r="E672" s="2"/>
      <c r="F672" s="2"/>
      <c r="G672" s="3"/>
      <c r="H672" s="3"/>
      <c r="I672" s="3"/>
      <c r="J672" s="2"/>
      <c r="K672" s="2"/>
      <c r="L672" s="2"/>
      <c r="M672" s="2"/>
      <c r="N672" s="2"/>
      <c r="O672" s="2"/>
      <c r="P672" s="2"/>
      <c r="Q672" s="2"/>
      <c r="R672" s="2"/>
      <c r="S672" s="2"/>
      <c r="T672" s="2"/>
      <c r="U672" s="2"/>
      <c r="V672" s="2"/>
      <c r="W672" s="2"/>
      <c r="X672" s="2"/>
      <c r="Y672" s="2"/>
      <c r="Z672" s="2"/>
    </row>
    <row r="673" spans="1:26" ht="14.25" customHeight="1" x14ac:dyDescent="0.3">
      <c r="A673" s="2"/>
      <c r="B673" s="2"/>
      <c r="C673" s="2"/>
      <c r="D673" s="2"/>
      <c r="E673" s="2"/>
      <c r="F673" s="2"/>
      <c r="G673" s="3"/>
      <c r="H673" s="3"/>
      <c r="I673" s="3"/>
      <c r="J673" s="2"/>
      <c r="K673" s="2"/>
      <c r="L673" s="2"/>
      <c r="M673" s="2"/>
      <c r="N673" s="2"/>
      <c r="O673" s="2"/>
      <c r="P673" s="2"/>
      <c r="Q673" s="2"/>
      <c r="R673" s="2"/>
      <c r="S673" s="2"/>
      <c r="T673" s="2"/>
      <c r="U673" s="2"/>
      <c r="V673" s="2"/>
      <c r="W673" s="2"/>
      <c r="X673" s="2"/>
      <c r="Y673" s="2"/>
      <c r="Z673" s="2"/>
    </row>
    <row r="674" spans="1:26" ht="14.25" customHeight="1" x14ac:dyDescent="0.3">
      <c r="A674" s="2"/>
      <c r="B674" s="2"/>
      <c r="C674" s="2"/>
      <c r="D674" s="2"/>
      <c r="E674" s="2"/>
      <c r="F674" s="2"/>
      <c r="G674" s="3"/>
      <c r="H674" s="3"/>
      <c r="I674" s="3"/>
      <c r="J674" s="2"/>
      <c r="K674" s="2"/>
      <c r="L674" s="2"/>
      <c r="M674" s="2"/>
      <c r="N674" s="2"/>
      <c r="O674" s="2"/>
      <c r="P674" s="2"/>
      <c r="Q674" s="2"/>
      <c r="R674" s="2"/>
      <c r="S674" s="2"/>
      <c r="T674" s="2"/>
      <c r="U674" s="2"/>
      <c r="V674" s="2"/>
      <c r="W674" s="2"/>
      <c r="X674" s="2"/>
      <c r="Y674" s="2"/>
      <c r="Z674" s="2"/>
    </row>
    <row r="675" spans="1:26" ht="14.25" customHeight="1" x14ac:dyDescent="0.3">
      <c r="A675" s="2"/>
      <c r="B675" s="2"/>
      <c r="C675" s="2"/>
      <c r="D675" s="2"/>
      <c r="E675" s="2"/>
      <c r="F675" s="2"/>
      <c r="G675" s="3"/>
      <c r="H675" s="3"/>
      <c r="I675" s="3"/>
      <c r="J675" s="2"/>
      <c r="K675" s="2"/>
      <c r="L675" s="2"/>
      <c r="M675" s="2"/>
      <c r="N675" s="2"/>
      <c r="O675" s="2"/>
      <c r="P675" s="2"/>
      <c r="Q675" s="2"/>
      <c r="R675" s="2"/>
      <c r="S675" s="2"/>
      <c r="T675" s="2"/>
      <c r="U675" s="2"/>
      <c r="V675" s="2"/>
      <c r="W675" s="2"/>
      <c r="X675" s="2"/>
      <c r="Y675" s="2"/>
      <c r="Z675" s="2"/>
    </row>
    <row r="676" spans="1:26" ht="14.25" customHeight="1" x14ac:dyDescent="0.3">
      <c r="A676" s="2"/>
      <c r="B676" s="2"/>
      <c r="C676" s="2"/>
      <c r="D676" s="2"/>
      <c r="E676" s="2"/>
      <c r="F676" s="2"/>
      <c r="G676" s="3"/>
      <c r="H676" s="3"/>
      <c r="I676" s="3"/>
      <c r="J676" s="2"/>
      <c r="K676" s="2"/>
      <c r="L676" s="2"/>
      <c r="M676" s="2"/>
      <c r="N676" s="2"/>
      <c r="O676" s="2"/>
      <c r="P676" s="2"/>
      <c r="Q676" s="2"/>
      <c r="R676" s="2"/>
      <c r="S676" s="2"/>
      <c r="T676" s="2"/>
      <c r="U676" s="2"/>
      <c r="V676" s="2"/>
      <c r="W676" s="2"/>
      <c r="X676" s="2"/>
      <c r="Y676" s="2"/>
      <c r="Z676" s="2"/>
    </row>
    <row r="677" spans="1:26" ht="14.25" customHeight="1" x14ac:dyDescent="0.3">
      <c r="A677" s="2"/>
      <c r="B677" s="2"/>
      <c r="C677" s="2"/>
      <c r="D677" s="2"/>
      <c r="E677" s="2"/>
      <c r="F677" s="2"/>
      <c r="G677" s="3"/>
      <c r="H677" s="3"/>
      <c r="I677" s="3"/>
      <c r="J677" s="2"/>
      <c r="K677" s="2"/>
      <c r="L677" s="2"/>
      <c r="M677" s="2"/>
      <c r="N677" s="2"/>
      <c r="O677" s="2"/>
      <c r="P677" s="2"/>
      <c r="Q677" s="2"/>
      <c r="R677" s="2"/>
      <c r="S677" s="2"/>
      <c r="T677" s="2"/>
      <c r="U677" s="2"/>
      <c r="V677" s="2"/>
      <c r="W677" s="2"/>
      <c r="X677" s="2"/>
      <c r="Y677" s="2"/>
      <c r="Z677" s="2"/>
    </row>
    <row r="678" spans="1:26" ht="14.25" customHeight="1" x14ac:dyDescent="0.3">
      <c r="A678" s="2"/>
      <c r="B678" s="2"/>
      <c r="C678" s="2"/>
      <c r="D678" s="2"/>
      <c r="E678" s="2"/>
      <c r="F678" s="2"/>
      <c r="G678" s="3"/>
      <c r="H678" s="3"/>
      <c r="I678" s="3"/>
      <c r="J678" s="2"/>
      <c r="K678" s="2"/>
      <c r="L678" s="2"/>
      <c r="M678" s="2"/>
      <c r="N678" s="2"/>
      <c r="O678" s="2"/>
      <c r="P678" s="2"/>
      <c r="Q678" s="2"/>
      <c r="R678" s="2"/>
      <c r="S678" s="2"/>
      <c r="T678" s="2"/>
      <c r="U678" s="2"/>
      <c r="V678" s="2"/>
      <c r="W678" s="2"/>
      <c r="X678" s="2"/>
      <c r="Y678" s="2"/>
      <c r="Z678" s="2"/>
    </row>
    <row r="679" spans="1:26" ht="14.25" customHeight="1" x14ac:dyDescent="0.3">
      <c r="A679" s="2"/>
      <c r="B679" s="2"/>
      <c r="C679" s="2"/>
      <c r="D679" s="2"/>
      <c r="E679" s="2"/>
      <c r="F679" s="2"/>
      <c r="G679" s="3"/>
      <c r="H679" s="3"/>
      <c r="I679" s="3"/>
      <c r="J679" s="2"/>
      <c r="K679" s="2"/>
      <c r="L679" s="2"/>
      <c r="M679" s="2"/>
      <c r="N679" s="2"/>
      <c r="O679" s="2"/>
      <c r="P679" s="2"/>
      <c r="Q679" s="2"/>
      <c r="R679" s="2"/>
      <c r="S679" s="2"/>
      <c r="T679" s="2"/>
      <c r="U679" s="2"/>
      <c r="V679" s="2"/>
      <c r="W679" s="2"/>
      <c r="X679" s="2"/>
      <c r="Y679" s="2"/>
      <c r="Z679" s="2"/>
    </row>
    <row r="680" spans="1:26" ht="14.25" customHeight="1" x14ac:dyDescent="0.3">
      <c r="A680" s="2"/>
      <c r="B680" s="2"/>
      <c r="C680" s="2"/>
      <c r="D680" s="2"/>
      <c r="E680" s="2"/>
      <c r="F680" s="2"/>
      <c r="G680" s="3"/>
      <c r="H680" s="3"/>
      <c r="I680" s="3"/>
      <c r="J680" s="2"/>
      <c r="K680" s="2"/>
      <c r="L680" s="2"/>
      <c r="M680" s="2"/>
      <c r="N680" s="2"/>
      <c r="O680" s="2"/>
      <c r="P680" s="2"/>
      <c r="Q680" s="2"/>
      <c r="R680" s="2"/>
      <c r="S680" s="2"/>
      <c r="T680" s="2"/>
      <c r="U680" s="2"/>
      <c r="V680" s="2"/>
      <c r="W680" s="2"/>
      <c r="X680" s="2"/>
      <c r="Y680" s="2"/>
      <c r="Z680" s="2"/>
    </row>
    <row r="681" spans="1:26" ht="14.25" customHeight="1" x14ac:dyDescent="0.3">
      <c r="A681" s="2"/>
      <c r="B681" s="2"/>
      <c r="C681" s="2"/>
      <c r="D681" s="2"/>
      <c r="E681" s="2"/>
      <c r="F681" s="2"/>
      <c r="G681" s="3"/>
      <c r="H681" s="3"/>
      <c r="I681" s="3"/>
      <c r="J681" s="2"/>
      <c r="K681" s="2"/>
      <c r="L681" s="2"/>
      <c r="M681" s="2"/>
      <c r="N681" s="2"/>
      <c r="O681" s="2"/>
      <c r="P681" s="2"/>
      <c r="Q681" s="2"/>
      <c r="R681" s="2"/>
      <c r="S681" s="2"/>
      <c r="T681" s="2"/>
      <c r="U681" s="2"/>
      <c r="V681" s="2"/>
      <c r="W681" s="2"/>
      <c r="X681" s="2"/>
      <c r="Y681" s="2"/>
      <c r="Z681" s="2"/>
    </row>
    <row r="682" spans="1:26" ht="14.25" customHeight="1" x14ac:dyDescent="0.3">
      <c r="A682" s="2"/>
      <c r="B682" s="2"/>
      <c r="C682" s="2"/>
      <c r="D682" s="2"/>
      <c r="E682" s="2"/>
      <c r="F682" s="2"/>
      <c r="G682" s="3"/>
      <c r="H682" s="3"/>
      <c r="I682" s="3"/>
      <c r="J682" s="2"/>
      <c r="K682" s="2"/>
      <c r="L682" s="2"/>
      <c r="M682" s="2"/>
      <c r="N682" s="2"/>
      <c r="O682" s="2"/>
      <c r="P682" s="2"/>
      <c r="Q682" s="2"/>
      <c r="R682" s="2"/>
      <c r="S682" s="2"/>
      <c r="T682" s="2"/>
      <c r="U682" s="2"/>
      <c r="V682" s="2"/>
      <c r="W682" s="2"/>
      <c r="X682" s="2"/>
      <c r="Y682" s="2"/>
      <c r="Z682" s="2"/>
    </row>
    <row r="683" spans="1:26" ht="14.25" customHeight="1" x14ac:dyDescent="0.3">
      <c r="A683" s="2"/>
      <c r="B683" s="2"/>
      <c r="C683" s="2"/>
      <c r="D683" s="2"/>
      <c r="E683" s="2"/>
      <c r="F683" s="2"/>
      <c r="G683" s="3"/>
      <c r="H683" s="3"/>
      <c r="I683" s="3"/>
      <c r="J683" s="2"/>
      <c r="K683" s="2"/>
      <c r="L683" s="2"/>
      <c r="M683" s="2"/>
      <c r="N683" s="2"/>
      <c r="O683" s="2"/>
      <c r="P683" s="2"/>
      <c r="Q683" s="2"/>
      <c r="R683" s="2"/>
      <c r="S683" s="2"/>
      <c r="T683" s="2"/>
      <c r="U683" s="2"/>
      <c r="V683" s="2"/>
      <c r="W683" s="2"/>
      <c r="X683" s="2"/>
      <c r="Y683" s="2"/>
      <c r="Z683" s="2"/>
    </row>
    <row r="684" spans="1:26" ht="14.25" customHeight="1" x14ac:dyDescent="0.3">
      <c r="A684" s="2"/>
      <c r="B684" s="2"/>
      <c r="C684" s="2"/>
      <c r="D684" s="2"/>
      <c r="E684" s="2"/>
      <c r="F684" s="2"/>
      <c r="G684" s="3"/>
      <c r="H684" s="3"/>
      <c r="I684" s="3"/>
      <c r="J684" s="2"/>
      <c r="K684" s="2"/>
      <c r="L684" s="2"/>
      <c r="M684" s="2"/>
      <c r="N684" s="2"/>
      <c r="O684" s="2"/>
      <c r="P684" s="2"/>
      <c r="Q684" s="2"/>
      <c r="R684" s="2"/>
      <c r="S684" s="2"/>
      <c r="T684" s="2"/>
      <c r="U684" s="2"/>
      <c r="V684" s="2"/>
      <c r="W684" s="2"/>
      <c r="X684" s="2"/>
      <c r="Y684" s="2"/>
      <c r="Z684" s="2"/>
    </row>
    <row r="685" spans="1:26" ht="14.25" customHeight="1" x14ac:dyDescent="0.3">
      <c r="A685" s="2"/>
      <c r="B685" s="2"/>
      <c r="C685" s="2"/>
      <c r="D685" s="2"/>
      <c r="E685" s="2"/>
      <c r="F685" s="2"/>
      <c r="G685" s="3"/>
      <c r="H685" s="3"/>
      <c r="I685" s="3"/>
      <c r="J685" s="2"/>
      <c r="K685" s="2"/>
      <c r="L685" s="2"/>
      <c r="M685" s="2"/>
      <c r="N685" s="2"/>
      <c r="O685" s="2"/>
      <c r="P685" s="2"/>
      <c r="Q685" s="2"/>
      <c r="R685" s="2"/>
      <c r="S685" s="2"/>
      <c r="T685" s="2"/>
      <c r="U685" s="2"/>
      <c r="V685" s="2"/>
      <c r="W685" s="2"/>
      <c r="X685" s="2"/>
      <c r="Y685" s="2"/>
      <c r="Z685" s="2"/>
    </row>
    <row r="686" spans="1:26" ht="14.25" customHeight="1" x14ac:dyDescent="0.3">
      <c r="A686" s="2"/>
      <c r="B686" s="2"/>
      <c r="C686" s="2"/>
      <c r="D686" s="2"/>
      <c r="E686" s="2"/>
      <c r="F686" s="2"/>
      <c r="G686" s="3"/>
      <c r="H686" s="3"/>
      <c r="I686" s="3"/>
      <c r="J686" s="2"/>
      <c r="K686" s="2"/>
      <c r="L686" s="2"/>
      <c r="M686" s="2"/>
      <c r="N686" s="2"/>
      <c r="O686" s="2"/>
      <c r="P686" s="2"/>
      <c r="Q686" s="2"/>
      <c r="R686" s="2"/>
      <c r="S686" s="2"/>
      <c r="T686" s="2"/>
      <c r="U686" s="2"/>
      <c r="V686" s="2"/>
      <c r="W686" s="2"/>
      <c r="X686" s="2"/>
      <c r="Y686" s="2"/>
      <c r="Z686" s="2"/>
    </row>
    <row r="687" spans="1:26" ht="14.25" customHeight="1" x14ac:dyDescent="0.3">
      <c r="A687" s="2"/>
      <c r="B687" s="2"/>
      <c r="C687" s="2"/>
      <c r="D687" s="2"/>
      <c r="E687" s="2"/>
      <c r="F687" s="2"/>
      <c r="G687" s="3"/>
      <c r="H687" s="3"/>
      <c r="I687" s="3"/>
      <c r="J687" s="2"/>
      <c r="K687" s="2"/>
      <c r="L687" s="2"/>
      <c r="M687" s="2"/>
      <c r="N687" s="2"/>
      <c r="O687" s="2"/>
      <c r="P687" s="2"/>
      <c r="Q687" s="2"/>
      <c r="R687" s="2"/>
      <c r="S687" s="2"/>
      <c r="T687" s="2"/>
      <c r="U687" s="2"/>
      <c r="V687" s="2"/>
      <c r="W687" s="2"/>
      <c r="X687" s="2"/>
      <c r="Y687" s="2"/>
      <c r="Z687" s="2"/>
    </row>
    <row r="688" spans="1:26" ht="14.25" customHeight="1" x14ac:dyDescent="0.3">
      <c r="A688" s="2"/>
      <c r="B688" s="2"/>
      <c r="C688" s="2"/>
      <c r="D688" s="2"/>
      <c r="E688" s="2"/>
      <c r="F688" s="2"/>
      <c r="G688" s="3"/>
      <c r="H688" s="3"/>
      <c r="I688" s="3"/>
      <c r="J688" s="2"/>
      <c r="K688" s="2"/>
      <c r="L688" s="2"/>
      <c r="M688" s="2"/>
      <c r="N688" s="2"/>
      <c r="O688" s="2"/>
      <c r="P688" s="2"/>
      <c r="Q688" s="2"/>
      <c r="R688" s="2"/>
      <c r="S688" s="2"/>
      <c r="T688" s="2"/>
      <c r="U688" s="2"/>
      <c r="V688" s="2"/>
      <c r="W688" s="2"/>
      <c r="X688" s="2"/>
      <c r="Y688" s="2"/>
      <c r="Z688" s="2"/>
    </row>
    <row r="689" spans="1:26" ht="14.25" customHeight="1" x14ac:dyDescent="0.3">
      <c r="A689" s="2"/>
      <c r="B689" s="2"/>
      <c r="C689" s="2"/>
      <c r="D689" s="2"/>
      <c r="E689" s="2"/>
      <c r="F689" s="2"/>
      <c r="G689" s="3"/>
      <c r="H689" s="3"/>
      <c r="I689" s="3"/>
      <c r="J689" s="2"/>
      <c r="K689" s="2"/>
      <c r="L689" s="2"/>
      <c r="M689" s="2"/>
      <c r="N689" s="2"/>
      <c r="O689" s="2"/>
      <c r="P689" s="2"/>
      <c r="Q689" s="2"/>
      <c r="R689" s="2"/>
      <c r="S689" s="2"/>
      <c r="T689" s="2"/>
      <c r="U689" s="2"/>
      <c r="V689" s="2"/>
      <c r="W689" s="2"/>
      <c r="X689" s="2"/>
      <c r="Y689" s="2"/>
      <c r="Z689" s="2"/>
    </row>
    <row r="690" spans="1:26" ht="14.25" customHeight="1" x14ac:dyDescent="0.3">
      <c r="A690" s="2"/>
      <c r="B690" s="2"/>
      <c r="C690" s="2"/>
      <c r="D690" s="2"/>
      <c r="E690" s="2"/>
      <c r="F690" s="2"/>
      <c r="G690" s="3"/>
      <c r="H690" s="3"/>
      <c r="I690" s="3"/>
      <c r="J690" s="2"/>
      <c r="K690" s="2"/>
      <c r="L690" s="2"/>
      <c r="M690" s="2"/>
      <c r="N690" s="2"/>
      <c r="O690" s="2"/>
      <c r="P690" s="2"/>
      <c r="Q690" s="2"/>
      <c r="R690" s="2"/>
      <c r="S690" s="2"/>
      <c r="T690" s="2"/>
      <c r="U690" s="2"/>
      <c r="V690" s="2"/>
      <c r="W690" s="2"/>
      <c r="X690" s="2"/>
      <c r="Y690" s="2"/>
      <c r="Z690" s="2"/>
    </row>
    <row r="691" spans="1:26" ht="14.25" customHeight="1" x14ac:dyDescent="0.3">
      <c r="A691" s="2"/>
      <c r="B691" s="2"/>
      <c r="C691" s="2"/>
      <c r="D691" s="2"/>
      <c r="E691" s="2"/>
      <c r="F691" s="2"/>
      <c r="G691" s="3"/>
      <c r="H691" s="3"/>
      <c r="I691" s="3"/>
      <c r="J691" s="2"/>
      <c r="K691" s="2"/>
      <c r="L691" s="2"/>
      <c r="M691" s="2"/>
      <c r="N691" s="2"/>
      <c r="O691" s="2"/>
      <c r="P691" s="2"/>
      <c r="Q691" s="2"/>
      <c r="R691" s="2"/>
      <c r="S691" s="2"/>
      <c r="T691" s="2"/>
      <c r="U691" s="2"/>
      <c r="V691" s="2"/>
      <c r="W691" s="2"/>
      <c r="X691" s="2"/>
      <c r="Y691" s="2"/>
      <c r="Z691" s="2"/>
    </row>
    <row r="692" spans="1:26" ht="14.25" customHeight="1" x14ac:dyDescent="0.3">
      <c r="A692" s="2"/>
      <c r="B692" s="2"/>
      <c r="C692" s="2"/>
      <c r="D692" s="2"/>
      <c r="E692" s="2"/>
      <c r="F692" s="2"/>
      <c r="G692" s="3"/>
      <c r="H692" s="3"/>
      <c r="I692" s="3"/>
      <c r="J692" s="2"/>
      <c r="K692" s="2"/>
      <c r="L692" s="2"/>
      <c r="M692" s="2"/>
      <c r="N692" s="2"/>
      <c r="O692" s="2"/>
      <c r="P692" s="2"/>
      <c r="Q692" s="2"/>
      <c r="R692" s="2"/>
      <c r="S692" s="2"/>
      <c r="T692" s="2"/>
      <c r="U692" s="2"/>
      <c r="V692" s="2"/>
      <c r="W692" s="2"/>
      <c r="X692" s="2"/>
      <c r="Y692" s="2"/>
      <c r="Z692" s="2"/>
    </row>
    <row r="693" spans="1:26" ht="14.25" customHeight="1" x14ac:dyDescent="0.3">
      <c r="A693" s="2"/>
      <c r="B693" s="2"/>
      <c r="C693" s="2"/>
      <c r="D693" s="2"/>
      <c r="E693" s="2"/>
      <c r="F693" s="2"/>
      <c r="G693" s="3"/>
      <c r="H693" s="3"/>
      <c r="I693" s="3"/>
      <c r="J693" s="2"/>
      <c r="K693" s="2"/>
      <c r="L693" s="2"/>
      <c r="M693" s="2"/>
      <c r="N693" s="2"/>
      <c r="O693" s="2"/>
      <c r="P693" s="2"/>
      <c r="Q693" s="2"/>
      <c r="R693" s="2"/>
      <c r="S693" s="2"/>
      <c r="T693" s="2"/>
      <c r="U693" s="2"/>
      <c r="V693" s="2"/>
      <c r="W693" s="2"/>
      <c r="X693" s="2"/>
      <c r="Y693" s="2"/>
      <c r="Z693" s="2"/>
    </row>
    <row r="694" spans="1:26" ht="14.25" customHeight="1" x14ac:dyDescent="0.3">
      <c r="A694" s="2"/>
      <c r="B694" s="2"/>
      <c r="C694" s="2"/>
      <c r="D694" s="2"/>
      <c r="E694" s="2"/>
      <c r="F694" s="2"/>
      <c r="G694" s="3"/>
      <c r="H694" s="3"/>
      <c r="I694" s="3"/>
      <c r="J694" s="2"/>
      <c r="K694" s="2"/>
      <c r="L694" s="2"/>
      <c r="M694" s="2"/>
      <c r="N694" s="2"/>
      <c r="O694" s="2"/>
      <c r="P694" s="2"/>
      <c r="Q694" s="2"/>
      <c r="R694" s="2"/>
      <c r="S694" s="2"/>
      <c r="T694" s="2"/>
      <c r="U694" s="2"/>
      <c r="V694" s="2"/>
      <c r="W694" s="2"/>
      <c r="X694" s="2"/>
      <c r="Y694" s="2"/>
      <c r="Z694" s="2"/>
    </row>
    <row r="695" spans="1:26" ht="14.25" customHeight="1" x14ac:dyDescent="0.3">
      <c r="A695" s="2"/>
      <c r="B695" s="2"/>
      <c r="C695" s="2"/>
      <c r="D695" s="2"/>
      <c r="E695" s="2"/>
      <c r="F695" s="2"/>
      <c r="G695" s="3"/>
      <c r="H695" s="3"/>
      <c r="I695" s="3"/>
      <c r="J695" s="2"/>
      <c r="K695" s="2"/>
      <c r="L695" s="2"/>
      <c r="M695" s="2"/>
      <c r="N695" s="2"/>
      <c r="O695" s="2"/>
      <c r="P695" s="2"/>
      <c r="Q695" s="2"/>
      <c r="R695" s="2"/>
      <c r="S695" s="2"/>
      <c r="T695" s="2"/>
      <c r="U695" s="2"/>
      <c r="V695" s="2"/>
      <c r="W695" s="2"/>
      <c r="X695" s="2"/>
      <c r="Y695" s="2"/>
      <c r="Z695" s="2"/>
    </row>
    <row r="696" spans="1:26" ht="14.25" customHeight="1" x14ac:dyDescent="0.3">
      <c r="A696" s="2"/>
      <c r="B696" s="2"/>
      <c r="C696" s="2"/>
      <c r="D696" s="2"/>
      <c r="E696" s="2"/>
      <c r="F696" s="2"/>
      <c r="G696" s="3"/>
      <c r="H696" s="3"/>
      <c r="I696" s="3"/>
      <c r="J696" s="2"/>
      <c r="K696" s="2"/>
      <c r="L696" s="2"/>
      <c r="M696" s="2"/>
      <c r="N696" s="2"/>
      <c r="O696" s="2"/>
      <c r="P696" s="2"/>
      <c r="Q696" s="2"/>
      <c r="R696" s="2"/>
      <c r="S696" s="2"/>
      <c r="T696" s="2"/>
      <c r="U696" s="2"/>
      <c r="V696" s="2"/>
      <c r="W696" s="2"/>
      <c r="X696" s="2"/>
      <c r="Y696" s="2"/>
      <c r="Z696" s="2"/>
    </row>
    <row r="697" spans="1:26" ht="14.25" customHeight="1" x14ac:dyDescent="0.3">
      <c r="A697" s="2"/>
      <c r="B697" s="2"/>
      <c r="C697" s="2"/>
      <c r="D697" s="2"/>
      <c r="E697" s="2"/>
      <c r="F697" s="2"/>
      <c r="G697" s="3"/>
      <c r="H697" s="3"/>
      <c r="I697" s="3"/>
      <c r="J697" s="2"/>
      <c r="K697" s="2"/>
      <c r="L697" s="2"/>
      <c r="M697" s="2"/>
      <c r="N697" s="2"/>
      <c r="O697" s="2"/>
      <c r="P697" s="2"/>
      <c r="Q697" s="2"/>
      <c r="R697" s="2"/>
      <c r="S697" s="2"/>
      <c r="T697" s="2"/>
      <c r="U697" s="2"/>
      <c r="V697" s="2"/>
      <c r="W697" s="2"/>
      <c r="X697" s="2"/>
      <c r="Y697" s="2"/>
      <c r="Z697" s="2"/>
    </row>
    <row r="698" spans="1:26" ht="14.25" customHeight="1" x14ac:dyDescent="0.3">
      <c r="A698" s="2"/>
      <c r="B698" s="2"/>
      <c r="C698" s="2"/>
      <c r="D698" s="2"/>
      <c r="E698" s="2"/>
      <c r="F698" s="2"/>
      <c r="G698" s="3"/>
      <c r="H698" s="3"/>
      <c r="I698" s="3"/>
      <c r="J698" s="2"/>
      <c r="K698" s="2"/>
      <c r="L698" s="2"/>
      <c r="M698" s="2"/>
      <c r="N698" s="2"/>
      <c r="O698" s="2"/>
      <c r="P698" s="2"/>
      <c r="Q698" s="2"/>
      <c r="R698" s="2"/>
      <c r="S698" s="2"/>
      <c r="T698" s="2"/>
      <c r="U698" s="2"/>
      <c r="V698" s="2"/>
      <c r="W698" s="2"/>
      <c r="X698" s="2"/>
      <c r="Y698" s="2"/>
      <c r="Z698" s="2"/>
    </row>
    <row r="699" spans="1:26" ht="14.25" customHeight="1" x14ac:dyDescent="0.3">
      <c r="A699" s="2"/>
      <c r="B699" s="2"/>
      <c r="C699" s="2"/>
      <c r="D699" s="2"/>
      <c r="E699" s="2"/>
      <c r="F699" s="2"/>
      <c r="G699" s="3"/>
      <c r="H699" s="3"/>
      <c r="I699" s="3"/>
      <c r="J699" s="2"/>
      <c r="K699" s="2"/>
      <c r="L699" s="2"/>
      <c r="M699" s="2"/>
      <c r="N699" s="2"/>
      <c r="O699" s="2"/>
      <c r="P699" s="2"/>
      <c r="Q699" s="2"/>
      <c r="R699" s="2"/>
      <c r="S699" s="2"/>
      <c r="T699" s="2"/>
      <c r="U699" s="2"/>
      <c r="V699" s="2"/>
      <c r="W699" s="2"/>
      <c r="X699" s="2"/>
      <c r="Y699" s="2"/>
      <c r="Z699" s="2"/>
    </row>
    <row r="700" spans="1:26" ht="14.25" customHeight="1" x14ac:dyDescent="0.3">
      <c r="A700" s="2"/>
      <c r="B700" s="2"/>
      <c r="C700" s="2"/>
      <c r="D700" s="2"/>
      <c r="E700" s="2"/>
      <c r="F700" s="2"/>
      <c r="G700" s="3"/>
      <c r="H700" s="3"/>
      <c r="I700" s="3"/>
      <c r="J700" s="2"/>
      <c r="K700" s="2"/>
      <c r="L700" s="2"/>
      <c r="M700" s="2"/>
      <c r="N700" s="2"/>
      <c r="O700" s="2"/>
      <c r="P700" s="2"/>
      <c r="Q700" s="2"/>
      <c r="R700" s="2"/>
      <c r="S700" s="2"/>
      <c r="T700" s="2"/>
      <c r="U700" s="2"/>
      <c r="V700" s="2"/>
      <c r="W700" s="2"/>
      <c r="X700" s="2"/>
      <c r="Y700" s="2"/>
      <c r="Z700" s="2"/>
    </row>
    <row r="701" spans="1:26" ht="14.25" customHeight="1" x14ac:dyDescent="0.3">
      <c r="A701" s="2"/>
      <c r="B701" s="2"/>
      <c r="C701" s="2"/>
      <c r="D701" s="2"/>
      <c r="E701" s="2"/>
      <c r="F701" s="2"/>
      <c r="G701" s="3"/>
      <c r="H701" s="3"/>
      <c r="I701" s="3"/>
      <c r="J701" s="2"/>
      <c r="K701" s="2"/>
      <c r="L701" s="2"/>
      <c r="M701" s="2"/>
      <c r="N701" s="2"/>
      <c r="O701" s="2"/>
      <c r="P701" s="2"/>
      <c r="Q701" s="2"/>
      <c r="R701" s="2"/>
      <c r="S701" s="2"/>
      <c r="T701" s="2"/>
      <c r="U701" s="2"/>
      <c r="V701" s="2"/>
      <c r="W701" s="2"/>
      <c r="X701" s="2"/>
      <c r="Y701" s="2"/>
      <c r="Z701" s="2"/>
    </row>
    <row r="702" spans="1:26" ht="14.25" customHeight="1" x14ac:dyDescent="0.3">
      <c r="A702" s="2"/>
      <c r="B702" s="2"/>
      <c r="C702" s="2"/>
      <c r="D702" s="2"/>
      <c r="E702" s="2"/>
      <c r="F702" s="2"/>
      <c r="G702" s="3"/>
      <c r="H702" s="3"/>
      <c r="I702" s="3"/>
      <c r="J702" s="2"/>
      <c r="K702" s="2"/>
      <c r="L702" s="2"/>
      <c r="M702" s="2"/>
      <c r="N702" s="2"/>
      <c r="O702" s="2"/>
      <c r="P702" s="2"/>
      <c r="Q702" s="2"/>
      <c r="R702" s="2"/>
      <c r="S702" s="2"/>
      <c r="T702" s="2"/>
      <c r="U702" s="2"/>
      <c r="V702" s="2"/>
      <c r="W702" s="2"/>
      <c r="X702" s="2"/>
      <c r="Y702" s="2"/>
      <c r="Z702" s="2"/>
    </row>
    <row r="703" spans="1:26" ht="14.25" customHeight="1" x14ac:dyDescent="0.3">
      <c r="A703" s="2"/>
      <c r="B703" s="2"/>
      <c r="C703" s="2"/>
      <c r="D703" s="2"/>
      <c r="E703" s="2"/>
      <c r="F703" s="2"/>
      <c r="G703" s="3"/>
      <c r="H703" s="3"/>
      <c r="I703" s="3"/>
      <c r="J703" s="2"/>
      <c r="K703" s="2"/>
      <c r="L703" s="2"/>
      <c r="M703" s="2"/>
      <c r="N703" s="2"/>
      <c r="O703" s="2"/>
      <c r="P703" s="2"/>
      <c r="Q703" s="2"/>
      <c r="R703" s="2"/>
      <c r="S703" s="2"/>
      <c r="T703" s="2"/>
      <c r="U703" s="2"/>
      <c r="V703" s="2"/>
      <c r="W703" s="2"/>
      <c r="X703" s="2"/>
      <c r="Y703" s="2"/>
      <c r="Z703" s="2"/>
    </row>
    <row r="704" spans="1:26" ht="14.25" customHeight="1" x14ac:dyDescent="0.3">
      <c r="A704" s="2"/>
      <c r="B704" s="2"/>
      <c r="C704" s="2"/>
      <c r="D704" s="2"/>
      <c r="E704" s="2"/>
      <c r="F704" s="2"/>
      <c r="G704" s="3"/>
      <c r="H704" s="3"/>
      <c r="I704" s="3"/>
      <c r="J704" s="2"/>
      <c r="K704" s="2"/>
      <c r="L704" s="2"/>
      <c r="M704" s="2"/>
      <c r="N704" s="2"/>
      <c r="O704" s="2"/>
      <c r="P704" s="2"/>
      <c r="Q704" s="2"/>
      <c r="R704" s="2"/>
      <c r="S704" s="2"/>
      <c r="T704" s="2"/>
      <c r="U704" s="2"/>
      <c r="V704" s="2"/>
      <c r="W704" s="2"/>
      <c r="X704" s="2"/>
      <c r="Y704" s="2"/>
      <c r="Z704" s="2"/>
    </row>
    <row r="705" spans="1:26" ht="14.25" customHeight="1" x14ac:dyDescent="0.3">
      <c r="A705" s="2"/>
      <c r="B705" s="2"/>
      <c r="C705" s="2"/>
      <c r="D705" s="2"/>
      <c r="E705" s="2"/>
      <c r="F705" s="2"/>
      <c r="G705" s="3"/>
      <c r="H705" s="3"/>
      <c r="I705" s="3"/>
      <c r="J705" s="2"/>
      <c r="K705" s="2"/>
      <c r="L705" s="2"/>
      <c r="M705" s="2"/>
      <c r="N705" s="2"/>
      <c r="O705" s="2"/>
      <c r="P705" s="2"/>
      <c r="Q705" s="2"/>
      <c r="R705" s="2"/>
      <c r="S705" s="2"/>
      <c r="T705" s="2"/>
      <c r="U705" s="2"/>
      <c r="V705" s="2"/>
      <c r="W705" s="2"/>
      <c r="X705" s="2"/>
      <c r="Y705" s="2"/>
      <c r="Z705" s="2"/>
    </row>
    <row r="706" spans="1:26" ht="14.25" customHeight="1" x14ac:dyDescent="0.3">
      <c r="A706" s="2"/>
      <c r="B706" s="2"/>
      <c r="C706" s="2"/>
      <c r="D706" s="2"/>
      <c r="E706" s="2"/>
      <c r="F706" s="2"/>
      <c r="G706" s="3"/>
      <c r="H706" s="3"/>
      <c r="I706" s="3"/>
      <c r="J706" s="2"/>
      <c r="K706" s="2"/>
      <c r="L706" s="2"/>
      <c r="M706" s="2"/>
      <c r="N706" s="2"/>
      <c r="O706" s="2"/>
      <c r="P706" s="2"/>
      <c r="Q706" s="2"/>
      <c r="R706" s="2"/>
      <c r="S706" s="2"/>
      <c r="T706" s="2"/>
      <c r="U706" s="2"/>
      <c r="V706" s="2"/>
      <c r="W706" s="2"/>
      <c r="X706" s="2"/>
      <c r="Y706" s="2"/>
      <c r="Z706" s="2"/>
    </row>
    <row r="707" spans="1:26" ht="14.25" customHeight="1" x14ac:dyDescent="0.3">
      <c r="A707" s="2"/>
      <c r="B707" s="2"/>
      <c r="C707" s="2"/>
      <c r="D707" s="2"/>
      <c r="E707" s="2"/>
      <c r="F707" s="2"/>
      <c r="G707" s="3"/>
      <c r="H707" s="3"/>
      <c r="I707" s="3"/>
      <c r="J707" s="2"/>
      <c r="K707" s="2"/>
      <c r="L707" s="2"/>
      <c r="M707" s="2"/>
      <c r="N707" s="2"/>
      <c r="O707" s="2"/>
      <c r="P707" s="2"/>
      <c r="Q707" s="2"/>
      <c r="R707" s="2"/>
      <c r="S707" s="2"/>
      <c r="T707" s="2"/>
      <c r="U707" s="2"/>
      <c r="V707" s="2"/>
      <c r="W707" s="2"/>
      <c r="X707" s="2"/>
      <c r="Y707" s="2"/>
      <c r="Z707" s="2"/>
    </row>
    <row r="708" spans="1:26" ht="14.25" customHeight="1" x14ac:dyDescent="0.3">
      <c r="A708" s="2"/>
      <c r="B708" s="2"/>
      <c r="C708" s="2"/>
      <c r="D708" s="2"/>
      <c r="E708" s="2"/>
      <c r="F708" s="2"/>
      <c r="G708" s="3"/>
      <c r="H708" s="3"/>
      <c r="I708" s="3"/>
      <c r="J708" s="2"/>
      <c r="K708" s="2"/>
      <c r="L708" s="2"/>
      <c r="M708" s="2"/>
      <c r="N708" s="2"/>
      <c r="O708" s="2"/>
      <c r="P708" s="2"/>
      <c r="Q708" s="2"/>
      <c r="R708" s="2"/>
      <c r="S708" s="2"/>
      <c r="T708" s="2"/>
      <c r="U708" s="2"/>
      <c r="V708" s="2"/>
      <c r="W708" s="2"/>
      <c r="X708" s="2"/>
      <c r="Y708" s="2"/>
      <c r="Z708" s="2"/>
    </row>
    <row r="709" spans="1:26" ht="14.25" customHeight="1" x14ac:dyDescent="0.3">
      <c r="A709" s="2"/>
      <c r="B709" s="2"/>
      <c r="C709" s="2"/>
      <c r="D709" s="2"/>
      <c r="E709" s="2"/>
      <c r="F709" s="2"/>
      <c r="G709" s="3"/>
      <c r="H709" s="3"/>
      <c r="I709" s="3"/>
      <c r="J709" s="2"/>
      <c r="K709" s="2"/>
      <c r="L709" s="2"/>
      <c r="M709" s="2"/>
      <c r="N709" s="2"/>
      <c r="O709" s="2"/>
      <c r="P709" s="2"/>
      <c r="Q709" s="2"/>
      <c r="R709" s="2"/>
      <c r="S709" s="2"/>
      <c r="T709" s="2"/>
      <c r="U709" s="2"/>
      <c r="V709" s="2"/>
      <c r="W709" s="2"/>
      <c r="X709" s="2"/>
      <c r="Y709" s="2"/>
      <c r="Z709" s="2"/>
    </row>
    <row r="710" spans="1:26" ht="14.25" customHeight="1" x14ac:dyDescent="0.3">
      <c r="A710" s="2"/>
      <c r="B710" s="2"/>
      <c r="C710" s="2"/>
      <c r="D710" s="2"/>
      <c r="E710" s="2"/>
      <c r="F710" s="2"/>
      <c r="G710" s="3"/>
      <c r="H710" s="3"/>
      <c r="I710" s="3"/>
      <c r="J710" s="2"/>
      <c r="K710" s="2"/>
      <c r="L710" s="2"/>
      <c r="M710" s="2"/>
      <c r="N710" s="2"/>
      <c r="O710" s="2"/>
      <c r="P710" s="2"/>
      <c r="Q710" s="2"/>
      <c r="R710" s="2"/>
      <c r="S710" s="2"/>
      <c r="T710" s="2"/>
      <c r="U710" s="2"/>
      <c r="V710" s="2"/>
      <c r="W710" s="2"/>
      <c r="X710" s="2"/>
      <c r="Y710" s="2"/>
      <c r="Z710" s="2"/>
    </row>
    <row r="711" spans="1:26" ht="14.25" customHeight="1" x14ac:dyDescent="0.3">
      <c r="A711" s="2"/>
      <c r="B711" s="2"/>
      <c r="C711" s="2"/>
      <c r="D711" s="2"/>
      <c r="E711" s="2"/>
      <c r="F711" s="2"/>
      <c r="G711" s="3"/>
      <c r="H711" s="3"/>
      <c r="I711" s="3"/>
      <c r="J711" s="2"/>
      <c r="K711" s="2"/>
      <c r="L711" s="2"/>
      <c r="M711" s="2"/>
      <c r="N711" s="2"/>
      <c r="O711" s="2"/>
      <c r="P711" s="2"/>
      <c r="Q711" s="2"/>
      <c r="R711" s="2"/>
      <c r="S711" s="2"/>
      <c r="T711" s="2"/>
      <c r="U711" s="2"/>
      <c r="V711" s="2"/>
      <c r="W711" s="2"/>
      <c r="X711" s="2"/>
      <c r="Y711" s="2"/>
      <c r="Z711" s="2"/>
    </row>
    <row r="712" spans="1:26" ht="14.25" customHeight="1" x14ac:dyDescent="0.3">
      <c r="A712" s="2"/>
      <c r="B712" s="2"/>
      <c r="C712" s="2"/>
      <c r="D712" s="2"/>
      <c r="E712" s="2"/>
      <c r="F712" s="2"/>
      <c r="G712" s="3"/>
      <c r="H712" s="3"/>
      <c r="I712" s="3"/>
      <c r="J712" s="2"/>
      <c r="K712" s="2"/>
      <c r="L712" s="2"/>
      <c r="M712" s="2"/>
      <c r="N712" s="2"/>
      <c r="O712" s="2"/>
      <c r="P712" s="2"/>
      <c r="Q712" s="2"/>
      <c r="R712" s="2"/>
      <c r="S712" s="2"/>
      <c r="T712" s="2"/>
      <c r="U712" s="2"/>
      <c r="V712" s="2"/>
      <c r="W712" s="2"/>
      <c r="X712" s="2"/>
      <c r="Y712" s="2"/>
      <c r="Z712" s="2"/>
    </row>
    <row r="713" spans="1:26" ht="14.25" customHeight="1" x14ac:dyDescent="0.3">
      <c r="A713" s="2"/>
      <c r="B713" s="2"/>
      <c r="C713" s="2"/>
      <c r="D713" s="2"/>
      <c r="E713" s="2"/>
      <c r="F713" s="2"/>
      <c r="G713" s="3"/>
      <c r="H713" s="3"/>
      <c r="I713" s="3"/>
      <c r="J713" s="2"/>
      <c r="K713" s="2"/>
      <c r="L713" s="2"/>
      <c r="M713" s="2"/>
      <c r="N713" s="2"/>
      <c r="O713" s="2"/>
      <c r="P713" s="2"/>
      <c r="Q713" s="2"/>
      <c r="R713" s="2"/>
      <c r="S713" s="2"/>
      <c r="T713" s="2"/>
      <c r="U713" s="2"/>
      <c r="V713" s="2"/>
      <c r="W713" s="2"/>
      <c r="X713" s="2"/>
      <c r="Y713" s="2"/>
      <c r="Z713" s="2"/>
    </row>
    <row r="714" spans="1:26" ht="14.25" customHeight="1" x14ac:dyDescent="0.3">
      <c r="A714" s="2"/>
      <c r="B714" s="2"/>
      <c r="C714" s="2"/>
      <c r="D714" s="2"/>
      <c r="E714" s="2"/>
      <c r="F714" s="2"/>
      <c r="G714" s="3"/>
      <c r="H714" s="3"/>
      <c r="I714" s="3"/>
      <c r="J714" s="2"/>
      <c r="K714" s="2"/>
      <c r="L714" s="2"/>
      <c r="M714" s="2"/>
      <c r="N714" s="2"/>
      <c r="O714" s="2"/>
      <c r="P714" s="2"/>
      <c r="Q714" s="2"/>
      <c r="R714" s="2"/>
      <c r="S714" s="2"/>
      <c r="T714" s="2"/>
      <c r="U714" s="2"/>
      <c r="V714" s="2"/>
      <c r="W714" s="2"/>
      <c r="X714" s="2"/>
      <c r="Y714" s="2"/>
      <c r="Z714" s="2"/>
    </row>
    <row r="715" spans="1:26" ht="14.25" customHeight="1" x14ac:dyDescent="0.3">
      <c r="A715" s="2"/>
      <c r="B715" s="2"/>
      <c r="C715" s="2"/>
      <c r="D715" s="2"/>
      <c r="E715" s="2"/>
      <c r="F715" s="2"/>
      <c r="G715" s="3"/>
      <c r="H715" s="3"/>
      <c r="I715" s="3"/>
      <c r="J715" s="2"/>
      <c r="K715" s="2"/>
      <c r="L715" s="2"/>
      <c r="M715" s="2"/>
      <c r="N715" s="2"/>
      <c r="O715" s="2"/>
      <c r="P715" s="2"/>
      <c r="Q715" s="2"/>
      <c r="R715" s="2"/>
      <c r="S715" s="2"/>
      <c r="T715" s="2"/>
      <c r="U715" s="2"/>
      <c r="V715" s="2"/>
      <c r="W715" s="2"/>
      <c r="X715" s="2"/>
      <c r="Y715" s="2"/>
      <c r="Z715" s="2"/>
    </row>
    <row r="716" spans="1:26" ht="14.25" customHeight="1" x14ac:dyDescent="0.3">
      <c r="A716" s="2"/>
      <c r="B716" s="2"/>
      <c r="C716" s="2"/>
      <c r="D716" s="2"/>
      <c r="E716" s="2"/>
      <c r="F716" s="2"/>
      <c r="G716" s="3"/>
      <c r="H716" s="3"/>
      <c r="I716" s="3"/>
      <c r="J716" s="2"/>
      <c r="K716" s="2"/>
      <c r="L716" s="2"/>
      <c r="M716" s="2"/>
      <c r="N716" s="2"/>
      <c r="O716" s="2"/>
      <c r="P716" s="2"/>
      <c r="Q716" s="2"/>
      <c r="R716" s="2"/>
      <c r="S716" s="2"/>
      <c r="T716" s="2"/>
      <c r="U716" s="2"/>
      <c r="V716" s="2"/>
      <c r="W716" s="2"/>
      <c r="X716" s="2"/>
      <c r="Y716" s="2"/>
      <c r="Z716" s="2"/>
    </row>
    <row r="717" spans="1:26" ht="14.25" customHeight="1" x14ac:dyDescent="0.3">
      <c r="A717" s="2"/>
      <c r="B717" s="2"/>
      <c r="C717" s="2"/>
      <c r="D717" s="2"/>
      <c r="E717" s="2"/>
      <c r="F717" s="2"/>
      <c r="G717" s="3"/>
      <c r="H717" s="3"/>
      <c r="I717" s="3"/>
      <c r="J717" s="2"/>
      <c r="K717" s="2"/>
      <c r="L717" s="2"/>
      <c r="M717" s="2"/>
      <c r="N717" s="2"/>
      <c r="O717" s="2"/>
      <c r="P717" s="2"/>
      <c r="Q717" s="2"/>
      <c r="R717" s="2"/>
      <c r="S717" s="2"/>
      <c r="T717" s="2"/>
      <c r="U717" s="2"/>
      <c r="V717" s="2"/>
      <c r="W717" s="2"/>
      <c r="X717" s="2"/>
      <c r="Y717" s="2"/>
      <c r="Z717" s="2"/>
    </row>
    <row r="718" spans="1:26" ht="14.25" customHeight="1" x14ac:dyDescent="0.3">
      <c r="A718" s="2"/>
      <c r="B718" s="2"/>
      <c r="C718" s="2"/>
      <c r="D718" s="2"/>
      <c r="E718" s="2"/>
      <c r="F718" s="2"/>
      <c r="G718" s="3"/>
      <c r="H718" s="3"/>
      <c r="I718" s="3"/>
      <c r="J718" s="2"/>
      <c r="K718" s="2"/>
      <c r="L718" s="2"/>
      <c r="M718" s="2"/>
      <c r="N718" s="2"/>
      <c r="O718" s="2"/>
      <c r="P718" s="2"/>
      <c r="Q718" s="2"/>
      <c r="R718" s="2"/>
      <c r="S718" s="2"/>
      <c r="T718" s="2"/>
      <c r="U718" s="2"/>
      <c r="V718" s="2"/>
      <c r="W718" s="2"/>
      <c r="X718" s="2"/>
      <c r="Y718" s="2"/>
      <c r="Z718" s="2"/>
    </row>
    <row r="719" spans="1:26" ht="14.25" customHeight="1" x14ac:dyDescent="0.3">
      <c r="A719" s="2"/>
      <c r="B719" s="2"/>
      <c r="C719" s="2"/>
      <c r="D719" s="2"/>
      <c r="E719" s="2"/>
      <c r="F719" s="2"/>
      <c r="G719" s="3"/>
      <c r="H719" s="3"/>
      <c r="I719" s="3"/>
      <c r="J719" s="2"/>
      <c r="K719" s="2"/>
      <c r="L719" s="2"/>
      <c r="M719" s="2"/>
      <c r="N719" s="2"/>
      <c r="O719" s="2"/>
      <c r="P719" s="2"/>
      <c r="Q719" s="2"/>
      <c r="R719" s="2"/>
      <c r="S719" s="2"/>
      <c r="T719" s="2"/>
      <c r="U719" s="2"/>
      <c r="V719" s="2"/>
      <c r="W719" s="2"/>
      <c r="X719" s="2"/>
      <c r="Y719" s="2"/>
      <c r="Z719" s="2"/>
    </row>
    <row r="720" spans="1:26" ht="14.25" customHeight="1" x14ac:dyDescent="0.3">
      <c r="A720" s="2"/>
      <c r="B720" s="2"/>
      <c r="C720" s="2"/>
      <c r="D720" s="2"/>
      <c r="E720" s="2"/>
      <c r="F720" s="2"/>
      <c r="G720" s="3"/>
      <c r="H720" s="3"/>
      <c r="I720" s="3"/>
      <c r="J720" s="2"/>
      <c r="K720" s="2"/>
      <c r="L720" s="2"/>
      <c r="M720" s="2"/>
      <c r="N720" s="2"/>
      <c r="O720" s="2"/>
      <c r="P720" s="2"/>
      <c r="Q720" s="2"/>
      <c r="R720" s="2"/>
      <c r="S720" s="2"/>
      <c r="T720" s="2"/>
      <c r="U720" s="2"/>
      <c r="V720" s="2"/>
      <c r="W720" s="2"/>
      <c r="X720" s="2"/>
      <c r="Y720" s="2"/>
      <c r="Z720" s="2"/>
    </row>
    <row r="721" spans="1:26" ht="14.25" customHeight="1" x14ac:dyDescent="0.3">
      <c r="A721" s="2"/>
      <c r="B721" s="2"/>
      <c r="C721" s="2"/>
      <c r="D721" s="2"/>
      <c r="E721" s="2"/>
      <c r="F721" s="2"/>
      <c r="G721" s="3"/>
      <c r="H721" s="3"/>
      <c r="I721" s="3"/>
      <c r="J721" s="2"/>
      <c r="K721" s="2"/>
      <c r="L721" s="2"/>
      <c r="M721" s="2"/>
      <c r="N721" s="2"/>
      <c r="O721" s="2"/>
      <c r="P721" s="2"/>
      <c r="Q721" s="2"/>
      <c r="R721" s="2"/>
      <c r="S721" s="2"/>
      <c r="T721" s="2"/>
      <c r="U721" s="2"/>
      <c r="V721" s="2"/>
      <c r="W721" s="2"/>
      <c r="X721" s="2"/>
      <c r="Y721" s="2"/>
      <c r="Z721" s="2"/>
    </row>
    <row r="722" spans="1:26" ht="14.25" customHeight="1" x14ac:dyDescent="0.3">
      <c r="A722" s="2"/>
      <c r="B722" s="2"/>
      <c r="C722" s="2"/>
      <c r="D722" s="2"/>
      <c r="E722" s="2"/>
      <c r="F722" s="2"/>
      <c r="G722" s="3"/>
      <c r="H722" s="3"/>
      <c r="I722" s="3"/>
      <c r="J722" s="2"/>
      <c r="K722" s="2"/>
      <c r="L722" s="2"/>
      <c r="M722" s="2"/>
      <c r="N722" s="2"/>
      <c r="O722" s="2"/>
      <c r="P722" s="2"/>
      <c r="Q722" s="2"/>
      <c r="R722" s="2"/>
      <c r="S722" s="2"/>
      <c r="T722" s="2"/>
      <c r="U722" s="2"/>
      <c r="V722" s="2"/>
      <c r="W722" s="2"/>
      <c r="X722" s="2"/>
      <c r="Y722" s="2"/>
      <c r="Z722" s="2"/>
    </row>
    <row r="723" spans="1:26" ht="14.25" customHeight="1" x14ac:dyDescent="0.3">
      <c r="A723" s="2"/>
      <c r="B723" s="2"/>
      <c r="C723" s="2"/>
      <c r="D723" s="2"/>
      <c r="E723" s="2"/>
      <c r="F723" s="2"/>
      <c r="G723" s="3"/>
      <c r="H723" s="3"/>
      <c r="I723" s="3"/>
      <c r="J723" s="2"/>
      <c r="K723" s="2"/>
      <c r="L723" s="2"/>
      <c r="M723" s="2"/>
      <c r="N723" s="2"/>
      <c r="O723" s="2"/>
      <c r="P723" s="2"/>
      <c r="Q723" s="2"/>
      <c r="R723" s="2"/>
      <c r="S723" s="2"/>
      <c r="T723" s="2"/>
      <c r="U723" s="2"/>
      <c r="V723" s="2"/>
      <c r="W723" s="2"/>
      <c r="X723" s="2"/>
      <c r="Y723" s="2"/>
      <c r="Z723" s="2"/>
    </row>
    <row r="724" spans="1:26" ht="14.25" customHeight="1" x14ac:dyDescent="0.3">
      <c r="A724" s="2"/>
      <c r="B724" s="2"/>
      <c r="C724" s="2"/>
      <c r="D724" s="2"/>
      <c r="E724" s="2"/>
      <c r="F724" s="2"/>
      <c r="G724" s="3"/>
      <c r="H724" s="3"/>
      <c r="I724" s="3"/>
      <c r="J724" s="2"/>
      <c r="K724" s="2"/>
      <c r="L724" s="2"/>
      <c r="M724" s="2"/>
      <c r="N724" s="2"/>
      <c r="O724" s="2"/>
      <c r="P724" s="2"/>
      <c r="Q724" s="2"/>
      <c r="R724" s="2"/>
      <c r="S724" s="2"/>
      <c r="T724" s="2"/>
      <c r="U724" s="2"/>
      <c r="V724" s="2"/>
      <c r="W724" s="2"/>
      <c r="X724" s="2"/>
      <c r="Y724" s="2"/>
      <c r="Z724" s="2"/>
    </row>
    <row r="725" spans="1:26" ht="14.25" customHeight="1" x14ac:dyDescent="0.3">
      <c r="A725" s="2"/>
      <c r="B725" s="2"/>
      <c r="C725" s="2"/>
      <c r="D725" s="2"/>
      <c r="E725" s="2"/>
      <c r="F725" s="2"/>
      <c r="G725" s="3"/>
      <c r="H725" s="3"/>
      <c r="I725" s="3"/>
      <c r="J725" s="2"/>
      <c r="K725" s="2"/>
      <c r="L725" s="2"/>
      <c r="M725" s="2"/>
      <c r="N725" s="2"/>
      <c r="O725" s="2"/>
      <c r="P725" s="2"/>
      <c r="Q725" s="2"/>
      <c r="R725" s="2"/>
      <c r="S725" s="2"/>
      <c r="T725" s="2"/>
      <c r="U725" s="2"/>
      <c r="V725" s="2"/>
      <c r="W725" s="2"/>
      <c r="X725" s="2"/>
      <c r="Y725" s="2"/>
      <c r="Z725" s="2"/>
    </row>
    <row r="726" spans="1:26" ht="14.25" customHeight="1" x14ac:dyDescent="0.3">
      <c r="A726" s="2"/>
      <c r="B726" s="2"/>
      <c r="C726" s="2"/>
      <c r="D726" s="2"/>
      <c r="E726" s="2"/>
      <c r="F726" s="2"/>
      <c r="G726" s="3"/>
      <c r="H726" s="3"/>
      <c r="I726" s="3"/>
      <c r="J726" s="2"/>
      <c r="K726" s="2"/>
      <c r="L726" s="2"/>
      <c r="M726" s="2"/>
      <c r="N726" s="2"/>
      <c r="O726" s="2"/>
      <c r="P726" s="2"/>
      <c r="Q726" s="2"/>
      <c r="R726" s="2"/>
      <c r="S726" s="2"/>
      <c r="T726" s="2"/>
      <c r="U726" s="2"/>
      <c r="V726" s="2"/>
      <c r="W726" s="2"/>
      <c r="X726" s="2"/>
      <c r="Y726" s="2"/>
      <c r="Z726" s="2"/>
    </row>
    <row r="727" spans="1:26" ht="14.25" customHeight="1" x14ac:dyDescent="0.3">
      <c r="A727" s="2"/>
      <c r="B727" s="2"/>
      <c r="C727" s="2"/>
      <c r="D727" s="2"/>
      <c r="E727" s="2"/>
      <c r="F727" s="2"/>
      <c r="G727" s="3"/>
      <c r="H727" s="3"/>
      <c r="I727" s="3"/>
      <c r="J727" s="2"/>
      <c r="K727" s="2"/>
      <c r="L727" s="2"/>
      <c r="M727" s="2"/>
      <c r="N727" s="2"/>
      <c r="O727" s="2"/>
      <c r="P727" s="2"/>
      <c r="Q727" s="2"/>
      <c r="R727" s="2"/>
      <c r="S727" s="2"/>
      <c r="T727" s="2"/>
      <c r="U727" s="2"/>
      <c r="V727" s="2"/>
      <c r="W727" s="2"/>
      <c r="X727" s="2"/>
      <c r="Y727" s="2"/>
      <c r="Z727" s="2"/>
    </row>
    <row r="728" spans="1:26" ht="14.25" customHeight="1" x14ac:dyDescent="0.3">
      <c r="A728" s="2"/>
      <c r="B728" s="2"/>
      <c r="C728" s="2"/>
      <c r="D728" s="2"/>
      <c r="E728" s="2"/>
      <c r="F728" s="2"/>
      <c r="G728" s="3"/>
      <c r="H728" s="3"/>
      <c r="I728" s="3"/>
      <c r="J728" s="2"/>
      <c r="K728" s="2"/>
      <c r="L728" s="2"/>
      <c r="M728" s="2"/>
      <c r="N728" s="2"/>
      <c r="O728" s="2"/>
      <c r="P728" s="2"/>
      <c r="Q728" s="2"/>
      <c r="R728" s="2"/>
      <c r="S728" s="2"/>
      <c r="T728" s="2"/>
      <c r="U728" s="2"/>
      <c r="V728" s="2"/>
      <c r="W728" s="2"/>
      <c r="X728" s="2"/>
      <c r="Y728" s="2"/>
      <c r="Z728" s="2"/>
    </row>
    <row r="729" spans="1:26" ht="14.25" customHeight="1" x14ac:dyDescent="0.3">
      <c r="A729" s="2"/>
      <c r="B729" s="2"/>
      <c r="C729" s="2"/>
      <c r="D729" s="2"/>
      <c r="E729" s="2"/>
      <c r="F729" s="2"/>
      <c r="G729" s="3"/>
      <c r="H729" s="3"/>
      <c r="I729" s="3"/>
      <c r="J729" s="2"/>
      <c r="K729" s="2"/>
      <c r="L729" s="2"/>
      <c r="M729" s="2"/>
      <c r="N729" s="2"/>
      <c r="O729" s="2"/>
      <c r="P729" s="2"/>
      <c r="Q729" s="2"/>
      <c r="R729" s="2"/>
      <c r="S729" s="2"/>
      <c r="T729" s="2"/>
      <c r="U729" s="2"/>
      <c r="V729" s="2"/>
      <c r="W729" s="2"/>
      <c r="X729" s="2"/>
      <c r="Y729" s="2"/>
      <c r="Z729" s="2"/>
    </row>
    <row r="730" spans="1:26" ht="14.25" customHeight="1" x14ac:dyDescent="0.3">
      <c r="A730" s="2"/>
      <c r="B730" s="2"/>
      <c r="C730" s="2"/>
      <c r="D730" s="2"/>
      <c r="E730" s="2"/>
      <c r="F730" s="2"/>
      <c r="G730" s="3"/>
      <c r="H730" s="3"/>
      <c r="I730" s="3"/>
      <c r="J730" s="2"/>
      <c r="K730" s="2"/>
      <c r="L730" s="2"/>
      <c r="M730" s="2"/>
      <c r="N730" s="2"/>
      <c r="O730" s="2"/>
      <c r="P730" s="2"/>
      <c r="Q730" s="2"/>
      <c r="R730" s="2"/>
      <c r="S730" s="2"/>
      <c r="T730" s="2"/>
      <c r="U730" s="2"/>
      <c r="V730" s="2"/>
      <c r="W730" s="2"/>
      <c r="X730" s="2"/>
      <c r="Y730" s="2"/>
      <c r="Z730" s="2"/>
    </row>
    <row r="731" spans="1:26" ht="14.25" customHeight="1" x14ac:dyDescent="0.3">
      <c r="A731" s="2"/>
      <c r="B731" s="2"/>
      <c r="C731" s="2"/>
      <c r="D731" s="2"/>
      <c r="E731" s="2"/>
      <c r="F731" s="2"/>
      <c r="G731" s="3"/>
      <c r="H731" s="3"/>
      <c r="I731" s="3"/>
      <c r="J731" s="2"/>
      <c r="K731" s="2"/>
      <c r="L731" s="2"/>
      <c r="M731" s="2"/>
      <c r="N731" s="2"/>
      <c r="O731" s="2"/>
      <c r="P731" s="2"/>
      <c r="Q731" s="2"/>
      <c r="R731" s="2"/>
      <c r="S731" s="2"/>
      <c r="T731" s="2"/>
      <c r="U731" s="2"/>
      <c r="V731" s="2"/>
      <c r="W731" s="2"/>
      <c r="X731" s="2"/>
      <c r="Y731" s="2"/>
      <c r="Z731" s="2"/>
    </row>
    <row r="732" spans="1:26" ht="14.25" customHeight="1" x14ac:dyDescent="0.3">
      <c r="A732" s="2"/>
      <c r="B732" s="2"/>
      <c r="C732" s="2"/>
      <c r="D732" s="2"/>
      <c r="E732" s="2"/>
      <c r="F732" s="2"/>
      <c r="G732" s="3"/>
      <c r="H732" s="3"/>
      <c r="I732" s="3"/>
      <c r="J732" s="2"/>
      <c r="K732" s="2"/>
      <c r="L732" s="2"/>
      <c r="M732" s="2"/>
      <c r="N732" s="2"/>
      <c r="O732" s="2"/>
      <c r="P732" s="2"/>
      <c r="Q732" s="2"/>
      <c r="R732" s="2"/>
      <c r="S732" s="2"/>
      <c r="T732" s="2"/>
      <c r="U732" s="2"/>
      <c r="V732" s="2"/>
      <c r="W732" s="2"/>
      <c r="X732" s="2"/>
      <c r="Y732" s="2"/>
      <c r="Z732" s="2"/>
    </row>
    <row r="733" spans="1:26" ht="14.25" customHeight="1" x14ac:dyDescent="0.3">
      <c r="A733" s="2"/>
      <c r="B733" s="2"/>
      <c r="C733" s="2"/>
      <c r="D733" s="2"/>
      <c r="E733" s="2"/>
      <c r="F733" s="2"/>
      <c r="G733" s="3"/>
      <c r="H733" s="3"/>
      <c r="I733" s="3"/>
      <c r="J733" s="2"/>
      <c r="K733" s="2"/>
      <c r="L733" s="2"/>
      <c r="M733" s="2"/>
      <c r="N733" s="2"/>
      <c r="O733" s="2"/>
      <c r="P733" s="2"/>
      <c r="Q733" s="2"/>
      <c r="R733" s="2"/>
      <c r="S733" s="2"/>
      <c r="T733" s="2"/>
      <c r="U733" s="2"/>
      <c r="V733" s="2"/>
      <c r="W733" s="2"/>
      <c r="X733" s="2"/>
      <c r="Y733" s="2"/>
      <c r="Z733" s="2"/>
    </row>
    <row r="734" spans="1:26" ht="14.25" customHeight="1" x14ac:dyDescent="0.3">
      <c r="A734" s="2"/>
      <c r="B734" s="2"/>
      <c r="C734" s="2"/>
      <c r="D734" s="2"/>
      <c r="E734" s="2"/>
      <c r="F734" s="2"/>
      <c r="G734" s="3"/>
      <c r="H734" s="3"/>
      <c r="I734" s="3"/>
      <c r="J734" s="2"/>
      <c r="K734" s="2"/>
      <c r="L734" s="2"/>
      <c r="M734" s="2"/>
      <c r="N734" s="2"/>
      <c r="O734" s="2"/>
      <c r="P734" s="2"/>
      <c r="Q734" s="2"/>
      <c r="R734" s="2"/>
      <c r="S734" s="2"/>
      <c r="T734" s="2"/>
      <c r="U734" s="2"/>
      <c r="V734" s="2"/>
      <c r="W734" s="2"/>
      <c r="X734" s="2"/>
      <c r="Y734" s="2"/>
      <c r="Z734" s="2"/>
    </row>
    <row r="735" spans="1:26" ht="14.25" customHeight="1" x14ac:dyDescent="0.3">
      <c r="A735" s="2"/>
      <c r="B735" s="2"/>
      <c r="C735" s="2"/>
      <c r="D735" s="2"/>
      <c r="E735" s="2"/>
      <c r="F735" s="2"/>
      <c r="G735" s="3"/>
      <c r="H735" s="3"/>
      <c r="I735" s="3"/>
      <c r="J735" s="2"/>
      <c r="K735" s="2"/>
      <c r="L735" s="2"/>
      <c r="M735" s="2"/>
      <c r="N735" s="2"/>
      <c r="O735" s="2"/>
      <c r="P735" s="2"/>
      <c r="Q735" s="2"/>
      <c r="R735" s="2"/>
      <c r="S735" s="2"/>
      <c r="T735" s="2"/>
      <c r="U735" s="2"/>
      <c r="V735" s="2"/>
      <c r="W735" s="2"/>
      <c r="X735" s="2"/>
      <c r="Y735" s="2"/>
      <c r="Z735" s="2"/>
    </row>
    <row r="736" spans="1:26" ht="14.25" customHeight="1" x14ac:dyDescent="0.3">
      <c r="A736" s="2"/>
      <c r="B736" s="2"/>
      <c r="C736" s="2"/>
      <c r="D736" s="2"/>
      <c r="E736" s="2"/>
      <c r="F736" s="2"/>
      <c r="G736" s="3"/>
      <c r="H736" s="3"/>
      <c r="I736" s="3"/>
      <c r="J736" s="2"/>
      <c r="K736" s="2"/>
      <c r="L736" s="2"/>
      <c r="M736" s="2"/>
      <c r="N736" s="2"/>
      <c r="O736" s="2"/>
      <c r="P736" s="2"/>
      <c r="Q736" s="2"/>
      <c r="R736" s="2"/>
      <c r="S736" s="2"/>
      <c r="T736" s="2"/>
      <c r="U736" s="2"/>
      <c r="V736" s="2"/>
      <c r="W736" s="2"/>
      <c r="X736" s="2"/>
      <c r="Y736" s="2"/>
      <c r="Z736" s="2"/>
    </row>
    <row r="737" spans="1:26" ht="14.25" customHeight="1" x14ac:dyDescent="0.3">
      <c r="A737" s="2"/>
      <c r="B737" s="2"/>
      <c r="C737" s="2"/>
      <c r="D737" s="2"/>
      <c r="E737" s="2"/>
      <c r="F737" s="2"/>
      <c r="G737" s="3"/>
      <c r="H737" s="3"/>
      <c r="I737" s="3"/>
      <c r="J737" s="2"/>
      <c r="K737" s="2"/>
      <c r="L737" s="2"/>
      <c r="M737" s="2"/>
      <c r="N737" s="2"/>
      <c r="O737" s="2"/>
      <c r="P737" s="2"/>
      <c r="Q737" s="2"/>
      <c r="R737" s="2"/>
      <c r="S737" s="2"/>
      <c r="T737" s="2"/>
      <c r="U737" s="2"/>
      <c r="V737" s="2"/>
      <c r="W737" s="2"/>
      <c r="X737" s="2"/>
      <c r="Y737" s="2"/>
      <c r="Z737" s="2"/>
    </row>
    <row r="738" spans="1:26" ht="14.25" customHeight="1" x14ac:dyDescent="0.3">
      <c r="A738" s="2"/>
      <c r="B738" s="2"/>
      <c r="C738" s="2"/>
      <c r="D738" s="2"/>
      <c r="E738" s="2"/>
      <c r="F738" s="2"/>
      <c r="G738" s="3"/>
      <c r="H738" s="3"/>
      <c r="I738" s="3"/>
      <c r="J738" s="2"/>
      <c r="K738" s="2"/>
      <c r="L738" s="2"/>
      <c r="M738" s="2"/>
      <c r="N738" s="2"/>
      <c r="O738" s="2"/>
      <c r="P738" s="2"/>
      <c r="Q738" s="2"/>
      <c r="R738" s="2"/>
      <c r="S738" s="2"/>
      <c r="T738" s="2"/>
      <c r="U738" s="2"/>
      <c r="V738" s="2"/>
      <c r="W738" s="2"/>
      <c r="X738" s="2"/>
      <c r="Y738" s="2"/>
      <c r="Z738" s="2"/>
    </row>
    <row r="739" spans="1:26" ht="14.25" customHeight="1" x14ac:dyDescent="0.3">
      <c r="A739" s="2"/>
      <c r="B739" s="2"/>
      <c r="C739" s="2"/>
      <c r="D739" s="2"/>
      <c r="E739" s="2"/>
      <c r="F739" s="2"/>
      <c r="G739" s="3"/>
      <c r="H739" s="3"/>
      <c r="I739" s="3"/>
      <c r="J739" s="2"/>
      <c r="K739" s="2"/>
      <c r="L739" s="2"/>
      <c r="M739" s="2"/>
      <c r="N739" s="2"/>
      <c r="O739" s="2"/>
      <c r="P739" s="2"/>
      <c r="Q739" s="2"/>
      <c r="R739" s="2"/>
      <c r="S739" s="2"/>
      <c r="T739" s="2"/>
      <c r="U739" s="2"/>
      <c r="V739" s="2"/>
      <c r="W739" s="2"/>
      <c r="X739" s="2"/>
      <c r="Y739" s="2"/>
      <c r="Z739" s="2"/>
    </row>
    <row r="740" spans="1:26" ht="14.25" customHeight="1" x14ac:dyDescent="0.3">
      <c r="A740" s="2"/>
      <c r="B740" s="2"/>
      <c r="C740" s="2"/>
      <c r="D740" s="2"/>
      <c r="E740" s="2"/>
      <c r="F740" s="2"/>
      <c r="G740" s="3"/>
      <c r="H740" s="3"/>
      <c r="I740" s="3"/>
      <c r="J740" s="2"/>
      <c r="K740" s="2"/>
      <c r="L740" s="2"/>
      <c r="M740" s="2"/>
      <c r="N740" s="2"/>
      <c r="O740" s="2"/>
      <c r="P740" s="2"/>
      <c r="Q740" s="2"/>
      <c r="R740" s="2"/>
      <c r="S740" s="2"/>
      <c r="T740" s="2"/>
      <c r="U740" s="2"/>
      <c r="V740" s="2"/>
      <c r="W740" s="2"/>
      <c r="X740" s="2"/>
      <c r="Y740" s="2"/>
      <c r="Z740" s="2"/>
    </row>
    <row r="741" spans="1:26" ht="14.25" customHeight="1" x14ac:dyDescent="0.3">
      <c r="A741" s="2"/>
      <c r="B741" s="2"/>
      <c r="C741" s="2"/>
      <c r="D741" s="2"/>
      <c r="E741" s="2"/>
      <c r="F741" s="2"/>
      <c r="G741" s="3"/>
      <c r="H741" s="3"/>
      <c r="I741" s="3"/>
      <c r="J741" s="2"/>
      <c r="K741" s="2"/>
      <c r="L741" s="2"/>
      <c r="M741" s="2"/>
      <c r="N741" s="2"/>
      <c r="O741" s="2"/>
      <c r="P741" s="2"/>
      <c r="Q741" s="2"/>
      <c r="R741" s="2"/>
      <c r="S741" s="2"/>
      <c r="T741" s="2"/>
      <c r="U741" s="2"/>
      <c r="V741" s="2"/>
      <c r="W741" s="2"/>
      <c r="X741" s="2"/>
      <c r="Y741" s="2"/>
      <c r="Z741" s="2"/>
    </row>
    <row r="742" spans="1:26" ht="14.25" customHeight="1" x14ac:dyDescent="0.3">
      <c r="A742" s="2"/>
      <c r="B742" s="2"/>
      <c r="C742" s="2"/>
      <c r="D742" s="2"/>
      <c r="E742" s="2"/>
      <c r="F742" s="2"/>
      <c r="G742" s="3"/>
      <c r="H742" s="3"/>
      <c r="I742" s="3"/>
      <c r="J742" s="2"/>
      <c r="K742" s="2"/>
      <c r="L742" s="2"/>
      <c r="M742" s="2"/>
      <c r="N742" s="2"/>
      <c r="O742" s="2"/>
      <c r="P742" s="2"/>
      <c r="Q742" s="2"/>
      <c r="R742" s="2"/>
      <c r="S742" s="2"/>
      <c r="T742" s="2"/>
      <c r="U742" s="2"/>
      <c r="V742" s="2"/>
      <c r="W742" s="2"/>
      <c r="X742" s="2"/>
      <c r="Y742" s="2"/>
      <c r="Z742" s="2"/>
    </row>
    <row r="743" spans="1:26" ht="14.25" customHeight="1" x14ac:dyDescent="0.3">
      <c r="A743" s="2"/>
      <c r="B743" s="2"/>
      <c r="C743" s="2"/>
      <c r="D743" s="2"/>
      <c r="E743" s="2"/>
      <c r="F743" s="2"/>
      <c r="G743" s="3"/>
      <c r="H743" s="3"/>
      <c r="I743" s="3"/>
      <c r="J743" s="2"/>
      <c r="K743" s="2"/>
      <c r="L743" s="2"/>
      <c r="M743" s="2"/>
      <c r="N743" s="2"/>
      <c r="O743" s="2"/>
      <c r="P743" s="2"/>
      <c r="Q743" s="2"/>
      <c r="R743" s="2"/>
      <c r="S743" s="2"/>
      <c r="T743" s="2"/>
      <c r="U743" s="2"/>
      <c r="V743" s="2"/>
      <c r="W743" s="2"/>
      <c r="X743" s="2"/>
      <c r="Y743" s="2"/>
      <c r="Z743" s="2"/>
    </row>
    <row r="744" spans="1:26" ht="14.25" customHeight="1" x14ac:dyDescent="0.3">
      <c r="A744" s="2"/>
      <c r="B744" s="2"/>
      <c r="C744" s="2"/>
      <c r="D744" s="2"/>
      <c r="E744" s="2"/>
      <c r="F744" s="2"/>
      <c r="G744" s="3"/>
      <c r="H744" s="3"/>
      <c r="I744" s="3"/>
      <c r="J744" s="2"/>
      <c r="K744" s="2"/>
      <c r="L744" s="2"/>
      <c r="M744" s="2"/>
      <c r="N744" s="2"/>
      <c r="O744" s="2"/>
      <c r="P744" s="2"/>
      <c r="Q744" s="2"/>
      <c r="R744" s="2"/>
      <c r="S744" s="2"/>
      <c r="T744" s="2"/>
      <c r="U744" s="2"/>
      <c r="V744" s="2"/>
      <c r="W744" s="2"/>
      <c r="X744" s="2"/>
      <c r="Y744" s="2"/>
      <c r="Z744" s="2"/>
    </row>
    <row r="745" spans="1:26" ht="14.25" customHeight="1" x14ac:dyDescent="0.3">
      <c r="A745" s="2"/>
      <c r="B745" s="2"/>
      <c r="C745" s="2"/>
      <c r="D745" s="2"/>
      <c r="E745" s="2"/>
      <c r="F745" s="2"/>
      <c r="G745" s="3"/>
      <c r="H745" s="3"/>
      <c r="I745" s="3"/>
      <c r="J745" s="2"/>
      <c r="K745" s="2"/>
      <c r="L745" s="2"/>
      <c r="M745" s="2"/>
      <c r="N745" s="2"/>
      <c r="O745" s="2"/>
      <c r="P745" s="2"/>
      <c r="Q745" s="2"/>
      <c r="R745" s="2"/>
      <c r="S745" s="2"/>
      <c r="T745" s="2"/>
      <c r="U745" s="2"/>
      <c r="V745" s="2"/>
      <c r="W745" s="2"/>
      <c r="X745" s="2"/>
      <c r="Y745" s="2"/>
      <c r="Z745" s="2"/>
    </row>
    <row r="746" spans="1:26" ht="14.25" customHeight="1" x14ac:dyDescent="0.3">
      <c r="A746" s="2"/>
      <c r="B746" s="2"/>
      <c r="C746" s="2"/>
      <c r="D746" s="2"/>
      <c r="E746" s="2"/>
      <c r="F746" s="2"/>
      <c r="G746" s="3"/>
      <c r="H746" s="3"/>
      <c r="I746" s="3"/>
      <c r="J746" s="2"/>
      <c r="K746" s="2"/>
      <c r="L746" s="2"/>
      <c r="M746" s="2"/>
      <c r="N746" s="2"/>
      <c r="O746" s="2"/>
      <c r="P746" s="2"/>
      <c r="Q746" s="2"/>
      <c r="R746" s="2"/>
      <c r="S746" s="2"/>
      <c r="T746" s="2"/>
      <c r="U746" s="2"/>
      <c r="V746" s="2"/>
      <c r="W746" s="2"/>
      <c r="X746" s="2"/>
      <c r="Y746" s="2"/>
      <c r="Z746" s="2"/>
    </row>
    <row r="747" spans="1:26" ht="14.25" customHeight="1" x14ac:dyDescent="0.3">
      <c r="A747" s="2"/>
      <c r="B747" s="2"/>
      <c r="C747" s="2"/>
      <c r="D747" s="2"/>
      <c r="E747" s="2"/>
      <c r="F747" s="2"/>
      <c r="G747" s="3"/>
      <c r="H747" s="3"/>
      <c r="I747" s="3"/>
      <c r="J747" s="2"/>
      <c r="K747" s="2"/>
      <c r="L747" s="2"/>
      <c r="M747" s="2"/>
      <c r="N747" s="2"/>
      <c r="O747" s="2"/>
      <c r="P747" s="2"/>
      <c r="Q747" s="2"/>
      <c r="R747" s="2"/>
      <c r="S747" s="2"/>
      <c r="T747" s="2"/>
      <c r="U747" s="2"/>
      <c r="V747" s="2"/>
      <c r="W747" s="2"/>
      <c r="X747" s="2"/>
      <c r="Y747" s="2"/>
      <c r="Z747" s="2"/>
    </row>
    <row r="748" spans="1:26" ht="14.25" customHeight="1" x14ac:dyDescent="0.3">
      <c r="A748" s="2"/>
      <c r="B748" s="2"/>
      <c r="C748" s="2"/>
      <c r="D748" s="2"/>
      <c r="E748" s="2"/>
      <c r="F748" s="2"/>
      <c r="G748" s="3"/>
      <c r="H748" s="3"/>
      <c r="I748" s="3"/>
      <c r="J748" s="2"/>
      <c r="K748" s="2"/>
      <c r="L748" s="2"/>
      <c r="M748" s="2"/>
      <c r="N748" s="2"/>
      <c r="O748" s="2"/>
      <c r="P748" s="2"/>
      <c r="Q748" s="2"/>
      <c r="R748" s="2"/>
      <c r="S748" s="2"/>
      <c r="T748" s="2"/>
      <c r="U748" s="2"/>
      <c r="V748" s="2"/>
      <c r="W748" s="2"/>
      <c r="X748" s="2"/>
      <c r="Y748" s="2"/>
      <c r="Z748" s="2"/>
    </row>
    <row r="749" spans="1:26" ht="14.25" customHeight="1" x14ac:dyDescent="0.3">
      <c r="A749" s="2"/>
      <c r="B749" s="2"/>
      <c r="C749" s="2"/>
      <c r="D749" s="2"/>
      <c r="E749" s="2"/>
      <c r="F749" s="2"/>
      <c r="G749" s="3"/>
      <c r="H749" s="3"/>
      <c r="I749" s="3"/>
      <c r="J749" s="2"/>
      <c r="K749" s="2"/>
      <c r="L749" s="2"/>
      <c r="M749" s="2"/>
      <c r="N749" s="2"/>
      <c r="O749" s="2"/>
      <c r="P749" s="2"/>
      <c r="Q749" s="2"/>
      <c r="R749" s="2"/>
      <c r="S749" s="2"/>
      <c r="T749" s="2"/>
      <c r="U749" s="2"/>
      <c r="V749" s="2"/>
      <c r="W749" s="2"/>
      <c r="X749" s="2"/>
      <c r="Y749" s="2"/>
      <c r="Z749" s="2"/>
    </row>
    <row r="750" spans="1:26" ht="14.25" customHeight="1" x14ac:dyDescent="0.3">
      <c r="A750" s="2"/>
      <c r="B750" s="2"/>
      <c r="C750" s="2"/>
      <c r="D750" s="2"/>
      <c r="E750" s="2"/>
      <c r="F750" s="2"/>
      <c r="G750" s="3"/>
      <c r="H750" s="3"/>
      <c r="I750" s="3"/>
      <c r="J750" s="2"/>
      <c r="K750" s="2"/>
      <c r="L750" s="2"/>
      <c r="M750" s="2"/>
      <c r="N750" s="2"/>
      <c r="O750" s="2"/>
      <c r="P750" s="2"/>
      <c r="Q750" s="2"/>
      <c r="R750" s="2"/>
      <c r="S750" s="2"/>
      <c r="T750" s="2"/>
      <c r="U750" s="2"/>
      <c r="V750" s="2"/>
      <c r="W750" s="2"/>
      <c r="X750" s="2"/>
      <c r="Y750" s="2"/>
      <c r="Z750" s="2"/>
    </row>
    <row r="751" spans="1:26" ht="14.25" customHeight="1" x14ac:dyDescent="0.3">
      <c r="A751" s="2"/>
      <c r="B751" s="2"/>
      <c r="C751" s="2"/>
      <c r="D751" s="2"/>
      <c r="E751" s="2"/>
      <c r="F751" s="2"/>
      <c r="G751" s="3"/>
      <c r="H751" s="3"/>
      <c r="I751" s="3"/>
      <c r="J751" s="2"/>
      <c r="K751" s="2"/>
      <c r="L751" s="2"/>
      <c r="M751" s="2"/>
      <c r="N751" s="2"/>
      <c r="O751" s="2"/>
      <c r="P751" s="2"/>
      <c r="Q751" s="2"/>
      <c r="R751" s="2"/>
      <c r="S751" s="2"/>
      <c r="T751" s="2"/>
      <c r="U751" s="2"/>
      <c r="V751" s="2"/>
      <c r="W751" s="2"/>
      <c r="X751" s="2"/>
      <c r="Y751" s="2"/>
      <c r="Z751" s="2"/>
    </row>
    <row r="752" spans="1:26" ht="14.25" customHeight="1" x14ac:dyDescent="0.3">
      <c r="A752" s="2"/>
      <c r="B752" s="2"/>
      <c r="C752" s="2"/>
      <c r="D752" s="2"/>
      <c r="E752" s="2"/>
      <c r="F752" s="2"/>
      <c r="G752" s="3"/>
      <c r="H752" s="3"/>
      <c r="I752" s="3"/>
      <c r="J752" s="2"/>
      <c r="K752" s="2"/>
      <c r="L752" s="2"/>
      <c r="M752" s="2"/>
      <c r="N752" s="2"/>
      <c r="O752" s="2"/>
      <c r="P752" s="2"/>
      <c r="Q752" s="2"/>
      <c r="R752" s="2"/>
      <c r="S752" s="2"/>
      <c r="T752" s="2"/>
      <c r="U752" s="2"/>
      <c r="V752" s="2"/>
      <c r="W752" s="2"/>
      <c r="X752" s="2"/>
      <c r="Y752" s="2"/>
      <c r="Z752" s="2"/>
    </row>
    <row r="753" spans="1:26" ht="14.25" customHeight="1" x14ac:dyDescent="0.3">
      <c r="A753" s="2"/>
      <c r="B753" s="2"/>
      <c r="C753" s="2"/>
      <c r="D753" s="2"/>
      <c r="E753" s="2"/>
      <c r="F753" s="2"/>
      <c r="G753" s="3"/>
      <c r="H753" s="3"/>
      <c r="I753" s="3"/>
      <c r="J753" s="2"/>
      <c r="K753" s="2"/>
      <c r="L753" s="2"/>
      <c r="M753" s="2"/>
      <c r="N753" s="2"/>
      <c r="O753" s="2"/>
      <c r="P753" s="2"/>
      <c r="Q753" s="2"/>
      <c r="R753" s="2"/>
      <c r="S753" s="2"/>
      <c r="T753" s="2"/>
      <c r="U753" s="2"/>
      <c r="V753" s="2"/>
      <c r="W753" s="2"/>
      <c r="X753" s="2"/>
      <c r="Y753" s="2"/>
      <c r="Z753" s="2"/>
    </row>
    <row r="754" spans="1:26" ht="14.25" customHeight="1" x14ac:dyDescent="0.3">
      <c r="A754" s="2"/>
      <c r="B754" s="2"/>
      <c r="C754" s="2"/>
      <c r="D754" s="2"/>
      <c r="E754" s="2"/>
      <c r="F754" s="2"/>
      <c r="G754" s="3"/>
      <c r="H754" s="3"/>
      <c r="I754" s="3"/>
      <c r="J754" s="2"/>
      <c r="K754" s="2"/>
      <c r="L754" s="2"/>
      <c r="M754" s="2"/>
      <c r="N754" s="2"/>
      <c r="O754" s="2"/>
      <c r="P754" s="2"/>
      <c r="Q754" s="2"/>
      <c r="R754" s="2"/>
      <c r="S754" s="2"/>
      <c r="T754" s="2"/>
      <c r="U754" s="2"/>
      <c r="V754" s="2"/>
      <c r="W754" s="2"/>
      <c r="X754" s="2"/>
      <c r="Y754" s="2"/>
      <c r="Z754" s="2"/>
    </row>
    <row r="755" spans="1:26" ht="14.25" customHeight="1" x14ac:dyDescent="0.3">
      <c r="A755" s="2"/>
      <c r="B755" s="2"/>
      <c r="C755" s="2"/>
      <c r="D755" s="2"/>
      <c r="E755" s="2"/>
      <c r="F755" s="2"/>
      <c r="G755" s="3"/>
      <c r="H755" s="3"/>
      <c r="I755" s="3"/>
      <c r="J755" s="2"/>
      <c r="K755" s="2"/>
      <c r="L755" s="2"/>
      <c r="M755" s="2"/>
      <c r="N755" s="2"/>
      <c r="O755" s="2"/>
      <c r="P755" s="2"/>
      <c r="Q755" s="2"/>
      <c r="R755" s="2"/>
      <c r="S755" s="2"/>
      <c r="T755" s="2"/>
      <c r="U755" s="2"/>
      <c r="V755" s="2"/>
      <c r="W755" s="2"/>
      <c r="X755" s="2"/>
      <c r="Y755" s="2"/>
      <c r="Z755" s="2"/>
    </row>
    <row r="756" spans="1:26" ht="14.25" customHeight="1" x14ac:dyDescent="0.3">
      <c r="A756" s="2"/>
      <c r="B756" s="2"/>
      <c r="C756" s="2"/>
      <c r="D756" s="2"/>
      <c r="E756" s="2"/>
      <c r="F756" s="2"/>
      <c r="G756" s="3"/>
      <c r="H756" s="3"/>
      <c r="I756" s="3"/>
      <c r="J756" s="2"/>
      <c r="K756" s="2"/>
      <c r="L756" s="2"/>
      <c r="M756" s="2"/>
      <c r="N756" s="2"/>
      <c r="O756" s="2"/>
      <c r="P756" s="2"/>
      <c r="Q756" s="2"/>
      <c r="R756" s="2"/>
      <c r="S756" s="2"/>
      <c r="T756" s="2"/>
      <c r="U756" s="2"/>
      <c r="V756" s="2"/>
      <c r="W756" s="2"/>
      <c r="X756" s="2"/>
      <c r="Y756" s="2"/>
      <c r="Z756" s="2"/>
    </row>
    <row r="757" spans="1:26" ht="14.25" customHeight="1" x14ac:dyDescent="0.3">
      <c r="A757" s="2"/>
      <c r="B757" s="2"/>
      <c r="C757" s="2"/>
      <c r="D757" s="2"/>
      <c r="E757" s="2"/>
      <c r="F757" s="2"/>
      <c r="G757" s="3"/>
      <c r="H757" s="3"/>
      <c r="I757" s="3"/>
      <c r="J757" s="2"/>
      <c r="K757" s="2"/>
      <c r="L757" s="2"/>
      <c r="M757" s="2"/>
      <c r="N757" s="2"/>
      <c r="O757" s="2"/>
      <c r="P757" s="2"/>
      <c r="Q757" s="2"/>
      <c r="R757" s="2"/>
      <c r="S757" s="2"/>
      <c r="T757" s="2"/>
      <c r="U757" s="2"/>
      <c r="V757" s="2"/>
      <c r="W757" s="2"/>
      <c r="X757" s="2"/>
      <c r="Y757" s="2"/>
      <c r="Z757" s="2"/>
    </row>
    <row r="758" spans="1:26" ht="14.25" customHeight="1" x14ac:dyDescent="0.3">
      <c r="A758" s="2"/>
      <c r="B758" s="2"/>
      <c r="C758" s="2"/>
      <c r="D758" s="2"/>
      <c r="E758" s="2"/>
      <c r="F758" s="2"/>
      <c r="G758" s="3"/>
      <c r="H758" s="3"/>
      <c r="I758" s="3"/>
      <c r="J758" s="2"/>
      <c r="K758" s="2"/>
      <c r="L758" s="2"/>
      <c r="M758" s="2"/>
      <c r="N758" s="2"/>
      <c r="O758" s="2"/>
      <c r="P758" s="2"/>
      <c r="Q758" s="2"/>
      <c r="R758" s="2"/>
      <c r="S758" s="2"/>
      <c r="T758" s="2"/>
      <c r="U758" s="2"/>
      <c r="V758" s="2"/>
      <c r="W758" s="2"/>
      <c r="X758" s="2"/>
      <c r="Y758" s="2"/>
      <c r="Z758" s="2"/>
    </row>
    <row r="759" spans="1:26" ht="14.25" customHeight="1" x14ac:dyDescent="0.3">
      <c r="A759" s="2"/>
      <c r="B759" s="2"/>
      <c r="C759" s="2"/>
      <c r="D759" s="2"/>
      <c r="E759" s="2"/>
      <c r="F759" s="2"/>
      <c r="G759" s="3"/>
      <c r="H759" s="3"/>
      <c r="I759" s="3"/>
      <c r="J759" s="2"/>
      <c r="K759" s="2"/>
      <c r="L759" s="2"/>
      <c r="M759" s="2"/>
      <c r="N759" s="2"/>
      <c r="O759" s="2"/>
      <c r="P759" s="2"/>
      <c r="Q759" s="2"/>
      <c r="R759" s="2"/>
      <c r="S759" s="2"/>
      <c r="T759" s="2"/>
      <c r="U759" s="2"/>
      <c r="V759" s="2"/>
      <c r="W759" s="2"/>
      <c r="X759" s="2"/>
      <c r="Y759" s="2"/>
      <c r="Z759" s="2"/>
    </row>
    <row r="760" spans="1:26" ht="14.25" customHeight="1" x14ac:dyDescent="0.3">
      <c r="A760" s="2"/>
      <c r="B760" s="2"/>
      <c r="C760" s="2"/>
      <c r="D760" s="2"/>
      <c r="E760" s="2"/>
      <c r="F760" s="2"/>
      <c r="G760" s="3"/>
      <c r="H760" s="3"/>
      <c r="I760" s="3"/>
      <c r="J760" s="2"/>
      <c r="K760" s="2"/>
      <c r="L760" s="2"/>
      <c r="M760" s="2"/>
      <c r="N760" s="2"/>
      <c r="O760" s="2"/>
      <c r="P760" s="2"/>
      <c r="Q760" s="2"/>
      <c r="R760" s="2"/>
      <c r="S760" s="2"/>
      <c r="T760" s="2"/>
      <c r="U760" s="2"/>
      <c r="V760" s="2"/>
      <c r="W760" s="2"/>
      <c r="X760" s="2"/>
      <c r="Y760" s="2"/>
      <c r="Z760" s="2"/>
    </row>
    <row r="761" spans="1:26" ht="14.25" customHeight="1" x14ac:dyDescent="0.3">
      <c r="A761" s="2"/>
      <c r="B761" s="2"/>
      <c r="C761" s="2"/>
      <c r="D761" s="2"/>
      <c r="E761" s="2"/>
      <c r="F761" s="2"/>
      <c r="G761" s="3"/>
      <c r="H761" s="3"/>
      <c r="I761" s="3"/>
      <c r="J761" s="2"/>
      <c r="K761" s="2"/>
      <c r="L761" s="2"/>
      <c r="M761" s="2"/>
      <c r="N761" s="2"/>
      <c r="O761" s="2"/>
      <c r="P761" s="2"/>
      <c r="Q761" s="2"/>
      <c r="R761" s="2"/>
      <c r="S761" s="2"/>
      <c r="T761" s="2"/>
      <c r="U761" s="2"/>
      <c r="V761" s="2"/>
      <c r="W761" s="2"/>
      <c r="X761" s="2"/>
      <c r="Y761" s="2"/>
      <c r="Z761" s="2"/>
    </row>
    <row r="762" spans="1:26" ht="14.25" customHeight="1" x14ac:dyDescent="0.3">
      <c r="A762" s="2"/>
      <c r="B762" s="2"/>
      <c r="C762" s="2"/>
      <c r="D762" s="2"/>
      <c r="E762" s="2"/>
      <c r="F762" s="2"/>
      <c r="G762" s="3"/>
      <c r="H762" s="3"/>
      <c r="I762" s="3"/>
      <c r="J762" s="2"/>
      <c r="K762" s="2"/>
      <c r="L762" s="2"/>
      <c r="M762" s="2"/>
      <c r="N762" s="2"/>
      <c r="O762" s="2"/>
      <c r="P762" s="2"/>
      <c r="Q762" s="2"/>
      <c r="R762" s="2"/>
      <c r="S762" s="2"/>
      <c r="T762" s="2"/>
      <c r="U762" s="2"/>
      <c r="V762" s="2"/>
      <c r="W762" s="2"/>
      <c r="X762" s="2"/>
      <c r="Y762" s="2"/>
      <c r="Z762" s="2"/>
    </row>
    <row r="763" spans="1:26" ht="14.25" customHeight="1" x14ac:dyDescent="0.3">
      <c r="A763" s="2"/>
      <c r="B763" s="2"/>
      <c r="C763" s="2"/>
      <c r="D763" s="2"/>
      <c r="E763" s="2"/>
      <c r="F763" s="2"/>
      <c r="G763" s="3"/>
      <c r="H763" s="3"/>
      <c r="I763" s="3"/>
      <c r="J763" s="2"/>
      <c r="K763" s="2"/>
      <c r="L763" s="2"/>
      <c r="M763" s="2"/>
      <c r="N763" s="2"/>
      <c r="O763" s="2"/>
      <c r="P763" s="2"/>
      <c r="Q763" s="2"/>
      <c r="R763" s="2"/>
      <c r="S763" s="2"/>
      <c r="T763" s="2"/>
      <c r="U763" s="2"/>
      <c r="V763" s="2"/>
      <c r="W763" s="2"/>
      <c r="X763" s="2"/>
      <c r="Y763" s="2"/>
      <c r="Z763" s="2"/>
    </row>
    <row r="764" spans="1:26" ht="14.25" customHeight="1" x14ac:dyDescent="0.3">
      <c r="A764" s="2"/>
      <c r="B764" s="2"/>
      <c r="C764" s="2"/>
      <c r="D764" s="2"/>
      <c r="E764" s="2"/>
      <c r="F764" s="2"/>
      <c r="G764" s="3"/>
      <c r="H764" s="3"/>
      <c r="I764" s="3"/>
      <c r="J764" s="2"/>
      <c r="K764" s="2"/>
      <c r="L764" s="2"/>
      <c r="M764" s="2"/>
      <c r="N764" s="2"/>
      <c r="O764" s="2"/>
      <c r="P764" s="2"/>
      <c r="Q764" s="2"/>
      <c r="R764" s="2"/>
      <c r="S764" s="2"/>
      <c r="T764" s="2"/>
      <c r="U764" s="2"/>
      <c r="V764" s="2"/>
      <c r="W764" s="2"/>
      <c r="X764" s="2"/>
      <c r="Y764" s="2"/>
      <c r="Z764" s="2"/>
    </row>
    <row r="765" spans="1:26" ht="14.25" customHeight="1" x14ac:dyDescent="0.3">
      <c r="A765" s="2"/>
      <c r="B765" s="2"/>
      <c r="C765" s="2"/>
      <c r="D765" s="2"/>
      <c r="E765" s="2"/>
      <c r="F765" s="2"/>
      <c r="G765" s="3"/>
      <c r="H765" s="3"/>
      <c r="I765" s="3"/>
      <c r="J765" s="2"/>
      <c r="K765" s="2"/>
      <c r="L765" s="2"/>
      <c r="M765" s="2"/>
      <c r="N765" s="2"/>
      <c r="O765" s="2"/>
      <c r="P765" s="2"/>
      <c r="Q765" s="2"/>
      <c r="R765" s="2"/>
      <c r="S765" s="2"/>
      <c r="T765" s="2"/>
      <c r="U765" s="2"/>
      <c r="V765" s="2"/>
      <c r="W765" s="2"/>
      <c r="X765" s="2"/>
      <c r="Y765" s="2"/>
      <c r="Z765" s="2"/>
    </row>
    <row r="766" spans="1:26" ht="14.25" customHeight="1" x14ac:dyDescent="0.3">
      <c r="A766" s="2"/>
      <c r="B766" s="2"/>
      <c r="C766" s="2"/>
      <c r="D766" s="2"/>
      <c r="E766" s="2"/>
      <c r="F766" s="2"/>
      <c r="G766" s="3"/>
      <c r="H766" s="3"/>
      <c r="I766" s="3"/>
      <c r="J766" s="2"/>
      <c r="K766" s="2"/>
      <c r="L766" s="2"/>
      <c r="M766" s="2"/>
      <c r="N766" s="2"/>
      <c r="O766" s="2"/>
      <c r="P766" s="2"/>
      <c r="Q766" s="2"/>
      <c r="R766" s="2"/>
      <c r="S766" s="2"/>
      <c r="T766" s="2"/>
      <c r="U766" s="2"/>
      <c r="V766" s="2"/>
      <c r="W766" s="2"/>
      <c r="X766" s="2"/>
      <c r="Y766" s="2"/>
      <c r="Z766" s="2"/>
    </row>
    <row r="767" spans="1:26" ht="14.25" customHeight="1" x14ac:dyDescent="0.3">
      <c r="A767" s="2"/>
      <c r="B767" s="2"/>
      <c r="C767" s="2"/>
      <c r="D767" s="2"/>
      <c r="E767" s="2"/>
      <c r="F767" s="2"/>
      <c r="G767" s="3"/>
      <c r="H767" s="3"/>
      <c r="I767" s="3"/>
      <c r="J767" s="2"/>
      <c r="K767" s="2"/>
      <c r="L767" s="2"/>
      <c r="M767" s="2"/>
      <c r="N767" s="2"/>
      <c r="O767" s="2"/>
      <c r="P767" s="2"/>
      <c r="Q767" s="2"/>
      <c r="R767" s="2"/>
      <c r="S767" s="2"/>
      <c r="T767" s="2"/>
      <c r="U767" s="2"/>
      <c r="V767" s="2"/>
      <c r="W767" s="2"/>
      <c r="X767" s="2"/>
      <c r="Y767" s="2"/>
      <c r="Z767" s="2"/>
    </row>
    <row r="768" spans="1:26" ht="14.25" customHeight="1" x14ac:dyDescent="0.3">
      <c r="A768" s="2"/>
      <c r="B768" s="2"/>
      <c r="C768" s="2"/>
      <c r="D768" s="2"/>
      <c r="E768" s="2"/>
      <c r="F768" s="2"/>
      <c r="G768" s="3"/>
      <c r="H768" s="3"/>
      <c r="I768" s="3"/>
      <c r="J768" s="2"/>
      <c r="K768" s="2"/>
      <c r="L768" s="2"/>
      <c r="M768" s="2"/>
      <c r="N768" s="2"/>
      <c r="O768" s="2"/>
      <c r="P768" s="2"/>
      <c r="Q768" s="2"/>
      <c r="R768" s="2"/>
      <c r="S768" s="2"/>
      <c r="T768" s="2"/>
      <c r="U768" s="2"/>
      <c r="V768" s="2"/>
      <c r="W768" s="2"/>
      <c r="X768" s="2"/>
      <c r="Y768" s="2"/>
      <c r="Z768" s="2"/>
    </row>
    <row r="769" spans="1:26" ht="14.25" customHeight="1" x14ac:dyDescent="0.3">
      <c r="A769" s="2"/>
      <c r="B769" s="2"/>
      <c r="C769" s="2"/>
      <c r="D769" s="2"/>
      <c r="E769" s="2"/>
      <c r="F769" s="2"/>
      <c r="G769" s="3"/>
      <c r="H769" s="3"/>
      <c r="I769" s="3"/>
      <c r="J769" s="2"/>
      <c r="K769" s="2"/>
      <c r="L769" s="2"/>
      <c r="M769" s="2"/>
      <c r="N769" s="2"/>
      <c r="O769" s="2"/>
      <c r="P769" s="2"/>
      <c r="Q769" s="2"/>
      <c r="R769" s="2"/>
      <c r="S769" s="2"/>
      <c r="T769" s="2"/>
      <c r="U769" s="2"/>
      <c r="V769" s="2"/>
      <c r="W769" s="2"/>
      <c r="X769" s="2"/>
      <c r="Y769" s="2"/>
      <c r="Z769" s="2"/>
    </row>
    <row r="770" spans="1:26" ht="14.25" customHeight="1" x14ac:dyDescent="0.3">
      <c r="A770" s="2"/>
      <c r="B770" s="2"/>
      <c r="C770" s="2"/>
      <c r="D770" s="2"/>
      <c r="E770" s="2"/>
      <c r="F770" s="2"/>
      <c r="G770" s="3"/>
      <c r="H770" s="3"/>
      <c r="I770" s="3"/>
      <c r="J770" s="2"/>
      <c r="K770" s="2"/>
      <c r="L770" s="2"/>
      <c r="M770" s="2"/>
      <c r="N770" s="2"/>
      <c r="O770" s="2"/>
      <c r="P770" s="2"/>
      <c r="Q770" s="2"/>
      <c r="R770" s="2"/>
      <c r="S770" s="2"/>
      <c r="T770" s="2"/>
      <c r="U770" s="2"/>
      <c r="V770" s="2"/>
      <c r="W770" s="2"/>
      <c r="X770" s="2"/>
      <c r="Y770" s="2"/>
      <c r="Z770" s="2"/>
    </row>
    <row r="771" spans="1:26" ht="14.25" customHeight="1" x14ac:dyDescent="0.3">
      <c r="A771" s="2"/>
      <c r="B771" s="2"/>
      <c r="C771" s="2"/>
      <c r="D771" s="2"/>
      <c r="E771" s="2"/>
      <c r="F771" s="2"/>
      <c r="G771" s="3"/>
      <c r="H771" s="3"/>
      <c r="I771" s="3"/>
      <c r="J771" s="2"/>
      <c r="K771" s="2"/>
      <c r="L771" s="2"/>
      <c r="M771" s="2"/>
      <c r="N771" s="2"/>
      <c r="O771" s="2"/>
      <c r="P771" s="2"/>
      <c r="Q771" s="2"/>
      <c r="R771" s="2"/>
      <c r="S771" s="2"/>
      <c r="T771" s="2"/>
      <c r="U771" s="2"/>
      <c r="V771" s="2"/>
      <c r="W771" s="2"/>
      <c r="X771" s="2"/>
      <c r="Y771" s="2"/>
      <c r="Z771" s="2"/>
    </row>
    <row r="772" spans="1:26" ht="14.25" customHeight="1" x14ac:dyDescent="0.3">
      <c r="A772" s="2"/>
      <c r="B772" s="2"/>
      <c r="C772" s="2"/>
      <c r="D772" s="2"/>
      <c r="E772" s="2"/>
      <c r="F772" s="2"/>
      <c r="G772" s="3"/>
      <c r="H772" s="3"/>
      <c r="I772" s="3"/>
      <c r="J772" s="2"/>
      <c r="K772" s="2"/>
      <c r="L772" s="2"/>
      <c r="M772" s="2"/>
      <c r="N772" s="2"/>
      <c r="O772" s="2"/>
      <c r="P772" s="2"/>
      <c r="Q772" s="2"/>
      <c r="R772" s="2"/>
      <c r="S772" s="2"/>
      <c r="T772" s="2"/>
      <c r="U772" s="2"/>
      <c r="V772" s="2"/>
      <c r="W772" s="2"/>
      <c r="X772" s="2"/>
      <c r="Y772" s="2"/>
      <c r="Z772" s="2"/>
    </row>
    <row r="773" spans="1:26" ht="14.25" customHeight="1" x14ac:dyDescent="0.3">
      <c r="A773" s="2"/>
      <c r="B773" s="2"/>
      <c r="C773" s="2"/>
      <c r="D773" s="2"/>
      <c r="E773" s="2"/>
      <c r="F773" s="2"/>
      <c r="G773" s="3"/>
      <c r="H773" s="3"/>
      <c r="I773" s="3"/>
      <c r="J773" s="2"/>
      <c r="K773" s="2"/>
      <c r="L773" s="2"/>
      <c r="M773" s="2"/>
      <c r="N773" s="2"/>
      <c r="O773" s="2"/>
      <c r="P773" s="2"/>
      <c r="Q773" s="2"/>
      <c r="R773" s="2"/>
      <c r="S773" s="2"/>
      <c r="T773" s="2"/>
      <c r="U773" s="2"/>
      <c r="V773" s="2"/>
      <c r="W773" s="2"/>
      <c r="X773" s="2"/>
      <c r="Y773" s="2"/>
      <c r="Z773" s="2"/>
    </row>
    <row r="774" spans="1:26" ht="14.25" customHeight="1" x14ac:dyDescent="0.3">
      <c r="A774" s="2"/>
      <c r="B774" s="2"/>
      <c r="C774" s="2"/>
      <c r="D774" s="2"/>
      <c r="E774" s="2"/>
      <c r="F774" s="2"/>
      <c r="G774" s="3"/>
      <c r="H774" s="3"/>
      <c r="I774" s="3"/>
      <c r="J774" s="2"/>
      <c r="K774" s="2"/>
      <c r="L774" s="2"/>
      <c r="M774" s="2"/>
      <c r="N774" s="2"/>
      <c r="O774" s="2"/>
      <c r="P774" s="2"/>
      <c r="Q774" s="2"/>
      <c r="R774" s="2"/>
      <c r="S774" s="2"/>
      <c r="T774" s="2"/>
      <c r="U774" s="2"/>
      <c r="V774" s="2"/>
      <c r="W774" s="2"/>
      <c r="X774" s="2"/>
      <c r="Y774" s="2"/>
      <c r="Z774" s="2"/>
    </row>
    <row r="775" spans="1:26" ht="14.25" customHeight="1" x14ac:dyDescent="0.3">
      <c r="A775" s="2"/>
      <c r="B775" s="2"/>
      <c r="C775" s="2"/>
      <c r="D775" s="2"/>
      <c r="E775" s="2"/>
      <c r="F775" s="2"/>
      <c r="G775" s="3"/>
      <c r="H775" s="3"/>
      <c r="I775" s="3"/>
      <c r="J775" s="2"/>
      <c r="K775" s="2"/>
      <c r="L775" s="2"/>
      <c r="M775" s="2"/>
      <c r="N775" s="2"/>
      <c r="O775" s="2"/>
      <c r="P775" s="2"/>
      <c r="Q775" s="2"/>
      <c r="R775" s="2"/>
      <c r="S775" s="2"/>
      <c r="T775" s="2"/>
      <c r="U775" s="2"/>
      <c r="V775" s="2"/>
      <c r="W775" s="2"/>
      <c r="X775" s="2"/>
      <c r="Y775" s="2"/>
      <c r="Z775" s="2"/>
    </row>
    <row r="776" spans="1:26" ht="14.25" customHeight="1" x14ac:dyDescent="0.3">
      <c r="A776" s="2"/>
      <c r="B776" s="2"/>
      <c r="C776" s="2"/>
      <c r="D776" s="2"/>
      <c r="E776" s="2"/>
      <c r="F776" s="2"/>
      <c r="G776" s="3"/>
      <c r="H776" s="3"/>
      <c r="I776" s="3"/>
      <c r="J776" s="2"/>
      <c r="K776" s="2"/>
      <c r="L776" s="2"/>
      <c r="M776" s="2"/>
      <c r="N776" s="2"/>
      <c r="O776" s="2"/>
      <c r="P776" s="2"/>
      <c r="Q776" s="2"/>
      <c r="R776" s="2"/>
      <c r="S776" s="2"/>
      <c r="T776" s="2"/>
      <c r="U776" s="2"/>
      <c r="V776" s="2"/>
      <c r="W776" s="2"/>
      <c r="X776" s="2"/>
      <c r="Y776" s="2"/>
      <c r="Z776" s="2"/>
    </row>
    <row r="777" spans="1:26" ht="14.25" customHeight="1" x14ac:dyDescent="0.3">
      <c r="A777" s="2"/>
      <c r="B777" s="2"/>
      <c r="C777" s="2"/>
      <c r="D777" s="2"/>
      <c r="E777" s="2"/>
      <c r="F777" s="2"/>
      <c r="G777" s="3"/>
      <c r="H777" s="3"/>
      <c r="I777" s="3"/>
      <c r="J777" s="2"/>
      <c r="K777" s="2"/>
      <c r="L777" s="2"/>
      <c r="M777" s="2"/>
      <c r="N777" s="2"/>
      <c r="O777" s="2"/>
      <c r="P777" s="2"/>
      <c r="Q777" s="2"/>
      <c r="R777" s="2"/>
      <c r="S777" s="2"/>
      <c r="T777" s="2"/>
      <c r="U777" s="2"/>
      <c r="V777" s="2"/>
      <c r="W777" s="2"/>
      <c r="X777" s="2"/>
      <c r="Y777" s="2"/>
      <c r="Z777" s="2"/>
    </row>
    <row r="778" spans="1:26" ht="14.25" customHeight="1" x14ac:dyDescent="0.3">
      <c r="A778" s="2"/>
      <c r="B778" s="2"/>
      <c r="C778" s="2"/>
      <c r="D778" s="2"/>
      <c r="E778" s="2"/>
      <c r="F778" s="2"/>
      <c r="G778" s="3"/>
      <c r="H778" s="3"/>
      <c r="I778" s="3"/>
      <c r="J778" s="2"/>
      <c r="K778" s="2"/>
      <c r="L778" s="2"/>
      <c r="M778" s="2"/>
      <c r="N778" s="2"/>
      <c r="O778" s="2"/>
      <c r="P778" s="2"/>
      <c r="Q778" s="2"/>
      <c r="R778" s="2"/>
      <c r="S778" s="2"/>
      <c r="T778" s="2"/>
      <c r="U778" s="2"/>
      <c r="V778" s="2"/>
      <c r="W778" s="2"/>
      <c r="X778" s="2"/>
      <c r="Y778" s="2"/>
      <c r="Z778" s="2"/>
    </row>
    <row r="779" spans="1:26" ht="14.25" customHeight="1" x14ac:dyDescent="0.3">
      <c r="A779" s="2"/>
      <c r="B779" s="2"/>
      <c r="C779" s="2"/>
      <c r="D779" s="2"/>
      <c r="E779" s="2"/>
      <c r="F779" s="2"/>
      <c r="G779" s="3"/>
      <c r="H779" s="3"/>
      <c r="I779" s="3"/>
      <c r="J779" s="2"/>
      <c r="K779" s="2"/>
      <c r="L779" s="2"/>
      <c r="M779" s="2"/>
      <c r="N779" s="2"/>
      <c r="O779" s="2"/>
      <c r="P779" s="2"/>
      <c r="Q779" s="2"/>
      <c r="R779" s="2"/>
      <c r="S779" s="2"/>
      <c r="T779" s="2"/>
      <c r="U779" s="2"/>
      <c r="V779" s="2"/>
      <c r="W779" s="2"/>
      <c r="X779" s="2"/>
      <c r="Y779" s="2"/>
      <c r="Z779" s="2"/>
    </row>
    <row r="780" spans="1:26" ht="14.25" customHeight="1" x14ac:dyDescent="0.3">
      <c r="A780" s="2"/>
      <c r="B780" s="2"/>
      <c r="C780" s="2"/>
      <c r="D780" s="2"/>
      <c r="E780" s="2"/>
      <c r="F780" s="2"/>
      <c r="G780" s="3"/>
      <c r="H780" s="3"/>
      <c r="I780" s="3"/>
      <c r="J780" s="2"/>
      <c r="K780" s="2"/>
      <c r="L780" s="2"/>
      <c r="M780" s="2"/>
      <c r="N780" s="2"/>
      <c r="O780" s="2"/>
      <c r="P780" s="2"/>
      <c r="Q780" s="2"/>
      <c r="R780" s="2"/>
      <c r="S780" s="2"/>
      <c r="T780" s="2"/>
      <c r="U780" s="2"/>
      <c r="V780" s="2"/>
      <c r="W780" s="2"/>
      <c r="X780" s="2"/>
      <c r="Y780" s="2"/>
      <c r="Z780" s="2"/>
    </row>
    <row r="781" spans="1:26" ht="14.25" customHeight="1" x14ac:dyDescent="0.3">
      <c r="A781" s="2"/>
      <c r="B781" s="2"/>
      <c r="C781" s="2"/>
      <c r="D781" s="2"/>
      <c r="E781" s="2"/>
      <c r="F781" s="2"/>
      <c r="G781" s="3"/>
      <c r="H781" s="3"/>
      <c r="I781" s="3"/>
      <c r="J781" s="2"/>
      <c r="K781" s="2"/>
      <c r="L781" s="2"/>
      <c r="M781" s="2"/>
      <c r="N781" s="2"/>
      <c r="O781" s="2"/>
      <c r="P781" s="2"/>
      <c r="Q781" s="2"/>
      <c r="R781" s="2"/>
      <c r="S781" s="2"/>
      <c r="T781" s="2"/>
      <c r="U781" s="2"/>
      <c r="V781" s="2"/>
      <c r="W781" s="2"/>
      <c r="X781" s="2"/>
      <c r="Y781" s="2"/>
      <c r="Z781" s="2"/>
    </row>
    <row r="782" spans="1:26" ht="14.25" customHeight="1" x14ac:dyDescent="0.3">
      <c r="A782" s="2"/>
      <c r="B782" s="2"/>
      <c r="C782" s="2"/>
      <c r="D782" s="2"/>
      <c r="E782" s="2"/>
      <c r="F782" s="2"/>
      <c r="G782" s="3"/>
      <c r="H782" s="3"/>
      <c r="I782" s="3"/>
      <c r="J782" s="2"/>
      <c r="K782" s="2"/>
      <c r="L782" s="2"/>
      <c r="M782" s="2"/>
      <c r="N782" s="2"/>
      <c r="O782" s="2"/>
      <c r="P782" s="2"/>
      <c r="Q782" s="2"/>
      <c r="R782" s="2"/>
      <c r="S782" s="2"/>
      <c r="T782" s="2"/>
      <c r="U782" s="2"/>
      <c r="V782" s="2"/>
      <c r="W782" s="2"/>
      <c r="X782" s="2"/>
      <c r="Y782" s="2"/>
      <c r="Z782" s="2"/>
    </row>
    <row r="783" spans="1:26" ht="14.25" customHeight="1" x14ac:dyDescent="0.3">
      <c r="A783" s="2"/>
      <c r="B783" s="2"/>
      <c r="C783" s="2"/>
      <c r="D783" s="2"/>
      <c r="E783" s="2"/>
      <c r="F783" s="2"/>
      <c r="G783" s="3"/>
      <c r="H783" s="3"/>
      <c r="I783" s="3"/>
      <c r="J783" s="2"/>
      <c r="K783" s="2"/>
      <c r="L783" s="2"/>
      <c r="M783" s="2"/>
      <c r="N783" s="2"/>
      <c r="O783" s="2"/>
      <c r="P783" s="2"/>
      <c r="Q783" s="2"/>
      <c r="R783" s="2"/>
      <c r="S783" s="2"/>
      <c r="T783" s="2"/>
      <c r="U783" s="2"/>
      <c r="V783" s="2"/>
      <c r="W783" s="2"/>
      <c r="X783" s="2"/>
      <c r="Y783" s="2"/>
      <c r="Z783" s="2"/>
    </row>
    <row r="784" spans="1:26" ht="14.25" customHeight="1" x14ac:dyDescent="0.3">
      <c r="A784" s="2"/>
      <c r="B784" s="2"/>
      <c r="C784" s="2"/>
      <c r="D784" s="2"/>
      <c r="E784" s="2"/>
      <c r="F784" s="2"/>
      <c r="G784" s="3"/>
      <c r="H784" s="3"/>
      <c r="I784" s="3"/>
      <c r="J784" s="2"/>
      <c r="K784" s="2"/>
      <c r="L784" s="2"/>
      <c r="M784" s="2"/>
      <c r="N784" s="2"/>
      <c r="O784" s="2"/>
      <c r="P784" s="2"/>
      <c r="Q784" s="2"/>
      <c r="R784" s="2"/>
      <c r="S784" s="2"/>
      <c r="T784" s="2"/>
      <c r="U784" s="2"/>
      <c r="V784" s="2"/>
      <c r="W784" s="2"/>
      <c r="X784" s="2"/>
      <c r="Y784" s="2"/>
      <c r="Z784" s="2"/>
    </row>
    <row r="785" spans="1:26" ht="14.25" customHeight="1" x14ac:dyDescent="0.3">
      <c r="A785" s="2"/>
      <c r="B785" s="2"/>
      <c r="C785" s="2"/>
      <c r="D785" s="2"/>
      <c r="E785" s="2"/>
      <c r="F785" s="2"/>
      <c r="G785" s="3"/>
      <c r="H785" s="3"/>
      <c r="I785" s="3"/>
      <c r="J785" s="2"/>
      <c r="K785" s="2"/>
      <c r="L785" s="2"/>
      <c r="M785" s="2"/>
      <c r="N785" s="2"/>
      <c r="O785" s="2"/>
      <c r="P785" s="2"/>
      <c r="Q785" s="2"/>
      <c r="R785" s="2"/>
      <c r="S785" s="2"/>
      <c r="T785" s="2"/>
      <c r="U785" s="2"/>
      <c r="V785" s="2"/>
      <c r="W785" s="2"/>
      <c r="X785" s="2"/>
      <c r="Y785" s="2"/>
      <c r="Z785" s="2"/>
    </row>
    <row r="786" spans="1:26" ht="14.25" customHeight="1" x14ac:dyDescent="0.3">
      <c r="A786" s="2"/>
      <c r="B786" s="2"/>
      <c r="C786" s="2"/>
      <c r="D786" s="2"/>
      <c r="E786" s="2"/>
      <c r="F786" s="2"/>
      <c r="G786" s="3"/>
      <c r="H786" s="3"/>
      <c r="I786" s="3"/>
      <c r="J786" s="2"/>
      <c r="K786" s="2"/>
      <c r="L786" s="2"/>
      <c r="M786" s="2"/>
      <c r="N786" s="2"/>
      <c r="O786" s="2"/>
      <c r="P786" s="2"/>
      <c r="Q786" s="2"/>
      <c r="R786" s="2"/>
      <c r="S786" s="2"/>
      <c r="T786" s="2"/>
      <c r="U786" s="2"/>
      <c r="V786" s="2"/>
      <c r="W786" s="2"/>
      <c r="X786" s="2"/>
      <c r="Y786" s="2"/>
      <c r="Z786" s="2"/>
    </row>
    <row r="787" spans="1:26" ht="14.25" customHeight="1" x14ac:dyDescent="0.3">
      <c r="A787" s="2"/>
      <c r="B787" s="2"/>
      <c r="C787" s="2"/>
      <c r="D787" s="2"/>
      <c r="E787" s="2"/>
      <c r="F787" s="2"/>
      <c r="G787" s="3"/>
      <c r="H787" s="3"/>
      <c r="I787" s="3"/>
      <c r="J787" s="2"/>
      <c r="K787" s="2"/>
      <c r="L787" s="2"/>
      <c r="M787" s="2"/>
      <c r="N787" s="2"/>
      <c r="O787" s="2"/>
      <c r="P787" s="2"/>
      <c r="Q787" s="2"/>
      <c r="R787" s="2"/>
      <c r="S787" s="2"/>
      <c r="T787" s="2"/>
      <c r="U787" s="2"/>
      <c r="V787" s="2"/>
      <c r="W787" s="2"/>
      <c r="X787" s="2"/>
      <c r="Y787" s="2"/>
      <c r="Z787" s="2"/>
    </row>
    <row r="788" spans="1:26" ht="14.25" customHeight="1" x14ac:dyDescent="0.3">
      <c r="A788" s="2"/>
      <c r="B788" s="2"/>
      <c r="C788" s="2"/>
      <c r="D788" s="2"/>
      <c r="E788" s="2"/>
      <c r="F788" s="2"/>
      <c r="G788" s="3"/>
      <c r="H788" s="3"/>
      <c r="I788" s="3"/>
      <c r="J788" s="2"/>
      <c r="K788" s="2"/>
      <c r="L788" s="2"/>
      <c r="M788" s="2"/>
      <c r="N788" s="2"/>
      <c r="O788" s="2"/>
      <c r="P788" s="2"/>
      <c r="Q788" s="2"/>
      <c r="R788" s="2"/>
      <c r="S788" s="2"/>
      <c r="T788" s="2"/>
      <c r="U788" s="2"/>
      <c r="V788" s="2"/>
      <c r="W788" s="2"/>
      <c r="X788" s="2"/>
      <c r="Y788" s="2"/>
      <c r="Z788" s="2"/>
    </row>
    <row r="789" spans="1:26" ht="14.25" customHeight="1" x14ac:dyDescent="0.3">
      <c r="A789" s="2"/>
      <c r="B789" s="2"/>
      <c r="C789" s="2"/>
      <c r="D789" s="2"/>
      <c r="E789" s="2"/>
      <c r="F789" s="2"/>
      <c r="G789" s="3"/>
      <c r="H789" s="3"/>
      <c r="I789" s="3"/>
      <c r="J789" s="2"/>
      <c r="K789" s="2"/>
      <c r="L789" s="2"/>
      <c r="M789" s="2"/>
      <c r="N789" s="2"/>
      <c r="O789" s="2"/>
      <c r="P789" s="2"/>
      <c r="Q789" s="2"/>
      <c r="R789" s="2"/>
      <c r="S789" s="2"/>
      <c r="T789" s="2"/>
      <c r="U789" s="2"/>
      <c r="V789" s="2"/>
      <c r="W789" s="2"/>
      <c r="X789" s="2"/>
      <c r="Y789" s="2"/>
      <c r="Z789" s="2"/>
    </row>
    <row r="790" spans="1:26" ht="14.25" customHeight="1" x14ac:dyDescent="0.3">
      <c r="A790" s="2"/>
      <c r="B790" s="2"/>
      <c r="C790" s="2"/>
      <c r="D790" s="2"/>
      <c r="E790" s="2"/>
      <c r="F790" s="2"/>
      <c r="G790" s="3"/>
      <c r="H790" s="3"/>
      <c r="I790" s="3"/>
      <c r="J790" s="2"/>
      <c r="K790" s="2"/>
      <c r="L790" s="2"/>
      <c r="M790" s="2"/>
      <c r="N790" s="2"/>
      <c r="O790" s="2"/>
      <c r="P790" s="2"/>
      <c r="Q790" s="2"/>
      <c r="R790" s="2"/>
      <c r="S790" s="2"/>
      <c r="T790" s="2"/>
      <c r="U790" s="2"/>
      <c r="V790" s="2"/>
      <c r="W790" s="2"/>
      <c r="X790" s="2"/>
      <c r="Y790" s="2"/>
      <c r="Z790" s="2"/>
    </row>
    <row r="791" spans="1:26" ht="14.25" customHeight="1" x14ac:dyDescent="0.3">
      <c r="A791" s="2"/>
      <c r="B791" s="2"/>
      <c r="C791" s="2"/>
      <c r="D791" s="2"/>
      <c r="E791" s="2"/>
      <c r="F791" s="2"/>
      <c r="G791" s="3"/>
      <c r="H791" s="3"/>
      <c r="I791" s="3"/>
      <c r="J791" s="2"/>
      <c r="K791" s="2"/>
      <c r="L791" s="2"/>
      <c r="M791" s="2"/>
      <c r="N791" s="2"/>
      <c r="O791" s="2"/>
      <c r="P791" s="2"/>
      <c r="Q791" s="2"/>
      <c r="R791" s="2"/>
      <c r="S791" s="2"/>
      <c r="T791" s="2"/>
      <c r="U791" s="2"/>
      <c r="V791" s="2"/>
      <c r="W791" s="2"/>
      <c r="X791" s="2"/>
      <c r="Y791" s="2"/>
      <c r="Z791" s="2"/>
    </row>
    <row r="792" spans="1:26" ht="14.25" customHeight="1" x14ac:dyDescent="0.3">
      <c r="A792" s="2"/>
      <c r="B792" s="2"/>
      <c r="C792" s="2"/>
      <c r="D792" s="2"/>
      <c r="E792" s="2"/>
      <c r="F792" s="2"/>
      <c r="G792" s="3"/>
      <c r="H792" s="3"/>
      <c r="I792" s="3"/>
      <c r="J792" s="2"/>
      <c r="K792" s="2"/>
      <c r="L792" s="2"/>
      <c r="M792" s="2"/>
      <c r="N792" s="2"/>
      <c r="O792" s="2"/>
      <c r="P792" s="2"/>
      <c r="Q792" s="2"/>
      <c r="R792" s="2"/>
      <c r="S792" s="2"/>
      <c r="T792" s="2"/>
      <c r="U792" s="2"/>
      <c r="V792" s="2"/>
      <c r="W792" s="2"/>
      <c r="X792" s="2"/>
      <c r="Y792" s="2"/>
      <c r="Z792" s="2"/>
    </row>
    <row r="793" spans="1:26" ht="14.25" customHeight="1" x14ac:dyDescent="0.3">
      <c r="A793" s="2"/>
      <c r="B793" s="2"/>
      <c r="C793" s="2"/>
      <c r="D793" s="2"/>
      <c r="E793" s="2"/>
      <c r="F793" s="2"/>
      <c r="G793" s="3"/>
      <c r="H793" s="3"/>
      <c r="I793" s="3"/>
      <c r="J793" s="2"/>
      <c r="K793" s="2"/>
      <c r="L793" s="2"/>
      <c r="M793" s="2"/>
      <c r="N793" s="2"/>
      <c r="O793" s="2"/>
      <c r="P793" s="2"/>
      <c r="Q793" s="2"/>
      <c r="R793" s="2"/>
      <c r="S793" s="2"/>
      <c r="T793" s="2"/>
      <c r="U793" s="2"/>
      <c r="V793" s="2"/>
      <c r="W793" s="2"/>
      <c r="X793" s="2"/>
      <c r="Y793" s="2"/>
      <c r="Z793" s="2"/>
    </row>
    <row r="794" spans="1:26" ht="14.25" customHeight="1" x14ac:dyDescent="0.3">
      <c r="A794" s="2"/>
      <c r="B794" s="2"/>
      <c r="C794" s="2"/>
      <c r="D794" s="2"/>
      <c r="E794" s="2"/>
      <c r="F794" s="2"/>
      <c r="G794" s="3"/>
      <c r="H794" s="3"/>
      <c r="I794" s="3"/>
      <c r="J794" s="2"/>
      <c r="K794" s="2"/>
      <c r="L794" s="2"/>
      <c r="M794" s="2"/>
      <c r="N794" s="2"/>
      <c r="O794" s="2"/>
      <c r="P794" s="2"/>
      <c r="Q794" s="2"/>
      <c r="R794" s="2"/>
      <c r="S794" s="2"/>
      <c r="T794" s="2"/>
      <c r="U794" s="2"/>
      <c r="V794" s="2"/>
      <c r="W794" s="2"/>
      <c r="X794" s="2"/>
      <c r="Y794" s="2"/>
      <c r="Z794" s="2"/>
    </row>
    <row r="795" spans="1:26" ht="14.25" customHeight="1" x14ac:dyDescent="0.3">
      <c r="A795" s="2"/>
      <c r="B795" s="2"/>
      <c r="C795" s="2"/>
      <c r="D795" s="2"/>
      <c r="E795" s="2"/>
      <c r="F795" s="2"/>
      <c r="G795" s="3"/>
      <c r="H795" s="3"/>
      <c r="I795" s="3"/>
      <c r="J795" s="2"/>
      <c r="K795" s="2"/>
      <c r="L795" s="2"/>
      <c r="M795" s="2"/>
      <c r="N795" s="2"/>
      <c r="O795" s="2"/>
      <c r="P795" s="2"/>
      <c r="Q795" s="2"/>
      <c r="R795" s="2"/>
      <c r="S795" s="2"/>
      <c r="T795" s="2"/>
      <c r="U795" s="2"/>
      <c r="V795" s="2"/>
      <c r="W795" s="2"/>
      <c r="X795" s="2"/>
      <c r="Y795" s="2"/>
      <c r="Z795" s="2"/>
    </row>
    <row r="796" spans="1:26" ht="14.25" customHeight="1" x14ac:dyDescent="0.3">
      <c r="A796" s="2"/>
      <c r="B796" s="2"/>
      <c r="C796" s="2"/>
      <c r="D796" s="2"/>
      <c r="E796" s="2"/>
      <c r="F796" s="2"/>
      <c r="G796" s="3"/>
      <c r="H796" s="3"/>
      <c r="I796" s="3"/>
      <c r="J796" s="2"/>
      <c r="K796" s="2"/>
      <c r="L796" s="2"/>
      <c r="M796" s="2"/>
      <c r="N796" s="2"/>
      <c r="O796" s="2"/>
      <c r="P796" s="2"/>
      <c r="Q796" s="2"/>
      <c r="R796" s="2"/>
      <c r="S796" s="2"/>
      <c r="T796" s="2"/>
      <c r="U796" s="2"/>
      <c r="V796" s="2"/>
      <c r="W796" s="2"/>
      <c r="X796" s="2"/>
      <c r="Y796" s="2"/>
      <c r="Z796" s="2"/>
    </row>
    <row r="797" spans="1:26" ht="14.25" customHeight="1" x14ac:dyDescent="0.3">
      <c r="A797" s="2"/>
      <c r="B797" s="2"/>
      <c r="C797" s="2"/>
      <c r="D797" s="2"/>
      <c r="E797" s="2"/>
      <c r="F797" s="2"/>
      <c r="G797" s="3"/>
      <c r="H797" s="3"/>
      <c r="I797" s="3"/>
      <c r="J797" s="2"/>
      <c r="K797" s="2"/>
      <c r="L797" s="2"/>
      <c r="M797" s="2"/>
      <c r="N797" s="2"/>
      <c r="O797" s="2"/>
      <c r="P797" s="2"/>
      <c r="Q797" s="2"/>
      <c r="R797" s="2"/>
      <c r="S797" s="2"/>
      <c r="T797" s="2"/>
      <c r="U797" s="2"/>
      <c r="V797" s="2"/>
      <c r="W797" s="2"/>
      <c r="X797" s="2"/>
      <c r="Y797" s="2"/>
      <c r="Z797" s="2"/>
    </row>
    <row r="798" spans="1:26" ht="14.25" customHeight="1" x14ac:dyDescent="0.3">
      <c r="A798" s="2"/>
      <c r="B798" s="2"/>
      <c r="C798" s="2"/>
      <c r="D798" s="2"/>
      <c r="E798" s="2"/>
      <c r="F798" s="2"/>
      <c r="G798" s="3"/>
      <c r="H798" s="3"/>
      <c r="I798" s="3"/>
      <c r="J798" s="2"/>
      <c r="K798" s="2"/>
      <c r="L798" s="2"/>
      <c r="M798" s="2"/>
      <c r="N798" s="2"/>
      <c r="O798" s="2"/>
      <c r="P798" s="2"/>
      <c r="Q798" s="2"/>
      <c r="R798" s="2"/>
      <c r="S798" s="2"/>
      <c r="T798" s="2"/>
      <c r="U798" s="2"/>
      <c r="V798" s="2"/>
      <c r="W798" s="2"/>
      <c r="X798" s="2"/>
      <c r="Y798" s="2"/>
      <c r="Z798" s="2"/>
    </row>
    <row r="799" spans="1:26" ht="14.25" customHeight="1" x14ac:dyDescent="0.3">
      <c r="A799" s="2"/>
      <c r="B799" s="2"/>
      <c r="C799" s="2"/>
      <c r="D799" s="2"/>
      <c r="E799" s="2"/>
      <c r="F799" s="2"/>
      <c r="G799" s="3"/>
      <c r="H799" s="3"/>
      <c r="I799" s="3"/>
      <c r="J799" s="2"/>
      <c r="K799" s="2"/>
      <c r="L799" s="2"/>
      <c r="M799" s="2"/>
      <c r="N799" s="2"/>
      <c r="O799" s="2"/>
      <c r="P799" s="2"/>
      <c r="Q799" s="2"/>
      <c r="R799" s="2"/>
      <c r="S799" s="2"/>
      <c r="T799" s="2"/>
      <c r="U799" s="2"/>
      <c r="V799" s="2"/>
      <c r="W799" s="2"/>
      <c r="X799" s="2"/>
      <c r="Y799" s="2"/>
      <c r="Z799" s="2"/>
    </row>
    <row r="800" spans="1:26" ht="14.25" customHeight="1" x14ac:dyDescent="0.3">
      <c r="A800" s="2"/>
      <c r="B800" s="2"/>
      <c r="C800" s="2"/>
      <c r="D800" s="2"/>
      <c r="E800" s="2"/>
      <c r="F800" s="2"/>
      <c r="G800" s="3"/>
      <c r="H800" s="3"/>
      <c r="I800" s="3"/>
      <c r="J800" s="2"/>
      <c r="K800" s="2"/>
      <c r="L800" s="2"/>
      <c r="M800" s="2"/>
      <c r="N800" s="2"/>
      <c r="O800" s="2"/>
      <c r="P800" s="2"/>
      <c r="Q800" s="2"/>
      <c r="R800" s="2"/>
      <c r="S800" s="2"/>
      <c r="T800" s="2"/>
      <c r="U800" s="2"/>
      <c r="V800" s="2"/>
      <c r="W800" s="2"/>
      <c r="X800" s="2"/>
      <c r="Y800" s="2"/>
      <c r="Z800" s="2"/>
    </row>
    <row r="801" spans="1:26" ht="14.25" customHeight="1" x14ac:dyDescent="0.3">
      <c r="A801" s="2"/>
      <c r="B801" s="2"/>
      <c r="C801" s="2"/>
      <c r="D801" s="2"/>
      <c r="E801" s="2"/>
      <c r="F801" s="2"/>
      <c r="G801" s="3"/>
      <c r="H801" s="3"/>
      <c r="I801" s="3"/>
      <c r="J801" s="2"/>
      <c r="K801" s="2"/>
      <c r="L801" s="2"/>
      <c r="M801" s="2"/>
      <c r="N801" s="2"/>
      <c r="O801" s="2"/>
      <c r="P801" s="2"/>
      <c r="Q801" s="2"/>
      <c r="R801" s="2"/>
      <c r="S801" s="2"/>
      <c r="T801" s="2"/>
      <c r="U801" s="2"/>
      <c r="V801" s="2"/>
      <c r="W801" s="2"/>
      <c r="X801" s="2"/>
      <c r="Y801" s="2"/>
      <c r="Z801" s="2"/>
    </row>
    <row r="802" spans="1:26" ht="14.25" customHeight="1" x14ac:dyDescent="0.3">
      <c r="A802" s="2"/>
      <c r="B802" s="2"/>
      <c r="C802" s="2"/>
      <c r="D802" s="2"/>
      <c r="E802" s="2"/>
      <c r="F802" s="2"/>
      <c r="G802" s="3"/>
      <c r="H802" s="3"/>
      <c r="I802" s="3"/>
      <c r="J802" s="2"/>
      <c r="K802" s="2"/>
      <c r="L802" s="2"/>
      <c r="M802" s="2"/>
      <c r="N802" s="2"/>
      <c r="O802" s="2"/>
      <c r="P802" s="2"/>
      <c r="Q802" s="2"/>
      <c r="R802" s="2"/>
      <c r="S802" s="2"/>
      <c r="T802" s="2"/>
      <c r="U802" s="2"/>
      <c r="V802" s="2"/>
      <c r="W802" s="2"/>
      <c r="X802" s="2"/>
      <c r="Y802" s="2"/>
      <c r="Z802" s="2"/>
    </row>
    <row r="803" spans="1:26" ht="14.25" customHeight="1" x14ac:dyDescent="0.3">
      <c r="A803" s="2"/>
      <c r="B803" s="2"/>
      <c r="C803" s="2"/>
      <c r="D803" s="2"/>
      <c r="E803" s="2"/>
      <c r="F803" s="2"/>
      <c r="G803" s="3"/>
      <c r="H803" s="3"/>
      <c r="I803" s="3"/>
      <c r="J803" s="2"/>
      <c r="K803" s="2"/>
      <c r="L803" s="2"/>
      <c r="M803" s="2"/>
      <c r="N803" s="2"/>
      <c r="O803" s="2"/>
      <c r="P803" s="2"/>
      <c r="Q803" s="2"/>
      <c r="R803" s="2"/>
      <c r="S803" s="2"/>
      <c r="T803" s="2"/>
      <c r="U803" s="2"/>
      <c r="V803" s="2"/>
      <c r="W803" s="2"/>
      <c r="X803" s="2"/>
      <c r="Y803" s="2"/>
      <c r="Z803" s="2"/>
    </row>
    <row r="804" spans="1:26" ht="14.25" customHeight="1" x14ac:dyDescent="0.3">
      <c r="A804" s="2"/>
      <c r="B804" s="2"/>
      <c r="C804" s="2"/>
      <c r="D804" s="2"/>
      <c r="E804" s="2"/>
      <c r="F804" s="2"/>
      <c r="G804" s="3"/>
      <c r="H804" s="3"/>
      <c r="I804" s="3"/>
      <c r="J804" s="2"/>
      <c r="K804" s="2"/>
      <c r="L804" s="2"/>
      <c r="M804" s="2"/>
      <c r="N804" s="2"/>
      <c r="O804" s="2"/>
      <c r="P804" s="2"/>
      <c r="Q804" s="2"/>
      <c r="R804" s="2"/>
      <c r="S804" s="2"/>
      <c r="T804" s="2"/>
      <c r="U804" s="2"/>
      <c r="V804" s="2"/>
      <c r="W804" s="2"/>
      <c r="X804" s="2"/>
      <c r="Y804" s="2"/>
      <c r="Z804" s="2"/>
    </row>
    <row r="805" spans="1:26" ht="14.25" customHeight="1" x14ac:dyDescent="0.3">
      <c r="A805" s="2"/>
      <c r="B805" s="2"/>
      <c r="C805" s="2"/>
      <c r="D805" s="2"/>
      <c r="E805" s="2"/>
      <c r="F805" s="2"/>
      <c r="G805" s="3"/>
      <c r="H805" s="3"/>
      <c r="I805" s="3"/>
      <c r="J805" s="2"/>
      <c r="K805" s="2"/>
      <c r="L805" s="2"/>
      <c r="M805" s="2"/>
      <c r="N805" s="2"/>
      <c r="O805" s="2"/>
      <c r="P805" s="2"/>
      <c r="Q805" s="2"/>
      <c r="R805" s="2"/>
      <c r="S805" s="2"/>
      <c r="T805" s="2"/>
      <c r="U805" s="2"/>
      <c r="V805" s="2"/>
      <c r="W805" s="2"/>
      <c r="X805" s="2"/>
      <c r="Y805" s="2"/>
      <c r="Z805" s="2"/>
    </row>
    <row r="806" spans="1:26" ht="14.25" customHeight="1" x14ac:dyDescent="0.3">
      <c r="A806" s="2"/>
      <c r="B806" s="2"/>
      <c r="C806" s="2"/>
      <c r="D806" s="2"/>
      <c r="E806" s="2"/>
      <c r="F806" s="2"/>
      <c r="G806" s="3"/>
      <c r="H806" s="3"/>
      <c r="I806" s="3"/>
      <c r="J806" s="2"/>
      <c r="K806" s="2"/>
      <c r="L806" s="2"/>
      <c r="M806" s="2"/>
      <c r="N806" s="2"/>
      <c r="O806" s="2"/>
      <c r="P806" s="2"/>
      <c r="Q806" s="2"/>
      <c r="R806" s="2"/>
      <c r="S806" s="2"/>
      <c r="T806" s="2"/>
      <c r="U806" s="2"/>
      <c r="V806" s="2"/>
      <c r="W806" s="2"/>
      <c r="X806" s="2"/>
      <c r="Y806" s="2"/>
      <c r="Z806" s="2"/>
    </row>
    <row r="807" spans="1:26" ht="14.25" customHeight="1" x14ac:dyDescent="0.3">
      <c r="A807" s="2"/>
      <c r="B807" s="2"/>
      <c r="C807" s="2"/>
      <c r="D807" s="2"/>
      <c r="E807" s="2"/>
      <c r="F807" s="2"/>
      <c r="G807" s="3"/>
      <c r="H807" s="3"/>
      <c r="I807" s="3"/>
      <c r="J807" s="2"/>
      <c r="K807" s="2"/>
      <c r="L807" s="2"/>
      <c r="M807" s="2"/>
      <c r="N807" s="2"/>
      <c r="O807" s="2"/>
      <c r="P807" s="2"/>
      <c r="Q807" s="2"/>
      <c r="R807" s="2"/>
      <c r="S807" s="2"/>
      <c r="T807" s="2"/>
      <c r="U807" s="2"/>
      <c r="V807" s="2"/>
      <c r="W807" s="2"/>
      <c r="X807" s="2"/>
      <c r="Y807" s="2"/>
      <c r="Z807" s="2"/>
    </row>
    <row r="808" spans="1:26" ht="14.25" customHeight="1" x14ac:dyDescent="0.3">
      <c r="A808" s="2"/>
      <c r="B808" s="2"/>
      <c r="C808" s="2"/>
      <c r="D808" s="2"/>
      <c r="E808" s="2"/>
      <c r="F808" s="2"/>
      <c r="G808" s="3"/>
      <c r="H808" s="3"/>
      <c r="I808" s="3"/>
      <c r="J808" s="2"/>
      <c r="K808" s="2"/>
      <c r="L808" s="2"/>
      <c r="M808" s="2"/>
      <c r="N808" s="2"/>
      <c r="O808" s="2"/>
      <c r="P808" s="2"/>
      <c r="Q808" s="2"/>
      <c r="R808" s="2"/>
      <c r="S808" s="2"/>
      <c r="T808" s="2"/>
      <c r="U808" s="2"/>
      <c r="V808" s="2"/>
      <c r="W808" s="2"/>
      <c r="X808" s="2"/>
      <c r="Y808" s="2"/>
      <c r="Z808" s="2"/>
    </row>
    <row r="809" spans="1:26" ht="14.25" customHeight="1" x14ac:dyDescent="0.3">
      <c r="A809" s="2"/>
      <c r="B809" s="2"/>
      <c r="C809" s="2"/>
      <c r="D809" s="2"/>
      <c r="E809" s="2"/>
      <c r="F809" s="2"/>
      <c r="G809" s="3"/>
      <c r="H809" s="3"/>
      <c r="I809" s="3"/>
      <c r="J809" s="2"/>
      <c r="K809" s="2"/>
      <c r="L809" s="2"/>
      <c r="M809" s="2"/>
      <c r="N809" s="2"/>
      <c r="O809" s="2"/>
      <c r="P809" s="2"/>
      <c r="Q809" s="2"/>
      <c r="R809" s="2"/>
      <c r="S809" s="2"/>
      <c r="T809" s="2"/>
      <c r="U809" s="2"/>
      <c r="V809" s="2"/>
      <c r="W809" s="2"/>
      <c r="X809" s="2"/>
      <c r="Y809" s="2"/>
      <c r="Z809" s="2"/>
    </row>
    <row r="810" spans="1:26" ht="14.25" customHeight="1" x14ac:dyDescent="0.3">
      <c r="A810" s="2"/>
      <c r="B810" s="2"/>
      <c r="C810" s="2"/>
      <c r="D810" s="2"/>
      <c r="E810" s="2"/>
      <c r="F810" s="2"/>
      <c r="G810" s="3"/>
      <c r="H810" s="3"/>
      <c r="I810" s="3"/>
      <c r="J810" s="2"/>
      <c r="K810" s="2"/>
      <c r="L810" s="2"/>
      <c r="M810" s="2"/>
      <c r="N810" s="2"/>
      <c r="O810" s="2"/>
      <c r="P810" s="2"/>
      <c r="Q810" s="2"/>
      <c r="R810" s="2"/>
      <c r="S810" s="2"/>
      <c r="T810" s="2"/>
      <c r="U810" s="2"/>
      <c r="V810" s="2"/>
      <c r="W810" s="2"/>
      <c r="X810" s="2"/>
      <c r="Y810" s="2"/>
      <c r="Z810" s="2"/>
    </row>
    <row r="811" spans="1:26" ht="14.25" customHeight="1" x14ac:dyDescent="0.3">
      <c r="A811" s="2"/>
      <c r="B811" s="2"/>
      <c r="C811" s="2"/>
      <c r="D811" s="2"/>
      <c r="E811" s="2"/>
      <c r="F811" s="2"/>
      <c r="G811" s="3"/>
      <c r="H811" s="3"/>
      <c r="I811" s="3"/>
      <c r="J811" s="2"/>
      <c r="K811" s="2"/>
      <c r="L811" s="2"/>
      <c r="M811" s="2"/>
      <c r="N811" s="2"/>
      <c r="O811" s="2"/>
      <c r="P811" s="2"/>
      <c r="Q811" s="2"/>
      <c r="R811" s="2"/>
      <c r="S811" s="2"/>
      <c r="T811" s="2"/>
      <c r="U811" s="2"/>
      <c r="V811" s="2"/>
      <c r="W811" s="2"/>
      <c r="X811" s="2"/>
      <c r="Y811" s="2"/>
      <c r="Z811" s="2"/>
    </row>
    <row r="812" spans="1:26" ht="14.25" customHeight="1" x14ac:dyDescent="0.3">
      <c r="A812" s="2"/>
      <c r="B812" s="2"/>
      <c r="C812" s="2"/>
      <c r="D812" s="2"/>
      <c r="E812" s="2"/>
      <c r="F812" s="2"/>
      <c r="G812" s="3"/>
      <c r="H812" s="3"/>
      <c r="I812" s="3"/>
      <c r="J812" s="2"/>
      <c r="K812" s="2"/>
      <c r="L812" s="2"/>
      <c r="M812" s="2"/>
      <c r="N812" s="2"/>
      <c r="O812" s="2"/>
      <c r="P812" s="2"/>
      <c r="Q812" s="2"/>
      <c r="R812" s="2"/>
      <c r="S812" s="2"/>
      <c r="T812" s="2"/>
      <c r="U812" s="2"/>
      <c r="V812" s="2"/>
      <c r="W812" s="2"/>
      <c r="X812" s="2"/>
      <c r="Y812" s="2"/>
      <c r="Z812" s="2"/>
    </row>
    <row r="813" spans="1:26" ht="14.25" customHeight="1" x14ac:dyDescent="0.3">
      <c r="A813" s="2"/>
      <c r="B813" s="2"/>
      <c r="C813" s="2"/>
      <c r="D813" s="2"/>
      <c r="E813" s="2"/>
      <c r="F813" s="2"/>
      <c r="G813" s="3"/>
      <c r="H813" s="3"/>
      <c r="I813" s="3"/>
      <c r="J813" s="2"/>
      <c r="K813" s="2"/>
      <c r="L813" s="2"/>
      <c r="M813" s="2"/>
      <c r="N813" s="2"/>
      <c r="O813" s="2"/>
      <c r="P813" s="2"/>
      <c r="Q813" s="2"/>
      <c r="R813" s="2"/>
      <c r="S813" s="2"/>
      <c r="T813" s="2"/>
      <c r="U813" s="2"/>
      <c r="V813" s="2"/>
      <c r="W813" s="2"/>
      <c r="X813" s="2"/>
      <c r="Y813" s="2"/>
      <c r="Z813" s="2"/>
    </row>
    <row r="814" spans="1:26" ht="14.25" customHeight="1" x14ac:dyDescent="0.3">
      <c r="A814" s="2"/>
      <c r="B814" s="2"/>
      <c r="C814" s="2"/>
      <c r="D814" s="2"/>
      <c r="E814" s="2"/>
      <c r="F814" s="2"/>
      <c r="G814" s="3"/>
      <c r="H814" s="3"/>
      <c r="I814" s="3"/>
      <c r="J814" s="2"/>
      <c r="K814" s="2"/>
      <c r="L814" s="2"/>
      <c r="M814" s="2"/>
      <c r="N814" s="2"/>
      <c r="O814" s="2"/>
      <c r="P814" s="2"/>
      <c r="Q814" s="2"/>
      <c r="R814" s="2"/>
      <c r="S814" s="2"/>
      <c r="T814" s="2"/>
      <c r="U814" s="2"/>
      <c r="V814" s="2"/>
      <c r="W814" s="2"/>
      <c r="X814" s="2"/>
      <c r="Y814" s="2"/>
      <c r="Z814" s="2"/>
    </row>
    <row r="815" spans="1:26" ht="14.25" customHeight="1" x14ac:dyDescent="0.3">
      <c r="A815" s="2"/>
      <c r="B815" s="2"/>
      <c r="C815" s="2"/>
      <c r="D815" s="2"/>
      <c r="E815" s="2"/>
      <c r="F815" s="2"/>
      <c r="G815" s="3"/>
      <c r="H815" s="3"/>
      <c r="I815" s="3"/>
      <c r="J815" s="2"/>
      <c r="K815" s="2"/>
      <c r="L815" s="2"/>
      <c r="M815" s="2"/>
      <c r="N815" s="2"/>
      <c r="O815" s="2"/>
      <c r="P815" s="2"/>
      <c r="Q815" s="2"/>
      <c r="R815" s="2"/>
      <c r="S815" s="2"/>
      <c r="T815" s="2"/>
      <c r="U815" s="2"/>
      <c r="V815" s="2"/>
      <c r="W815" s="2"/>
      <c r="X815" s="2"/>
      <c r="Y815" s="2"/>
      <c r="Z815" s="2"/>
    </row>
    <row r="816" spans="1:26" ht="14.25" customHeight="1" x14ac:dyDescent="0.3">
      <c r="A816" s="2"/>
      <c r="B816" s="2"/>
      <c r="C816" s="2"/>
      <c r="D816" s="2"/>
      <c r="E816" s="2"/>
      <c r="F816" s="2"/>
      <c r="G816" s="3"/>
      <c r="H816" s="3"/>
      <c r="I816" s="3"/>
      <c r="J816" s="2"/>
      <c r="K816" s="2"/>
      <c r="L816" s="2"/>
      <c r="M816" s="2"/>
      <c r="N816" s="2"/>
      <c r="O816" s="2"/>
      <c r="P816" s="2"/>
      <c r="Q816" s="2"/>
      <c r="R816" s="2"/>
      <c r="S816" s="2"/>
      <c r="T816" s="2"/>
      <c r="U816" s="2"/>
      <c r="V816" s="2"/>
      <c r="W816" s="2"/>
      <c r="X816" s="2"/>
      <c r="Y816" s="2"/>
      <c r="Z816" s="2"/>
    </row>
    <row r="817" spans="1:26" ht="14.25" customHeight="1" x14ac:dyDescent="0.3">
      <c r="A817" s="2"/>
      <c r="B817" s="2"/>
      <c r="C817" s="2"/>
      <c r="D817" s="2"/>
      <c r="E817" s="2"/>
      <c r="F817" s="2"/>
      <c r="G817" s="3"/>
      <c r="H817" s="3"/>
      <c r="I817" s="3"/>
      <c r="J817" s="2"/>
      <c r="K817" s="2"/>
      <c r="L817" s="2"/>
      <c r="M817" s="2"/>
      <c r="N817" s="2"/>
      <c r="O817" s="2"/>
      <c r="P817" s="2"/>
      <c r="Q817" s="2"/>
      <c r="R817" s="2"/>
      <c r="S817" s="2"/>
      <c r="T817" s="2"/>
      <c r="U817" s="2"/>
      <c r="V817" s="2"/>
      <c r="W817" s="2"/>
      <c r="X817" s="2"/>
      <c r="Y817" s="2"/>
      <c r="Z817" s="2"/>
    </row>
    <row r="818" spans="1:26" ht="14.25" customHeight="1" x14ac:dyDescent="0.3">
      <c r="A818" s="2"/>
      <c r="B818" s="2"/>
      <c r="C818" s="2"/>
      <c r="D818" s="2"/>
      <c r="E818" s="2"/>
      <c r="F818" s="2"/>
      <c r="G818" s="3"/>
      <c r="H818" s="3"/>
      <c r="I818" s="3"/>
      <c r="J818" s="2"/>
      <c r="K818" s="2"/>
      <c r="L818" s="2"/>
      <c r="M818" s="2"/>
      <c r="N818" s="2"/>
      <c r="O818" s="2"/>
      <c r="P818" s="2"/>
      <c r="Q818" s="2"/>
      <c r="R818" s="2"/>
      <c r="S818" s="2"/>
      <c r="T818" s="2"/>
      <c r="U818" s="2"/>
      <c r="V818" s="2"/>
      <c r="W818" s="2"/>
      <c r="X818" s="2"/>
      <c r="Y818" s="2"/>
      <c r="Z818" s="2"/>
    </row>
    <row r="819" spans="1:26" ht="14.25" customHeight="1" x14ac:dyDescent="0.3">
      <c r="A819" s="2"/>
      <c r="B819" s="2"/>
      <c r="C819" s="2"/>
      <c r="D819" s="2"/>
      <c r="E819" s="2"/>
      <c r="F819" s="2"/>
      <c r="G819" s="3"/>
      <c r="H819" s="3"/>
      <c r="I819" s="3"/>
      <c r="J819" s="2"/>
      <c r="K819" s="2"/>
      <c r="L819" s="2"/>
      <c r="M819" s="2"/>
      <c r="N819" s="2"/>
      <c r="O819" s="2"/>
      <c r="P819" s="2"/>
      <c r="Q819" s="2"/>
      <c r="R819" s="2"/>
      <c r="S819" s="2"/>
      <c r="T819" s="2"/>
      <c r="U819" s="2"/>
      <c r="V819" s="2"/>
      <c r="W819" s="2"/>
      <c r="X819" s="2"/>
      <c r="Y819" s="2"/>
      <c r="Z819" s="2"/>
    </row>
    <row r="820" spans="1:26" ht="14.25" customHeight="1" x14ac:dyDescent="0.3">
      <c r="A820" s="2"/>
      <c r="B820" s="2"/>
      <c r="C820" s="2"/>
      <c r="D820" s="2"/>
      <c r="E820" s="2"/>
      <c r="F820" s="2"/>
      <c r="G820" s="3"/>
      <c r="H820" s="3"/>
      <c r="I820" s="3"/>
      <c r="J820" s="2"/>
      <c r="K820" s="2"/>
      <c r="L820" s="2"/>
      <c r="M820" s="2"/>
      <c r="N820" s="2"/>
      <c r="O820" s="2"/>
      <c r="P820" s="2"/>
      <c r="Q820" s="2"/>
      <c r="R820" s="2"/>
      <c r="S820" s="2"/>
      <c r="T820" s="2"/>
      <c r="U820" s="2"/>
      <c r="V820" s="2"/>
      <c r="W820" s="2"/>
      <c r="X820" s="2"/>
      <c r="Y820" s="2"/>
      <c r="Z820" s="2"/>
    </row>
    <row r="821" spans="1:26" ht="14.25" customHeight="1" x14ac:dyDescent="0.3">
      <c r="A821" s="2"/>
      <c r="B821" s="2"/>
      <c r="C821" s="2"/>
      <c r="D821" s="2"/>
      <c r="E821" s="2"/>
      <c r="F821" s="2"/>
      <c r="G821" s="3"/>
      <c r="H821" s="3"/>
      <c r="I821" s="3"/>
      <c r="J821" s="2"/>
      <c r="K821" s="2"/>
      <c r="L821" s="2"/>
      <c r="M821" s="2"/>
      <c r="N821" s="2"/>
      <c r="O821" s="2"/>
      <c r="P821" s="2"/>
      <c r="Q821" s="2"/>
      <c r="R821" s="2"/>
      <c r="S821" s="2"/>
      <c r="T821" s="2"/>
      <c r="U821" s="2"/>
      <c r="V821" s="2"/>
      <c r="W821" s="2"/>
      <c r="X821" s="2"/>
      <c r="Y821" s="2"/>
      <c r="Z821" s="2"/>
    </row>
    <row r="822" spans="1:26" ht="14.25" customHeight="1" x14ac:dyDescent="0.3">
      <c r="A822" s="2"/>
      <c r="B822" s="2"/>
      <c r="C822" s="2"/>
      <c r="D822" s="2"/>
      <c r="E822" s="2"/>
      <c r="F822" s="2"/>
      <c r="G822" s="3"/>
      <c r="H822" s="3"/>
      <c r="I822" s="3"/>
      <c r="J822" s="2"/>
      <c r="K822" s="2"/>
      <c r="L822" s="2"/>
      <c r="M822" s="2"/>
      <c r="N822" s="2"/>
      <c r="O822" s="2"/>
      <c r="P822" s="2"/>
      <c r="Q822" s="2"/>
      <c r="R822" s="2"/>
      <c r="S822" s="2"/>
      <c r="T822" s="2"/>
      <c r="U822" s="2"/>
      <c r="V822" s="2"/>
      <c r="W822" s="2"/>
      <c r="X822" s="2"/>
      <c r="Y822" s="2"/>
      <c r="Z822" s="2"/>
    </row>
    <row r="823" spans="1:26" ht="14.25" customHeight="1" x14ac:dyDescent="0.3">
      <c r="A823" s="2"/>
      <c r="B823" s="2"/>
      <c r="C823" s="2"/>
      <c r="D823" s="2"/>
      <c r="E823" s="2"/>
      <c r="F823" s="2"/>
      <c r="G823" s="3"/>
      <c r="H823" s="3"/>
      <c r="I823" s="3"/>
      <c r="J823" s="2"/>
      <c r="K823" s="2"/>
      <c r="L823" s="2"/>
      <c r="M823" s="2"/>
      <c r="N823" s="2"/>
      <c r="O823" s="2"/>
      <c r="P823" s="2"/>
      <c r="Q823" s="2"/>
      <c r="R823" s="2"/>
      <c r="S823" s="2"/>
      <c r="T823" s="2"/>
      <c r="U823" s="2"/>
      <c r="V823" s="2"/>
      <c r="W823" s="2"/>
      <c r="X823" s="2"/>
      <c r="Y823" s="2"/>
      <c r="Z823" s="2"/>
    </row>
    <row r="824" spans="1:26" ht="14.25" customHeight="1" x14ac:dyDescent="0.3">
      <c r="A824" s="2"/>
      <c r="B824" s="2"/>
      <c r="C824" s="2"/>
      <c r="D824" s="2"/>
      <c r="E824" s="2"/>
      <c r="F824" s="2"/>
      <c r="G824" s="3"/>
      <c r="H824" s="3"/>
      <c r="I824" s="3"/>
      <c r="J824" s="2"/>
      <c r="K824" s="2"/>
      <c r="L824" s="2"/>
      <c r="M824" s="2"/>
      <c r="N824" s="2"/>
      <c r="O824" s="2"/>
      <c r="P824" s="2"/>
      <c r="Q824" s="2"/>
      <c r="R824" s="2"/>
      <c r="S824" s="2"/>
      <c r="T824" s="2"/>
      <c r="U824" s="2"/>
      <c r="V824" s="2"/>
      <c r="W824" s="2"/>
      <c r="X824" s="2"/>
      <c r="Y824" s="2"/>
      <c r="Z824" s="2"/>
    </row>
    <row r="825" spans="1:26" ht="14.25" customHeight="1" x14ac:dyDescent="0.3">
      <c r="A825" s="2"/>
      <c r="B825" s="2"/>
      <c r="C825" s="2"/>
      <c r="D825" s="2"/>
      <c r="E825" s="2"/>
      <c r="F825" s="2"/>
      <c r="G825" s="3"/>
      <c r="H825" s="3"/>
      <c r="I825" s="3"/>
      <c r="J825" s="2"/>
      <c r="K825" s="2"/>
      <c r="L825" s="2"/>
      <c r="M825" s="2"/>
      <c r="N825" s="2"/>
      <c r="O825" s="2"/>
      <c r="P825" s="2"/>
      <c r="Q825" s="2"/>
      <c r="R825" s="2"/>
      <c r="S825" s="2"/>
      <c r="T825" s="2"/>
      <c r="U825" s="2"/>
      <c r="V825" s="2"/>
      <c r="W825" s="2"/>
      <c r="X825" s="2"/>
      <c r="Y825" s="2"/>
      <c r="Z825" s="2"/>
    </row>
    <row r="826" spans="1:26" ht="14.25" customHeight="1" x14ac:dyDescent="0.3">
      <c r="A826" s="2"/>
      <c r="B826" s="2"/>
      <c r="C826" s="2"/>
      <c r="D826" s="2"/>
      <c r="E826" s="2"/>
      <c r="F826" s="2"/>
      <c r="G826" s="3"/>
      <c r="H826" s="3"/>
      <c r="I826" s="3"/>
      <c r="J826" s="2"/>
      <c r="K826" s="2"/>
      <c r="L826" s="2"/>
      <c r="M826" s="2"/>
      <c r="N826" s="2"/>
      <c r="O826" s="2"/>
      <c r="P826" s="2"/>
      <c r="Q826" s="2"/>
      <c r="R826" s="2"/>
      <c r="S826" s="2"/>
      <c r="T826" s="2"/>
      <c r="U826" s="2"/>
      <c r="V826" s="2"/>
      <c r="W826" s="2"/>
      <c r="X826" s="2"/>
      <c r="Y826" s="2"/>
      <c r="Z826" s="2"/>
    </row>
    <row r="827" spans="1:26" ht="14.25" customHeight="1" x14ac:dyDescent="0.3">
      <c r="A827" s="2"/>
      <c r="B827" s="2"/>
      <c r="C827" s="2"/>
      <c r="D827" s="2"/>
      <c r="E827" s="2"/>
      <c r="F827" s="2"/>
      <c r="G827" s="3"/>
      <c r="H827" s="3"/>
      <c r="I827" s="3"/>
      <c r="J827" s="2"/>
      <c r="K827" s="2"/>
      <c r="L827" s="2"/>
      <c r="M827" s="2"/>
      <c r="N827" s="2"/>
      <c r="O827" s="2"/>
      <c r="P827" s="2"/>
      <c r="Q827" s="2"/>
      <c r="R827" s="2"/>
      <c r="S827" s="2"/>
      <c r="T827" s="2"/>
      <c r="U827" s="2"/>
      <c r="V827" s="2"/>
      <c r="W827" s="2"/>
      <c r="X827" s="2"/>
      <c r="Y827" s="2"/>
      <c r="Z827" s="2"/>
    </row>
    <row r="828" spans="1:26" ht="14.25" customHeight="1" x14ac:dyDescent="0.3">
      <c r="A828" s="2"/>
      <c r="B828" s="2"/>
      <c r="C828" s="2"/>
      <c r="D828" s="2"/>
      <c r="E828" s="2"/>
      <c r="F828" s="2"/>
      <c r="G828" s="3"/>
      <c r="H828" s="3"/>
      <c r="I828" s="3"/>
      <c r="J828" s="2"/>
      <c r="K828" s="2"/>
      <c r="L828" s="2"/>
      <c r="M828" s="2"/>
      <c r="N828" s="2"/>
      <c r="O828" s="2"/>
      <c r="P828" s="2"/>
      <c r="Q828" s="2"/>
      <c r="R828" s="2"/>
      <c r="S828" s="2"/>
      <c r="T828" s="2"/>
      <c r="U828" s="2"/>
      <c r="V828" s="2"/>
      <c r="W828" s="2"/>
      <c r="X828" s="2"/>
      <c r="Y828" s="2"/>
      <c r="Z828" s="2"/>
    </row>
    <row r="829" spans="1:26" ht="14.25" customHeight="1" x14ac:dyDescent="0.3">
      <c r="A829" s="2"/>
      <c r="B829" s="2"/>
      <c r="C829" s="2"/>
      <c r="D829" s="2"/>
      <c r="E829" s="2"/>
      <c r="F829" s="2"/>
      <c r="G829" s="3"/>
      <c r="H829" s="3"/>
      <c r="I829" s="3"/>
      <c r="J829" s="2"/>
      <c r="K829" s="2"/>
      <c r="L829" s="2"/>
      <c r="M829" s="2"/>
      <c r="N829" s="2"/>
      <c r="O829" s="2"/>
      <c r="P829" s="2"/>
      <c r="Q829" s="2"/>
      <c r="R829" s="2"/>
      <c r="S829" s="2"/>
      <c r="T829" s="2"/>
      <c r="U829" s="2"/>
      <c r="V829" s="2"/>
      <c r="W829" s="2"/>
      <c r="X829" s="2"/>
      <c r="Y829" s="2"/>
      <c r="Z829" s="2"/>
    </row>
    <row r="830" spans="1:26" ht="14.25" customHeight="1" x14ac:dyDescent="0.3">
      <c r="A830" s="2"/>
      <c r="B830" s="2"/>
      <c r="C830" s="2"/>
      <c r="D830" s="2"/>
      <c r="E830" s="2"/>
      <c r="F830" s="2"/>
      <c r="G830" s="3"/>
      <c r="H830" s="3"/>
      <c r="I830" s="3"/>
      <c r="J830" s="2"/>
      <c r="K830" s="2"/>
      <c r="L830" s="2"/>
      <c r="M830" s="2"/>
      <c r="N830" s="2"/>
      <c r="O830" s="2"/>
      <c r="P830" s="2"/>
      <c r="Q830" s="2"/>
      <c r="R830" s="2"/>
      <c r="S830" s="2"/>
      <c r="T830" s="2"/>
      <c r="U830" s="2"/>
      <c r="V830" s="2"/>
      <c r="W830" s="2"/>
      <c r="X830" s="2"/>
      <c r="Y830" s="2"/>
      <c r="Z830" s="2"/>
    </row>
    <row r="831" spans="1:26" ht="14.25" customHeight="1" x14ac:dyDescent="0.3">
      <c r="A831" s="2"/>
      <c r="B831" s="2"/>
      <c r="C831" s="2"/>
      <c r="D831" s="2"/>
      <c r="E831" s="2"/>
      <c r="F831" s="2"/>
      <c r="G831" s="3"/>
      <c r="H831" s="3"/>
      <c r="I831" s="3"/>
      <c r="J831" s="2"/>
      <c r="K831" s="2"/>
      <c r="L831" s="2"/>
      <c r="M831" s="2"/>
      <c r="N831" s="2"/>
      <c r="O831" s="2"/>
      <c r="P831" s="2"/>
      <c r="Q831" s="2"/>
      <c r="R831" s="2"/>
      <c r="S831" s="2"/>
      <c r="T831" s="2"/>
      <c r="U831" s="2"/>
      <c r="V831" s="2"/>
      <c r="W831" s="2"/>
      <c r="X831" s="2"/>
      <c r="Y831" s="2"/>
      <c r="Z831" s="2"/>
    </row>
    <row r="832" spans="1:26" ht="14.25" customHeight="1" x14ac:dyDescent="0.3">
      <c r="A832" s="2"/>
      <c r="B832" s="2"/>
      <c r="C832" s="2"/>
      <c r="D832" s="2"/>
      <c r="E832" s="2"/>
      <c r="F832" s="2"/>
      <c r="G832" s="3"/>
      <c r="H832" s="3"/>
      <c r="I832" s="3"/>
      <c r="J832" s="2"/>
      <c r="K832" s="2"/>
      <c r="L832" s="2"/>
      <c r="M832" s="2"/>
      <c r="N832" s="2"/>
      <c r="O832" s="2"/>
      <c r="P832" s="2"/>
      <c r="Q832" s="2"/>
      <c r="R832" s="2"/>
      <c r="S832" s="2"/>
      <c r="T832" s="2"/>
      <c r="U832" s="2"/>
      <c r="V832" s="2"/>
      <c r="W832" s="2"/>
      <c r="X832" s="2"/>
      <c r="Y832" s="2"/>
      <c r="Z832" s="2"/>
    </row>
    <row r="833" spans="1:26" ht="14.25" customHeight="1" x14ac:dyDescent="0.3">
      <c r="A833" s="2"/>
      <c r="B833" s="2"/>
      <c r="C833" s="2"/>
      <c r="D833" s="2"/>
      <c r="E833" s="2"/>
      <c r="F833" s="2"/>
      <c r="G833" s="3"/>
      <c r="H833" s="3"/>
      <c r="I833" s="3"/>
      <c r="J833" s="2"/>
      <c r="K833" s="2"/>
      <c r="L833" s="2"/>
      <c r="M833" s="2"/>
      <c r="N833" s="2"/>
      <c r="O833" s="2"/>
      <c r="P833" s="2"/>
      <c r="Q833" s="2"/>
      <c r="R833" s="2"/>
      <c r="S833" s="2"/>
      <c r="T833" s="2"/>
      <c r="U833" s="2"/>
      <c r="V833" s="2"/>
      <c r="W833" s="2"/>
      <c r="X833" s="2"/>
      <c r="Y833" s="2"/>
      <c r="Z833" s="2"/>
    </row>
    <row r="834" spans="1:26" ht="14.25" customHeight="1" x14ac:dyDescent="0.3">
      <c r="A834" s="2"/>
      <c r="B834" s="2"/>
      <c r="C834" s="2"/>
      <c r="D834" s="2"/>
      <c r="E834" s="2"/>
      <c r="F834" s="2"/>
      <c r="G834" s="3"/>
      <c r="H834" s="3"/>
      <c r="I834" s="3"/>
      <c r="J834" s="2"/>
      <c r="K834" s="2"/>
      <c r="L834" s="2"/>
      <c r="M834" s="2"/>
      <c r="N834" s="2"/>
      <c r="O834" s="2"/>
      <c r="P834" s="2"/>
      <c r="Q834" s="2"/>
      <c r="R834" s="2"/>
      <c r="S834" s="2"/>
      <c r="T834" s="2"/>
      <c r="U834" s="2"/>
      <c r="V834" s="2"/>
      <c r="W834" s="2"/>
      <c r="X834" s="2"/>
      <c r="Y834" s="2"/>
      <c r="Z834" s="2"/>
    </row>
    <row r="835" spans="1:26" ht="14.25" customHeight="1" x14ac:dyDescent="0.3">
      <c r="A835" s="2"/>
      <c r="B835" s="2"/>
      <c r="C835" s="2"/>
      <c r="D835" s="2"/>
      <c r="E835" s="2"/>
      <c r="F835" s="2"/>
      <c r="G835" s="3"/>
      <c r="H835" s="3"/>
      <c r="I835" s="3"/>
      <c r="J835" s="2"/>
      <c r="K835" s="2"/>
      <c r="L835" s="2"/>
      <c r="M835" s="2"/>
      <c r="N835" s="2"/>
      <c r="O835" s="2"/>
      <c r="P835" s="2"/>
      <c r="Q835" s="2"/>
      <c r="R835" s="2"/>
      <c r="S835" s="2"/>
      <c r="T835" s="2"/>
      <c r="U835" s="2"/>
      <c r="V835" s="2"/>
      <c r="W835" s="2"/>
      <c r="X835" s="2"/>
      <c r="Y835" s="2"/>
      <c r="Z835" s="2"/>
    </row>
    <row r="836" spans="1:26" ht="14.25" customHeight="1" x14ac:dyDescent="0.3">
      <c r="A836" s="2"/>
      <c r="B836" s="2"/>
      <c r="C836" s="2"/>
      <c r="D836" s="2"/>
      <c r="E836" s="2"/>
      <c r="F836" s="2"/>
      <c r="G836" s="3"/>
      <c r="H836" s="3"/>
      <c r="I836" s="3"/>
      <c r="J836" s="2"/>
      <c r="K836" s="2"/>
      <c r="L836" s="2"/>
      <c r="M836" s="2"/>
      <c r="N836" s="2"/>
      <c r="O836" s="2"/>
      <c r="P836" s="2"/>
      <c r="Q836" s="2"/>
      <c r="R836" s="2"/>
      <c r="S836" s="2"/>
      <c r="T836" s="2"/>
      <c r="U836" s="2"/>
      <c r="V836" s="2"/>
      <c r="W836" s="2"/>
      <c r="X836" s="2"/>
      <c r="Y836" s="2"/>
      <c r="Z836" s="2"/>
    </row>
    <row r="837" spans="1:26" ht="14.25" customHeight="1" x14ac:dyDescent="0.3">
      <c r="A837" s="2"/>
      <c r="B837" s="2"/>
      <c r="C837" s="2"/>
      <c r="D837" s="2"/>
      <c r="E837" s="2"/>
      <c r="F837" s="2"/>
      <c r="G837" s="3"/>
      <c r="H837" s="3"/>
      <c r="I837" s="3"/>
      <c r="J837" s="2"/>
      <c r="K837" s="2"/>
      <c r="L837" s="2"/>
      <c r="M837" s="2"/>
      <c r="N837" s="2"/>
      <c r="O837" s="2"/>
      <c r="P837" s="2"/>
      <c r="Q837" s="2"/>
      <c r="R837" s="2"/>
      <c r="S837" s="2"/>
      <c r="T837" s="2"/>
      <c r="U837" s="2"/>
      <c r="V837" s="2"/>
      <c r="W837" s="2"/>
      <c r="X837" s="2"/>
      <c r="Y837" s="2"/>
      <c r="Z837" s="2"/>
    </row>
    <row r="838" spans="1:26" ht="14.25" customHeight="1" x14ac:dyDescent="0.3">
      <c r="A838" s="2"/>
      <c r="B838" s="2"/>
      <c r="C838" s="2"/>
      <c r="D838" s="2"/>
      <c r="E838" s="2"/>
      <c r="F838" s="2"/>
      <c r="G838" s="3"/>
      <c r="H838" s="3"/>
      <c r="I838" s="3"/>
      <c r="J838" s="2"/>
      <c r="K838" s="2"/>
      <c r="L838" s="2"/>
      <c r="M838" s="2"/>
      <c r="N838" s="2"/>
      <c r="O838" s="2"/>
      <c r="P838" s="2"/>
      <c r="Q838" s="2"/>
      <c r="R838" s="2"/>
      <c r="S838" s="2"/>
      <c r="T838" s="2"/>
      <c r="U838" s="2"/>
      <c r="V838" s="2"/>
      <c r="W838" s="2"/>
      <c r="X838" s="2"/>
      <c r="Y838" s="2"/>
      <c r="Z838" s="2"/>
    </row>
    <row r="839" spans="1:26" ht="14.25" customHeight="1" x14ac:dyDescent="0.3">
      <c r="A839" s="2"/>
      <c r="B839" s="2"/>
      <c r="C839" s="2"/>
      <c r="D839" s="2"/>
      <c r="E839" s="2"/>
      <c r="F839" s="2"/>
      <c r="G839" s="3"/>
      <c r="H839" s="3"/>
      <c r="I839" s="3"/>
      <c r="J839" s="2"/>
      <c r="K839" s="2"/>
      <c r="L839" s="2"/>
      <c r="M839" s="2"/>
      <c r="N839" s="2"/>
      <c r="O839" s="2"/>
      <c r="P839" s="2"/>
      <c r="Q839" s="2"/>
      <c r="R839" s="2"/>
      <c r="S839" s="2"/>
      <c r="T839" s="2"/>
      <c r="U839" s="2"/>
      <c r="V839" s="2"/>
      <c r="W839" s="2"/>
      <c r="X839" s="2"/>
      <c r="Y839" s="2"/>
      <c r="Z839" s="2"/>
    </row>
    <row r="840" spans="1:26" ht="14.25" customHeight="1" x14ac:dyDescent="0.3">
      <c r="A840" s="2"/>
      <c r="B840" s="2"/>
      <c r="C840" s="2"/>
      <c r="D840" s="2"/>
      <c r="E840" s="2"/>
      <c r="F840" s="2"/>
      <c r="G840" s="3"/>
      <c r="H840" s="3"/>
      <c r="I840" s="3"/>
      <c r="J840" s="2"/>
      <c r="K840" s="2"/>
      <c r="L840" s="2"/>
      <c r="M840" s="2"/>
      <c r="N840" s="2"/>
      <c r="O840" s="2"/>
      <c r="P840" s="2"/>
      <c r="Q840" s="2"/>
      <c r="R840" s="2"/>
      <c r="S840" s="2"/>
      <c r="T840" s="2"/>
      <c r="U840" s="2"/>
      <c r="V840" s="2"/>
      <c r="W840" s="2"/>
      <c r="X840" s="2"/>
      <c r="Y840" s="2"/>
      <c r="Z840" s="2"/>
    </row>
    <row r="841" spans="1:26" ht="14.25" customHeight="1" x14ac:dyDescent="0.3">
      <c r="A841" s="2"/>
      <c r="B841" s="2"/>
      <c r="C841" s="2"/>
      <c r="D841" s="2"/>
      <c r="E841" s="2"/>
      <c r="F841" s="2"/>
      <c r="G841" s="3"/>
      <c r="H841" s="3"/>
      <c r="I841" s="3"/>
      <c r="J841" s="2"/>
      <c r="K841" s="2"/>
      <c r="L841" s="2"/>
      <c r="M841" s="2"/>
      <c r="N841" s="2"/>
      <c r="O841" s="2"/>
      <c r="P841" s="2"/>
      <c r="Q841" s="2"/>
      <c r="R841" s="2"/>
      <c r="S841" s="2"/>
      <c r="T841" s="2"/>
      <c r="U841" s="2"/>
      <c r="V841" s="2"/>
      <c r="W841" s="2"/>
      <c r="X841" s="2"/>
      <c r="Y841" s="2"/>
      <c r="Z841" s="2"/>
    </row>
    <row r="842" spans="1:26" ht="14.25" customHeight="1" x14ac:dyDescent="0.3">
      <c r="A842" s="2"/>
      <c r="B842" s="2"/>
      <c r="C842" s="2"/>
      <c r="D842" s="2"/>
      <c r="E842" s="2"/>
      <c r="F842" s="2"/>
      <c r="G842" s="3"/>
      <c r="H842" s="3"/>
      <c r="I842" s="3"/>
      <c r="J842" s="2"/>
      <c r="K842" s="2"/>
      <c r="L842" s="2"/>
      <c r="M842" s="2"/>
      <c r="N842" s="2"/>
      <c r="O842" s="2"/>
      <c r="P842" s="2"/>
      <c r="Q842" s="2"/>
      <c r="R842" s="2"/>
      <c r="S842" s="2"/>
      <c r="T842" s="2"/>
      <c r="U842" s="2"/>
      <c r="V842" s="2"/>
      <c r="W842" s="2"/>
      <c r="X842" s="2"/>
      <c r="Y842" s="2"/>
      <c r="Z842" s="2"/>
    </row>
    <row r="843" spans="1:26" ht="14.25" customHeight="1" x14ac:dyDescent="0.3">
      <c r="A843" s="2"/>
      <c r="B843" s="2"/>
      <c r="C843" s="2"/>
      <c r="D843" s="2"/>
      <c r="E843" s="2"/>
      <c r="F843" s="2"/>
      <c r="G843" s="3"/>
      <c r="H843" s="3"/>
      <c r="I843" s="3"/>
      <c r="J843" s="2"/>
      <c r="K843" s="2"/>
      <c r="L843" s="2"/>
      <c r="M843" s="2"/>
      <c r="N843" s="2"/>
      <c r="O843" s="2"/>
      <c r="P843" s="2"/>
      <c r="Q843" s="2"/>
      <c r="R843" s="2"/>
      <c r="S843" s="2"/>
      <c r="T843" s="2"/>
      <c r="U843" s="2"/>
      <c r="V843" s="2"/>
      <c r="W843" s="2"/>
      <c r="X843" s="2"/>
      <c r="Y843" s="2"/>
      <c r="Z843" s="2"/>
    </row>
    <row r="844" spans="1:26" ht="14.25" customHeight="1" x14ac:dyDescent="0.3">
      <c r="A844" s="2"/>
      <c r="B844" s="2"/>
      <c r="C844" s="2"/>
      <c r="D844" s="2"/>
      <c r="E844" s="2"/>
      <c r="F844" s="2"/>
      <c r="G844" s="3"/>
      <c r="H844" s="3"/>
      <c r="I844" s="3"/>
      <c r="J844" s="2"/>
      <c r="K844" s="2"/>
      <c r="L844" s="2"/>
      <c r="M844" s="2"/>
      <c r="N844" s="2"/>
      <c r="O844" s="2"/>
      <c r="P844" s="2"/>
      <c r="Q844" s="2"/>
      <c r="R844" s="2"/>
      <c r="S844" s="2"/>
      <c r="T844" s="2"/>
      <c r="U844" s="2"/>
      <c r="V844" s="2"/>
      <c r="W844" s="2"/>
      <c r="X844" s="2"/>
      <c r="Y844" s="2"/>
      <c r="Z844" s="2"/>
    </row>
    <row r="845" spans="1:26" ht="14.25" customHeight="1" x14ac:dyDescent="0.3">
      <c r="A845" s="2"/>
      <c r="B845" s="2"/>
      <c r="C845" s="2"/>
      <c r="D845" s="2"/>
      <c r="E845" s="2"/>
      <c r="F845" s="2"/>
      <c r="G845" s="3"/>
      <c r="H845" s="3"/>
      <c r="I845" s="3"/>
      <c r="J845" s="2"/>
      <c r="K845" s="2"/>
      <c r="L845" s="2"/>
      <c r="M845" s="2"/>
      <c r="N845" s="2"/>
      <c r="O845" s="2"/>
      <c r="P845" s="2"/>
      <c r="Q845" s="2"/>
      <c r="R845" s="2"/>
      <c r="S845" s="2"/>
      <c r="T845" s="2"/>
      <c r="U845" s="2"/>
      <c r="V845" s="2"/>
      <c r="W845" s="2"/>
      <c r="X845" s="2"/>
      <c r="Y845" s="2"/>
      <c r="Z845" s="2"/>
    </row>
    <row r="846" spans="1:26" ht="14.25" customHeight="1" x14ac:dyDescent="0.3">
      <c r="A846" s="2"/>
      <c r="B846" s="2"/>
      <c r="C846" s="2"/>
      <c r="D846" s="2"/>
      <c r="E846" s="2"/>
      <c r="F846" s="2"/>
      <c r="G846" s="3"/>
      <c r="H846" s="3"/>
      <c r="I846" s="3"/>
      <c r="J846" s="2"/>
      <c r="K846" s="2"/>
      <c r="L846" s="2"/>
      <c r="M846" s="2"/>
      <c r="N846" s="2"/>
      <c r="O846" s="2"/>
      <c r="P846" s="2"/>
      <c r="Q846" s="2"/>
      <c r="R846" s="2"/>
      <c r="S846" s="2"/>
      <c r="T846" s="2"/>
      <c r="U846" s="2"/>
      <c r="V846" s="2"/>
      <c r="W846" s="2"/>
      <c r="X846" s="2"/>
      <c r="Y846" s="2"/>
      <c r="Z846" s="2"/>
    </row>
    <row r="847" spans="1:26" ht="14.25" customHeight="1" x14ac:dyDescent="0.3">
      <c r="A847" s="2"/>
      <c r="B847" s="2"/>
      <c r="C847" s="2"/>
      <c r="D847" s="2"/>
      <c r="E847" s="2"/>
      <c r="F847" s="2"/>
      <c r="G847" s="3"/>
      <c r="H847" s="3"/>
      <c r="I847" s="3"/>
      <c r="J847" s="2"/>
      <c r="K847" s="2"/>
      <c r="L847" s="2"/>
      <c r="M847" s="2"/>
      <c r="N847" s="2"/>
      <c r="O847" s="2"/>
      <c r="P847" s="2"/>
      <c r="Q847" s="2"/>
      <c r="R847" s="2"/>
      <c r="S847" s="2"/>
      <c r="T847" s="2"/>
      <c r="U847" s="2"/>
      <c r="V847" s="2"/>
      <c r="W847" s="2"/>
      <c r="X847" s="2"/>
      <c r="Y847" s="2"/>
      <c r="Z847" s="2"/>
    </row>
    <row r="848" spans="1:26" ht="14.25" customHeight="1" x14ac:dyDescent="0.3">
      <c r="A848" s="2"/>
      <c r="B848" s="2"/>
      <c r="C848" s="2"/>
      <c r="D848" s="2"/>
      <c r="E848" s="2"/>
      <c r="F848" s="2"/>
      <c r="G848" s="3"/>
      <c r="H848" s="3"/>
      <c r="I848" s="3"/>
      <c r="J848" s="2"/>
      <c r="K848" s="2"/>
      <c r="L848" s="2"/>
      <c r="M848" s="2"/>
      <c r="N848" s="2"/>
      <c r="O848" s="2"/>
      <c r="P848" s="2"/>
      <c r="Q848" s="2"/>
      <c r="R848" s="2"/>
      <c r="S848" s="2"/>
      <c r="T848" s="2"/>
      <c r="U848" s="2"/>
      <c r="V848" s="2"/>
      <c r="W848" s="2"/>
      <c r="X848" s="2"/>
      <c r="Y848" s="2"/>
      <c r="Z848" s="2"/>
    </row>
    <row r="849" spans="1:26" ht="14.25" customHeight="1" x14ac:dyDescent="0.3">
      <c r="A849" s="2"/>
      <c r="B849" s="2"/>
      <c r="C849" s="2"/>
      <c r="D849" s="2"/>
      <c r="E849" s="2"/>
      <c r="F849" s="2"/>
      <c r="G849" s="3"/>
      <c r="H849" s="3"/>
      <c r="I849" s="3"/>
      <c r="J849" s="2"/>
      <c r="K849" s="2"/>
      <c r="L849" s="2"/>
      <c r="M849" s="2"/>
      <c r="N849" s="2"/>
      <c r="O849" s="2"/>
      <c r="P849" s="2"/>
      <c r="Q849" s="2"/>
      <c r="R849" s="2"/>
      <c r="S849" s="2"/>
      <c r="T849" s="2"/>
      <c r="U849" s="2"/>
      <c r="V849" s="2"/>
      <c r="W849" s="2"/>
      <c r="X849" s="2"/>
      <c r="Y849" s="2"/>
      <c r="Z849" s="2"/>
    </row>
    <row r="850" spans="1:26" ht="14.25" customHeight="1" x14ac:dyDescent="0.3">
      <c r="A850" s="2"/>
      <c r="B850" s="2"/>
      <c r="C850" s="2"/>
      <c r="D850" s="2"/>
      <c r="E850" s="2"/>
      <c r="F850" s="2"/>
      <c r="G850" s="3"/>
      <c r="H850" s="3"/>
      <c r="I850" s="3"/>
      <c r="J850" s="2"/>
      <c r="K850" s="2"/>
      <c r="L850" s="2"/>
      <c r="M850" s="2"/>
      <c r="N850" s="2"/>
      <c r="O850" s="2"/>
      <c r="P850" s="2"/>
      <c r="Q850" s="2"/>
      <c r="R850" s="2"/>
      <c r="S850" s="2"/>
      <c r="T850" s="2"/>
      <c r="U850" s="2"/>
      <c r="V850" s="2"/>
      <c r="W850" s="2"/>
      <c r="X850" s="2"/>
      <c r="Y850" s="2"/>
      <c r="Z850" s="2"/>
    </row>
    <row r="851" spans="1:26" ht="14.25" customHeight="1" x14ac:dyDescent="0.3">
      <c r="A851" s="2"/>
      <c r="B851" s="2"/>
      <c r="C851" s="2"/>
      <c r="D851" s="2"/>
      <c r="E851" s="2"/>
      <c r="F851" s="2"/>
      <c r="G851" s="3"/>
      <c r="H851" s="3"/>
      <c r="I851" s="3"/>
      <c r="J851" s="2"/>
      <c r="K851" s="2"/>
      <c r="L851" s="2"/>
      <c r="M851" s="2"/>
      <c r="N851" s="2"/>
      <c r="O851" s="2"/>
      <c r="P851" s="2"/>
      <c r="Q851" s="2"/>
      <c r="R851" s="2"/>
      <c r="S851" s="2"/>
      <c r="T851" s="2"/>
      <c r="U851" s="2"/>
      <c r="V851" s="2"/>
      <c r="W851" s="2"/>
      <c r="X851" s="2"/>
      <c r="Y851" s="2"/>
      <c r="Z851" s="2"/>
    </row>
    <row r="852" spans="1:26" ht="14.25" customHeight="1" x14ac:dyDescent="0.3">
      <c r="A852" s="2"/>
      <c r="B852" s="2"/>
      <c r="C852" s="2"/>
      <c r="D852" s="2"/>
      <c r="E852" s="2"/>
      <c r="F852" s="2"/>
      <c r="G852" s="3"/>
      <c r="H852" s="3"/>
      <c r="I852" s="3"/>
      <c r="J852" s="2"/>
      <c r="K852" s="2"/>
      <c r="L852" s="2"/>
      <c r="M852" s="2"/>
      <c r="N852" s="2"/>
      <c r="O852" s="2"/>
      <c r="P852" s="2"/>
      <c r="Q852" s="2"/>
      <c r="R852" s="2"/>
      <c r="S852" s="2"/>
      <c r="T852" s="2"/>
      <c r="U852" s="2"/>
      <c r="V852" s="2"/>
      <c r="W852" s="2"/>
      <c r="X852" s="2"/>
      <c r="Y852" s="2"/>
      <c r="Z852" s="2"/>
    </row>
    <row r="853" spans="1:26" ht="14.25" customHeight="1" x14ac:dyDescent="0.3">
      <c r="A853" s="2"/>
      <c r="B853" s="2"/>
      <c r="C853" s="2"/>
      <c r="D853" s="2"/>
      <c r="E853" s="2"/>
      <c r="F853" s="2"/>
      <c r="G853" s="3"/>
      <c r="H853" s="3"/>
      <c r="I853" s="3"/>
      <c r="J853" s="2"/>
      <c r="K853" s="2"/>
      <c r="L853" s="2"/>
      <c r="M853" s="2"/>
      <c r="N853" s="2"/>
      <c r="O853" s="2"/>
      <c r="P853" s="2"/>
      <c r="Q853" s="2"/>
      <c r="R853" s="2"/>
      <c r="S853" s="2"/>
      <c r="T853" s="2"/>
      <c r="U853" s="2"/>
      <c r="V853" s="2"/>
      <c r="W853" s="2"/>
      <c r="X853" s="2"/>
      <c r="Y853" s="2"/>
      <c r="Z853" s="2"/>
    </row>
    <row r="854" spans="1:26" ht="14.25" customHeight="1" x14ac:dyDescent="0.3">
      <c r="A854" s="2"/>
      <c r="B854" s="2"/>
      <c r="C854" s="2"/>
      <c r="D854" s="2"/>
      <c r="E854" s="2"/>
      <c r="F854" s="2"/>
      <c r="G854" s="3"/>
      <c r="H854" s="3"/>
      <c r="I854" s="3"/>
      <c r="J854" s="2"/>
      <c r="K854" s="2"/>
      <c r="L854" s="2"/>
      <c r="M854" s="2"/>
      <c r="N854" s="2"/>
      <c r="O854" s="2"/>
      <c r="P854" s="2"/>
      <c r="Q854" s="2"/>
      <c r="R854" s="2"/>
      <c r="S854" s="2"/>
      <c r="T854" s="2"/>
      <c r="U854" s="2"/>
      <c r="V854" s="2"/>
      <c r="W854" s="2"/>
      <c r="X854" s="2"/>
      <c r="Y854" s="2"/>
      <c r="Z854" s="2"/>
    </row>
    <row r="855" spans="1:26" ht="14.25" customHeight="1" x14ac:dyDescent="0.3">
      <c r="A855" s="2"/>
      <c r="B855" s="2"/>
      <c r="C855" s="2"/>
      <c r="D855" s="2"/>
      <c r="E855" s="2"/>
      <c r="F855" s="2"/>
      <c r="G855" s="3"/>
      <c r="H855" s="3"/>
      <c r="I855" s="3"/>
      <c r="J855" s="2"/>
      <c r="K855" s="2"/>
      <c r="L855" s="2"/>
      <c r="M855" s="2"/>
      <c r="N855" s="2"/>
      <c r="O855" s="2"/>
      <c r="P855" s="2"/>
      <c r="Q855" s="2"/>
      <c r="R855" s="2"/>
      <c r="S855" s="2"/>
      <c r="T855" s="2"/>
      <c r="U855" s="2"/>
      <c r="V855" s="2"/>
      <c r="W855" s="2"/>
      <c r="X855" s="2"/>
      <c r="Y855" s="2"/>
      <c r="Z855" s="2"/>
    </row>
    <row r="856" spans="1:26" ht="14.25" customHeight="1" x14ac:dyDescent="0.3">
      <c r="A856" s="2"/>
      <c r="B856" s="2"/>
      <c r="C856" s="2"/>
      <c r="D856" s="2"/>
      <c r="E856" s="2"/>
      <c r="F856" s="2"/>
      <c r="G856" s="3"/>
      <c r="H856" s="3"/>
      <c r="I856" s="3"/>
      <c r="J856" s="2"/>
      <c r="K856" s="2"/>
      <c r="L856" s="2"/>
      <c r="M856" s="2"/>
      <c r="N856" s="2"/>
      <c r="O856" s="2"/>
      <c r="P856" s="2"/>
      <c r="Q856" s="2"/>
      <c r="R856" s="2"/>
      <c r="S856" s="2"/>
      <c r="T856" s="2"/>
      <c r="U856" s="2"/>
      <c r="V856" s="2"/>
      <c r="W856" s="2"/>
      <c r="X856" s="2"/>
      <c r="Y856" s="2"/>
      <c r="Z856" s="2"/>
    </row>
    <row r="857" spans="1:26" ht="14.25" customHeight="1" x14ac:dyDescent="0.3">
      <c r="A857" s="2"/>
      <c r="B857" s="2"/>
      <c r="C857" s="2"/>
      <c r="D857" s="2"/>
      <c r="E857" s="2"/>
      <c r="F857" s="2"/>
      <c r="G857" s="3"/>
      <c r="H857" s="3"/>
      <c r="I857" s="3"/>
      <c r="J857" s="2"/>
      <c r="K857" s="2"/>
      <c r="L857" s="2"/>
      <c r="M857" s="2"/>
      <c r="N857" s="2"/>
      <c r="O857" s="2"/>
      <c r="P857" s="2"/>
      <c r="Q857" s="2"/>
      <c r="R857" s="2"/>
      <c r="S857" s="2"/>
      <c r="T857" s="2"/>
      <c r="U857" s="2"/>
      <c r="V857" s="2"/>
      <c r="W857" s="2"/>
      <c r="X857" s="2"/>
      <c r="Y857" s="2"/>
      <c r="Z857" s="2"/>
    </row>
    <row r="858" spans="1:26" ht="14.25" customHeight="1" x14ac:dyDescent="0.3">
      <c r="A858" s="2"/>
      <c r="B858" s="2"/>
      <c r="C858" s="2"/>
      <c r="D858" s="2"/>
      <c r="E858" s="2"/>
      <c r="F858" s="2"/>
      <c r="G858" s="3"/>
      <c r="H858" s="3"/>
      <c r="I858" s="3"/>
      <c r="J858" s="2"/>
      <c r="K858" s="2"/>
      <c r="L858" s="2"/>
      <c r="M858" s="2"/>
      <c r="N858" s="2"/>
      <c r="O858" s="2"/>
      <c r="P858" s="2"/>
      <c r="Q858" s="2"/>
      <c r="R858" s="2"/>
      <c r="S858" s="2"/>
      <c r="T858" s="2"/>
      <c r="U858" s="2"/>
      <c r="V858" s="2"/>
      <c r="W858" s="2"/>
      <c r="X858" s="2"/>
      <c r="Y858" s="2"/>
      <c r="Z858" s="2"/>
    </row>
    <row r="859" spans="1:26" ht="14.25" customHeight="1" x14ac:dyDescent="0.3">
      <c r="A859" s="2"/>
      <c r="B859" s="2"/>
      <c r="C859" s="2"/>
      <c r="D859" s="2"/>
      <c r="E859" s="2"/>
      <c r="F859" s="2"/>
      <c r="G859" s="3"/>
      <c r="H859" s="3"/>
      <c r="I859" s="3"/>
      <c r="J859" s="2"/>
      <c r="K859" s="2"/>
      <c r="L859" s="2"/>
      <c r="M859" s="2"/>
      <c r="N859" s="2"/>
      <c r="O859" s="2"/>
      <c r="P859" s="2"/>
      <c r="Q859" s="2"/>
      <c r="R859" s="2"/>
      <c r="S859" s="2"/>
      <c r="T859" s="2"/>
      <c r="U859" s="2"/>
      <c r="V859" s="2"/>
      <c r="W859" s="2"/>
      <c r="X859" s="2"/>
      <c r="Y859" s="2"/>
      <c r="Z859" s="2"/>
    </row>
    <row r="860" spans="1:26" ht="14.25" customHeight="1" x14ac:dyDescent="0.3">
      <c r="A860" s="2"/>
      <c r="B860" s="2"/>
      <c r="C860" s="2"/>
      <c r="D860" s="2"/>
      <c r="E860" s="2"/>
      <c r="F860" s="2"/>
      <c r="G860" s="3"/>
      <c r="H860" s="3"/>
      <c r="I860" s="3"/>
      <c r="J860" s="2"/>
      <c r="K860" s="2"/>
      <c r="L860" s="2"/>
      <c r="M860" s="2"/>
      <c r="N860" s="2"/>
      <c r="O860" s="2"/>
      <c r="P860" s="2"/>
      <c r="Q860" s="2"/>
      <c r="R860" s="2"/>
      <c r="S860" s="2"/>
      <c r="T860" s="2"/>
      <c r="U860" s="2"/>
      <c r="V860" s="2"/>
      <c r="W860" s="2"/>
      <c r="X860" s="2"/>
      <c r="Y860" s="2"/>
      <c r="Z860" s="2"/>
    </row>
    <row r="861" spans="1:26" ht="14.25" customHeight="1" x14ac:dyDescent="0.3">
      <c r="A861" s="2"/>
      <c r="B861" s="2"/>
      <c r="C861" s="2"/>
      <c r="D861" s="2"/>
      <c r="E861" s="2"/>
      <c r="F861" s="2"/>
      <c r="G861" s="3"/>
      <c r="H861" s="3"/>
      <c r="I861" s="3"/>
      <c r="J861" s="2"/>
      <c r="K861" s="2"/>
      <c r="L861" s="2"/>
      <c r="M861" s="2"/>
      <c r="N861" s="2"/>
      <c r="O861" s="2"/>
      <c r="P861" s="2"/>
      <c r="Q861" s="2"/>
      <c r="R861" s="2"/>
      <c r="S861" s="2"/>
      <c r="T861" s="2"/>
      <c r="U861" s="2"/>
      <c r="V861" s="2"/>
      <c r="W861" s="2"/>
      <c r="X861" s="2"/>
      <c r="Y861" s="2"/>
      <c r="Z861" s="2"/>
    </row>
    <row r="862" spans="1:26" ht="14.25" customHeight="1" x14ac:dyDescent="0.3">
      <c r="A862" s="2"/>
      <c r="B862" s="2"/>
      <c r="C862" s="2"/>
      <c r="D862" s="2"/>
      <c r="E862" s="2"/>
      <c r="F862" s="2"/>
      <c r="G862" s="3"/>
      <c r="H862" s="3"/>
      <c r="I862" s="3"/>
      <c r="J862" s="2"/>
      <c r="K862" s="2"/>
      <c r="L862" s="2"/>
      <c r="M862" s="2"/>
      <c r="N862" s="2"/>
      <c r="O862" s="2"/>
      <c r="P862" s="2"/>
      <c r="Q862" s="2"/>
      <c r="R862" s="2"/>
      <c r="S862" s="2"/>
      <c r="T862" s="2"/>
      <c r="U862" s="2"/>
      <c r="V862" s="2"/>
      <c r="W862" s="2"/>
      <c r="X862" s="2"/>
      <c r="Y862" s="2"/>
      <c r="Z862" s="2"/>
    </row>
    <row r="863" spans="1:26" ht="14.25" customHeight="1" x14ac:dyDescent="0.3">
      <c r="A863" s="2"/>
      <c r="B863" s="2"/>
      <c r="C863" s="2"/>
      <c r="D863" s="2"/>
      <c r="E863" s="2"/>
      <c r="F863" s="2"/>
      <c r="G863" s="3"/>
      <c r="H863" s="3"/>
      <c r="I863" s="3"/>
      <c r="J863" s="2"/>
      <c r="K863" s="2"/>
      <c r="L863" s="2"/>
      <c r="M863" s="2"/>
      <c r="N863" s="2"/>
      <c r="O863" s="2"/>
      <c r="P863" s="2"/>
      <c r="Q863" s="2"/>
      <c r="R863" s="2"/>
      <c r="S863" s="2"/>
      <c r="T863" s="2"/>
      <c r="U863" s="2"/>
      <c r="V863" s="2"/>
      <c r="W863" s="2"/>
      <c r="X863" s="2"/>
      <c r="Y863" s="2"/>
      <c r="Z863" s="2"/>
    </row>
    <row r="864" spans="1:26" ht="14.25" customHeight="1" x14ac:dyDescent="0.3">
      <c r="A864" s="2"/>
      <c r="B864" s="2"/>
      <c r="C864" s="2"/>
      <c r="D864" s="2"/>
      <c r="E864" s="2"/>
      <c r="F864" s="2"/>
      <c r="G864" s="3"/>
      <c r="H864" s="3"/>
      <c r="I864" s="3"/>
      <c r="J864" s="2"/>
      <c r="K864" s="2"/>
      <c r="L864" s="2"/>
      <c r="M864" s="2"/>
      <c r="N864" s="2"/>
      <c r="O864" s="2"/>
      <c r="P864" s="2"/>
      <c r="Q864" s="2"/>
      <c r="R864" s="2"/>
      <c r="S864" s="2"/>
      <c r="T864" s="2"/>
      <c r="U864" s="2"/>
      <c r="V864" s="2"/>
      <c r="W864" s="2"/>
      <c r="X864" s="2"/>
      <c r="Y864" s="2"/>
      <c r="Z864" s="2"/>
    </row>
    <row r="865" spans="1:26" ht="14.25" customHeight="1" x14ac:dyDescent="0.3">
      <c r="A865" s="2"/>
      <c r="B865" s="2"/>
      <c r="C865" s="2"/>
      <c r="D865" s="2"/>
      <c r="E865" s="2"/>
      <c r="F865" s="2"/>
      <c r="G865" s="3"/>
      <c r="H865" s="3"/>
      <c r="I865" s="3"/>
      <c r="J865" s="2"/>
      <c r="K865" s="2"/>
      <c r="L865" s="2"/>
      <c r="M865" s="2"/>
      <c r="N865" s="2"/>
      <c r="O865" s="2"/>
      <c r="P865" s="2"/>
      <c r="Q865" s="2"/>
      <c r="R865" s="2"/>
      <c r="S865" s="2"/>
      <c r="T865" s="2"/>
      <c r="U865" s="2"/>
      <c r="V865" s="2"/>
      <c r="W865" s="2"/>
      <c r="X865" s="2"/>
      <c r="Y865" s="2"/>
      <c r="Z865" s="2"/>
    </row>
    <row r="866" spans="1:26" ht="14.25" customHeight="1" x14ac:dyDescent="0.3">
      <c r="A866" s="2"/>
      <c r="B866" s="2"/>
      <c r="C866" s="2"/>
      <c r="D866" s="2"/>
      <c r="E866" s="2"/>
      <c r="F866" s="2"/>
      <c r="G866" s="3"/>
      <c r="H866" s="3"/>
      <c r="I866" s="3"/>
      <c r="J866" s="2"/>
      <c r="K866" s="2"/>
      <c r="L866" s="2"/>
      <c r="M866" s="2"/>
      <c r="N866" s="2"/>
      <c r="O866" s="2"/>
      <c r="P866" s="2"/>
      <c r="Q866" s="2"/>
      <c r="R866" s="2"/>
      <c r="S866" s="2"/>
      <c r="T866" s="2"/>
      <c r="U866" s="2"/>
      <c r="V866" s="2"/>
      <c r="W866" s="2"/>
      <c r="X866" s="2"/>
      <c r="Y866" s="2"/>
      <c r="Z866" s="2"/>
    </row>
    <row r="867" spans="1:26" ht="14.25" customHeight="1" x14ac:dyDescent="0.3">
      <c r="A867" s="2"/>
      <c r="B867" s="2"/>
      <c r="C867" s="2"/>
      <c r="D867" s="2"/>
      <c r="E867" s="2"/>
      <c r="F867" s="2"/>
      <c r="G867" s="3"/>
      <c r="H867" s="3"/>
      <c r="I867" s="3"/>
      <c r="J867" s="2"/>
      <c r="K867" s="2"/>
      <c r="L867" s="2"/>
      <c r="M867" s="2"/>
      <c r="N867" s="2"/>
      <c r="O867" s="2"/>
      <c r="P867" s="2"/>
      <c r="Q867" s="2"/>
      <c r="R867" s="2"/>
      <c r="S867" s="2"/>
      <c r="T867" s="2"/>
      <c r="U867" s="2"/>
      <c r="V867" s="2"/>
      <c r="W867" s="2"/>
      <c r="X867" s="2"/>
      <c r="Y867" s="2"/>
      <c r="Z867" s="2"/>
    </row>
    <row r="868" spans="1:26" ht="14.25" customHeight="1" x14ac:dyDescent="0.3">
      <c r="A868" s="2"/>
      <c r="B868" s="2"/>
      <c r="C868" s="2"/>
      <c r="D868" s="2"/>
      <c r="E868" s="2"/>
      <c r="F868" s="2"/>
      <c r="G868" s="3"/>
      <c r="H868" s="3"/>
      <c r="I868" s="3"/>
      <c r="J868" s="2"/>
      <c r="K868" s="2"/>
      <c r="L868" s="2"/>
      <c r="M868" s="2"/>
      <c r="N868" s="2"/>
      <c r="O868" s="2"/>
      <c r="P868" s="2"/>
      <c r="Q868" s="2"/>
      <c r="R868" s="2"/>
      <c r="S868" s="2"/>
      <c r="T868" s="2"/>
      <c r="U868" s="2"/>
      <c r="V868" s="2"/>
      <c r="W868" s="2"/>
      <c r="X868" s="2"/>
      <c r="Y868" s="2"/>
      <c r="Z868" s="2"/>
    </row>
    <row r="869" spans="1:26" ht="14.25" customHeight="1" x14ac:dyDescent="0.3">
      <c r="A869" s="2"/>
      <c r="B869" s="2"/>
      <c r="C869" s="2"/>
      <c r="D869" s="2"/>
      <c r="E869" s="2"/>
      <c r="F869" s="2"/>
      <c r="G869" s="3"/>
      <c r="H869" s="3"/>
      <c r="I869" s="3"/>
      <c r="J869" s="2"/>
      <c r="K869" s="2"/>
      <c r="L869" s="2"/>
      <c r="M869" s="2"/>
      <c r="N869" s="2"/>
      <c r="O869" s="2"/>
      <c r="P869" s="2"/>
      <c r="Q869" s="2"/>
      <c r="R869" s="2"/>
      <c r="S869" s="2"/>
      <c r="T869" s="2"/>
      <c r="U869" s="2"/>
      <c r="V869" s="2"/>
      <c r="W869" s="2"/>
      <c r="X869" s="2"/>
      <c r="Y869" s="2"/>
      <c r="Z869" s="2"/>
    </row>
    <row r="870" spans="1:26" ht="14.25" customHeight="1" x14ac:dyDescent="0.3">
      <c r="A870" s="2"/>
      <c r="B870" s="2"/>
      <c r="C870" s="2"/>
      <c r="D870" s="2"/>
      <c r="E870" s="2"/>
      <c r="F870" s="2"/>
      <c r="G870" s="3"/>
      <c r="H870" s="3"/>
      <c r="I870" s="3"/>
      <c r="J870" s="2"/>
      <c r="K870" s="2"/>
      <c r="L870" s="2"/>
      <c r="M870" s="2"/>
      <c r="N870" s="2"/>
      <c r="O870" s="2"/>
      <c r="P870" s="2"/>
      <c r="Q870" s="2"/>
      <c r="R870" s="2"/>
      <c r="S870" s="2"/>
      <c r="T870" s="2"/>
      <c r="U870" s="2"/>
      <c r="V870" s="2"/>
      <c r="W870" s="2"/>
      <c r="X870" s="2"/>
      <c r="Y870" s="2"/>
      <c r="Z870" s="2"/>
    </row>
    <row r="871" spans="1:26" ht="14.25" customHeight="1" x14ac:dyDescent="0.3">
      <c r="A871" s="2"/>
      <c r="B871" s="2"/>
      <c r="C871" s="2"/>
      <c r="D871" s="2"/>
      <c r="E871" s="2"/>
      <c r="F871" s="2"/>
      <c r="G871" s="3"/>
      <c r="H871" s="3"/>
      <c r="I871" s="3"/>
      <c r="J871" s="2"/>
      <c r="K871" s="2"/>
      <c r="L871" s="2"/>
      <c r="M871" s="2"/>
      <c r="N871" s="2"/>
      <c r="O871" s="2"/>
      <c r="P871" s="2"/>
      <c r="Q871" s="2"/>
      <c r="R871" s="2"/>
      <c r="S871" s="2"/>
      <c r="T871" s="2"/>
      <c r="U871" s="2"/>
      <c r="V871" s="2"/>
      <c r="W871" s="2"/>
      <c r="X871" s="2"/>
      <c r="Y871" s="2"/>
      <c r="Z871" s="2"/>
    </row>
    <row r="872" spans="1:26" ht="14.25" customHeight="1" x14ac:dyDescent="0.3">
      <c r="A872" s="2"/>
      <c r="B872" s="2"/>
      <c r="C872" s="2"/>
      <c r="D872" s="2"/>
      <c r="E872" s="2"/>
      <c r="F872" s="2"/>
      <c r="G872" s="3"/>
      <c r="H872" s="3"/>
      <c r="I872" s="3"/>
      <c r="J872" s="2"/>
      <c r="K872" s="2"/>
      <c r="L872" s="2"/>
      <c r="M872" s="2"/>
      <c r="N872" s="2"/>
      <c r="O872" s="2"/>
      <c r="P872" s="2"/>
      <c r="Q872" s="2"/>
      <c r="R872" s="2"/>
      <c r="S872" s="2"/>
      <c r="T872" s="2"/>
      <c r="U872" s="2"/>
      <c r="V872" s="2"/>
      <c r="W872" s="2"/>
      <c r="X872" s="2"/>
      <c r="Y872" s="2"/>
      <c r="Z872" s="2"/>
    </row>
    <row r="873" spans="1:26" ht="14.25" customHeight="1" x14ac:dyDescent="0.3">
      <c r="A873" s="2"/>
      <c r="B873" s="2"/>
      <c r="C873" s="2"/>
      <c r="D873" s="2"/>
      <c r="E873" s="2"/>
      <c r="F873" s="2"/>
      <c r="G873" s="3"/>
      <c r="H873" s="3"/>
      <c r="I873" s="3"/>
      <c r="J873" s="2"/>
      <c r="K873" s="2"/>
      <c r="L873" s="2"/>
      <c r="M873" s="2"/>
      <c r="N873" s="2"/>
      <c r="O873" s="2"/>
      <c r="P873" s="2"/>
      <c r="Q873" s="2"/>
      <c r="R873" s="2"/>
      <c r="S873" s="2"/>
      <c r="T873" s="2"/>
      <c r="U873" s="2"/>
      <c r="V873" s="2"/>
      <c r="W873" s="2"/>
      <c r="X873" s="2"/>
      <c r="Y873" s="2"/>
      <c r="Z873" s="2"/>
    </row>
    <row r="874" spans="1:26" ht="14.25" customHeight="1" x14ac:dyDescent="0.3">
      <c r="A874" s="2"/>
      <c r="B874" s="2"/>
      <c r="C874" s="2"/>
      <c r="D874" s="2"/>
      <c r="E874" s="2"/>
      <c r="F874" s="2"/>
      <c r="G874" s="3"/>
      <c r="H874" s="3"/>
      <c r="I874" s="3"/>
      <c r="J874" s="2"/>
      <c r="K874" s="2"/>
      <c r="L874" s="2"/>
      <c r="M874" s="2"/>
      <c r="N874" s="2"/>
      <c r="O874" s="2"/>
      <c r="P874" s="2"/>
      <c r="Q874" s="2"/>
      <c r="R874" s="2"/>
      <c r="S874" s="2"/>
      <c r="T874" s="2"/>
      <c r="U874" s="2"/>
      <c r="V874" s="2"/>
      <c r="W874" s="2"/>
      <c r="X874" s="2"/>
      <c r="Y874" s="2"/>
      <c r="Z874" s="2"/>
    </row>
    <row r="875" spans="1:26" ht="14.25" customHeight="1" x14ac:dyDescent="0.3">
      <c r="A875" s="2"/>
      <c r="B875" s="2"/>
      <c r="C875" s="2"/>
      <c r="D875" s="2"/>
      <c r="E875" s="2"/>
      <c r="F875" s="2"/>
      <c r="G875" s="3"/>
      <c r="H875" s="3"/>
      <c r="I875" s="3"/>
      <c r="J875" s="2"/>
      <c r="K875" s="2"/>
      <c r="L875" s="2"/>
      <c r="M875" s="2"/>
      <c r="N875" s="2"/>
      <c r="O875" s="2"/>
      <c r="P875" s="2"/>
      <c r="Q875" s="2"/>
      <c r="R875" s="2"/>
      <c r="S875" s="2"/>
      <c r="T875" s="2"/>
      <c r="U875" s="2"/>
      <c r="V875" s="2"/>
      <c r="W875" s="2"/>
      <c r="X875" s="2"/>
      <c r="Y875" s="2"/>
      <c r="Z875" s="2"/>
    </row>
    <row r="876" spans="1:26" ht="14.25" customHeight="1" x14ac:dyDescent="0.3">
      <c r="A876" s="2"/>
      <c r="B876" s="2"/>
      <c r="C876" s="2"/>
      <c r="D876" s="2"/>
      <c r="E876" s="2"/>
      <c r="F876" s="2"/>
      <c r="G876" s="3"/>
      <c r="H876" s="3"/>
      <c r="I876" s="3"/>
      <c r="J876" s="2"/>
      <c r="K876" s="2"/>
      <c r="L876" s="2"/>
      <c r="M876" s="2"/>
      <c r="N876" s="2"/>
      <c r="O876" s="2"/>
      <c r="P876" s="2"/>
      <c r="Q876" s="2"/>
      <c r="R876" s="2"/>
      <c r="S876" s="2"/>
      <c r="T876" s="2"/>
      <c r="U876" s="2"/>
      <c r="V876" s="2"/>
      <c r="W876" s="2"/>
      <c r="X876" s="2"/>
      <c r="Y876" s="2"/>
      <c r="Z876" s="2"/>
    </row>
    <row r="877" spans="1:26" ht="14.25" customHeight="1" x14ac:dyDescent="0.3">
      <c r="A877" s="2"/>
      <c r="B877" s="2"/>
      <c r="C877" s="2"/>
      <c r="D877" s="2"/>
      <c r="E877" s="2"/>
      <c r="F877" s="2"/>
      <c r="G877" s="3"/>
      <c r="H877" s="3"/>
      <c r="I877" s="3"/>
      <c r="J877" s="2"/>
      <c r="K877" s="2"/>
      <c r="L877" s="2"/>
      <c r="M877" s="2"/>
      <c r="N877" s="2"/>
      <c r="O877" s="2"/>
      <c r="P877" s="2"/>
      <c r="Q877" s="2"/>
      <c r="R877" s="2"/>
      <c r="S877" s="2"/>
      <c r="T877" s="2"/>
      <c r="U877" s="2"/>
      <c r="V877" s="2"/>
      <c r="W877" s="2"/>
      <c r="X877" s="2"/>
      <c r="Y877" s="2"/>
      <c r="Z877" s="2"/>
    </row>
    <row r="878" spans="1:26" ht="14.25" customHeight="1" x14ac:dyDescent="0.3">
      <c r="A878" s="2"/>
      <c r="B878" s="2"/>
      <c r="C878" s="2"/>
      <c r="D878" s="2"/>
      <c r="E878" s="2"/>
      <c r="F878" s="2"/>
      <c r="G878" s="3"/>
      <c r="H878" s="3"/>
      <c r="I878" s="3"/>
      <c r="J878" s="2"/>
      <c r="K878" s="2"/>
      <c r="L878" s="2"/>
      <c r="M878" s="2"/>
      <c r="N878" s="2"/>
      <c r="O878" s="2"/>
      <c r="P878" s="2"/>
      <c r="Q878" s="2"/>
      <c r="R878" s="2"/>
      <c r="S878" s="2"/>
      <c r="T878" s="2"/>
      <c r="U878" s="2"/>
      <c r="V878" s="2"/>
      <c r="W878" s="2"/>
      <c r="X878" s="2"/>
      <c r="Y878" s="2"/>
      <c r="Z878" s="2"/>
    </row>
    <row r="879" spans="1:26" ht="14.25" customHeight="1" x14ac:dyDescent="0.3">
      <c r="A879" s="2"/>
      <c r="B879" s="2"/>
      <c r="C879" s="2"/>
      <c r="D879" s="2"/>
      <c r="E879" s="2"/>
      <c r="F879" s="2"/>
      <c r="G879" s="3"/>
      <c r="H879" s="3"/>
      <c r="I879" s="3"/>
      <c r="J879" s="2"/>
      <c r="K879" s="2"/>
      <c r="L879" s="2"/>
      <c r="M879" s="2"/>
      <c r="N879" s="2"/>
      <c r="O879" s="2"/>
      <c r="P879" s="2"/>
      <c r="Q879" s="2"/>
      <c r="R879" s="2"/>
      <c r="S879" s="2"/>
      <c r="T879" s="2"/>
      <c r="U879" s="2"/>
      <c r="V879" s="2"/>
      <c r="W879" s="2"/>
      <c r="X879" s="2"/>
      <c r="Y879" s="2"/>
      <c r="Z879" s="2"/>
    </row>
    <row r="880" spans="1:26" ht="14.25" customHeight="1" x14ac:dyDescent="0.3">
      <c r="A880" s="2"/>
      <c r="B880" s="2"/>
      <c r="C880" s="2"/>
      <c r="D880" s="2"/>
      <c r="E880" s="2"/>
      <c r="F880" s="2"/>
      <c r="G880" s="3"/>
      <c r="H880" s="3"/>
      <c r="I880" s="3"/>
      <c r="J880" s="2"/>
      <c r="K880" s="2"/>
      <c r="L880" s="2"/>
      <c r="M880" s="2"/>
      <c r="N880" s="2"/>
      <c r="O880" s="2"/>
      <c r="P880" s="2"/>
      <c r="Q880" s="2"/>
      <c r="R880" s="2"/>
      <c r="S880" s="2"/>
      <c r="T880" s="2"/>
      <c r="U880" s="2"/>
      <c r="V880" s="2"/>
      <c r="W880" s="2"/>
      <c r="X880" s="2"/>
      <c r="Y880" s="2"/>
      <c r="Z880" s="2"/>
    </row>
    <row r="881" spans="1:26" ht="14.25" customHeight="1" x14ac:dyDescent="0.3">
      <c r="A881" s="2"/>
      <c r="B881" s="2"/>
      <c r="C881" s="2"/>
      <c r="D881" s="2"/>
      <c r="E881" s="2"/>
      <c r="F881" s="2"/>
      <c r="G881" s="3"/>
      <c r="H881" s="3"/>
      <c r="I881" s="3"/>
      <c r="J881" s="2"/>
      <c r="K881" s="2"/>
      <c r="L881" s="2"/>
      <c r="M881" s="2"/>
      <c r="N881" s="2"/>
      <c r="O881" s="2"/>
      <c r="P881" s="2"/>
      <c r="Q881" s="2"/>
      <c r="R881" s="2"/>
      <c r="S881" s="2"/>
      <c r="T881" s="2"/>
      <c r="U881" s="2"/>
      <c r="V881" s="2"/>
      <c r="W881" s="2"/>
      <c r="X881" s="2"/>
      <c r="Y881" s="2"/>
      <c r="Z881" s="2"/>
    </row>
    <row r="882" spans="1:26" ht="14.25" customHeight="1" x14ac:dyDescent="0.3">
      <c r="A882" s="2"/>
      <c r="B882" s="2"/>
      <c r="C882" s="2"/>
      <c r="D882" s="2"/>
      <c r="E882" s="2"/>
      <c r="F882" s="2"/>
      <c r="G882" s="3"/>
      <c r="H882" s="3"/>
      <c r="I882" s="3"/>
      <c r="J882" s="2"/>
      <c r="K882" s="2"/>
      <c r="L882" s="2"/>
      <c r="M882" s="2"/>
      <c r="N882" s="2"/>
      <c r="O882" s="2"/>
      <c r="P882" s="2"/>
      <c r="Q882" s="2"/>
      <c r="R882" s="2"/>
      <c r="S882" s="2"/>
      <c r="T882" s="2"/>
      <c r="U882" s="2"/>
      <c r="V882" s="2"/>
      <c r="W882" s="2"/>
      <c r="X882" s="2"/>
      <c r="Y882" s="2"/>
      <c r="Z882" s="2"/>
    </row>
    <row r="883" spans="1:26" ht="14.25" customHeight="1" x14ac:dyDescent="0.3">
      <c r="A883" s="2"/>
      <c r="B883" s="2"/>
      <c r="C883" s="2"/>
      <c r="D883" s="2"/>
      <c r="E883" s="2"/>
      <c r="F883" s="2"/>
      <c r="G883" s="3"/>
      <c r="H883" s="3"/>
      <c r="I883" s="3"/>
      <c r="J883" s="2"/>
      <c r="K883" s="2"/>
      <c r="L883" s="2"/>
      <c r="M883" s="2"/>
      <c r="N883" s="2"/>
      <c r="O883" s="2"/>
      <c r="P883" s="2"/>
      <c r="Q883" s="2"/>
      <c r="R883" s="2"/>
      <c r="S883" s="2"/>
      <c r="T883" s="2"/>
      <c r="U883" s="2"/>
      <c r="V883" s="2"/>
      <c r="W883" s="2"/>
      <c r="X883" s="2"/>
      <c r="Y883" s="2"/>
      <c r="Z883" s="2"/>
    </row>
    <row r="884" spans="1:26" ht="14.25" customHeight="1" x14ac:dyDescent="0.3">
      <c r="A884" s="2"/>
      <c r="B884" s="2"/>
      <c r="C884" s="2"/>
      <c r="D884" s="2"/>
      <c r="E884" s="2"/>
      <c r="F884" s="2"/>
      <c r="G884" s="3"/>
      <c r="H884" s="3"/>
      <c r="I884" s="3"/>
      <c r="J884" s="2"/>
      <c r="K884" s="2"/>
      <c r="L884" s="2"/>
      <c r="M884" s="2"/>
      <c r="N884" s="2"/>
      <c r="O884" s="2"/>
      <c r="P884" s="2"/>
      <c r="Q884" s="2"/>
      <c r="R884" s="2"/>
      <c r="S884" s="2"/>
      <c r="T884" s="2"/>
      <c r="U884" s="2"/>
      <c r="V884" s="2"/>
      <c r="W884" s="2"/>
      <c r="X884" s="2"/>
      <c r="Y884" s="2"/>
      <c r="Z884" s="2"/>
    </row>
    <row r="885" spans="1:26" ht="14.25" customHeight="1" x14ac:dyDescent="0.3">
      <c r="A885" s="2"/>
      <c r="B885" s="2"/>
      <c r="C885" s="2"/>
      <c r="D885" s="2"/>
      <c r="E885" s="2"/>
      <c r="F885" s="2"/>
      <c r="G885" s="3"/>
      <c r="H885" s="3"/>
      <c r="I885" s="3"/>
      <c r="J885" s="2"/>
      <c r="K885" s="2"/>
      <c r="L885" s="2"/>
      <c r="M885" s="2"/>
      <c r="N885" s="2"/>
      <c r="O885" s="2"/>
      <c r="P885" s="2"/>
      <c r="Q885" s="2"/>
      <c r="R885" s="2"/>
      <c r="S885" s="2"/>
      <c r="T885" s="2"/>
      <c r="U885" s="2"/>
      <c r="V885" s="2"/>
      <c r="W885" s="2"/>
      <c r="X885" s="2"/>
      <c r="Y885" s="2"/>
      <c r="Z885" s="2"/>
    </row>
    <row r="886" spans="1:26" ht="14.25" customHeight="1" x14ac:dyDescent="0.3">
      <c r="A886" s="2"/>
      <c r="B886" s="2"/>
      <c r="C886" s="2"/>
      <c r="D886" s="2"/>
      <c r="E886" s="2"/>
      <c r="F886" s="2"/>
      <c r="G886" s="3"/>
      <c r="H886" s="3"/>
      <c r="I886" s="3"/>
      <c r="J886" s="2"/>
      <c r="K886" s="2"/>
      <c r="L886" s="2"/>
      <c r="M886" s="2"/>
      <c r="N886" s="2"/>
      <c r="O886" s="2"/>
      <c r="P886" s="2"/>
      <c r="Q886" s="2"/>
      <c r="R886" s="2"/>
      <c r="S886" s="2"/>
      <c r="T886" s="2"/>
      <c r="U886" s="2"/>
      <c r="V886" s="2"/>
      <c r="W886" s="2"/>
      <c r="X886" s="2"/>
      <c r="Y886" s="2"/>
      <c r="Z886" s="2"/>
    </row>
    <row r="887" spans="1:26" ht="14.25" customHeight="1" x14ac:dyDescent="0.3">
      <c r="A887" s="2"/>
      <c r="B887" s="2"/>
      <c r="C887" s="2"/>
      <c r="D887" s="2"/>
      <c r="E887" s="2"/>
      <c r="F887" s="2"/>
      <c r="G887" s="3"/>
      <c r="H887" s="3"/>
      <c r="I887" s="3"/>
      <c r="J887" s="2"/>
      <c r="K887" s="2"/>
      <c r="L887" s="2"/>
      <c r="M887" s="2"/>
      <c r="N887" s="2"/>
      <c r="O887" s="2"/>
      <c r="P887" s="2"/>
      <c r="Q887" s="2"/>
      <c r="R887" s="2"/>
      <c r="S887" s="2"/>
      <c r="T887" s="2"/>
      <c r="U887" s="2"/>
      <c r="V887" s="2"/>
      <c r="W887" s="2"/>
      <c r="X887" s="2"/>
      <c r="Y887" s="2"/>
      <c r="Z887" s="2"/>
    </row>
    <row r="888" spans="1:26" ht="14.25" customHeight="1" x14ac:dyDescent="0.3">
      <c r="A888" s="2"/>
      <c r="B888" s="2"/>
      <c r="C888" s="2"/>
      <c r="D888" s="2"/>
      <c r="E888" s="2"/>
      <c r="F888" s="2"/>
      <c r="G888" s="3"/>
      <c r="H888" s="3"/>
      <c r="I888" s="3"/>
      <c r="J888" s="2"/>
      <c r="K888" s="2"/>
      <c r="L888" s="2"/>
      <c r="M888" s="2"/>
      <c r="N888" s="2"/>
      <c r="O888" s="2"/>
      <c r="P888" s="2"/>
      <c r="Q888" s="2"/>
      <c r="R888" s="2"/>
      <c r="S888" s="2"/>
      <c r="T888" s="2"/>
      <c r="U888" s="2"/>
      <c r="V888" s="2"/>
      <c r="W888" s="2"/>
      <c r="X888" s="2"/>
      <c r="Y888" s="2"/>
      <c r="Z888" s="2"/>
    </row>
    <row r="889" spans="1:26" ht="14.25" customHeight="1" x14ac:dyDescent="0.3">
      <c r="A889" s="2"/>
      <c r="B889" s="2"/>
      <c r="C889" s="2"/>
      <c r="D889" s="2"/>
      <c r="E889" s="2"/>
      <c r="F889" s="2"/>
      <c r="G889" s="3"/>
      <c r="H889" s="3"/>
      <c r="I889" s="3"/>
      <c r="J889" s="2"/>
      <c r="K889" s="2"/>
      <c r="L889" s="2"/>
      <c r="M889" s="2"/>
      <c r="N889" s="2"/>
      <c r="O889" s="2"/>
      <c r="P889" s="2"/>
      <c r="Q889" s="2"/>
      <c r="R889" s="2"/>
      <c r="S889" s="2"/>
      <c r="T889" s="2"/>
      <c r="U889" s="2"/>
      <c r="V889" s="2"/>
      <c r="W889" s="2"/>
      <c r="X889" s="2"/>
      <c r="Y889" s="2"/>
      <c r="Z889" s="2"/>
    </row>
    <row r="890" spans="1:26" ht="14.25" customHeight="1" x14ac:dyDescent="0.3">
      <c r="A890" s="2"/>
      <c r="B890" s="2"/>
      <c r="C890" s="2"/>
      <c r="D890" s="2"/>
      <c r="E890" s="2"/>
      <c r="F890" s="2"/>
      <c r="G890" s="3"/>
      <c r="H890" s="3"/>
      <c r="I890" s="3"/>
      <c r="J890" s="2"/>
      <c r="K890" s="2"/>
      <c r="L890" s="2"/>
      <c r="M890" s="2"/>
      <c r="N890" s="2"/>
      <c r="O890" s="2"/>
      <c r="P890" s="2"/>
      <c r="Q890" s="2"/>
      <c r="R890" s="2"/>
      <c r="S890" s="2"/>
      <c r="T890" s="2"/>
      <c r="U890" s="2"/>
      <c r="V890" s="2"/>
      <c r="W890" s="2"/>
      <c r="X890" s="2"/>
      <c r="Y890" s="2"/>
      <c r="Z890" s="2"/>
    </row>
    <row r="891" spans="1:26" ht="14.25" customHeight="1" x14ac:dyDescent="0.3">
      <c r="A891" s="2"/>
      <c r="B891" s="2"/>
      <c r="C891" s="2"/>
      <c r="D891" s="2"/>
      <c r="E891" s="2"/>
      <c r="F891" s="2"/>
      <c r="G891" s="3"/>
      <c r="H891" s="3"/>
      <c r="I891" s="3"/>
      <c r="J891" s="2"/>
      <c r="K891" s="2"/>
      <c r="L891" s="2"/>
      <c r="M891" s="2"/>
      <c r="N891" s="2"/>
      <c r="O891" s="2"/>
      <c r="P891" s="2"/>
      <c r="Q891" s="2"/>
      <c r="R891" s="2"/>
      <c r="S891" s="2"/>
      <c r="T891" s="2"/>
      <c r="U891" s="2"/>
      <c r="V891" s="2"/>
      <c r="W891" s="2"/>
      <c r="X891" s="2"/>
      <c r="Y891" s="2"/>
      <c r="Z891" s="2"/>
    </row>
    <row r="892" spans="1:26" ht="14.25" customHeight="1" x14ac:dyDescent="0.3">
      <c r="A892" s="2"/>
      <c r="B892" s="2"/>
      <c r="C892" s="2"/>
      <c r="D892" s="2"/>
      <c r="E892" s="2"/>
      <c r="F892" s="2"/>
      <c r="G892" s="3"/>
      <c r="H892" s="3"/>
      <c r="I892" s="3"/>
      <c r="J892" s="2"/>
      <c r="K892" s="2"/>
      <c r="L892" s="2"/>
      <c r="M892" s="2"/>
      <c r="N892" s="2"/>
      <c r="O892" s="2"/>
      <c r="P892" s="2"/>
      <c r="Q892" s="2"/>
      <c r="R892" s="2"/>
      <c r="S892" s="2"/>
      <c r="T892" s="2"/>
      <c r="U892" s="2"/>
      <c r="V892" s="2"/>
      <c r="W892" s="2"/>
      <c r="X892" s="2"/>
      <c r="Y892" s="2"/>
      <c r="Z892" s="2"/>
    </row>
    <row r="893" spans="1:26" ht="14.25" customHeight="1" x14ac:dyDescent="0.3">
      <c r="A893" s="2"/>
      <c r="B893" s="2"/>
      <c r="C893" s="2"/>
      <c r="D893" s="2"/>
      <c r="E893" s="2"/>
      <c r="F893" s="2"/>
      <c r="G893" s="3"/>
      <c r="H893" s="3"/>
      <c r="I893" s="3"/>
      <c r="J893" s="2"/>
      <c r="K893" s="2"/>
      <c r="L893" s="2"/>
      <c r="M893" s="2"/>
      <c r="N893" s="2"/>
      <c r="O893" s="2"/>
      <c r="P893" s="2"/>
      <c r="Q893" s="2"/>
      <c r="R893" s="2"/>
      <c r="S893" s="2"/>
      <c r="T893" s="2"/>
      <c r="U893" s="2"/>
      <c r="V893" s="2"/>
      <c r="W893" s="2"/>
      <c r="X893" s="2"/>
      <c r="Y893" s="2"/>
      <c r="Z893" s="2"/>
    </row>
    <row r="894" spans="1:26" ht="14.25" customHeight="1" x14ac:dyDescent="0.3">
      <c r="A894" s="2"/>
      <c r="B894" s="2"/>
      <c r="C894" s="2"/>
      <c r="D894" s="2"/>
      <c r="E894" s="2"/>
      <c r="F894" s="2"/>
      <c r="G894" s="3"/>
      <c r="H894" s="3"/>
      <c r="I894" s="3"/>
      <c r="J894" s="2"/>
      <c r="K894" s="2"/>
      <c r="L894" s="2"/>
      <c r="M894" s="2"/>
      <c r="N894" s="2"/>
      <c r="O894" s="2"/>
      <c r="P894" s="2"/>
      <c r="Q894" s="2"/>
      <c r="R894" s="2"/>
      <c r="S894" s="2"/>
      <c r="T894" s="2"/>
      <c r="U894" s="2"/>
      <c r="V894" s="2"/>
      <c r="W894" s="2"/>
      <c r="X894" s="2"/>
      <c r="Y894" s="2"/>
      <c r="Z894" s="2"/>
    </row>
    <row r="895" spans="1:26" ht="14.25" customHeight="1" x14ac:dyDescent="0.3">
      <c r="A895" s="2"/>
      <c r="B895" s="2"/>
      <c r="C895" s="2"/>
      <c r="D895" s="2"/>
      <c r="E895" s="2"/>
      <c r="F895" s="2"/>
      <c r="G895" s="3"/>
      <c r="H895" s="3"/>
      <c r="I895" s="3"/>
      <c r="J895" s="2"/>
      <c r="K895" s="2"/>
      <c r="L895" s="2"/>
      <c r="M895" s="2"/>
      <c r="N895" s="2"/>
      <c r="O895" s="2"/>
      <c r="P895" s="2"/>
      <c r="Q895" s="2"/>
      <c r="R895" s="2"/>
      <c r="S895" s="2"/>
      <c r="T895" s="2"/>
      <c r="U895" s="2"/>
      <c r="V895" s="2"/>
      <c r="W895" s="2"/>
      <c r="X895" s="2"/>
      <c r="Y895" s="2"/>
      <c r="Z895" s="2"/>
    </row>
    <row r="896" spans="1:26" ht="14.25" customHeight="1" x14ac:dyDescent="0.3">
      <c r="A896" s="2"/>
      <c r="B896" s="2"/>
      <c r="C896" s="2"/>
      <c r="D896" s="2"/>
      <c r="E896" s="2"/>
      <c r="F896" s="2"/>
      <c r="G896" s="3"/>
      <c r="H896" s="3"/>
      <c r="I896" s="3"/>
      <c r="J896" s="2"/>
      <c r="K896" s="2"/>
      <c r="L896" s="2"/>
      <c r="M896" s="2"/>
      <c r="N896" s="2"/>
      <c r="O896" s="2"/>
      <c r="P896" s="2"/>
      <c r="Q896" s="2"/>
      <c r="R896" s="2"/>
      <c r="S896" s="2"/>
      <c r="T896" s="2"/>
      <c r="U896" s="2"/>
      <c r="V896" s="2"/>
      <c r="W896" s="2"/>
      <c r="X896" s="2"/>
      <c r="Y896" s="2"/>
      <c r="Z896" s="2"/>
    </row>
    <row r="897" spans="1:26" ht="14.25" customHeight="1" x14ac:dyDescent="0.3">
      <c r="A897" s="2"/>
      <c r="B897" s="2"/>
      <c r="C897" s="2"/>
      <c r="D897" s="2"/>
      <c r="E897" s="2"/>
      <c r="F897" s="2"/>
      <c r="G897" s="3"/>
      <c r="H897" s="3"/>
      <c r="I897" s="3"/>
      <c r="J897" s="2"/>
      <c r="K897" s="2"/>
      <c r="L897" s="2"/>
      <c r="M897" s="2"/>
      <c r="N897" s="2"/>
      <c r="O897" s="2"/>
      <c r="P897" s="2"/>
      <c r="Q897" s="2"/>
      <c r="R897" s="2"/>
      <c r="S897" s="2"/>
      <c r="T897" s="2"/>
      <c r="U897" s="2"/>
      <c r="V897" s="2"/>
      <c r="W897" s="2"/>
      <c r="X897" s="2"/>
      <c r="Y897" s="2"/>
      <c r="Z897" s="2"/>
    </row>
    <row r="898" spans="1:26" ht="14.25" customHeight="1" x14ac:dyDescent="0.3">
      <c r="A898" s="2"/>
      <c r="B898" s="2"/>
      <c r="C898" s="2"/>
      <c r="D898" s="2"/>
      <c r="E898" s="2"/>
      <c r="F898" s="2"/>
      <c r="G898" s="3"/>
      <c r="H898" s="3"/>
      <c r="I898" s="3"/>
      <c r="J898" s="2"/>
      <c r="K898" s="2"/>
      <c r="L898" s="2"/>
      <c r="M898" s="2"/>
      <c r="N898" s="2"/>
      <c r="O898" s="2"/>
      <c r="P898" s="2"/>
      <c r="Q898" s="2"/>
      <c r="R898" s="2"/>
      <c r="S898" s="2"/>
      <c r="T898" s="2"/>
      <c r="U898" s="2"/>
      <c r="V898" s="2"/>
      <c r="W898" s="2"/>
      <c r="X898" s="2"/>
      <c r="Y898" s="2"/>
      <c r="Z898" s="2"/>
    </row>
    <row r="899" spans="1:26" ht="14.25" customHeight="1" x14ac:dyDescent="0.3">
      <c r="A899" s="2"/>
      <c r="B899" s="2"/>
      <c r="C899" s="2"/>
      <c r="D899" s="2"/>
      <c r="E899" s="2"/>
      <c r="F899" s="2"/>
      <c r="G899" s="3"/>
      <c r="H899" s="3"/>
      <c r="I899" s="3"/>
      <c r="J899" s="2"/>
      <c r="K899" s="2"/>
      <c r="L899" s="2"/>
      <c r="M899" s="2"/>
      <c r="N899" s="2"/>
      <c r="O899" s="2"/>
      <c r="P899" s="2"/>
      <c r="Q899" s="2"/>
      <c r="R899" s="2"/>
      <c r="S899" s="2"/>
      <c r="T899" s="2"/>
      <c r="U899" s="2"/>
      <c r="V899" s="2"/>
      <c r="W899" s="2"/>
      <c r="X899" s="2"/>
      <c r="Y899" s="2"/>
      <c r="Z899" s="2"/>
    </row>
    <row r="900" spans="1:26" ht="14.25" customHeight="1" x14ac:dyDescent="0.3">
      <c r="A900" s="2"/>
      <c r="B900" s="2"/>
      <c r="C900" s="2"/>
      <c r="D900" s="2"/>
      <c r="E900" s="2"/>
      <c r="F900" s="2"/>
      <c r="G900" s="3"/>
      <c r="H900" s="3"/>
      <c r="I900" s="3"/>
      <c r="J900" s="2"/>
      <c r="K900" s="2"/>
      <c r="L900" s="2"/>
      <c r="M900" s="2"/>
      <c r="N900" s="2"/>
      <c r="O900" s="2"/>
      <c r="P900" s="2"/>
      <c r="Q900" s="2"/>
      <c r="R900" s="2"/>
      <c r="S900" s="2"/>
      <c r="T900" s="2"/>
      <c r="U900" s="2"/>
      <c r="V900" s="2"/>
      <c r="W900" s="2"/>
      <c r="X900" s="2"/>
      <c r="Y900" s="2"/>
      <c r="Z900" s="2"/>
    </row>
    <row r="901" spans="1:26" ht="14.25" customHeight="1" x14ac:dyDescent="0.3">
      <c r="A901" s="2"/>
      <c r="B901" s="2"/>
      <c r="C901" s="2"/>
      <c r="D901" s="2"/>
      <c r="E901" s="2"/>
      <c r="F901" s="2"/>
      <c r="G901" s="3"/>
      <c r="H901" s="3"/>
      <c r="I901" s="3"/>
      <c r="J901" s="2"/>
      <c r="K901" s="2"/>
      <c r="L901" s="2"/>
      <c r="M901" s="2"/>
      <c r="N901" s="2"/>
      <c r="O901" s="2"/>
      <c r="P901" s="2"/>
      <c r="Q901" s="2"/>
      <c r="R901" s="2"/>
      <c r="S901" s="2"/>
      <c r="T901" s="2"/>
      <c r="U901" s="2"/>
      <c r="V901" s="2"/>
      <c r="W901" s="2"/>
      <c r="X901" s="2"/>
      <c r="Y901" s="2"/>
      <c r="Z901" s="2"/>
    </row>
    <row r="902" spans="1:26" ht="14.25" customHeight="1" x14ac:dyDescent="0.3">
      <c r="A902" s="2"/>
      <c r="B902" s="2"/>
      <c r="C902" s="2"/>
      <c r="D902" s="2"/>
      <c r="E902" s="2"/>
      <c r="F902" s="2"/>
      <c r="G902" s="3"/>
      <c r="H902" s="3"/>
      <c r="I902" s="3"/>
      <c r="J902" s="2"/>
      <c r="K902" s="2"/>
      <c r="L902" s="2"/>
      <c r="M902" s="2"/>
      <c r="N902" s="2"/>
      <c r="O902" s="2"/>
      <c r="P902" s="2"/>
      <c r="Q902" s="2"/>
      <c r="R902" s="2"/>
      <c r="S902" s="2"/>
      <c r="T902" s="2"/>
      <c r="U902" s="2"/>
      <c r="V902" s="2"/>
      <c r="W902" s="2"/>
      <c r="X902" s="2"/>
      <c r="Y902" s="2"/>
      <c r="Z902" s="2"/>
    </row>
    <row r="903" spans="1:26" ht="14.25" customHeight="1" x14ac:dyDescent="0.3">
      <c r="A903" s="2"/>
      <c r="B903" s="2"/>
      <c r="C903" s="2"/>
      <c r="D903" s="2"/>
      <c r="E903" s="2"/>
      <c r="F903" s="2"/>
      <c r="G903" s="3"/>
      <c r="H903" s="3"/>
      <c r="I903" s="3"/>
      <c r="J903" s="2"/>
      <c r="K903" s="2"/>
      <c r="L903" s="2"/>
      <c r="M903" s="2"/>
      <c r="N903" s="2"/>
      <c r="O903" s="2"/>
      <c r="P903" s="2"/>
      <c r="Q903" s="2"/>
      <c r="R903" s="2"/>
      <c r="S903" s="2"/>
      <c r="T903" s="2"/>
      <c r="U903" s="2"/>
      <c r="V903" s="2"/>
      <c r="W903" s="2"/>
      <c r="X903" s="2"/>
      <c r="Y903" s="2"/>
      <c r="Z903" s="2"/>
    </row>
    <row r="904" spans="1:26" ht="14.25" customHeight="1" x14ac:dyDescent="0.3">
      <c r="A904" s="2"/>
      <c r="B904" s="2"/>
      <c r="C904" s="2"/>
      <c r="D904" s="2"/>
      <c r="E904" s="2"/>
      <c r="F904" s="2"/>
      <c r="G904" s="3"/>
      <c r="H904" s="3"/>
      <c r="I904" s="3"/>
      <c r="J904" s="2"/>
      <c r="K904" s="2"/>
      <c r="L904" s="2"/>
      <c r="M904" s="2"/>
      <c r="N904" s="2"/>
      <c r="O904" s="2"/>
      <c r="P904" s="2"/>
      <c r="Q904" s="2"/>
      <c r="R904" s="2"/>
      <c r="S904" s="2"/>
      <c r="T904" s="2"/>
      <c r="U904" s="2"/>
      <c r="V904" s="2"/>
      <c r="W904" s="2"/>
      <c r="X904" s="2"/>
      <c r="Y904" s="2"/>
      <c r="Z904" s="2"/>
    </row>
    <row r="905" spans="1:26" ht="14.25" customHeight="1" x14ac:dyDescent="0.3">
      <c r="A905" s="2"/>
      <c r="B905" s="2"/>
      <c r="C905" s="2"/>
      <c r="D905" s="2"/>
      <c r="E905" s="2"/>
      <c r="F905" s="2"/>
      <c r="G905" s="3"/>
      <c r="H905" s="3"/>
      <c r="I905" s="3"/>
      <c r="J905" s="2"/>
      <c r="K905" s="2"/>
      <c r="L905" s="2"/>
      <c r="M905" s="2"/>
      <c r="N905" s="2"/>
      <c r="O905" s="2"/>
      <c r="P905" s="2"/>
      <c r="Q905" s="2"/>
      <c r="R905" s="2"/>
      <c r="S905" s="2"/>
      <c r="T905" s="2"/>
      <c r="U905" s="2"/>
      <c r="V905" s="2"/>
      <c r="W905" s="2"/>
      <c r="X905" s="2"/>
      <c r="Y905" s="2"/>
      <c r="Z905" s="2"/>
    </row>
    <row r="906" spans="1:26" ht="14.25" customHeight="1" x14ac:dyDescent="0.3">
      <c r="A906" s="2"/>
      <c r="B906" s="2"/>
      <c r="C906" s="2"/>
      <c r="D906" s="2"/>
      <c r="E906" s="2"/>
      <c r="F906" s="2"/>
      <c r="G906" s="3"/>
      <c r="H906" s="3"/>
      <c r="I906" s="3"/>
      <c r="J906" s="2"/>
      <c r="K906" s="2"/>
      <c r="L906" s="2"/>
      <c r="M906" s="2"/>
      <c r="N906" s="2"/>
      <c r="O906" s="2"/>
      <c r="P906" s="2"/>
      <c r="Q906" s="2"/>
      <c r="R906" s="2"/>
      <c r="S906" s="2"/>
      <c r="T906" s="2"/>
      <c r="U906" s="2"/>
      <c r="V906" s="2"/>
      <c r="W906" s="2"/>
      <c r="X906" s="2"/>
      <c r="Y906" s="2"/>
      <c r="Z906" s="2"/>
    </row>
    <row r="907" spans="1:26" ht="14.25" customHeight="1" x14ac:dyDescent="0.3">
      <c r="A907" s="2"/>
      <c r="B907" s="2"/>
      <c r="C907" s="2"/>
      <c r="D907" s="2"/>
      <c r="E907" s="2"/>
      <c r="F907" s="2"/>
      <c r="G907" s="3"/>
      <c r="H907" s="3"/>
      <c r="I907" s="3"/>
      <c r="J907" s="2"/>
      <c r="K907" s="2"/>
      <c r="L907" s="2"/>
      <c r="M907" s="2"/>
      <c r="N907" s="2"/>
      <c r="O907" s="2"/>
      <c r="P907" s="2"/>
      <c r="Q907" s="2"/>
      <c r="R907" s="2"/>
      <c r="S907" s="2"/>
      <c r="T907" s="2"/>
      <c r="U907" s="2"/>
      <c r="V907" s="2"/>
      <c r="W907" s="2"/>
      <c r="X907" s="2"/>
      <c r="Y907" s="2"/>
      <c r="Z907" s="2"/>
    </row>
    <row r="908" spans="1:26" ht="14.25" customHeight="1" x14ac:dyDescent="0.3">
      <c r="A908" s="2"/>
      <c r="B908" s="2"/>
      <c r="C908" s="2"/>
      <c r="D908" s="2"/>
      <c r="E908" s="2"/>
      <c r="F908" s="2"/>
      <c r="G908" s="3"/>
      <c r="H908" s="3"/>
      <c r="I908" s="3"/>
      <c r="J908" s="2"/>
      <c r="K908" s="2"/>
      <c r="L908" s="2"/>
      <c r="M908" s="2"/>
      <c r="N908" s="2"/>
      <c r="O908" s="2"/>
      <c r="P908" s="2"/>
      <c r="Q908" s="2"/>
      <c r="R908" s="2"/>
      <c r="S908" s="2"/>
      <c r="T908" s="2"/>
      <c r="U908" s="2"/>
      <c r="V908" s="2"/>
      <c r="W908" s="2"/>
      <c r="X908" s="2"/>
      <c r="Y908" s="2"/>
      <c r="Z908" s="2"/>
    </row>
    <row r="909" spans="1:26" ht="14.25" customHeight="1" x14ac:dyDescent="0.3">
      <c r="A909" s="2"/>
      <c r="B909" s="2"/>
      <c r="C909" s="2"/>
      <c r="D909" s="2"/>
      <c r="E909" s="2"/>
      <c r="F909" s="2"/>
      <c r="G909" s="3"/>
      <c r="H909" s="3"/>
      <c r="I909" s="3"/>
      <c r="J909" s="2"/>
      <c r="K909" s="2"/>
      <c r="L909" s="2"/>
      <c r="M909" s="2"/>
      <c r="N909" s="2"/>
      <c r="O909" s="2"/>
      <c r="P909" s="2"/>
      <c r="Q909" s="2"/>
      <c r="R909" s="2"/>
      <c r="S909" s="2"/>
      <c r="T909" s="2"/>
      <c r="U909" s="2"/>
      <c r="V909" s="2"/>
      <c r="W909" s="2"/>
      <c r="X909" s="2"/>
      <c r="Y909" s="2"/>
      <c r="Z909" s="2"/>
    </row>
    <row r="910" spans="1:26" ht="14.25" customHeight="1" x14ac:dyDescent="0.3">
      <c r="A910" s="2"/>
      <c r="B910" s="2"/>
      <c r="C910" s="2"/>
      <c r="D910" s="2"/>
      <c r="E910" s="2"/>
      <c r="F910" s="2"/>
      <c r="G910" s="3"/>
      <c r="H910" s="3"/>
      <c r="I910" s="3"/>
      <c r="J910" s="2"/>
      <c r="K910" s="2"/>
      <c r="L910" s="2"/>
      <c r="M910" s="2"/>
      <c r="N910" s="2"/>
      <c r="O910" s="2"/>
      <c r="P910" s="2"/>
      <c r="Q910" s="2"/>
      <c r="R910" s="2"/>
      <c r="S910" s="2"/>
      <c r="T910" s="2"/>
      <c r="U910" s="2"/>
      <c r="V910" s="2"/>
      <c r="W910" s="2"/>
      <c r="X910" s="2"/>
      <c r="Y910" s="2"/>
      <c r="Z910" s="2"/>
    </row>
    <row r="911" spans="1:26" ht="14.25" customHeight="1" x14ac:dyDescent="0.3">
      <c r="A911" s="2"/>
      <c r="B911" s="2"/>
      <c r="C911" s="2"/>
      <c r="D911" s="2"/>
      <c r="E911" s="2"/>
      <c r="F911" s="2"/>
      <c r="G911" s="3"/>
      <c r="H911" s="3"/>
      <c r="I911" s="3"/>
      <c r="J911" s="2"/>
      <c r="K911" s="2"/>
      <c r="L911" s="2"/>
      <c r="M911" s="2"/>
      <c r="N911" s="2"/>
      <c r="O911" s="2"/>
      <c r="P911" s="2"/>
      <c r="Q911" s="2"/>
      <c r="R911" s="2"/>
      <c r="S911" s="2"/>
      <c r="T911" s="2"/>
      <c r="U911" s="2"/>
      <c r="V911" s="2"/>
      <c r="W911" s="2"/>
      <c r="X911" s="2"/>
      <c r="Y911" s="2"/>
      <c r="Z911" s="2"/>
    </row>
    <row r="912" spans="1:26" ht="14.25" customHeight="1" x14ac:dyDescent="0.3">
      <c r="A912" s="2"/>
      <c r="B912" s="2"/>
      <c r="C912" s="2"/>
      <c r="D912" s="2"/>
      <c r="E912" s="2"/>
      <c r="F912" s="2"/>
      <c r="G912" s="3"/>
      <c r="H912" s="3"/>
      <c r="I912" s="3"/>
      <c r="J912" s="2"/>
      <c r="K912" s="2"/>
      <c r="L912" s="2"/>
      <c r="M912" s="2"/>
      <c r="N912" s="2"/>
      <c r="O912" s="2"/>
      <c r="P912" s="2"/>
      <c r="Q912" s="2"/>
      <c r="R912" s="2"/>
      <c r="S912" s="2"/>
      <c r="T912" s="2"/>
      <c r="U912" s="2"/>
      <c r="V912" s="2"/>
      <c r="W912" s="2"/>
      <c r="X912" s="2"/>
      <c r="Y912" s="2"/>
      <c r="Z912" s="2"/>
    </row>
    <row r="913" spans="1:26" ht="14.25" customHeight="1" x14ac:dyDescent="0.3">
      <c r="A913" s="2"/>
      <c r="B913" s="2"/>
      <c r="C913" s="2"/>
      <c r="D913" s="2"/>
      <c r="E913" s="2"/>
      <c r="F913" s="2"/>
      <c r="G913" s="3"/>
      <c r="H913" s="3"/>
      <c r="I913" s="3"/>
      <c r="J913" s="2"/>
      <c r="K913" s="2"/>
      <c r="L913" s="2"/>
      <c r="M913" s="2"/>
      <c r="N913" s="2"/>
      <c r="O913" s="2"/>
      <c r="P913" s="2"/>
      <c r="Q913" s="2"/>
      <c r="R913" s="2"/>
      <c r="S913" s="2"/>
      <c r="T913" s="2"/>
      <c r="U913" s="2"/>
      <c r="V913" s="2"/>
      <c r="W913" s="2"/>
      <c r="X913" s="2"/>
      <c r="Y913" s="2"/>
      <c r="Z913" s="2"/>
    </row>
    <row r="914" spans="1:26" ht="14.25" customHeight="1" x14ac:dyDescent="0.3">
      <c r="A914" s="2"/>
      <c r="B914" s="2"/>
      <c r="C914" s="2"/>
      <c r="D914" s="2"/>
      <c r="E914" s="2"/>
      <c r="F914" s="2"/>
      <c r="G914" s="3"/>
      <c r="H914" s="3"/>
      <c r="I914" s="3"/>
      <c r="J914" s="2"/>
      <c r="K914" s="2"/>
      <c r="L914" s="2"/>
      <c r="M914" s="2"/>
      <c r="N914" s="2"/>
      <c r="O914" s="2"/>
      <c r="P914" s="2"/>
      <c r="Q914" s="2"/>
      <c r="R914" s="2"/>
      <c r="S914" s="2"/>
      <c r="T914" s="2"/>
      <c r="U914" s="2"/>
      <c r="V914" s="2"/>
      <c r="W914" s="2"/>
      <c r="X914" s="2"/>
      <c r="Y914" s="2"/>
      <c r="Z914" s="2"/>
    </row>
    <row r="915" spans="1:26" ht="14.25" customHeight="1" x14ac:dyDescent="0.3">
      <c r="A915" s="2"/>
      <c r="B915" s="2"/>
      <c r="C915" s="2"/>
      <c r="D915" s="2"/>
      <c r="E915" s="2"/>
      <c r="F915" s="2"/>
      <c r="G915" s="3"/>
      <c r="H915" s="3"/>
      <c r="I915" s="3"/>
      <c r="J915" s="2"/>
      <c r="K915" s="2"/>
      <c r="L915" s="2"/>
      <c r="M915" s="2"/>
      <c r="N915" s="2"/>
      <c r="O915" s="2"/>
      <c r="P915" s="2"/>
      <c r="Q915" s="2"/>
      <c r="R915" s="2"/>
      <c r="S915" s="2"/>
      <c r="T915" s="2"/>
      <c r="U915" s="2"/>
      <c r="V915" s="2"/>
      <c r="W915" s="2"/>
      <c r="X915" s="2"/>
      <c r="Y915" s="2"/>
      <c r="Z915" s="2"/>
    </row>
    <row r="916" spans="1:26" ht="14.25" customHeight="1" x14ac:dyDescent="0.3">
      <c r="A916" s="2"/>
      <c r="B916" s="2"/>
      <c r="C916" s="2"/>
      <c r="D916" s="2"/>
      <c r="E916" s="2"/>
      <c r="F916" s="2"/>
      <c r="G916" s="3"/>
      <c r="H916" s="3"/>
      <c r="I916" s="3"/>
      <c r="J916" s="2"/>
      <c r="K916" s="2"/>
      <c r="L916" s="2"/>
      <c r="M916" s="2"/>
      <c r="N916" s="2"/>
      <c r="O916" s="2"/>
      <c r="P916" s="2"/>
      <c r="Q916" s="2"/>
      <c r="R916" s="2"/>
      <c r="S916" s="2"/>
      <c r="T916" s="2"/>
      <c r="U916" s="2"/>
      <c r="V916" s="2"/>
      <c r="W916" s="2"/>
      <c r="X916" s="2"/>
      <c r="Y916" s="2"/>
      <c r="Z916" s="2"/>
    </row>
    <row r="917" spans="1:26" ht="14.25" customHeight="1" x14ac:dyDescent="0.3">
      <c r="A917" s="2"/>
      <c r="B917" s="2"/>
      <c r="C917" s="2"/>
      <c r="D917" s="2"/>
      <c r="E917" s="2"/>
      <c r="F917" s="2"/>
      <c r="G917" s="3"/>
      <c r="H917" s="3"/>
      <c r="I917" s="3"/>
      <c r="J917" s="2"/>
      <c r="K917" s="2"/>
      <c r="L917" s="2"/>
      <c r="M917" s="2"/>
      <c r="N917" s="2"/>
      <c r="O917" s="2"/>
      <c r="P917" s="2"/>
      <c r="Q917" s="2"/>
      <c r="R917" s="2"/>
      <c r="S917" s="2"/>
      <c r="T917" s="2"/>
      <c r="U917" s="2"/>
      <c r="V917" s="2"/>
      <c r="W917" s="2"/>
      <c r="X917" s="2"/>
      <c r="Y917" s="2"/>
      <c r="Z917" s="2"/>
    </row>
    <row r="918" spans="1:26" ht="14.25" customHeight="1" x14ac:dyDescent="0.3">
      <c r="A918" s="2"/>
      <c r="B918" s="2"/>
      <c r="C918" s="2"/>
      <c r="D918" s="2"/>
      <c r="E918" s="2"/>
      <c r="F918" s="2"/>
      <c r="G918" s="3"/>
      <c r="H918" s="3"/>
      <c r="I918" s="3"/>
      <c r="J918" s="2"/>
      <c r="K918" s="2"/>
      <c r="L918" s="2"/>
      <c r="M918" s="2"/>
      <c r="N918" s="2"/>
      <c r="O918" s="2"/>
      <c r="P918" s="2"/>
      <c r="Q918" s="2"/>
      <c r="R918" s="2"/>
      <c r="S918" s="2"/>
      <c r="T918" s="2"/>
      <c r="U918" s="2"/>
      <c r="V918" s="2"/>
      <c r="W918" s="2"/>
      <c r="X918" s="2"/>
      <c r="Y918" s="2"/>
      <c r="Z918" s="2"/>
    </row>
    <row r="919" spans="1:26" ht="14.25" customHeight="1" x14ac:dyDescent="0.3">
      <c r="A919" s="2"/>
      <c r="B919" s="2"/>
      <c r="C919" s="2"/>
      <c r="D919" s="2"/>
      <c r="E919" s="2"/>
      <c r="F919" s="2"/>
      <c r="G919" s="3"/>
      <c r="H919" s="3"/>
      <c r="I919" s="3"/>
      <c r="J919" s="2"/>
      <c r="K919" s="2"/>
      <c r="L919" s="2"/>
      <c r="M919" s="2"/>
      <c r="N919" s="2"/>
      <c r="O919" s="2"/>
      <c r="P919" s="2"/>
      <c r="Q919" s="2"/>
      <c r="R919" s="2"/>
      <c r="S919" s="2"/>
      <c r="T919" s="2"/>
      <c r="U919" s="2"/>
      <c r="V919" s="2"/>
      <c r="W919" s="2"/>
      <c r="X919" s="2"/>
      <c r="Y919" s="2"/>
      <c r="Z919" s="2"/>
    </row>
    <row r="920" spans="1:26" ht="14.25" customHeight="1" x14ac:dyDescent="0.3">
      <c r="A920" s="2"/>
      <c r="B920" s="2"/>
      <c r="C920" s="2"/>
      <c r="D920" s="2"/>
      <c r="E920" s="2"/>
      <c r="F920" s="2"/>
      <c r="G920" s="3"/>
      <c r="H920" s="3"/>
      <c r="I920" s="3"/>
      <c r="J920" s="2"/>
      <c r="K920" s="2"/>
      <c r="L920" s="2"/>
      <c r="M920" s="2"/>
      <c r="N920" s="2"/>
      <c r="O920" s="2"/>
      <c r="P920" s="2"/>
      <c r="Q920" s="2"/>
      <c r="R920" s="2"/>
      <c r="S920" s="2"/>
      <c r="T920" s="2"/>
      <c r="U920" s="2"/>
      <c r="V920" s="2"/>
      <c r="W920" s="2"/>
      <c r="X920" s="2"/>
      <c r="Y920" s="2"/>
      <c r="Z920" s="2"/>
    </row>
    <row r="921" spans="1:26" ht="14.25" customHeight="1" x14ac:dyDescent="0.3">
      <c r="A921" s="2"/>
      <c r="B921" s="2"/>
      <c r="C921" s="2"/>
      <c r="D921" s="2"/>
      <c r="E921" s="2"/>
      <c r="F921" s="2"/>
      <c r="G921" s="3"/>
      <c r="H921" s="3"/>
      <c r="I921" s="3"/>
      <c r="J921" s="2"/>
      <c r="K921" s="2"/>
      <c r="L921" s="2"/>
      <c r="M921" s="2"/>
      <c r="N921" s="2"/>
      <c r="O921" s="2"/>
      <c r="P921" s="2"/>
      <c r="Q921" s="2"/>
      <c r="R921" s="2"/>
      <c r="S921" s="2"/>
      <c r="T921" s="2"/>
      <c r="U921" s="2"/>
      <c r="V921" s="2"/>
      <c r="W921" s="2"/>
      <c r="X921" s="2"/>
      <c r="Y921" s="2"/>
      <c r="Z921" s="2"/>
    </row>
    <row r="922" spans="1:26" ht="14.25" customHeight="1" x14ac:dyDescent="0.3">
      <c r="A922" s="2"/>
      <c r="B922" s="2"/>
      <c r="C922" s="2"/>
      <c r="D922" s="2"/>
      <c r="E922" s="2"/>
      <c r="F922" s="2"/>
      <c r="G922" s="3"/>
      <c r="H922" s="3"/>
      <c r="I922" s="3"/>
      <c r="J922" s="2"/>
      <c r="K922" s="2"/>
      <c r="L922" s="2"/>
      <c r="M922" s="2"/>
      <c r="N922" s="2"/>
      <c r="O922" s="2"/>
      <c r="P922" s="2"/>
      <c r="Q922" s="2"/>
      <c r="R922" s="2"/>
      <c r="S922" s="2"/>
      <c r="T922" s="2"/>
      <c r="U922" s="2"/>
      <c r="V922" s="2"/>
      <c r="W922" s="2"/>
      <c r="X922" s="2"/>
      <c r="Y922" s="2"/>
      <c r="Z922" s="2"/>
    </row>
    <row r="923" spans="1:26" ht="14.25" customHeight="1" x14ac:dyDescent="0.3">
      <c r="A923" s="2"/>
      <c r="B923" s="2"/>
      <c r="C923" s="2"/>
      <c r="D923" s="2"/>
      <c r="E923" s="2"/>
      <c r="F923" s="2"/>
      <c r="G923" s="3"/>
      <c r="H923" s="3"/>
      <c r="I923" s="3"/>
      <c r="J923" s="2"/>
      <c r="K923" s="2"/>
      <c r="L923" s="2"/>
      <c r="M923" s="2"/>
      <c r="N923" s="2"/>
      <c r="O923" s="2"/>
      <c r="P923" s="2"/>
      <c r="Q923" s="2"/>
      <c r="R923" s="2"/>
      <c r="S923" s="2"/>
      <c r="T923" s="2"/>
      <c r="U923" s="2"/>
      <c r="V923" s="2"/>
      <c r="W923" s="2"/>
      <c r="X923" s="2"/>
      <c r="Y923" s="2"/>
      <c r="Z923" s="2"/>
    </row>
    <row r="924" spans="1:26" ht="14.25" customHeight="1" x14ac:dyDescent="0.3">
      <c r="A924" s="2"/>
      <c r="B924" s="2"/>
      <c r="C924" s="2"/>
      <c r="D924" s="2"/>
      <c r="E924" s="2"/>
      <c r="F924" s="2"/>
      <c r="G924" s="3"/>
      <c r="H924" s="3"/>
      <c r="I924" s="3"/>
      <c r="J924" s="2"/>
      <c r="K924" s="2"/>
      <c r="L924" s="2"/>
      <c r="M924" s="2"/>
      <c r="N924" s="2"/>
      <c r="O924" s="2"/>
      <c r="P924" s="2"/>
      <c r="Q924" s="2"/>
      <c r="R924" s="2"/>
      <c r="S924" s="2"/>
      <c r="T924" s="2"/>
      <c r="U924" s="2"/>
      <c r="V924" s="2"/>
      <c r="W924" s="2"/>
      <c r="X924" s="2"/>
      <c r="Y924" s="2"/>
      <c r="Z924" s="2"/>
    </row>
    <row r="925" spans="1:26" ht="14.25" customHeight="1" x14ac:dyDescent="0.3">
      <c r="A925" s="2"/>
      <c r="B925" s="2"/>
      <c r="C925" s="2"/>
      <c r="D925" s="2"/>
      <c r="E925" s="2"/>
      <c r="F925" s="2"/>
      <c r="G925" s="3"/>
      <c r="H925" s="3"/>
      <c r="I925" s="3"/>
      <c r="J925" s="2"/>
      <c r="K925" s="2"/>
      <c r="L925" s="2"/>
      <c r="M925" s="2"/>
      <c r="N925" s="2"/>
      <c r="O925" s="2"/>
      <c r="P925" s="2"/>
      <c r="Q925" s="2"/>
      <c r="R925" s="2"/>
      <c r="S925" s="2"/>
      <c r="T925" s="2"/>
      <c r="U925" s="2"/>
      <c r="V925" s="2"/>
      <c r="W925" s="2"/>
      <c r="X925" s="2"/>
      <c r="Y925" s="2"/>
      <c r="Z925" s="2"/>
    </row>
    <row r="926" spans="1:26" ht="14.25" customHeight="1" x14ac:dyDescent="0.3">
      <c r="A926" s="2"/>
      <c r="B926" s="2"/>
      <c r="C926" s="2"/>
      <c r="D926" s="2"/>
      <c r="E926" s="2"/>
      <c r="F926" s="2"/>
      <c r="G926" s="3"/>
      <c r="H926" s="3"/>
      <c r="I926" s="3"/>
      <c r="J926" s="2"/>
      <c r="K926" s="2"/>
      <c r="L926" s="2"/>
      <c r="M926" s="2"/>
      <c r="N926" s="2"/>
      <c r="O926" s="2"/>
      <c r="P926" s="2"/>
      <c r="Q926" s="2"/>
      <c r="R926" s="2"/>
      <c r="S926" s="2"/>
      <c r="T926" s="2"/>
      <c r="U926" s="2"/>
      <c r="V926" s="2"/>
      <c r="W926" s="2"/>
      <c r="X926" s="2"/>
      <c r="Y926" s="2"/>
      <c r="Z926" s="2"/>
    </row>
    <row r="927" spans="1:26" ht="14.25" customHeight="1" x14ac:dyDescent="0.3">
      <c r="A927" s="2"/>
      <c r="B927" s="2"/>
      <c r="C927" s="2"/>
      <c r="D927" s="2"/>
      <c r="E927" s="2"/>
      <c r="F927" s="2"/>
      <c r="G927" s="3"/>
      <c r="H927" s="3"/>
      <c r="I927" s="3"/>
      <c r="J927" s="2"/>
      <c r="K927" s="2"/>
      <c r="L927" s="2"/>
      <c r="M927" s="2"/>
      <c r="N927" s="2"/>
      <c r="O927" s="2"/>
      <c r="P927" s="2"/>
      <c r="Q927" s="2"/>
      <c r="R927" s="2"/>
      <c r="S927" s="2"/>
      <c r="T927" s="2"/>
      <c r="U927" s="2"/>
      <c r="V927" s="2"/>
      <c r="W927" s="2"/>
      <c r="X927" s="2"/>
      <c r="Y927" s="2"/>
      <c r="Z927" s="2"/>
    </row>
    <row r="928" spans="1:26" ht="14.25" customHeight="1" x14ac:dyDescent="0.3">
      <c r="A928" s="2"/>
      <c r="B928" s="2"/>
      <c r="C928" s="2"/>
      <c r="D928" s="2"/>
      <c r="E928" s="2"/>
      <c r="F928" s="2"/>
      <c r="G928" s="3"/>
      <c r="H928" s="3"/>
      <c r="I928" s="3"/>
      <c r="J928" s="2"/>
      <c r="K928" s="2"/>
      <c r="L928" s="2"/>
      <c r="M928" s="2"/>
      <c r="N928" s="2"/>
      <c r="O928" s="2"/>
      <c r="P928" s="2"/>
      <c r="Q928" s="2"/>
      <c r="R928" s="2"/>
      <c r="S928" s="2"/>
      <c r="T928" s="2"/>
      <c r="U928" s="2"/>
      <c r="V928" s="2"/>
      <c r="W928" s="2"/>
      <c r="X928" s="2"/>
      <c r="Y928" s="2"/>
      <c r="Z928" s="2"/>
    </row>
    <row r="929" spans="1:26" ht="14.25" customHeight="1" x14ac:dyDescent="0.3">
      <c r="A929" s="2"/>
      <c r="B929" s="2"/>
      <c r="C929" s="2"/>
      <c r="D929" s="2"/>
      <c r="E929" s="2"/>
      <c r="F929" s="2"/>
      <c r="G929" s="3"/>
      <c r="H929" s="3"/>
      <c r="I929" s="3"/>
      <c r="J929" s="2"/>
      <c r="K929" s="2"/>
      <c r="L929" s="2"/>
      <c r="M929" s="2"/>
      <c r="N929" s="2"/>
      <c r="O929" s="2"/>
      <c r="P929" s="2"/>
      <c r="Q929" s="2"/>
      <c r="R929" s="2"/>
      <c r="S929" s="2"/>
      <c r="T929" s="2"/>
      <c r="U929" s="2"/>
      <c r="V929" s="2"/>
      <c r="W929" s="2"/>
      <c r="X929" s="2"/>
      <c r="Y929" s="2"/>
      <c r="Z929" s="2"/>
    </row>
    <row r="930" spans="1:26" ht="14.25" customHeight="1" x14ac:dyDescent="0.3">
      <c r="A930" s="2"/>
      <c r="B930" s="2"/>
      <c r="C930" s="2"/>
      <c r="D930" s="2"/>
      <c r="E930" s="2"/>
      <c r="F930" s="2"/>
      <c r="G930" s="3"/>
      <c r="H930" s="3"/>
      <c r="I930" s="3"/>
      <c r="J930" s="2"/>
      <c r="K930" s="2"/>
      <c r="L930" s="2"/>
      <c r="M930" s="2"/>
      <c r="N930" s="2"/>
      <c r="O930" s="2"/>
      <c r="P930" s="2"/>
      <c r="Q930" s="2"/>
      <c r="R930" s="2"/>
      <c r="S930" s="2"/>
      <c r="T930" s="2"/>
      <c r="U930" s="2"/>
      <c r="V930" s="2"/>
      <c r="W930" s="2"/>
      <c r="X930" s="2"/>
      <c r="Y930" s="2"/>
      <c r="Z930" s="2"/>
    </row>
    <row r="931" spans="1:26" ht="14.25" customHeight="1" x14ac:dyDescent="0.3">
      <c r="A931" s="2"/>
      <c r="B931" s="2"/>
      <c r="C931" s="2"/>
      <c r="D931" s="2"/>
      <c r="E931" s="2"/>
      <c r="F931" s="2"/>
      <c r="G931" s="3"/>
      <c r="H931" s="3"/>
      <c r="I931" s="3"/>
      <c r="J931" s="2"/>
      <c r="K931" s="2"/>
      <c r="L931" s="2"/>
      <c r="M931" s="2"/>
      <c r="N931" s="2"/>
      <c r="O931" s="2"/>
      <c r="P931" s="2"/>
      <c r="Q931" s="2"/>
      <c r="R931" s="2"/>
      <c r="S931" s="2"/>
      <c r="T931" s="2"/>
      <c r="U931" s="2"/>
      <c r="V931" s="2"/>
      <c r="W931" s="2"/>
      <c r="X931" s="2"/>
      <c r="Y931" s="2"/>
      <c r="Z931" s="2"/>
    </row>
    <row r="932" spans="1:26" ht="14.25" customHeight="1" x14ac:dyDescent="0.3">
      <c r="A932" s="2"/>
      <c r="B932" s="2"/>
      <c r="C932" s="2"/>
      <c r="D932" s="2"/>
      <c r="E932" s="2"/>
      <c r="F932" s="2"/>
      <c r="G932" s="3"/>
      <c r="H932" s="3"/>
      <c r="I932" s="3"/>
      <c r="J932" s="2"/>
      <c r="K932" s="2"/>
      <c r="L932" s="2"/>
      <c r="M932" s="2"/>
      <c r="N932" s="2"/>
      <c r="O932" s="2"/>
      <c r="P932" s="2"/>
      <c r="Q932" s="2"/>
      <c r="R932" s="2"/>
      <c r="S932" s="2"/>
      <c r="T932" s="2"/>
      <c r="U932" s="2"/>
      <c r="V932" s="2"/>
      <c r="W932" s="2"/>
      <c r="X932" s="2"/>
      <c r="Y932" s="2"/>
      <c r="Z932" s="2"/>
    </row>
    <row r="933" spans="1:26" ht="14.25" customHeight="1" x14ac:dyDescent="0.3">
      <c r="A933" s="2"/>
      <c r="B933" s="2"/>
      <c r="C933" s="2"/>
      <c r="D933" s="2"/>
      <c r="E933" s="2"/>
      <c r="F933" s="2"/>
      <c r="G933" s="3"/>
      <c r="H933" s="3"/>
      <c r="I933" s="3"/>
      <c r="J933" s="2"/>
      <c r="K933" s="2"/>
      <c r="L933" s="2"/>
      <c r="M933" s="2"/>
      <c r="N933" s="2"/>
      <c r="O933" s="2"/>
      <c r="P933" s="2"/>
      <c r="Q933" s="2"/>
      <c r="R933" s="2"/>
      <c r="S933" s="2"/>
      <c r="T933" s="2"/>
      <c r="U933" s="2"/>
      <c r="V933" s="2"/>
      <c r="W933" s="2"/>
      <c r="X933" s="2"/>
      <c r="Y933" s="2"/>
      <c r="Z933" s="2"/>
    </row>
    <row r="934" spans="1:26" ht="14.25" customHeight="1" x14ac:dyDescent="0.3">
      <c r="A934" s="2"/>
      <c r="B934" s="2"/>
      <c r="C934" s="2"/>
      <c r="D934" s="2"/>
      <c r="E934" s="2"/>
      <c r="F934" s="2"/>
      <c r="G934" s="3"/>
      <c r="H934" s="3"/>
      <c r="I934" s="3"/>
      <c r="J934" s="2"/>
      <c r="K934" s="2"/>
      <c r="L934" s="2"/>
      <c r="M934" s="2"/>
      <c r="N934" s="2"/>
      <c r="O934" s="2"/>
      <c r="P934" s="2"/>
      <c r="Q934" s="2"/>
      <c r="R934" s="2"/>
      <c r="S934" s="2"/>
      <c r="T934" s="2"/>
      <c r="U934" s="2"/>
      <c r="V934" s="2"/>
      <c r="W934" s="2"/>
      <c r="X934" s="2"/>
      <c r="Y934" s="2"/>
      <c r="Z934" s="2"/>
    </row>
    <row r="935" spans="1:26" ht="14.25" customHeight="1" x14ac:dyDescent="0.3">
      <c r="A935" s="2"/>
      <c r="B935" s="2"/>
      <c r="C935" s="2"/>
      <c r="D935" s="2"/>
      <c r="E935" s="2"/>
      <c r="F935" s="2"/>
      <c r="G935" s="3"/>
      <c r="H935" s="3"/>
      <c r="I935" s="3"/>
      <c r="J935" s="2"/>
      <c r="K935" s="2"/>
      <c r="L935" s="2"/>
      <c r="M935" s="2"/>
      <c r="N935" s="2"/>
      <c r="O935" s="2"/>
      <c r="P935" s="2"/>
      <c r="Q935" s="2"/>
      <c r="R935" s="2"/>
      <c r="S935" s="2"/>
      <c r="T935" s="2"/>
      <c r="U935" s="2"/>
      <c r="V935" s="2"/>
      <c r="W935" s="2"/>
      <c r="X935" s="2"/>
      <c r="Y935" s="2"/>
      <c r="Z935" s="2"/>
    </row>
    <row r="936" spans="1:26" ht="14.25" customHeight="1" x14ac:dyDescent="0.3">
      <c r="A936" s="2"/>
      <c r="B936" s="2"/>
      <c r="C936" s="2"/>
      <c r="D936" s="2"/>
      <c r="E936" s="2"/>
      <c r="F936" s="2"/>
      <c r="G936" s="3"/>
      <c r="H936" s="3"/>
      <c r="I936" s="3"/>
      <c r="J936" s="2"/>
      <c r="K936" s="2"/>
      <c r="L936" s="2"/>
      <c r="M936" s="2"/>
      <c r="N936" s="2"/>
      <c r="O936" s="2"/>
      <c r="P936" s="2"/>
      <c r="Q936" s="2"/>
      <c r="R936" s="2"/>
      <c r="S936" s="2"/>
      <c r="T936" s="2"/>
      <c r="U936" s="2"/>
      <c r="V936" s="2"/>
      <c r="W936" s="2"/>
      <c r="X936" s="2"/>
      <c r="Y936" s="2"/>
      <c r="Z936" s="2"/>
    </row>
    <row r="937" spans="1:26" ht="14.25" customHeight="1" x14ac:dyDescent="0.3">
      <c r="A937" s="2"/>
      <c r="B937" s="2"/>
      <c r="C937" s="2"/>
      <c r="D937" s="2"/>
      <c r="E937" s="2"/>
      <c r="F937" s="2"/>
      <c r="G937" s="3"/>
      <c r="H937" s="3"/>
      <c r="I937" s="3"/>
      <c r="J937" s="2"/>
      <c r="K937" s="2"/>
      <c r="L937" s="2"/>
      <c r="M937" s="2"/>
      <c r="N937" s="2"/>
      <c r="O937" s="2"/>
      <c r="P937" s="2"/>
      <c r="Q937" s="2"/>
      <c r="R937" s="2"/>
      <c r="S937" s="2"/>
      <c r="T937" s="2"/>
      <c r="U937" s="2"/>
      <c r="V937" s="2"/>
      <c r="W937" s="2"/>
      <c r="X937" s="2"/>
      <c r="Y937" s="2"/>
      <c r="Z937" s="2"/>
    </row>
    <row r="938" spans="1:26" ht="14.25" customHeight="1" x14ac:dyDescent="0.3">
      <c r="A938" s="2"/>
      <c r="B938" s="2"/>
      <c r="C938" s="2"/>
      <c r="D938" s="2"/>
      <c r="E938" s="2"/>
      <c r="F938" s="2"/>
      <c r="G938" s="3"/>
      <c r="H938" s="3"/>
      <c r="I938" s="3"/>
      <c r="J938" s="2"/>
      <c r="K938" s="2"/>
      <c r="L938" s="2"/>
      <c r="M938" s="2"/>
      <c r="N938" s="2"/>
      <c r="O938" s="2"/>
      <c r="P938" s="2"/>
      <c r="Q938" s="2"/>
      <c r="R938" s="2"/>
      <c r="S938" s="2"/>
      <c r="T938" s="2"/>
      <c r="U938" s="2"/>
      <c r="V938" s="2"/>
      <c r="W938" s="2"/>
      <c r="X938" s="2"/>
      <c r="Y938" s="2"/>
      <c r="Z938" s="2"/>
    </row>
    <row r="939" spans="1:26" ht="14.25" customHeight="1" x14ac:dyDescent="0.3">
      <c r="A939" s="2"/>
      <c r="B939" s="2"/>
      <c r="C939" s="2"/>
      <c r="D939" s="2"/>
      <c r="E939" s="2"/>
      <c r="F939" s="2"/>
      <c r="G939" s="3"/>
      <c r="H939" s="3"/>
      <c r="I939" s="3"/>
      <c r="J939" s="2"/>
      <c r="K939" s="2"/>
      <c r="L939" s="2"/>
      <c r="M939" s="2"/>
      <c r="N939" s="2"/>
      <c r="O939" s="2"/>
      <c r="P939" s="2"/>
      <c r="Q939" s="2"/>
      <c r="R939" s="2"/>
      <c r="S939" s="2"/>
      <c r="T939" s="2"/>
      <c r="U939" s="2"/>
      <c r="V939" s="2"/>
      <c r="W939" s="2"/>
      <c r="X939" s="2"/>
      <c r="Y939" s="2"/>
      <c r="Z939" s="2"/>
    </row>
    <row r="940" spans="1:26" ht="14.25" customHeight="1" x14ac:dyDescent="0.3">
      <c r="A940" s="2"/>
      <c r="B940" s="2"/>
      <c r="C940" s="2"/>
      <c r="D940" s="2"/>
      <c r="E940" s="2"/>
      <c r="F940" s="2"/>
      <c r="G940" s="3"/>
      <c r="H940" s="3"/>
      <c r="I940" s="3"/>
      <c r="J940" s="2"/>
      <c r="K940" s="2"/>
      <c r="L940" s="2"/>
      <c r="M940" s="2"/>
      <c r="N940" s="2"/>
      <c r="O940" s="2"/>
      <c r="P940" s="2"/>
      <c r="Q940" s="2"/>
      <c r="R940" s="2"/>
      <c r="S940" s="2"/>
      <c r="T940" s="2"/>
      <c r="U940" s="2"/>
      <c r="V940" s="2"/>
      <c r="W940" s="2"/>
      <c r="X940" s="2"/>
      <c r="Y940" s="2"/>
      <c r="Z940" s="2"/>
    </row>
    <row r="941" spans="1:26" ht="14.25" customHeight="1" x14ac:dyDescent="0.3">
      <c r="A941" s="2"/>
      <c r="B941" s="2"/>
      <c r="C941" s="2"/>
      <c r="D941" s="2"/>
      <c r="E941" s="2"/>
      <c r="F941" s="2"/>
      <c r="G941" s="3"/>
      <c r="H941" s="3"/>
      <c r="I941" s="3"/>
      <c r="J941" s="2"/>
      <c r="K941" s="2"/>
      <c r="L941" s="2"/>
      <c r="M941" s="2"/>
      <c r="N941" s="2"/>
      <c r="O941" s="2"/>
      <c r="P941" s="2"/>
      <c r="Q941" s="2"/>
      <c r="R941" s="2"/>
      <c r="S941" s="2"/>
      <c r="T941" s="2"/>
      <c r="U941" s="2"/>
      <c r="V941" s="2"/>
      <c r="W941" s="2"/>
      <c r="X941" s="2"/>
      <c r="Y941" s="2"/>
      <c r="Z941" s="2"/>
    </row>
    <row r="942" spans="1:26" ht="14.25" customHeight="1" x14ac:dyDescent="0.3">
      <c r="A942" s="2"/>
      <c r="B942" s="2"/>
      <c r="C942" s="2"/>
      <c r="D942" s="2"/>
      <c r="E942" s="2"/>
      <c r="F942" s="2"/>
      <c r="G942" s="3"/>
      <c r="H942" s="3"/>
      <c r="I942" s="3"/>
      <c r="J942" s="2"/>
      <c r="K942" s="2"/>
      <c r="L942" s="2"/>
      <c r="M942" s="2"/>
      <c r="N942" s="2"/>
      <c r="O942" s="2"/>
      <c r="P942" s="2"/>
      <c r="Q942" s="2"/>
      <c r="R942" s="2"/>
      <c r="S942" s="2"/>
      <c r="T942" s="2"/>
      <c r="U942" s="2"/>
      <c r="V942" s="2"/>
      <c r="W942" s="2"/>
      <c r="X942" s="2"/>
      <c r="Y942" s="2"/>
      <c r="Z942" s="2"/>
    </row>
    <row r="943" spans="1:26" ht="14.25" customHeight="1" x14ac:dyDescent="0.3">
      <c r="A943" s="2"/>
      <c r="B943" s="2"/>
      <c r="C943" s="2"/>
      <c r="D943" s="2"/>
      <c r="E943" s="2"/>
      <c r="F943" s="2"/>
      <c r="G943" s="3"/>
      <c r="H943" s="3"/>
      <c r="I943" s="3"/>
      <c r="J943" s="2"/>
      <c r="K943" s="2"/>
      <c r="L943" s="2"/>
      <c r="M943" s="2"/>
      <c r="N943" s="2"/>
      <c r="O943" s="2"/>
      <c r="P943" s="2"/>
      <c r="Q943" s="2"/>
      <c r="R943" s="2"/>
      <c r="S943" s="2"/>
      <c r="T943" s="2"/>
      <c r="U943" s="2"/>
      <c r="V943" s="2"/>
      <c r="W943" s="2"/>
      <c r="X943" s="2"/>
      <c r="Y943" s="2"/>
      <c r="Z943" s="2"/>
    </row>
    <row r="944" spans="1:26" ht="14.25" customHeight="1" x14ac:dyDescent="0.3">
      <c r="A944" s="2"/>
      <c r="B944" s="2"/>
      <c r="C944" s="2"/>
      <c r="D944" s="2"/>
      <c r="E944" s="2"/>
      <c r="F944" s="2"/>
      <c r="G944" s="3"/>
      <c r="H944" s="3"/>
      <c r="I944" s="3"/>
      <c r="J944" s="2"/>
      <c r="K944" s="2"/>
      <c r="L944" s="2"/>
      <c r="M944" s="2"/>
      <c r="N944" s="2"/>
      <c r="O944" s="2"/>
      <c r="P944" s="2"/>
      <c r="Q944" s="2"/>
      <c r="R944" s="2"/>
      <c r="S944" s="2"/>
      <c r="T944" s="2"/>
      <c r="U944" s="2"/>
      <c r="V944" s="2"/>
      <c r="W944" s="2"/>
      <c r="X944" s="2"/>
      <c r="Y944" s="2"/>
      <c r="Z944" s="2"/>
    </row>
    <row r="945" spans="1:26" ht="14.25" customHeight="1" x14ac:dyDescent="0.3">
      <c r="A945" s="2"/>
      <c r="B945" s="2"/>
      <c r="C945" s="2"/>
      <c r="D945" s="2"/>
      <c r="E945" s="2"/>
      <c r="F945" s="2"/>
      <c r="G945" s="3"/>
      <c r="H945" s="3"/>
      <c r="I945" s="3"/>
      <c r="J945" s="2"/>
      <c r="K945" s="2"/>
      <c r="L945" s="2"/>
      <c r="M945" s="2"/>
      <c r="N945" s="2"/>
      <c r="O945" s="2"/>
      <c r="P945" s="2"/>
      <c r="Q945" s="2"/>
      <c r="R945" s="2"/>
      <c r="S945" s="2"/>
      <c r="T945" s="2"/>
      <c r="U945" s="2"/>
      <c r="V945" s="2"/>
      <c r="W945" s="2"/>
      <c r="X945" s="2"/>
      <c r="Y945" s="2"/>
      <c r="Z945" s="2"/>
    </row>
    <row r="946" spans="1:26" ht="14.25" customHeight="1" x14ac:dyDescent="0.3">
      <c r="A946" s="2"/>
      <c r="B946" s="2"/>
      <c r="C946" s="2"/>
      <c r="D946" s="2"/>
      <c r="E946" s="2"/>
      <c r="F946" s="2"/>
      <c r="G946" s="3"/>
      <c r="H946" s="3"/>
      <c r="I946" s="3"/>
      <c r="J946" s="2"/>
      <c r="K946" s="2"/>
      <c r="L946" s="2"/>
      <c r="M946" s="2"/>
      <c r="N946" s="2"/>
      <c r="O946" s="2"/>
      <c r="P946" s="2"/>
      <c r="Q946" s="2"/>
      <c r="R946" s="2"/>
      <c r="S946" s="2"/>
      <c r="T946" s="2"/>
      <c r="U946" s="2"/>
      <c r="V946" s="2"/>
      <c r="W946" s="2"/>
      <c r="X946" s="2"/>
      <c r="Y946" s="2"/>
      <c r="Z946" s="2"/>
    </row>
    <row r="947" spans="1:26" ht="14.25" customHeight="1" x14ac:dyDescent="0.3">
      <c r="A947" s="2"/>
      <c r="B947" s="2"/>
      <c r="C947" s="2"/>
      <c r="D947" s="2"/>
      <c r="E947" s="2"/>
      <c r="F947" s="2"/>
      <c r="G947" s="3"/>
      <c r="H947" s="3"/>
      <c r="I947" s="3"/>
      <c r="J947" s="2"/>
      <c r="K947" s="2"/>
      <c r="L947" s="2"/>
      <c r="M947" s="2"/>
      <c r="N947" s="2"/>
      <c r="O947" s="2"/>
      <c r="P947" s="2"/>
      <c r="Q947" s="2"/>
      <c r="R947" s="2"/>
      <c r="S947" s="2"/>
      <c r="T947" s="2"/>
      <c r="U947" s="2"/>
      <c r="V947" s="2"/>
      <c r="W947" s="2"/>
      <c r="X947" s="2"/>
      <c r="Y947" s="2"/>
      <c r="Z947" s="2"/>
    </row>
    <row r="948" spans="1:26" ht="14.25" customHeight="1" x14ac:dyDescent="0.3">
      <c r="A948" s="2"/>
      <c r="B948" s="2"/>
      <c r="C948" s="2"/>
      <c r="D948" s="2"/>
      <c r="E948" s="2"/>
      <c r="F948" s="2"/>
      <c r="G948" s="3"/>
      <c r="H948" s="3"/>
      <c r="I948" s="3"/>
      <c r="J948" s="2"/>
      <c r="K948" s="2"/>
      <c r="L948" s="2"/>
      <c r="M948" s="2"/>
      <c r="N948" s="2"/>
      <c r="O948" s="2"/>
      <c r="P948" s="2"/>
      <c r="Q948" s="2"/>
      <c r="R948" s="2"/>
      <c r="S948" s="2"/>
      <c r="T948" s="2"/>
      <c r="U948" s="2"/>
      <c r="V948" s="2"/>
      <c r="W948" s="2"/>
      <c r="X948" s="2"/>
      <c r="Y948" s="2"/>
      <c r="Z948" s="2"/>
    </row>
    <row r="949" spans="1:26" ht="14.25" customHeight="1" x14ac:dyDescent="0.3">
      <c r="A949" s="2"/>
      <c r="B949" s="2"/>
      <c r="C949" s="2"/>
      <c r="D949" s="2"/>
      <c r="E949" s="2"/>
      <c r="F949" s="2"/>
      <c r="G949" s="3"/>
      <c r="H949" s="3"/>
      <c r="I949" s="3"/>
      <c r="J949" s="2"/>
      <c r="K949" s="2"/>
      <c r="L949" s="2"/>
      <c r="M949" s="2"/>
      <c r="N949" s="2"/>
      <c r="O949" s="2"/>
      <c r="P949" s="2"/>
      <c r="Q949" s="2"/>
      <c r="R949" s="2"/>
      <c r="S949" s="2"/>
      <c r="T949" s="2"/>
      <c r="U949" s="2"/>
      <c r="V949" s="2"/>
      <c r="W949" s="2"/>
      <c r="X949" s="2"/>
      <c r="Y949" s="2"/>
      <c r="Z949" s="2"/>
    </row>
    <row r="950" spans="1:26" ht="14.25" customHeight="1" x14ac:dyDescent="0.3">
      <c r="A950" s="2"/>
      <c r="B950" s="2"/>
      <c r="C950" s="2"/>
      <c r="D950" s="2"/>
      <c r="E950" s="2"/>
      <c r="F950" s="2"/>
      <c r="G950" s="3"/>
      <c r="H950" s="3"/>
      <c r="I950" s="3"/>
      <c r="J950" s="2"/>
      <c r="K950" s="2"/>
      <c r="L950" s="2"/>
      <c r="M950" s="2"/>
      <c r="N950" s="2"/>
      <c r="O950" s="2"/>
      <c r="P950" s="2"/>
      <c r="Q950" s="2"/>
      <c r="R950" s="2"/>
      <c r="S950" s="2"/>
      <c r="T950" s="2"/>
      <c r="U950" s="2"/>
      <c r="V950" s="2"/>
      <c r="W950" s="2"/>
      <c r="X950" s="2"/>
      <c r="Y950" s="2"/>
      <c r="Z950" s="2"/>
    </row>
    <row r="951" spans="1:26" ht="14.25" customHeight="1" x14ac:dyDescent="0.3">
      <c r="A951" s="2"/>
      <c r="B951" s="2"/>
      <c r="C951" s="2"/>
      <c r="D951" s="2"/>
      <c r="E951" s="2"/>
      <c r="F951" s="2"/>
      <c r="G951" s="3"/>
      <c r="H951" s="3"/>
      <c r="I951" s="3"/>
      <c r="J951" s="2"/>
      <c r="K951" s="2"/>
      <c r="L951" s="2"/>
      <c r="M951" s="2"/>
      <c r="N951" s="2"/>
      <c r="O951" s="2"/>
      <c r="P951" s="2"/>
      <c r="Q951" s="2"/>
      <c r="R951" s="2"/>
      <c r="S951" s="2"/>
      <c r="T951" s="2"/>
      <c r="U951" s="2"/>
      <c r="V951" s="2"/>
      <c r="W951" s="2"/>
      <c r="X951" s="2"/>
      <c r="Y951" s="2"/>
      <c r="Z951" s="2"/>
    </row>
    <row r="952" spans="1:26" ht="14.25" customHeight="1" x14ac:dyDescent="0.3">
      <c r="A952" s="2"/>
      <c r="B952" s="2"/>
      <c r="C952" s="2"/>
      <c r="D952" s="2"/>
      <c r="E952" s="2"/>
      <c r="F952" s="2"/>
      <c r="G952" s="3"/>
      <c r="H952" s="3"/>
      <c r="I952" s="3"/>
      <c r="J952" s="2"/>
      <c r="K952" s="2"/>
      <c r="L952" s="2"/>
      <c r="M952" s="2"/>
      <c r="N952" s="2"/>
      <c r="O952" s="2"/>
      <c r="P952" s="2"/>
      <c r="Q952" s="2"/>
      <c r="R952" s="2"/>
      <c r="S952" s="2"/>
      <c r="T952" s="2"/>
      <c r="U952" s="2"/>
      <c r="V952" s="2"/>
      <c r="W952" s="2"/>
      <c r="X952" s="2"/>
      <c r="Y952" s="2"/>
      <c r="Z952" s="2"/>
    </row>
    <row r="953" spans="1:26" ht="14.25" customHeight="1" x14ac:dyDescent="0.3">
      <c r="A953" s="2"/>
      <c r="B953" s="2"/>
      <c r="C953" s="2"/>
      <c r="D953" s="2"/>
      <c r="E953" s="2"/>
      <c r="F953" s="2"/>
      <c r="G953" s="3"/>
      <c r="H953" s="3"/>
      <c r="I953" s="3"/>
      <c r="J953" s="2"/>
      <c r="K953" s="2"/>
      <c r="L953" s="2"/>
      <c r="M953" s="2"/>
      <c r="N953" s="2"/>
      <c r="O953" s="2"/>
      <c r="P953" s="2"/>
      <c r="Q953" s="2"/>
      <c r="R953" s="2"/>
      <c r="S953" s="2"/>
      <c r="T953" s="2"/>
      <c r="U953" s="2"/>
      <c r="V953" s="2"/>
      <c r="W953" s="2"/>
      <c r="X953" s="2"/>
      <c r="Y953" s="2"/>
      <c r="Z953" s="2"/>
    </row>
    <row r="954" spans="1:26" ht="14.25" customHeight="1" x14ac:dyDescent="0.3">
      <c r="A954" s="2"/>
      <c r="B954" s="2"/>
      <c r="C954" s="2"/>
      <c r="D954" s="2"/>
      <c r="E954" s="2"/>
      <c r="F954" s="2"/>
      <c r="G954" s="3"/>
      <c r="H954" s="3"/>
      <c r="I954" s="3"/>
      <c r="J954" s="2"/>
      <c r="K954" s="2"/>
      <c r="L954" s="2"/>
      <c r="M954" s="2"/>
      <c r="N954" s="2"/>
      <c r="O954" s="2"/>
      <c r="P954" s="2"/>
      <c r="Q954" s="2"/>
      <c r="R954" s="2"/>
      <c r="S954" s="2"/>
      <c r="T954" s="2"/>
      <c r="U954" s="2"/>
      <c r="V954" s="2"/>
      <c r="W954" s="2"/>
      <c r="X954" s="2"/>
      <c r="Y954" s="2"/>
      <c r="Z954" s="2"/>
    </row>
    <row r="955" spans="1:26" ht="14.25" customHeight="1" x14ac:dyDescent="0.3">
      <c r="A955" s="2"/>
      <c r="B955" s="2"/>
      <c r="C955" s="2"/>
      <c r="D955" s="2"/>
      <c r="E955" s="2"/>
      <c r="F955" s="2"/>
      <c r="G955" s="3"/>
      <c r="H955" s="3"/>
      <c r="I955" s="3"/>
      <c r="J955" s="2"/>
      <c r="K955" s="2"/>
      <c r="L955" s="2"/>
      <c r="M955" s="2"/>
      <c r="N955" s="2"/>
      <c r="O955" s="2"/>
      <c r="P955" s="2"/>
      <c r="Q955" s="2"/>
      <c r="R955" s="2"/>
      <c r="S955" s="2"/>
      <c r="T955" s="2"/>
      <c r="U955" s="2"/>
      <c r="V955" s="2"/>
      <c r="W955" s="2"/>
      <c r="X955" s="2"/>
      <c r="Y955" s="2"/>
      <c r="Z955" s="2"/>
    </row>
    <row r="956" spans="1:26" ht="14.25" customHeight="1" x14ac:dyDescent="0.3">
      <c r="A956" s="2"/>
      <c r="B956" s="2"/>
      <c r="C956" s="2"/>
      <c r="D956" s="2"/>
      <c r="E956" s="2"/>
      <c r="F956" s="2"/>
      <c r="G956" s="3"/>
      <c r="H956" s="3"/>
      <c r="I956" s="3"/>
      <c r="J956" s="2"/>
      <c r="K956" s="2"/>
      <c r="L956" s="2"/>
      <c r="M956" s="2"/>
      <c r="N956" s="2"/>
      <c r="O956" s="2"/>
      <c r="P956" s="2"/>
      <c r="Q956" s="2"/>
      <c r="R956" s="2"/>
      <c r="S956" s="2"/>
      <c r="T956" s="2"/>
      <c r="U956" s="2"/>
      <c r="V956" s="2"/>
      <c r="W956" s="2"/>
      <c r="X956" s="2"/>
      <c r="Y956" s="2"/>
      <c r="Z956" s="2"/>
    </row>
    <row r="957" spans="1:26" ht="14.25" customHeight="1" x14ac:dyDescent="0.3">
      <c r="A957" s="2"/>
      <c r="B957" s="2"/>
      <c r="C957" s="2"/>
      <c r="D957" s="2"/>
      <c r="E957" s="2"/>
      <c r="F957" s="2"/>
      <c r="G957" s="3"/>
      <c r="H957" s="3"/>
      <c r="I957" s="3"/>
      <c r="J957" s="2"/>
      <c r="K957" s="2"/>
      <c r="L957" s="2"/>
      <c r="M957" s="2"/>
      <c r="N957" s="2"/>
      <c r="O957" s="2"/>
      <c r="P957" s="2"/>
      <c r="Q957" s="2"/>
      <c r="R957" s="2"/>
      <c r="S957" s="2"/>
      <c r="T957" s="2"/>
      <c r="U957" s="2"/>
      <c r="V957" s="2"/>
      <c r="W957" s="2"/>
      <c r="X957" s="2"/>
      <c r="Y957" s="2"/>
      <c r="Z957" s="2"/>
    </row>
    <row r="958" spans="1:26" ht="14.25" customHeight="1" x14ac:dyDescent="0.3">
      <c r="A958" s="2"/>
      <c r="B958" s="2"/>
      <c r="C958" s="2"/>
      <c r="D958" s="2"/>
      <c r="E958" s="2"/>
      <c r="F958" s="2"/>
      <c r="G958" s="3"/>
      <c r="H958" s="3"/>
      <c r="I958" s="3"/>
      <c r="J958" s="2"/>
      <c r="K958" s="2"/>
      <c r="L958" s="2"/>
      <c r="M958" s="2"/>
      <c r="N958" s="2"/>
      <c r="O958" s="2"/>
      <c r="P958" s="2"/>
      <c r="Q958" s="2"/>
      <c r="R958" s="2"/>
      <c r="S958" s="2"/>
      <c r="T958" s="2"/>
      <c r="U958" s="2"/>
      <c r="V958" s="2"/>
      <c r="W958" s="2"/>
      <c r="X958" s="2"/>
      <c r="Y958" s="2"/>
      <c r="Z958" s="2"/>
    </row>
    <row r="959" spans="1:26" ht="14.25" customHeight="1" x14ac:dyDescent="0.3">
      <c r="A959" s="2"/>
      <c r="B959" s="2"/>
      <c r="C959" s="2"/>
      <c r="D959" s="2"/>
      <c r="E959" s="2"/>
      <c r="F959" s="2"/>
      <c r="G959" s="3"/>
      <c r="H959" s="3"/>
      <c r="I959" s="3"/>
      <c r="J959" s="2"/>
      <c r="K959" s="2"/>
      <c r="L959" s="2"/>
      <c r="M959" s="2"/>
      <c r="N959" s="2"/>
      <c r="O959" s="2"/>
      <c r="P959" s="2"/>
      <c r="Q959" s="2"/>
      <c r="R959" s="2"/>
      <c r="S959" s="2"/>
      <c r="T959" s="2"/>
      <c r="U959" s="2"/>
      <c r="V959" s="2"/>
      <c r="W959" s="2"/>
      <c r="X959" s="2"/>
      <c r="Y959" s="2"/>
      <c r="Z959" s="2"/>
    </row>
    <row r="960" spans="1:26" ht="14.25" customHeight="1" x14ac:dyDescent="0.3">
      <c r="A960" s="2"/>
      <c r="B960" s="2"/>
      <c r="C960" s="2"/>
      <c r="D960" s="2"/>
      <c r="E960" s="2"/>
      <c r="F960" s="2"/>
      <c r="G960" s="3"/>
      <c r="H960" s="3"/>
      <c r="I960" s="3"/>
      <c r="J960" s="2"/>
      <c r="K960" s="2"/>
      <c r="L960" s="2"/>
      <c r="M960" s="2"/>
      <c r="N960" s="2"/>
      <c r="O960" s="2"/>
      <c r="P960" s="2"/>
      <c r="Q960" s="2"/>
      <c r="R960" s="2"/>
      <c r="S960" s="2"/>
      <c r="T960" s="2"/>
      <c r="U960" s="2"/>
      <c r="V960" s="2"/>
      <c r="W960" s="2"/>
      <c r="X960" s="2"/>
      <c r="Y960" s="2"/>
      <c r="Z960" s="2"/>
    </row>
    <row r="961" spans="1:26" ht="14.25" customHeight="1" x14ac:dyDescent="0.3">
      <c r="A961" s="2"/>
      <c r="B961" s="2"/>
      <c r="C961" s="2"/>
      <c r="D961" s="2"/>
      <c r="E961" s="2"/>
      <c r="F961" s="2"/>
      <c r="G961" s="3"/>
      <c r="H961" s="3"/>
      <c r="I961" s="3"/>
      <c r="J961" s="2"/>
      <c r="K961" s="2"/>
      <c r="L961" s="2"/>
      <c r="M961" s="2"/>
      <c r="N961" s="2"/>
      <c r="O961" s="2"/>
      <c r="P961" s="2"/>
      <c r="Q961" s="2"/>
      <c r="R961" s="2"/>
      <c r="S961" s="2"/>
      <c r="T961" s="2"/>
      <c r="U961" s="2"/>
      <c r="V961" s="2"/>
      <c r="W961" s="2"/>
      <c r="X961" s="2"/>
      <c r="Y961" s="2"/>
      <c r="Z961" s="2"/>
    </row>
    <row r="962" spans="1:26" ht="14.25" customHeight="1" x14ac:dyDescent="0.3">
      <c r="A962" s="2"/>
      <c r="B962" s="2"/>
      <c r="C962" s="2"/>
      <c r="D962" s="2"/>
      <c r="E962" s="2"/>
      <c r="F962" s="2"/>
      <c r="G962" s="3"/>
      <c r="H962" s="3"/>
      <c r="I962" s="3"/>
      <c r="J962" s="2"/>
      <c r="K962" s="2"/>
      <c r="L962" s="2"/>
      <c r="M962" s="2"/>
      <c r="N962" s="2"/>
      <c r="O962" s="2"/>
      <c r="P962" s="2"/>
      <c r="Q962" s="2"/>
      <c r="R962" s="2"/>
      <c r="S962" s="2"/>
      <c r="T962" s="2"/>
      <c r="U962" s="2"/>
      <c r="V962" s="2"/>
      <c r="W962" s="2"/>
      <c r="X962" s="2"/>
      <c r="Y962" s="2"/>
      <c r="Z962" s="2"/>
    </row>
    <row r="963" spans="1:26" ht="14.25" customHeight="1" x14ac:dyDescent="0.3">
      <c r="A963" s="2"/>
      <c r="B963" s="2"/>
      <c r="C963" s="2"/>
      <c r="D963" s="2"/>
      <c r="E963" s="2"/>
      <c r="F963" s="2"/>
      <c r="G963" s="3"/>
      <c r="H963" s="3"/>
      <c r="I963" s="3"/>
      <c r="J963" s="2"/>
      <c r="K963" s="2"/>
      <c r="L963" s="2"/>
      <c r="M963" s="2"/>
      <c r="N963" s="2"/>
      <c r="O963" s="2"/>
      <c r="P963" s="2"/>
      <c r="Q963" s="2"/>
      <c r="R963" s="2"/>
      <c r="S963" s="2"/>
      <c r="T963" s="2"/>
      <c r="U963" s="2"/>
      <c r="V963" s="2"/>
      <c r="W963" s="2"/>
      <c r="X963" s="2"/>
      <c r="Y963" s="2"/>
      <c r="Z963" s="2"/>
    </row>
    <row r="964" spans="1:26" ht="14.25" customHeight="1" x14ac:dyDescent="0.3">
      <c r="A964" s="2"/>
      <c r="B964" s="2"/>
      <c r="C964" s="2"/>
      <c r="D964" s="2"/>
      <c r="E964" s="2"/>
      <c r="F964" s="2"/>
      <c r="G964" s="3"/>
      <c r="H964" s="3"/>
      <c r="I964" s="3"/>
      <c r="J964" s="2"/>
      <c r="K964" s="2"/>
      <c r="L964" s="2"/>
      <c r="M964" s="2"/>
      <c r="N964" s="2"/>
      <c r="O964" s="2"/>
      <c r="P964" s="2"/>
      <c r="Q964" s="2"/>
      <c r="R964" s="2"/>
      <c r="S964" s="2"/>
      <c r="T964" s="2"/>
      <c r="U964" s="2"/>
      <c r="V964" s="2"/>
      <c r="W964" s="2"/>
      <c r="X964" s="2"/>
      <c r="Y964" s="2"/>
      <c r="Z964" s="2"/>
    </row>
    <row r="965" spans="1:26" ht="14.25" customHeight="1" x14ac:dyDescent="0.3">
      <c r="A965" s="2"/>
      <c r="B965" s="2"/>
      <c r="C965" s="2"/>
      <c r="D965" s="2"/>
      <c r="E965" s="2"/>
      <c r="F965" s="2"/>
      <c r="G965" s="3"/>
      <c r="H965" s="3"/>
      <c r="I965" s="3"/>
      <c r="J965" s="2"/>
      <c r="K965" s="2"/>
      <c r="L965" s="2"/>
      <c r="M965" s="2"/>
      <c r="N965" s="2"/>
      <c r="O965" s="2"/>
      <c r="P965" s="2"/>
      <c r="Q965" s="2"/>
      <c r="R965" s="2"/>
      <c r="S965" s="2"/>
      <c r="T965" s="2"/>
      <c r="U965" s="2"/>
      <c r="V965" s="2"/>
      <c r="W965" s="2"/>
      <c r="X965" s="2"/>
      <c r="Y965" s="2"/>
      <c r="Z965" s="2"/>
    </row>
    <row r="966" spans="1:26" ht="14.25" customHeight="1" x14ac:dyDescent="0.3">
      <c r="A966" s="2"/>
      <c r="B966" s="2"/>
      <c r="C966" s="2"/>
      <c r="D966" s="2"/>
      <c r="E966" s="2"/>
      <c r="F966" s="2"/>
      <c r="G966" s="3"/>
      <c r="H966" s="3"/>
      <c r="I966" s="3"/>
      <c r="J966" s="2"/>
      <c r="K966" s="2"/>
      <c r="L966" s="2"/>
      <c r="M966" s="2"/>
      <c r="N966" s="2"/>
      <c r="O966" s="2"/>
      <c r="P966" s="2"/>
      <c r="Q966" s="2"/>
      <c r="R966" s="2"/>
      <c r="S966" s="2"/>
      <c r="T966" s="2"/>
      <c r="U966" s="2"/>
      <c r="V966" s="2"/>
      <c r="W966" s="2"/>
      <c r="X966" s="2"/>
      <c r="Y966" s="2"/>
      <c r="Z966" s="2"/>
    </row>
    <row r="967" spans="1:26" ht="14.25" customHeight="1" x14ac:dyDescent="0.3">
      <c r="A967" s="2"/>
      <c r="B967" s="2"/>
      <c r="C967" s="2"/>
      <c r="D967" s="2"/>
      <c r="E967" s="2"/>
      <c r="F967" s="2"/>
      <c r="G967" s="3"/>
      <c r="H967" s="3"/>
      <c r="I967" s="3"/>
      <c r="J967" s="2"/>
      <c r="K967" s="2"/>
      <c r="L967" s="2"/>
      <c r="M967" s="2"/>
      <c r="N967" s="2"/>
      <c r="O967" s="2"/>
      <c r="P967" s="2"/>
      <c r="Q967" s="2"/>
      <c r="R967" s="2"/>
      <c r="S967" s="2"/>
      <c r="T967" s="2"/>
      <c r="U967" s="2"/>
      <c r="V967" s="2"/>
      <c r="W967" s="2"/>
      <c r="X967" s="2"/>
      <c r="Y967" s="2"/>
      <c r="Z967" s="2"/>
    </row>
    <row r="968" spans="1:26" ht="14.25" customHeight="1" x14ac:dyDescent="0.3">
      <c r="A968" s="2"/>
      <c r="B968" s="2"/>
      <c r="C968" s="2"/>
      <c r="D968" s="2"/>
      <c r="E968" s="2"/>
      <c r="F968" s="2"/>
      <c r="G968" s="3"/>
      <c r="H968" s="3"/>
      <c r="I968" s="3"/>
      <c r="J968" s="2"/>
      <c r="K968" s="2"/>
      <c r="L968" s="2"/>
      <c r="M968" s="2"/>
      <c r="N968" s="2"/>
      <c r="O968" s="2"/>
      <c r="P968" s="2"/>
      <c r="Q968" s="2"/>
      <c r="R968" s="2"/>
      <c r="S968" s="2"/>
      <c r="T968" s="2"/>
      <c r="U968" s="2"/>
      <c r="V968" s="2"/>
      <c r="W968" s="2"/>
      <c r="X968" s="2"/>
      <c r="Y968" s="2"/>
      <c r="Z968" s="2"/>
    </row>
    <row r="969" spans="1:26" ht="14.25" customHeight="1" x14ac:dyDescent="0.3">
      <c r="A969" s="2"/>
      <c r="B969" s="2"/>
      <c r="C969" s="2"/>
      <c r="D969" s="2"/>
      <c r="E969" s="2"/>
      <c r="F969" s="2"/>
      <c r="G969" s="3"/>
      <c r="H969" s="3"/>
      <c r="I969" s="3"/>
      <c r="J969" s="2"/>
      <c r="K969" s="2"/>
      <c r="L969" s="2"/>
      <c r="M969" s="2"/>
      <c r="N969" s="2"/>
      <c r="O969" s="2"/>
      <c r="P969" s="2"/>
      <c r="Q969" s="2"/>
      <c r="R969" s="2"/>
      <c r="S969" s="2"/>
      <c r="T969" s="2"/>
      <c r="U969" s="2"/>
      <c r="V969" s="2"/>
      <c r="W969" s="2"/>
      <c r="X969" s="2"/>
      <c r="Y969" s="2"/>
      <c r="Z969" s="2"/>
    </row>
    <row r="970" spans="1:26" ht="14.25" customHeight="1" x14ac:dyDescent="0.3">
      <c r="A970" s="2"/>
      <c r="B970" s="2"/>
      <c r="C970" s="2"/>
      <c r="D970" s="2"/>
      <c r="E970" s="2"/>
      <c r="F970" s="2"/>
      <c r="G970" s="3"/>
      <c r="H970" s="3"/>
      <c r="I970" s="3"/>
      <c r="J970" s="2"/>
      <c r="K970" s="2"/>
      <c r="L970" s="2"/>
      <c r="M970" s="2"/>
      <c r="N970" s="2"/>
      <c r="O970" s="2"/>
      <c r="P970" s="2"/>
      <c r="Q970" s="2"/>
      <c r="R970" s="2"/>
      <c r="S970" s="2"/>
      <c r="T970" s="2"/>
      <c r="U970" s="2"/>
      <c r="V970" s="2"/>
      <c r="W970" s="2"/>
      <c r="X970" s="2"/>
      <c r="Y970" s="2"/>
      <c r="Z970" s="2"/>
    </row>
    <row r="971" spans="1:26" ht="14.25" customHeight="1" x14ac:dyDescent="0.3">
      <c r="A971" s="2"/>
      <c r="B971" s="2"/>
      <c r="C971" s="2"/>
      <c r="D971" s="2"/>
      <c r="E971" s="2"/>
      <c r="F971" s="2"/>
      <c r="G971" s="3"/>
      <c r="H971" s="3"/>
      <c r="I971" s="3"/>
      <c r="J971" s="2"/>
      <c r="K971" s="2"/>
      <c r="L971" s="2"/>
      <c r="M971" s="2"/>
      <c r="N971" s="2"/>
      <c r="O971" s="2"/>
      <c r="P971" s="2"/>
      <c r="Q971" s="2"/>
      <c r="R971" s="2"/>
      <c r="S971" s="2"/>
      <c r="T971" s="2"/>
      <c r="U971" s="2"/>
      <c r="V971" s="2"/>
      <c r="W971" s="2"/>
      <c r="X971" s="2"/>
      <c r="Y971" s="2"/>
      <c r="Z971" s="2"/>
    </row>
    <row r="972" spans="1:26" ht="14.25" customHeight="1" x14ac:dyDescent="0.3">
      <c r="A972" s="2"/>
      <c r="B972" s="2"/>
      <c r="C972" s="2"/>
      <c r="D972" s="2"/>
      <c r="E972" s="2"/>
      <c r="F972" s="2"/>
      <c r="G972" s="3"/>
      <c r="H972" s="3"/>
      <c r="I972" s="3"/>
      <c r="J972" s="2"/>
      <c r="K972" s="2"/>
      <c r="L972" s="2"/>
      <c r="M972" s="2"/>
      <c r="N972" s="2"/>
      <c r="O972" s="2"/>
      <c r="P972" s="2"/>
      <c r="Q972" s="2"/>
      <c r="R972" s="2"/>
      <c r="S972" s="2"/>
      <c r="T972" s="2"/>
      <c r="U972" s="2"/>
      <c r="V972" s="2"/>
      <c r="W972" s="2"/>
      <c r="X972" s="2"/>
      <c r="Y972" s="2"/>
      <c r="Z972" s="2"/>
    </row>
    <row r="973" spans="1:26" ht="14.25" customHeight="1" x14ac:dyDescent="0.3">
      <c r="A973" s="2"/>
      <c r="B973" s="2"/>
      <c r="C973" s="2"/>
      <c r="D973" s="2"/>
      <c r="E973" s="2"/>
      <c r="F973" s="2"/>
      <c r="G973" s="3"/>
      <c r="H973" s="3"/>
      <c r="I973" s="3"/>
      <c r="J973" s="2"/>
      <c r="K973" s="2"/>
      <c r="L973" s="2"/>
      <c r="M973" s="2"/>
      <c r="N973" s="2"/>
      <c r="O973" s="2"/>
      <c r="P973" s="2"/>
      <c r="Q973" s="2"/>
      <c r="R973" s="2"/>
      <c r="S973" s="2"/>
      <c r="T973" s="2"/>
      <c r="U973" s="2"/>
      <c r="V973" s="2"/>
      <c r="W973" s="2"/>
      <c r="X973" s="2"/>
      <c r="Y973" s="2"/>
      <c r="Z973" s="2"/>
    </row>
    <row r="974" spans="1:26" ht="14.25" customHeight="1" x14ac:dyDescent="0.3">
      <c r="A974" s="2"/>
      <c r="B974" s="2"/>
      <c r="C974" s="2"/>
      <c r="D974" s="2"/>
      <c r="E974" s="2"/>
      <c r="F974" s="2"/>
      <c r="G974" s="3"/>
      <c r="H974" s="3"/>
      <c r="I974" s="3"/>
      <c r="J974" s="2"/>
      <c r="K974" s="2"/>
      <c r="L974" s="2"/>
      <c r="M974" s="2"/>
      <c r="N974" s="2"/>
      <c r="O974" s="2"/>
      <c r="P974" s="2"/>
      <c r="Q974" s="2"/>
      <c r="R974" s="2"/>
      <c r="S974" s="2"/>
      <c r="T974" s="2"/>
      <c r="U974" s="2"/>
      <c r="V974" s="2"/>
      <c r="W974" s="2"/>
      <c r="X974" s="2"/>
      <c r="Y974" s="2"/>
      <c r="Z974" s="2"/>
    </row>
    <row r="975" spans="1:26" ht="14.25" customHeight="1" x14ac:dyDescent="0.3">
      <c r="A975" s="2"/>
      <c r="B975" s="2"/>
      <c r="C975" s="2"/>
      <c r="D975" s="2"/>
      <c r="E975" s="2"/>
      <c r="F975" s="2"/>
      <c r="G975" s="3"/>
      <c r="H975" s="3"/>
      <c r="I975" s="3"/>
      <c r="J975" s="2"/>
      <c r="K975" s="2"/>
      <c r="L975" s="2"/>
      <c r="M975" s="2"/>
      <c r="N975" s="2"/>
      <c r="O975" s="2"/>
      <c r="P975" s="2"/>
      <c r="Q975" s="2"/>
      <c r="R975" s="2"/>
      <c r="S975" s="2"/>
      <c r="T975" s="2"/>
      <c r="U975" s="2"/>
      <c r="V975" s="2"/>
      <c r="W975" s="2"/>
      <c r="X975" s="2"/>
      <c r="Y975" s="2"/>
      <c r="Z975" s="2"/>
    </row>
    <row r="976" spans="1:26" ht="14.25" customHeight="1" x14ac:dyDescent="0.3">
      <c r="A976" s="2"/>
      <c r="B976" s="2"/>
      <c r="C976" s="2"/>
      <c r="D976" s="2"/>
      <c r="E976" s="2"/>
      <c r="F976" s="2"/>
      <c r="G976" s="3"/>
      <c r="H976" s="3"/>
      <c r="I976" s="3"/>
      <c r="J976" s="2"/>
      <c r="K976" s="2"/>
      <c r="L976" s="2"/>
      <c r="M976" s="2"/>
      <c r="N976" s="2"/>
      <c r="O976" s="2"/>
      <c r="P976" s="2"/>
      <c r="Q976" s="2"/>
      <c r="R976" s="2"/>
      <c r="S976" s="2"/>
      <c r="T976" s="2"/>
      <c r="U976" s="2"/>
      <c r="V976" s="2"/>
      <c r="W976" s="2"/>
      <c r="X976" s="2"/>
      <c r="Y976" s="2"/>
      <c r="Z976" s="2"/>
    </row>
    <row r="977" spans="1:26" ht="14.25" customHeight="1" x14ac:dyDescent="0.3">
      <c r="A977" s="2"/>
      <c r="B977" s="2"/>
      <c r="C977" s="2"/>
      <c r="D977" s="2"/>
      <c r="E977" s="2"/>
      <c r="F977" s="2"/>
      <c r="G977" s="3"/>
      <c r="H977" s="3"/>
      <c r="I977" s="3"/>
      <c r="J977" s="2"/>
      <c r="K977" s="2"/>
      <c r="L977" s="2"/>
      <c r="M977" s="2"/>
      <c r="N977" s="2"/>
      <c r="O977" s="2"/>
      <c r="P977" s="2"/>
      <c r="Q977" s="2"/>
      <c r="R977" s="2"/>
      <c r="S977" s="2"/>
      <c r="T977" s="2"/>
      <c r="U977" s="2"/>
      <c r="V977" s="2"/>
      <c r="W977" s="2"/>
      <c r="X977" s="2"/>
      <c r="Y977" s="2"/>
      <c r="Z977" s="2"/>
    </row>
    <row r="978" spans="1:26" ht="14.25" customHeight="1" x14ac:dyDescent="0.3">
      <c r="A978" s="2"/>
      <c r="B978" s="2"/>
      <c r="C978" s="2"/>
      <c r="D978" s="2"/>
      <c r="E978" s="2"/>
      <c r="F978" s="2"/>
      <c r="G978" s="3"/>
      <c r="H978" s="3"/>
      <c r="I978" s="3"/>
      <c r="J978" s="2"/>
      <c r="K978" s="2"/>
      <c r="L978" s="2"/>
      <c r="M978" s="2"/>
      <c r="N978" s="2"/>
      <c r="O978" s="2"/>
      <c r="P978" s="2"/>
      <c r="Q978" s="2"/>
      <c r="R978" s="2"/>
      <c r="S978" s="2"/>
      <c r="T978" s="2"/>
      <c r="U978" s="2"/>
      <c r="V978" s="2"/>
      <c r="W978" s="2"/>
      <c r="X978" s="2"/>
      <c r="Y978" s="2"/>
      <c r="Z978" s="2"/>
    </row>
    <row r="979" spans="1:26" ht="14.25" customHeight="1" x14ac:dyDescent="0.3">
      <c r="A979" s="2"/>
      <c r="B979" s="2"/>
      <c r="C979" s="2"/>
      <c r="D979" s="2"/>
      <c r="E979" s="2"/>
      <c r="F979" s="2"/>
      <c r="G979" s="3"/>
      <c r="H979" s="3"/>
      <c r="I979" s="3"/>
      <c r="J979" s="2"/>
      <c r="K979" s="2"/>
      <c r="L979" s="2"/>
      <c r="M979" s="2"/>
      <c r="N979" s="2"/>
      <c r="O979" s="2"/>
      <c r="P979" s="2"/>
      <c r="Q979" s="2"/>
      <c r="R979" s="2"/>
      <c r="S979" s="2"/>
      <c r="T979" s="2"/>
      <c r="U979" s="2"/>
      <c r="V979" s="2"/>
      <c r="W979" s="2"/>
      <c r="X979" s="2"/>
      <c r="Y979" s="2"/>
      <c r="Z979" s="2"/>
    </row>
    <row r="980" spans="1:26" ht="14.25" customHeight="1" x14ac:dyDescent="0.3">
      <c r="A980" s="2"/>
      <c r="B980" s="2"/>
      <c r="C980" s="2"/>
      <c r="D980" s="2"/>
      <c r="E980" s="2"/>
      <c r="F980" s="2"/>
      <c r="G980" s="3"/>
      <c r="H980" s="3"/>
      <c r="I980" s="3"/>
      <c r="J980" s="2"/>
      <c r="K980" s="2"/>
      <c r="L980" s="2"/>
      <c r="M980" s="2"/>
      <c r="N980" s="2"/>
      <c r="O980" s="2"/>
      <c r="P980" s="2"/>
      <c r="Q980" s="2"/>
      <c r="R980" s="2"/>
      <c r="S980" s="2"/>
      <c r="T980" s="2"/>
      <c r="U980" s="2"/>
      <c r="V980" s="2"/>
      <c r="W980" s="2"/>
      <c r="X980" s="2"/>
      <c r="Y980" s="2"/>
      <c r="Z980" s="2"/>
    </row>
    <row r="981" spans="1:26" ht="14.25" customHeight="1" x14ac:dyDescent="0.3">
      <c r="A981" s="2"/>
      <c r="B981" s="2"/>
      <c r="C981" s="2"/>
      <c r="D981" s="2"/>
      <c r="E981" s="2"/>
      <c r="F981" s="2"/>
      <c r="G981" s="3"/>
      <c r="H981" s="3"/>
      <c r="I981" s="3"/>
      <c r="J981" s="2"/>
      <c r="K981" s="2"/>
      <c r="L981" s="2"/>
      <c r="M981" s="2"/>
      <c r="N981" s="2"/>
      <c r="O981" s="2"/>
      <c r="P981" s="2"/>
      <c r="Q981" s="2"/>
      <c r="R981" s="2"/>
      <c r="S981" s="2"/>
      <c r="T981" s="2"/>
      <c r="U981" s="2"/>
      <c r="V981" s="2"/>
      <c r="W981" s="2"/>
      <c r="X981" s="2"/>
      <c r="Y981" s="2"/>
      <c r="Z981" s="2"/>
    </row>
    <row r="982" spans="1:26" ht="14.25" customHeight="1" x14ac:dyDescent="0.3">
      <c r="A982" s="2"/>
      <c r="B982" s="2"/>
      <c r="C982" s="2"/>
      <c r="D982" s="2"/>
      <c r="E982" s="2"/>
      <c r="F982" s="2"/>
      <c r="G982" s="3"/>
      <c r="H982" s="3"/>
      <c r="I982" s="3"/>
      <c r="J982" s="2"/>
      <c r="K982" s="2"/>
      <c r="L982" s="2"/>
      <c r="M982" s="2"/>
      <c r="N982" s="2"/>
      <c r="O982" s="2"/>
      <c r="P982" s="2"/>
      <c r="Q982" s="2"/>
      <c r="R982" s="2"/>
      <c r="S982" s="2"/>
      <c r="T982" s="2"/>
      <c r="U982" s="2"/>
      <c r="V982" s="2"/>
      <c r="W982" s="2"/>
      <c r="X982" s="2"/>
      <c r="Y982" s="2"/>
      <c r="Z982" s="2"/>
    </row>
    <row r="983" spans="1:26" ht="14.25" customHeight="1" x14ac:dyDescent="0.3">
      <c r="A983" s="2"/>
      <c r="B983" s="2"/>
      <c r="C983" s="2"/>
      <c r="D983" s="2"/>
      <c r="E983" s="2"/>
      <c r="F983" s="2"/>
      <c r="G983" s="3"/>
      <c r="H983" s="3"/>
      <c r="I983" s="3"/>
      <c r="J983" s="2"/>
      <c r="K983" s="2"/>
      <c r="L983" s="2"/>
      <c r="M983" s="2"/>
      <c r="N983" s="2"/>
      <c r="O983" s="2"/>
      <c r="P983" s="2"/>
      <c r="Q983" s="2"/>
      <c r="R983" s="2"/>
      <c r="S983" s="2"/>
      <c r="T983" s="2"/>
      <c r="U983" s="2"/>
      <c r="V983" s="2"/>
      <c r="W983" s="2"/>
      <c r="X983" s="2"/>
      <c r="Y983" s="2"/>
      <c r="Z983" s="2"/>
    </row>
    <row r="984" spans="1:26" ht="14.25" customHeight="1" x14ac:dyDescent="0.3">
      <c r="A984" s="2"/>
      <c r="B984" s="2"/>
      <c r="C984" s="2"/>
      <c r="D984" s="2"/>
      <c r="E984" s="2"/>
      <c r="F984" s="2"/>
      <c r="G984" s="3"/>
      <c r="H984" s="3"/>
      <c r="I984" s="3"/>
      <c r="J984" s="2"/>
      <c r="K984" s="2"/>
      <c r="L984" s="2"/>
      <c r="M984" s="2"/>
      <c r="N984" s="2"/>
      <c r="O984" s="2"/>
      <c r="P984" s="2"/>
      <c r="Q984" s="2"/>
      <c r="R984" s="2"/>
      <c r="S984" s="2"/>
      <c r="T984" s="2"/>
      <c r="U984" s="2"/>
      <c r="V984" s="2"/>
      <c r="W984" s="2"/>
      <c r="X984" s="2"/>
      <c r="Y984" s="2"/>
      <c r="Z984" s="2"/>
    </row>
    <row r="985" spans="1:26" ht="14.25" customHeight="1" x14ac:dyDescent="0.3">
      <c r="A985" s="2"/>
      <c r="B985" s="2"/>
      <c r="C985" s="2"/>
      <c r="D985" s="2"/>
      <c r="E985" s="2"/>
      <c r="F985" s="2"/>
      <c r="G985" s="3"/>
      <c r="H985" s="3"/>
      <c r="I985" s="3"/>
      <c r="J985" s="2"/>
      <c r="K985" s="2"/>
      <c r="L985" s="2"/>
      <c r="M985" s="2"/>
      <c r="N985" s="2"/>
      <c r="O985" s="2"/>
      <c r="P985" s="2"/>
      <c r="Q985" s="2"/>
      <c r="R985" s="2"/>
      <c r="S985" s="2"/>
      <c r="T985" s="2"/>
      <c r="U985" s="2"/>
      <c r="V985" s="2"/>
      <c r="W985" s="2"/>
      <c r="X985" s="2"/>
      <c r="Y985" s="2"/>
      <c r="Z985" s="2"/>
    </row>
    <row r="986" spans="1:26" ht="14.25" customHeight="1" x14ac:dyDescent="0.3">
      <c r="A986" s="2"/>
      <c r="B986" s="2"/>
      <c r="C986" s="2"/>
      <c r="D986" s="2"/>
      <c r="E986" s="2"/>
      <c r="F986" s="2"/>
      <c r="G986" s="3"/>
      <c r="H986" s="3"/>
      <c r="I986" s="3"/>
      <c r="J986" s="2"/>
      <c r="K986" s="2"/>
      <c r="L986" s="2"/>
      <c r="M986" s="2"/>
      <c r="N986" s="2"/>
      <c r="O986" s="2"/>
      <c r="P986" s="2"/>
      <c r="Q986" s="2"/>
      <c r="R986" s="2"/>
      <c r="S986" s="2"/>
      <c r="T986" s="2"/>
      <c r="U986" s="2"/>
      <c r="V986" s="2"/>
      <c r="W986" s="2"/>
      <c r="X986" s="2"/>
      <c r="Y986" s="2"/>
      <c r="Z986" s="2"/>
    </row>
    <row r="987" spans="1:26" ht="14.25" customHeight="1" x14ac:dyDescent="0.3">
      <c r="A987" s="2"/>
      <c r="B987" s="2"/>
      <c r="C987" s="2"/>
      <c r="D987" s="2"/>
      <c r="E987" s="2"/>
      <c r="F987" s="2"/>
      <c r="G987" s="3"/>
      <c r="H987" s="3"/>
      <c r="I987" s="3"/>
      <c r="J987" s="2"/>
      <c r="K987" s="2"/>
      <c r="L987" s="2"/>
      <c r="M987" s="2"/>
      <c r="N987" s="2"/>
      <c r="O987" s="2"/>
      <c r="P987" s="2"/>
      <c r="Q987" s="2"/>
      <c r="R987" s="2"/>
      <c r="S987" s="2"/>
      <c r="T987" s="2"/>
      <c r="U987" s="2"/>
      <c r="V987" s="2"/>
      <c r="W987" s="2"/>
      <c r="X987" s="2"/>
      <c r="Y987" s="2"/>
      <c r="Z987" s="2"/>
    </row>
    <row r="988" spans="1:26" ht="14.25" customHeight="1" x14ac:dyDescent="0.3">
      <c r="A988" s="2"/>
      <c r="B988" s="2"/>
      <c r="C988" s="2"/>
      <c r="D988" s="2"/>
      <c r="E988" s="2"/>
      <c r="F988" s="2"/>
      <c r="G988" s="3"/>
      <c r="H988" s="3"/>
      <c r="I988" s="3"/>
      <c r="J988" s="2"/>
      <c r="K988" s="2"/>
      <c r="L988" s="2"/>
      <c r="M988" s="2"/>
      <c r="N988" s="2"/>
      <c r="O988" s="2"/>
      <c r="P988" s="2"/>
      <c r="Q988" s="2"/>
      <c r="R988" s="2"/>
      <c r="S988" s="2"/>
      <c r="T988" s="2"/>
      <c r="U988" s="2"/>
      <c r="V988" s="2"/>
      <c r="W988" s="2"/>
      <c r="X988" s="2"/>
      <c r="Y988" s="2"/>
      <c r="Z988" s="2"/>
    </row>
    <row r="989" spans="1:26" ht="14.25" customHeight="1" x14ac:dyDescent="0.3">
      <c r="A989" s="2"/>
      <c r="B989" s="2"/>
      <c r="C989" s="2"/>
      <c r="D989" s="2"/>
      <c r="E989" s="2"/>
      <c r="F989" s="2"/>
      <c r="G989" s="3"/>
      <c r="H989" s="3"/>
      <c r="I989" s="3"/>
      <c r="J989" s="2"/>
      <c r="K989" s="2"/>
      <c r="L989" s="2"/>
      <c r="M989" s="2"/>
      <c r="N989" s="2"/>
      <c r="O989" s="2"/>
      <c r="P989" s="2"/>
      <c r="Q989" s="2"/>
      <c r="R989" s="2"/>
      <c r="S989" s="2"/>
      <c r="T989" s="2"/>
      <c r="U989" s="2"/>
      <c r="V989" s="2"/>
      <c r="W989" s="2"/>
      <c r="X989" s="2"/>
      <c r="Y989" s="2"/>
      <c r="Z989" s="2"/>
    </row>
    <row r="990" spans="1:26" ht="14.25" customHeight="1" x14ac:dyDescent="0.3">
      <c r="A990" s="2"/>
      <c r="B990" s="2"/>
      <c r="C990" s="2"/>
      <c r="D990" s="2"/>
      <c r="E990" s="2"/>
      <c r="F990" s="2"/>
      <c r="G990" s="3"/>
      <c r="H990" s="3"/>
      <c r="I990" s="3"/>
      <c r="J990" s="2"/>
      <c r="K990" s="2"/>
      <c r="L990" s="2"/>
      <c r="M990" s="2"/>
      <c r="N990" s="2"/>
      <c r="O990" s="2"/>
      <c r="P990" s="2"/>
      <c r="Q990" s="2"/>
      <c r="R990" s="2"/>
      <c r="S990" s="2"/>
      <c r="T990" s="2"/>
      <c r="U990" s="2"/>
      <c r="V990" s="2"/>
      <c r="W990" s="2"/>
      <c r="X990" s="2"/>
      <c r="Y990" s="2"/>
      <c r="Z990" s="2"/>
    </row>
    <row r="991" spans="1:26" ht="14.25" customHeight="1" x14ac:dyDescent="0.3">
      <c r="A991" s="2"/>
      <c r="B991" s="2"/>
      <c r="C991" s="2"/>
      <c r="D991" s="2"/>
      <c r="E991" s="2"/>
      <c r="F991" s="2"/>
      <c r="G991" s="3"/>
      <c r="H991" s="3"/>
      <c r="I991" s="3"/>
      <c r="J991" s="2"/>
      <c r="K991" s="2"/>
      <c r="L991" s="2"/>
      <c r="M991" s="2"/>
      <c r="N991" s="2"/>
      <c r="O991" s="2"/>
      <c r="P991" s="2"/>
      <c r="Q991" s="2"/>
      <c r="R991" s="2"/>
      <c r="S991" s="2"/>
      <c r="T991" s="2"/>
      <c r="U991" s="2"/>
      <c r="V991" s="2"/>
      <c r="W991" s="2"/>
      <c r="X991" s="2"/>
      <c r="Y991" s="2"/>
      <c r="Z991" s="2"/>
    </row>
    <row r="992" spans="1:26" ht="14.25" customHeight="1" x14ac:dyDescent="0.3">
      <c r="A992" s="2"/>
      <c r="B992" s="2"/>
      <c r="C992" s="2"/>
      <c r="D992" s="2"/>
      <c r="E992" s="2"/>
      <c r="F992" s="2"/>
      <c r="G992" s="3"/>
      <c r="H992" s="3"/>
      <c r="I992" s="3"/>
      <c r="J992" s="2"/>
      <c r="K992" s="2"/>
      <c r="L992" s="2"/>
      <c r="M992" s="2"/>
      <c r="N992" s="2"/>
      <c r="O992" s="2"/>
      <c r="P992" s="2"/>
      <c r="Q992" s="2"/>
      <c r="R992" s="2"/>
      <c r="S992" s="2"/>
      <c r="T992" s="2"/>
      <c r="U992" s="2"/>
      <c r="V992" s="2"/>
      <c r="W992" s="2"/>
      <c r="X992" s="2"/>
      <c r="Y992" s="2"/>
      <c r="Z992" s="2"/>
    </row>
    <row r="993" spans="1:26" ht="14.25" customHeight="1" x14ac:dyDescent="0.3">
      <c r="A993" s="2"/>
      <c r="B993" s="2"/>
      <c r="C993" s="2"/>
      <c r="D993" s="2"/>
      <c r="E993" s="2"/>
      <c r="F993" s="2"/>
      <c r="G993" s="3"/>
      <c r="H993" s="3"/>
      <c r="I993" s="3"/>
      <c r="J993" s="2"/>
      <c r="K993" s="2"/>
      <c r="L993" s="2"/>
      <c r="M993" s="2"/>
      <c r="N993" s="2"/>
      <c r="O993" s="2"/>
      <c r="P993" s="2"/>
      <c r="Q993" s="2"/>
      <c r="R993" s="2"/>
      <c r="S993" s="2"/>
      <c r="T993" s="2"/>
      <c r="U993" s="2"/>
      <c r="V993" s="2"/>
      <c r="W993" s="2"/>
      <c r="X993" s="2"/>
      <c r="Y993" s="2"/>
      <c r="Z993" s="2"/>
    </row>
    <row r="994" spans="1:26" ht="14.25" customHeight="1" x14ac:dyDescent="0.3">
      <c r="A994" s="2"/>
      <c r="B994" s="2"/>
      <c r="C994" s="2"/>
      <c r="D994" s="2"/>
      <c r="E994" s="2"/>
      <c r="F994" s="2"/>
      <c r="G994" s="3"/>
      <c r="H994" s="3"/>
      <c r="I994" s="3"/>
      <c r="J994" s="2"/>
      <c r="K994" s="2"/>
      <c r="L994" s="2"/>
      <c r="M994" s="2"/>
      <c r="N994" s="2"/>
      <c r="O994" s="2"/>
      <c r="P994" s="2"/>
      <c r="Q994" s="2"/>
      <c r="R994" s="2"/>
      <c r="S994" s="2"/>
      <c r="T994" s="2"/>
      <c r="U994" s="2"/>
      <c r="V994" s="2"/>
      <c r="W994" s="2"/>
      <c r="X994" s="2"/>
      <c r="Y994" s="2"/>
      <c r="Z994" s="2"/>
    </row>
    <row r="995" spans="1:26" ht="14.25" customHeight="1" x14ac:dyDescent="0.3">
      <c r="A995" s="2"/>
      <c r="B995" s="2"/>
      <c r="C995" s="2"/>
      <c r="D995" s="2"/>
      <c r="E995" s="2"/>
      <c r="F995" s="2"/>
      <c r="G995" s="3"/>
      <c r="H995" s="3"/>
      <c r="I995" s="3"/>
      <c r="J995" s="2"/>
      <c r="K995" s="2"/>
      <c r="L995" s="2"/>
      <c r="M995" s="2"/>
      <c r="N995" s="2"/>
      <c r="O995" s="2"/>
      <c r="P995" s="2"/>
      <c r="Q995" s="2"/>
      <c r="R995" s="2"/>
      <c r="S995" s="2"/>
      <c r="T995" s="2"/>
      <c r="U995" s="2"/>
      <c r="V995" s="2"/>
      <c r="W995" s="2"/>
      <c r="X995" s="2"/>
      <c r="Y995" s="2"/>
      <c r="Z995" s="2"/>
    </row>
    <row r="996" spans="1:26" ht="14.25" customHeight="1" x14ac:dyDescent="0.3">
      <c r="A996" s="2"/>
      <c r="B996" s="2"/>
      <c r="C996" s="2"/>
      <c r="D996" s="2"/>
      <c r="E996" s="2"/>
      <c r="F996" s="2"/>
      <c r="G996" s="3"/>
      <c r="H996" s="3"/>
      <c r="I996" s="3"/>
      <c r="J996" s="2"/>
      <c r="K996" s="2"/>
      <c r="L996" s="2"/>
      <c r="M996" s="2"/>
      <c r="N996" s="2"/>
      <c r="O996" s="2"/>
      <c r="P996" s="2"/>
      <c r="Q996" s="2"/>
      <c r="R996" s="2"/>
      <c r="S996" s="2"/>
      <c r="T996" s="2"/>
      <c r="U996" s="2"/>
      <c r="V996" s="2"/>
      <c r="W996" s="2"/>
      <c r="X996" s="2"/>
      <c r="Y996" s="2"/>
      <c r="Z996" s="2"/>
    </row>
    <row r="997" spans="1:26" ht="14.25" customHeight="1" x14ac:dyDescent="0.3">
      <c r="A997" s="2"/>
      <c r="B997" s="2"/>
      <c r="C997" s="2"/>
      <c r="D997" s="2"/>
      <c r="E997" s="2"/>
      <c r="F997" s="2"/>
      <c r="G997" s="3"/>
      <c r="H997" s="3"/>
      <c r="I997" s="3"/>
      <c r="J997" s="2"/>
      <c r="K997" s="2"/>
      <c r="L997" s="2"/>
      <c r="M997" s="2"/>
      <c r="N997" s="2"/>
      <c r="O997" s="2"/>
      <c r="P997" s="2"/>
      <c r="Q997" s="2"/>
      <c r="R997" s="2"/>
      <c r="S997" s="2"/>
      <c r="T997" s="2"/>
      <c r="U997" s="2"/>
      <c r="V997" s="2"/>
      <c r="W997" s="2"/>
      <c r="X997" s="2"/>
      <c r="Y997" s="2"/>
      <c r="Z997" s="2"/>
    </row>
    <row r="998" spans="1:26" ht="14.25" customHeight="1" x14ac:dyDescent="0.3">
      <c r="A998" s="2"/>
      <c r="B998" s="2"/>
      <c r="C998" s="2"/>
      <c r="D998" s="2"/>
      <c r="E998" s="2"/>
      <c r="F998" s="2"/>
      <c r="G998" s="3"/>
      <c r="H998" s="3"/>
      <c r="I998" s="3"/>
      <c r="J998" s="2"/>
      <c r="K998" s="2"/>
      <c r="L998" s="2"/>
      <c r="M998" s="2"/>
      <c r="N998" s="2"/>
      <c r="O998" s="2"/>
      <c r="P998" s="2"/>
      <c r="Q998" s="2"/>
      <c r="R998" s="2"/>
      <c r="S998" s="2"/>
      <c r="T998" s="2"/>
      <c r="U998" s="2"/>
      <c r="V998" s="2"/>
      <c r="W998" s="2"/>
      <c r="X998" s="2"/>
      <c r="Y998" s="2"/>
      <c r="Z998" s="2"/>
    </row>
    <row r="999" spans="1:26" ht="14.25" customHeight="1" x14ac:dyDescent="0.3">
      <c r="A999" s="2"/>
      <c r="B999" s="2"/>
      <c r="C999" s="2"/>
      <c r="D999" s="2"/>
      <c r="E999" s="2"/>
      <c r="F999" s="2"/>
      <c r="G999" s="3"/>
      <c r="H999" s="3"/>
      <c r="I999" s="3"/>
      <c r="J999" s="2"/>
      <c r="K999" s="2"/>
      <c r="L999" s="2"/>
      <c r="M999" s="2"/>
      <c r="N999" s="2"/>
      <c r="O999" s="2"/>
      <c r="P999" s="2"/>
      <c r="Q999" s="2"/>
      <c r="R999" s="2"/>
      <c r="S999" s="2"/>
      <c r="T999" s="2"/>
      <c r="U999" s="2"/>
      <c r="V999" s="2"/>
      <c r="W999" s="2"/>
      <c r="X999" s="2"/>
      <c r="Y999" s="2"/>
      <c r="Z999" s="2"/>
    </row>
    <row r="1000" spans="1:26" ht="14.25" customHeight="1" x14ac:dyDescent="0.3">
      <c r="A1000" s="2"/>
      <c r="B1000" s="2"/>
      <c r="C1000" s="2"/>
      <c r="D1000" s="2"/>
      <c r="E1000" s="2"/>
      <c r="F1000" s="2"/>
      <c r="G1000" s="3"/>
      <c r="H1000" s="3"/>
      <c r="I1000" s="3"/>
      <c r="J1000" s="2"/>
      <c r="K1000" s="2"/>
      <c r="L1000" s="2"/>
      <c r="M1000" s="2"/>
      <c r="N1000" s="2"/>
      <c r="O1000" s="2"/>
      <c r="P1000" s="2"/>
      <c r="Q1000" s="2"/>
      <c r="R1000" s="2"/>
      <c r="S1000" s="2"/>
      <c r="T1000" s="2"/>
      <c r="U1000" s="2"/>
      <c r="V1000" s="2"/>
      <c r="W1000" s="2"/>
      <c r="X1000" s="2"/>
      <c r="Y1000" s="2"/>
      <c r="Z1000" s="2"/>
    </row>
  </sheetData>
  <mergeCells count="41">
    <mergeCell ref="E27:E30"/>
    <mergeCell ref="B28:C28"/>
    <mergeCell ref="B29:C29"/>
    <mergeCell ref="B37:D37"/>
    <mergeCell ref="B38:D38"/>
    <mergeCell ref="B39:D39"/>
    <mergeCell ref="B23:C23"/>
    <mergeCell ref="B24:C24"/>
    <mergeCell ref="B26:C26"/>
    <mergeCell ref="B27:C27"/>
    <mergeCell ref="B30:C30"/>
    <mergeCell ref="B32:C32"/>
    <mergeCell ref="B33:C33"/>
    <mergeCell ref="B35:D35"/>
    <mergeCell ref="B36:D36"/>
    <mergeCell ref="E16:E18"/>
    <mergeCell ref="B17:C17"/>
    <mergeCell ref="B18:C18"/>
    <mergeCell ref="B20:C20"/>
    <mergeCell ref="E21:E24"/>
    <mergeCell ref="B13:C13"/>
    <mergeCell ref="B21:C21"/>
    <mergeCell ref="B22:C22"/>
    <mergeCell ref="B15:C15"/>
    <mergeCell ref="B16:C16"/>
    <mergeCell ref="B47:F47"/>
    <mergeCell ref="B48:F48"/>
    <mergeCell ref="B49:F49"/>
    <mergeCell ref="B1:E1"/>
    <mergeCell ref="B2:B6"/>
    <mergeCell ref="D2:E2"/>
    <mergeCell ref="D3:E3"/>
    <mergeCell ref="D4:E4"/>
    <mergeCell ref="D5:E5"/>
    <mergeCell ref="D6:E6"/>
    <mergeCell ref="B7:E7"/>
    <mergeCell ref="B8:E8"/>
    <mergeCell ref="D9:E9"/>
    <mergeCell ref="B10:C10"/>
    <mergeCell ref="B11:C11"/>
    <mergeCell ref="B12:C12"/>
  </mergeCells>
  <pageMargins left="0.7" right="0.7" top="0.75" bottom="0.75" header="0" footer="0"/>
  <pageSetup paperSize="9" scale="8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14</vt:i4>
      </vt:variant>
    </vt:vector>
  </HeadingPairs>
  <TitlesOfParts>
    <vt:vector size="24" baseType="lpstr">
      <vt:lpstr>PROPUESTA ECONÓMICA (Proponente</vt:lpstr>
      <vt:lpstr>PRESUPUESTO OFICIAL (Entidad)</vt:lpstr>
      <vt:lpstr>APUS</vt:lpstr>
      <vt:lpstr>PPTO_OBRA_GENERAL</vt:lpstr>
      <vt:lpstr>RESUMEN</vt:lpstr>
      <vt:lpstr>PPTO_PLANES</vt:lpstr>
      <vt:lpstr>CUADRILLA</vt:lpstr>
      <vt:lpstr>MEMORIA_IMPLOSION</vt:lpstr>
      <vt:lpstr>AIU</vt:lpstr>
      <vt:lpstr>FACTOR PRESTACIONAL</vt:lpstr>
      <vt:lpstr>AIU!Área_de_impresión</vt:lpstr>
      <vt:lpstr>APUS!Área_de_impresión</vt:lpstr>
      <vt:lpstr>'FACTOR PRESTACIONAL'!Área_de_impresión</vt:lpstr>
      <vt:lpstr>MEMORIA_IMPLOSION!Área_de_impresión</vt:lpstr>
      <vt:lpstr>PPTO_OBRA_GENERAL!Área_de_impresión</vt:lpstr>
      <vt:lpstr>PPTO_PLANES!Área_de_impresión</vt:lpstr>
      <vt:lpstr>'PRESUPUESTO OFICIAL (Entidad)'!Área_de_impresión</vt:lpstr>
      <vt:lpstr>'PROPUESTA ECONÓMICA (Proponente'!Área_de_impresión</vt:lpstr>
      <vt:lpstr>RESUMEN!Área_de_impresión</vt:lpstr>
      <vt:lpstr>PPTO_PLANES!ID_PRESUPUESTO</vt:lpstr>
      <vt:lpstr>ID_PRESUPUESTO</vt:lpstr>
      <vt:lpstr>OCCIDENTAL</vt:lpstr>
      <vt:lpstr>SMIN</vt:lpstr>
      <vt:lpstr>SMT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Chiquiza Ariza</dc:creator>
  <cp:lastModifiedBy>Héctor Fabián Losada Vargas</cp:lastModifiedBy>
  <cp:lastPrinted>2026-05-20T16:21:07Z</cp:lastPrinted>
  <dcterms:created xsi:type="dcterms:W3CDTF">2023-11-04T23:40:33Z</dcterms:created>
  <dcterms:modified xsi:type="dcterms:W3CDTF">2026-06-19T22:03:56Z</dcterms:modified>
</cp:coreProperties>
</file>