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ktop\IES CINOC\2026\MINIMA CUANTIA\MC-XX-2026 ACOMETIDAS ELECTRICAS Y AIRES ACONDICIONADOS\"/>
    </mc:Choice>
  </mc:AlternateContent>
  <xr:revisionPtr revIDLastSave="0" documentId="13_ncr:1_{A25DF051-6063-4568-9DA5-2950FA1C196D}" xr6:coauthVersionLast="36" xr6:coauthVersionMax="36" xr10:uidLastSave="{00000000-0000-0000-0000-000000000000}"/>
  <bookViews>
    <workbookView xWindow="0" yWindow="0" windowWidth="14340" windowHeight="11475" firstSheet="1" activeTab="1" xr2:uid="{12C1B427-1BF4-400E-BB53-C6AECED728DE}"/>
  </bookViews>
  <sheets>
    <sheet name="PRESUPUESTO LAB. + VIVERO C (2)" sheetId="4" state="hidden" r:id="rId1"/>
    <sheet name="RESUMEN GENERAL" sheetId="5" r:id="rId2"/>
    <sheet name="Analisis aiu%" sheetId="15" r:id="rId3"/>
    <sheet name="CHEQUEO APU" sheetId="3" state="hidden" r:id="rId4"/>
    <sheet name="Analisis Mano de Obra" sheetId="16" r:id="rId5"/>
    <sheet name="PRESUPUESTO + APU + MERCADO" sheetId="9" r:id="rId6"/>
    <sheet name="CANTIDADES HIBRIDAS" sheetId="10" r:id="rId7"/>
    <sheet name="Hoja1 (2)" sheetId="11" state="hidden" r:id="rId8"/>
  </sheets>
  <externalReferences>
    <externalReference r:id="rId9"/>
  </externalReferences>
  <definedNames>
    <definedName name="_xlnm._FilterDatabase" localSheetId="4" hidden="1">'Analisis Mano de Obra'!$A$59:$J$115</definedName>
    <definedName name="Acero" localSheetId="2">#REF!</definedName>
    <definedName name="Acero" localSheetId="4">#REF!</definedName>
    <definedName name="Acero">#REF!</definedName>
    <definedName name="Agregados" localSheetId="2">#REF!</definedName>
    <definedName name="Agregados" localSheetId="4">#REF!</definedName>
    <definedName name="Agregados">#REF!</definedName>
    <definedName name="Apar.Sanitarios" localSheetId="2">#REF!</definedName>
    <definedName name="Apar.Sanitarios" localSheetId="4">#REF!</definedName>
    <definedName name="Apar.Sanitarios">#REF!</definedName>
    <definedName name="_xlnm.Print_Area" localSheetId="2">'Analisis aiu%'!$A$2:$L$58</definedName>
    <definedName name="_xlnm.Print_Area" localSheetId="4">'Analisis Mano de Obra'!$A$1:$AI$115</definedName>
    <definedName name="Carp.Aluminio" localSheetId="2">#REF!</definedName>
    <definedName name="Carp.Aluminio" localSheetId="4">#REF!</definedName>
    <definedName name="Carp.Aluminio">#REF!</definedName>
    <definedName name="Carp.Metalica" localSheetId="2">#REF!</definedName>
    <definedName name="Carp.Metalica" localSheetId="4">#REF!</definedName>
    <definedName name="Carp.Metalica">#REF!</definedName>
    <definedName name="CDD" localSheetId="5">'PRESUPUESTO + APU + MERCADO'!#REF!</definedName>
    <definedName name="Cerrajeria" localSheetId="2">#REF!</definedName>
    <definedName name="Cerrajeria" localSheetId="4">#REF!</definedName>
    <definedName name="Cerrajeria">#REF!</definedName>
    <definedName name="Ciudades" localSheetId="2">#REF!</definedName>
    <definedName name="Ciudades" localSheetId="4">#REF!</definedName>
    <definedName name="Ciudades">#REF!</definedName>
    <definedName name="Combustible" localSheetId="2">#REF!</definedName>
    <definedName name="Combustible" localSheetId="4">#REF!</definedName>
    <definedName name="Combustible">#REF!</definedName>
    <definedName name="Concretos" localSheetId="2">#REF!</definedName>
    <definedName name="Concretos" localSheetId="4">#REF!</definedName>
    <definedName name="Concretos">#REF!</definedName>
    <definedName name="Cuadrillas" localSheetId="2">#REF!</definedName>
    <definedName name="Cuadrillas" localSheetId="4">#REF!</definedName>
    <definedName name="Cuadrillas">#REF!</definedName>
    <definedName name="Cubierta" localSheetId="2">#REF!</definedName>
    <definedName name="Cubierta" localSheetId="4">#REF!</definedName>
    <definedName name="Cubierta">#REF!</definedName>
    <definedName name="Drywall" localSheetId="2">#REF!</definedName>
    <definedName name="Drywall" localSheetId="4">#REF!</definedName>
    <definedName name="Drywall">#REF!</definedName>
    <definedName name="Equipos" localSheetId="2">#REF!</definedName>
    <definedName name="Equipos" localSheetId="4">#REF!</definedName>
    <definedName name="Equipos">#REF!</definedName>
    <definedName name="EquiposEspeciales" localSheetId="2">#REF!</definedName>
    <definedName name="EquiposEspeciales" localSheetId="4">#REF!</definedName>
    <definedName name="EquiposEspeciales">#REF!</definedName>
    <definedName name="Ferreteria" localSheetId="2">#REF!</definedName>
    <definedName name="Ferreteria" localSheetId="4">#REF!</definedName>
    <definedName name="Ferreteria">#REF!</definedName>
    <definedName name="Formaletas" localSheetId="2">#REF!</definedName>
    <definedName name="Formaletas" localSheetId="4">#REF!</definedName>
    <definedName name="Formaletas">#REF!</definedName>
    <definedName name="Geosinteticos" localSheetId="2">#REF!</definedName>
    <definedName name="Geosinteticos" localSheetId="4">#REF!</definedName>
    <definedName name="Geosinteticos">#REF!</definedName>
    <definedName name="Impermeabilizantes" localSheetId="2">#REF!</definedName>
    <definedName name="Impermeabilizantes" localSheetId="4">#REF!</definedName>
    <definedName name="Impermeabilizantes">#REF!</definedName>
    <definedName name="Inst.Electricas" localSheetId="2">#REF!</definedName>
    <definedName name="Inst.Electricas" localSheetId="4">#REF!</definedName>
    <definedName name="Inst.Electricas">#REF!</definedName>
    <definedName name="Inst.Hidrosanitarias" localSheetId="2">#REF!</definedName>
    <definedName name="Inst.Hidrosanitarias" localSheetId="4">#REF!</definedName>
    <definedName name="Inst.Hidrosanitarias">#REF!</definedName>
    <definedName name="INSUMOS" localSheetId="2">#REF!</definedName>
    <definedName name="INSUMOS">#N/A</definedName>
    <definedName name="Ladrillos" localSheetId="2">#REF!</definedName>
    <definedName name="Ladrillos" localSheetId="4">#REF!</definedName>
    <definedName name="Ladrillos">#REF!</definedName>
    <definedName name="Maderas" localSheetId="2">#REF!</definedName>
    <definedName name="Maderas" localSheetId="4">#REF!</definedName>
    <definedName name="Maderas">#REF!</definedName>
    <definedName name="Pinturas" localSheetId="2">#REF!</definedName>
    <definedName name="Pinturas" localSheetId="4">#REF!</definedName>
    <definedName name="Pinturas">#REF!</definedName>
    <definedName name="PisosEnchapes" localSheetId="2">#REF!</definedName>
    <definedName name="PisosEnchapes" localSheetId="4">#REF!</definedName>
    <definedName name="PisosEnchapes">#REF!</definedName>
    <definedName name="Prefabricados" localSheetId="2">#REF!</definedName>
    <definedName name="Prefabricados" localSheetId="4">#REF!</definedName>
    <definedName name="Prefabricados">#REF!</definedName>
    <definedName name="VariosAnalisis" localSheetId="2">#REF!</definedName>
    <definedName name="VariosAnalisis" localSheetId="4">#REF!</definedName>
    <definedName name="VariosAnalisis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1" i="16" l="1"/>
  <c r="G34" i="9"/>
  <c r="G36" i="9"/>
  <c r="G43" i="9"/>
  <c r="F42" i="9" l="1"/>
  <c r="F35" i="9"/>
  <c r="F10" i="5"/>
  <c r="B73" i="9"/>
  <c r="B72" i="9"/>
  <c r="D72" i="9"/>
  <c r="G72" i="9"/>
  <c r="E72" i="9"/>
  <c r="F72" i="9"/>
  <c r="F73" i="9"/>
  <c r="E73" i="9"/>
  <c r="D73" i="9"/>
  <c r="C42" i="9"/>
  <c r="J42" i="9"/>
  <c r="J35" i="9"/>
  <c r="D2" i="9"/>
  <c r="J61" i="16"/>
  <c r="J62" i="16" s="1"/>
  <c r="J63" i="16" s="1"/>
  <c r="J64" i="16" s="1"/>
  <c r="J65" i="16" s="1"/>
  <c r="J66" i="16" s="1"/>
  <c r="J67" i="16" s="1"/>
  <c r="J68" i="16" s="1"/>
  <c r="J69" i="16" s="1"/>
  <c r="J70" i="16" s="1"/>
  <c r="J71" i="16" s="1"/>
  <c r="J72" i="16" s="1"/>
  <c r="J73" i="16" s="1"/>
  <c r="J74" i="16" s="1"/>
  <c r="J75" i="16" s="1"/>
  <c r="J76" i="16" s="1"/>
  <c r="J77" i="16" s="1"/>
  <c r="J78" i="16" s="1"/>
  <c r="J79" i="16" s="1"/>
  <c r="J80" i="16" s="1"/>
  <c r="J81" i="16" s="1"/>
  <c r="J82" i="16" s="1"/>
  <c r="J83" i="16" s="1"/>
  <c r="J84" i="16" s="1"/>
  <c r="J85" i="16" s="1"/>
  <c r="J86" i="16" s="1"/>
  <c r="J87" i="16" s="1"/>
  <c r="J88" i="16" s="1"/>
  <c r="J89" i="16" s="1"/>
  <c r="J90" i="16" s="1"/>
  <c r="J91" i="16" s="1"/>
  <c r="J92" i="16" s="1"/>
  <c r="J93" i="16" s="1"/>
  <c r="J94" i="16" s="1"/>
  <c r="J95" i="16" s="1"/>
  <c r="J96" i="16" s="1"/>
  <c r="J97" i="16" s="1"/>
  <c r="J98" i="16" s="1"/>
  <c r="J99" i="16" s="1"/>
  <c r="J100" i="16" s="1"/>
  <c r="J101" i="16" s="1"/>
  <c r="J102" i="16" s="1"/>
  <c r="J103" i="16" s="1"/>
  <c r="J104" i="16" s="1"/>
  <c r="J105" i="16" s="1"/>
  <c r="J106" i="16" s="1"/>
  <c r="J107" i="16" s="1"/>
  <c r="J108" i="16" s="1"/>
  <c r="J109" i="16" s="1"/>
  <c r="J110" i="16" s="1"/>
  <c r="J111" i="16" s="1"/>
  <c r="J112" i="16" s="1"/>
  <c r="J113" i="16" s="1"/>
  <c r="J114" i="16" s="1"/>
  <c r="J115" i="16" s="1"/>
  <c r="G56" i="16"/>
  <c r="D56" i="16"/>
  <c r="G55" i="16"/>
  <c r="D55" i="16"/>
  <c r="E55" i="16" s="1"/>
  <c r="G54" i="16"/>
  <c r="D54" i="16"/>
  <c r="E54" i="16" s="1"/>
  <c r="G53" i="16"/>
  <c r="E53" i="16"/>
  <c r="D53" i="16"/>
  <c r="G51" i="16"/>
  <c r="D51" i="16"/>
  <c r="E51" i="16" s="1"/>
  <c r="G50" i="16"/>
  <c r="E50" i="16"/>
  <c r="H50" i="16" s="1"/>
  <c r="I50" i="16" s="1"/>
  <c r="D50" i="16"/>
  <c r="G40" i="16"/>
  <c r="G41" i="16" s="1"/>
  <c r="M32" i="16" s="1"/>
  <c r="G39" i="16"/>
  <c r="J33" i="16"/>
  <c r="J32" i="16"/>
  <c r="J31" i="16"/>
  <c r="J30" i="16"/>
  <c r="J29" i="16"/>
  <c r="J28" i="16"/>
  <c r="G28" i="16"/>
  <c r="J27" i="16"/>
  <c r="G27" i="16"/>
  <c r="G29" i="16" s="1"/>
  <c r="M30" i="16" s="1"/>
  <c r="G21" i="16"/>
  <c r="F16" i="16"/>
  <c r="F15" i="16"/>
  <c r="D10" i="16"/>
  <c r="E10" i="16" s="1"/>
  <c r="C10" i="16"/>
  <c r="C9" i="16"/>
  <c r="C15" i="16" s="1"/>
  <c r="G73" i="9" l="1"/>
  <c r="G42" i="9" s="1"/>
  <c r="C21" i="16"/>
  <c r="C16" i="16"/>
  <c r="D16" i="16" s="1"/>
  <c r="E16" i="16" s="1"/>
  <c r="G68" i="16" s="1"/>
  <c r="D15" i="16"/>
  <c r="C11" i="16"/>
  <c r="F21" i="16"/>
  <c r="D9" i="16"/>
  <c r="H56" i="16"/>
  <c r="I56" i="16" s="1"/>
  <c r="E56" i="16"/>
  <c r="G10" i="16"/>
  <c r="G34" i="16" s="1"/>
  <c r="G67" i="16"/>
  <c r="H67" i="16" l="1"/>
  <c r="F67" i="16"/>
  <c r="E9" i="16"/>
  <c r="D11" i="16"/>
  <c r="D17" i="16"/>
  <c r="E15" i="16"/>
  <c r="H68" i="16"/>
  <c r="F68" i="16" s="1"/>
  <c r="C17" i="16"/>
  <c r="G16" i="16"/>
  <c r="G22" i="16" s="1"/>
  <c r="G23" i="16" s="1"/>
  <c r="M29" i="16" s="1"/>
  <c r="C22" i="16"/>
  <c r="D21" i="16"/>
  <c r="C27" i="16"/>
  <c r="F22" i="16" l="1"/>
  <c r="D22" i="16"/>
  <c r="E22" i="16" s="1"/>
  <c r="G69" i="16" s="1"/>
  <c r="G9" i="16"/>
  <c r="G60" i="16"/>
  <c r="E11" i="16"/>
  <c r="C23" i="16"/>
  <c r="G61" i="16"/>
  <c r="E17" i="16"/>
  <c r="G15" i="16"/>
  <c r="G17" i="16" s="1"/>
  <c r="M28" i="16" s="1"/>
  <c r="C28" i="16"/>
  <c r="F27" i="16"/>
  <c r="C33" i="16"/>
  <c r="D27" i="16"/>
  <c r="E21" i="16"/>
  <c r="E23" i="16" l="1"/>
  <c r="G62" i="16"/>
  <c r="H61" i="16"/>
  <c r="F61" i="16"/>
  <c r="G11" i="16"/>
  <c r="G33" i="16"/>
  <c r="G35" i="16" s="1"/>
  <c r="M31" i="16" s="1"/>
  <c r="E27" i="16"/>
  <c r="F28" i="16"/>
  <c r="D28" i="16"/>
  <c r="E28" i="16" s="1"/>
  <c r="G70" i="16" s="1"/>
  <c r="H69" i="16"/>
  <c r="F69" i="16"/>
  <c r="C29" i="16"/>
  <c r="D23" i="16"/>
  <c r="C39" i="16"/>
  <c r="C35" i="16"/>
  <c r="D33" i="16"/>
  <c r="F33" i="16"/>
  <c r="C34" i="16"/>
  <c r="H60" i="16"/>
  <c r="F60" i="16"/>
  <c r="H70" i="16" l="1"/>
  <c r="F70" i="16"/>
  <c r="H62" i="16"/>
  <c r="F62" i="16" s="1"/>
  <c r="F109" i="16"/>
  <c r="F95" i="16"/>
  <c r="F81" i="16"/>
  <c r="F74" i="16"/>
  <c r="F88" i="16"/>
  <c r="F102" i="16"/>
  <c r="E33" i="16"/>
  <c r="M34" i="16"/>
  <c r="M27" i="16"/>
  <c r="G63" i="16"/>
  <c r="E29" i="16"/>
  <c r="F103" i="16"/>
  <c r="F89" i="16"/>
  <c r="F75" i="16"/>
  <c r="F82" i="16"/>
  <c r="F110" i="16"/>
  <c r="F96" i="16"/>
  <c r="D34" i="16"/>
  <c r="E34" i="16" s="1"/>
  <c r="G71" i="16" s="1"/>
  <c r="F34" i="16"/>
  <c r="C45" i="16"/>
  <c r="F39" i="16"/>
  <c r="C41" i="16"/>
  <c r="D39" i="16"/>
  <c r="C40" i="16"/>
  <c r="D29" i="16"/>
  <c r="F111" i="16" l="1"/>
  <c r="F97" i="16"/>
  <c r="F83" i="16"/>
  <c r="F90" i="16"/>
  <c r="F104" i="16"/>
  <c r="F76" i="16"/>
  <c r="H71" i="16"/>
  <c r="F71" i="16"/>
  <c r="H63" i="16"/>
  <c r="F63" i="16" s="1"/>
  <c r="D35" i="16"/>
  <c r="F40" i="16"/>
  <c r="D40" i="16"/>
  <c r="E40" i="16" s="1"/>
  <c r="G72" i="16" s="1"/>
  <c r="C46" i="16"/>
  <c r="D45" i="16"/>
  <c r="F45" i="16"/>
  <c r="E39" i="16"/>
  <c r="G64" i="16"/>
  <c r="E35" i="16"/>
  <c r="F105" i="16" l="1"/>
  <c r="F91" i="16"/>
  <c r="F77" i="16"/>
  <c r="F98" i="16"/>
  <c r="F84" i="16"/>
  <c r="F112" i="16"/>
  <c r="H64" i="16"/>
  <c r="F64" i="16"/>
  <c r="E41" i="16"/>
  <c r="G65" i="16"/>
  <c r="D46" i="16"/>
  <c r="E46" i="16" s="1"/>
  <c r="G73" i="16" s="1"/>
  <c r="F46" i="16"/>
  <c r="G46" i="16" s="1"/>
  <c r="D41" i="16"/>
  <c r="C47" i="16"/>
  <c r="E45" i="16"/>
  <c r="D47" i="16"/>
  <c r="H72" i="16"/>
  <c r="F72" i="16"/>
  <c r="F113" i="16" l="1"/>
  <c r="F99" i="16"/>
  <c r="F85" i="16"/>
  <c r="F106" i="16"/>
  <c r="F78" i="16"/>
  <c r="F92" i="16"/>
  <c r="H73" i="16"/>
  <c r="F73" i="16"/>
  <c r="H65" i="16"/>
  <c r="F65" i="16"/>
  <c r="G66" i="16"/>
  <c r="E47" i="16"/>
  <c r="G45" i="16"/>
  <c r="G47" i="16" s="1"/>
  <c r="M33" i="16" s="1"/>
  <c r="H66" i="16" l="1"/>
  <c r="F66" i="16"/>
  <c r="F107" i="16"/>
  <c r="F93" i="16"/>
  <c r="F79" i="16"/>
  <c r="F114" i="16"/>
  <c r="F100" i="16"/>
  <c r="F86" i="16"/>
  <c r="F115" i="16" l="1"/>
  <c r="F101" i="16"/>
  <c r="F87" i="16"/>
  <c r="F94" i="16"/>
  <c r="F80" i="16"/>
  <c r="F108" i="16"/>
  <c r="G28" i="9" l="1"/>
  <c r="F28" i="9"/>
  <c r="F25" i="9"/>
  <c r="G68" i="9"/>
  <c r="G69" i="9"/>
  <c r="G67" i="9"/>
  <c r="G66" i="9"/>
  <c r="F65" i="9"/>
  <c r="G65" i="9"/>
  <c r="G63" i="9"/>
  <c r="G61" i="9"/>
  <c r="G60" i="9"/>
  <c r="G59" i="9"/>
  <c r="G35" i="9" l="1"/>
  <c r="C35" i="9"/>
  <c r="F25" i="10" l="1"/>
  <c r="F22" i="10"/>
  <c r="F23" i="10"/>
  <c r="F24" i="10"/>
  <c r="J24" i="9" l="1"/>
  <c r="J17" i="9"/>
  <c r="J8" i="9"/>
  <c r="J51" i="15"/>
  <c r="I51" i="15" l="1"/>
  <c r="C10" i="9"/>
  <c r="I26" i="15"/>
  <c r="K55" i="15"/>
  <c r="J50" i="15"/>
  <c r="I48" i="15"/>
  <c r="I45" i="15"/>
  <c r="I44" i="15"/>
  <c r="H40" i="15"/>
  <c r="I40" i="15" s="1"/>
  <c r="H39" i="15"/>
  <c r="H38" i="15"/>
  <c r="H37" i="15"/>
  <c r="H36" i="15"/>
  <c r="H35" i="15"/>
  <c r="I34" i="15"/>
  <c r="H34" i="15"/>
  <c r="H33" i="15"/>
  <c r="H31" i="15"/>
  <c r="I31" i="15" s="1"/>
  <c r="H30" i="15"/>
  <c r="I30" i="15" s="1"/>
  <c r="I29" i="15"/>
  <c r="I25" i="15"/>
  <c r="I24" i="15"/>
  <c r="I23" i="15"/>
  <c r="I22" i="15"/>
  <c r="I21" i="15"/>
  <c r="I20" i="15"/>
  <c r="I19" i="15"/>
  <c r="I18" i="15"/>
  <c r="I17" i="15"/>
  <c r="I16" i="15"/>
  <c r="I15" i="15"/>
  <c r="I14" i="15"/>
  <c r="I13" i="15"/>
  <c r="I12" i="15"/>
  <c r="E11" i="15"/>
  <c r="I11" i="15" s="1"/>
  <c r="G5" i="15"/>
  <c r="J28" i="15" l="1"/>
  <c r="J10" i="15"/>
  <c r="C27" i="9" l="1"/>
  <c r="C26" i="9"/>
  <c r="C24" i="9"/>
  <c r="F13" i="9"/>
  <c r="G30" i="9"/>
  <c r="J9" i="3" l="1"/>
  <c r="M11" i="3"/>
  <c r="F12" i="10"/>
  <c r="E14" i="10" l="1"/>
  <c r="C17" i="9" l="1"/>
  <c r="G12" i="9"/>
  <c r="C11" i="9"/>
  <c r="C9" i="9"/>
  <c r="C13" i="9"/>
  <c r="C8" i="9"/>
  <c r="D11" i="9"/>
  <c r="G70" i="9"/>
  <c r="F17" i="9" s="1"/>
  <c r="G17" i="9" s="1"/>
  <c r="G71" i="9"/>
  <c r="F11" i="9" s="1"/>
  <c r="G11" i="9" s="1"/>
  <c r="F27" i="9"/>
  <c r="G27" i="9" s="1"/>
  <c r="F24" i="9"/>
  <c r="G24" i="9" s="1"/>
  <c r="G64" i="9"/>
  <c r="F10" i="9" s="1"/>
  <c r="G10" i="9" s="1"/>
  <c r="G62" i="9"/>
  <c r="F9" i="9" s="1"/>
  <c r="G9" i="9" s="1"/>
  <c r="F26" i="9"/>
  <c r="G26" i="9" s="1"/>
  <c r="C18" i="9" l="1"/>
  <c r="C29" i="9"/>
  <c r="F8" i="9"/>
  <c r="G8" i="9" s="1"/>
  <c r="C8" i="5"/>
  <c r="I10" i="3"/>
  <c r="H10" i="3"/>
  <c r="M9" i="3"/>
  <c r="J10" i="3"/>
  <c r="M10" i="3" s="1"/>
  <c r="G13" i="11"/>
  <c r="E20" i="11"/>
  <c r="E19" i="11"/>
  <c r="E18" i="11"/>
  <c r="E17" i="11"/>
  <c r="E16" i="11"/>
  <c r="E15" i="11"/>
  <c r="E14" i="11"/>
  <c r="E13" i="11"/>
  <c r="E12" i="11"/>
  <c r="E11" i="11"/>
  <c r="E10" i="11"/>
  <c r="E9" i="11"/>
  <c r="E8" i="11"/>
  <c r="E7" i="11"/>
  <c r="E6" i="11"/>
  <c r="E5" i="11"/>
  <c r="E4" i="11"/>
  <c r="E3" i="11"/>
  <c r="E21" i="11" s="1"/>
  <c r="F18" i="9" l="1"/>
  <c r="G18" i="9" s="1"/>
  <c r="F29" i="9"/>
  <c r="G13" i="9"/>
  <c r="L12" i="3"/>
  <c r="G29" i="9" l="1"/>
  <c r="K24" i="9" s="1"/>
  <c r="F37" i="9"/>
  <c r="G25" i="9"/>
  <c r="K8" i="9"/>
  <c r="F14" i="9"/>
  <c r="G14" i="9" s="1"/>
  <c r="F19" i="9"/>
  <c r="G19" i="9" s="1"/>
  <c r="L17" i="9" s="1"/>
  <c r="K17" i="9"/>
  <c r="G37" i="9" l="1"/>
  <c r="F44" i="9"/>
  <c r="G44" i="9" s="1"/>
  <c r="L8" i="9"/>
  <c r="F31" i="9"/>
  <c r="G31" i="9" s="1"/>
  <c r="L24" i="9" s="1"/>
  <c r="F38" i="9"/>
  <c r="G38" i="9" s="1"/>
  <c r="L35" i="9" s="1"/>
  <c r="K35" i="9"/>
  <c r="K52" i="9" s="1"/>
  <c r="G16" i="9"/>
  <c r="G7" i="9"/>
  <c r="H7" i="9" s="1"/>
  <c r="M16" i="3"/>
  <c r="L17" i="3" s="1"/>
  <c r="G23" i="9" l="1"/>
  <c r="H23" i="9" s="1"/>
  <c r="M24" i="9" s="1"/>
  <c r="K42" i="9"/>
  <c r="F45" i="9"/>
  <c r="G45" i="9" s="1"/>
  <c r="L42" i="9" s="1"/>
  <c r="L52" i="9"/>
  <c r="H34" i="9"/>
  <c r="H16" i="9"/>
  <c r="M17" i="9" s="1"/>
  <c r="M8" i="9"/>
  <c r="G34" i="4"/>
  <c r="H34" i="4" s="1"/>
  <c r="H33" i="4"/>
  <c r="H32" i="4"/>
  <c r="H31" i="4"/>
  <c r="H30" i="4"/>
  <c r="H29" i="4"/>
  <c r="H28" i="4"/>
  <c r="H27" i="4"/>
  <c r="K26" i="4"/>
  <c r="H26" i="4"/>
  <c r="F25" i="4"/>
  <c r="H25" i="4" s="1"/>
  <c r="H24" i="4"/>
  <c r="G19" i="4"/>
  <c r="H19" i="4" s="1"/>
  <c r="H18" i="4"/>
  <c r="H17" i="4"/>
  <c r="H16" i="4"/>
  <c r="H15" i="4"/>
  <c r="H14" i="4"/>
  <c r="F13" i="4"/>
  <c r="H13" i="4" s="1"/>
  <c r="H12" i="4"/>
  <c r="O9" i="3"/>
  <c r="P9" i="3" s="1"/>
  <c r="R8" i="3"/>
  <c r="Q8" i="3"/>
  <c r="P8" i="3"/>
  <c r="M8" i="3"/>
  <c r="S7" i="3"/>
  <c r="G41" i="9" l="1"/>
  <c r="H41" i="9" s="1"/>
  <c r="M42" i="9" s="1"/>
  <c r="M35" i="9"/>
  <c r="M52" i="9" s="1"/>
  <c r="Q9" i="3"/>
  <c r="N8" i="3"/>
  <c r="R9" i="3"/>
  <c r="S9" i="3" s="1"/>
  <c r="S11" i="3" s="1"/>
  <c r="S12" i="3" s="1"/>
  <c r="S8" i="3"/>
  <c r="G20" i="4"/>
  <c r="H20" i="4" s="1"/>
  <c r="G35" i="4"/>
  <c r="H35" i="4" s="1"/>
  <c r="I23" i="4" s="1"/>
  <c r="N9" i="3"/>
  <c r="H51" i="9" l="1"/>
  <c r="M53" i="9" s="1"/>
  <c r="I26" i="4"/>
  <c r="I24" i="4"/>
  <c r="I35" i="4"/>
  <c r="I25" i="4"/>
  <c r="I27" i="4"/>
  <c r="I28" i="4"/>
  <c r="I11" i="4"/>
  <c r="I33" i="4"/>
  <c r="I34" i="4"/>
  <c r="I29" i="4"/>
  <c r="I30" i="4"/>
  <c r="I32" i="4"/>
  <c r="I31" i="4"/>
  <c r="K53" i="9" l="1"/>
  <c r="L53" i="9"/>
  <c r="F5" i="5"/>
  <c r="F6" i="5" s="1"/>
  <c r="N21" i="3"/>
  <c r="K21" i="3" s="1"/>
  <c r="I16" i="4"/>
  <c r="I18" i="4"/>
  <c r="I14" i="4"/>
  <c r="I12" i="4"/>
  <c r="I13" i="4"/>
  <c r="I15" i="4"/>
  <c r="I19" i="4"/>
  <c r="I17" i="4"/>
  <c r="I20" i="4"/>
  <c r="F4" i="15" l="1"/>
  <c r="F8" i="5"/>
  <c r="F11" i="5" s="1"/>
  <c r="C10" i="5"/>
  <c r="F9" i="5"/>
  <c r="M21" i="3"/>
  <c r="K22" i="15" l="1"/>
  <c r="G36" i="15"/>
  <c r="I36" i="15" s="1"/>
  <c r="K36" i="15" s="1"/>
  <c r="K15" i="15"/>
  <c r="K34" i="15"/>
  <c r="K19" i="15"/>
  <c r="G46" i="15"/>
  <c r="I46" i="15" s="1"/>
  <c r="K46" i="15" s="1"/>
  <c r="G47" i="15"/>
  <c r="I47" i="15" s="1"/>
  <c r="K47" i="15" s="1"/>
  <c r="K21" i="15"/>
  <c r="K26" i="15"/>
  <c r="K13" i="15"/>
  <c r="K51" i="15"/>
  <c r="K50" i="15" s="1"/>
  <c r="K44" i="15"/>
  <c r="K25" i="15"/>
  <c r="K40" i="15"/>
  <c r="K29" i="15"/>
  <c r="G39" i="15"/>
  <c r="G37" i="15"/>
  <c r="I37" i="15" s="1"/>
  <c r="K37" i="15" s="1"/>
  <c r="K17" i="15"/>
  <c r="G38" i="15"/>
  <c r="I38" i="15" s="1"/>
  <c r="K38" i="15" s="1"/>
  <c r="G33" i="15"/>
  <c r="I33" i="15" s="1"/>
  <c r="K18" i="15"/>
  <c r="K16" i="15"/>
  <c r="K14" i="15"/>
  <c r="K30" i="15"/>
  <c r="K10" i="15"/>
  <c r="K9" i="15" s="1"/>
  <c r="K20" i="15"/>
  <c r="K23" i="15"/>
  <c r="G35" i="15"/>
  <c r="I35" i="15" s="1"/>
  <c r="K35" i="15" s="1"/>
  <c r="K45" i="15"/>
  <c r="K31" i="15"/>
  <c r="K12" i="15"/>
  <c r="K48" i="15"/>
  <c r="K28" i="15"/>
  <c r="K11" i="15"/>
  <c r="K24" i="15"/>
  <c r="M23" i="3"/>
  <c r="L32" i="3"/>
  <c r="L28" i="3"/>
  <c r="M22" i="3"/>
  <c r="K33" i="15" l="1"/>
  <c r="G42" i="15"/>
  <c r="I42" i="15" s="1"/>
  <c r="I39" i="15"/>
  <c r="K39" i="15" s="1"/>
  <c r="G43" i="15"/>
  <c r="I43" i="15" s="1"/>
  <c r="K43" i="15" s="1"/>
  <c r="M28" i="3"/>
  <c r="M29" i="3"/>
  <c r="L24" i="3"/>
  <c r="L34" i="3" s="1"/>
  <c r="K34" i="3" s="1"/>
  <c r="K42" i="15" l="1"/>
  <c r="J41" i="15"/>
  <c r="K41" i="15" s="1"/>
  <c r="J32" i="15"/>
  <c r="L30" i="3"/>
  <c r="L33" i="3"/>
  <c r="K35" i="3"/>
  <c r="K32" i="15" l="1"/>
  <c r="K27" i="15" s="1"/>
  <c r="K52" i="15" s="1"/>
  <c r="J52" i="15"/>
  <c r="L35" i="3"/>
  <c r="L36" i="3" s="1"/>
  <c r="L38" i="3" s="1"/>
  <c r="K56" i="15" l="1"/>
  <c r="C7" i="5"/>
  <c r="C12" i="5" l="1"/>
  <c r="F7" i="5"/>
  <c r="F12" i="5" s="1"/>
  <c r="F13" i="5" s="1"/>
</calcChain>
</file>

<file path=xl/sharedStrings.xml><?xml version="1.0" encoding="utf-8"?>
<sst xmlns="http://schemas.openxmlformats.org/spreadsheetml/2006/main" count="762" uniqueCount="453">
  <si>
    <t xml:space="preserve">Revisión de tablero de distribución eléctrica existente para puesta en marcha con reposición parcial de materiales eléctricos para el correcto funcionamiento </t>
  </si>
  <si>
    <t>UN</t>
  </si>
  <si>
    <t>ALAMBRE AISLADO COBRE #12 THW</t>
  </si>
  <si>
    <t>ML</t>
  </si>
  <si>
    <t>ALAMBRE AISLADO COBRE #14 THW</t>
  </si>
  <si>
    <t>TABLERO 4  A 6  CIRCUITOS</t>
  </si>
  <si>
    <t>ACCESORIOS AD Cable encauchetado electrico 2 x 16 AWG x 25m</t>
  </si>
  <si>
    <t>AUTOMATICO DE 15 - 60 A</t>
  </si>
  <si>
    <t>TORNILLO D= 1/8"</t>
  </si>
  <si>
    <t>CUADRILLA EE - INSTALACIONES ELECTRICAS</t>
  </si>
  <si>
    <t>H/C</t>
  </si>
  <si>
    <t>HERRAMIENTA MENOR ELECTRICA</t>
  </si>
  <si>
    <t>% H/C</t>
  </si>
  <si>
    <t>CABLE ENCAUCHETADO 3X10 LONG</t>
  </si>
  <si>
    <t>mt</t>
  </si>
  <si>
    <t>ALAMBRE AISLADO COBRE #10 THW (2 FASES)</t>
  </si>
  <si>
    <t>AUTOMATICO DE 40A TABLERO DE CONTROL - CIRCUITO EQUIPOS MX 1,5HP</t>
  </si>
  <si>
    <t>AUTOMATICO DE 5A TABLERO DE CONTROL - CIRCUITO EQUIPOS MX 0,5HP</t>
  </si>
  <si>
    <t xml:space="preserve">CAJA PLASTICA DE INTERCVONEXION DE 10X10 PARA EMPALME DE ACOMETIDA Y CONTRAL DE 220V </t>
  </si>
  <si>
    <t xml:space="preserve">TUBO CONDUIT 1/2´´ PARA ACOMETIDA AEREA + DOS CURVAS INCLUYE PEGANTES Y CONECCION </t>
  </si>
  <si>
    <t xml:space="preserve">ABRAZADERAS PALSTICAS  Y CONECTORES DE EMPALME PLASTICOS </t>
  </si>
  <si>
    <t>Acometida electrica con proteccion en tablero de distribucion 220v con disposicion en tablero interno como control y mando de equipos tecnologicos a 110v con sus respectivas conecciones (fases + tierra) y verificacion de amperajes  y cargas  de tableros.</t>
  </si>
  <si>
    <t>CABLE ENCAUCHETADO 3X8 LONG</t>
  </si>
  <si>
    <t>Acometida electrica con proteccion en tablero de distribucion 220v con disposicion en tablero interno en laboratorio de sulos + tablero de micropropagacion como control y mando de equipos tecnologicos a 110v con sus respectivas conecciones (fases + tierra) y verificacion de amperajes  y cargas  de tableros.</t>
  </si>
  <si>
    <t>alt 2</t>
  </si>
  <si>
    <t>alt 1</t>
  </si>
  <si>
    <t>AUTOMATICO DE 20A TABLERO DE CONTROL - CIRCUITO EQUIPOS BOMBAS</t>
  </si>
  <si>
    <t>UND</t>
  </si>
  <si>
    <t xml:space="preserve">CAJA DE TABLERO DE CIRCUITOS BIFASICOS DE 6 CIRCUITOS DE 220V CON TIERRA </t>
  </si>
  <si>
    <t>PROTECCION DE 2X50  AMPERIOR PARA TABLERO DE DISTRIBUCION PRINICPAL DE 220V</t>
  </si>
  <si>
    <t>%</t>
  </si>
  <si>
    <t>JUSTIFICACION AIU (ADMINITRACION, UTILIDAD E IMPREVISTOS)</t>
  </si>
  <si>
    <t xml:space="preserve">1. COSTOS DE PROFESIONAL AREA TECNICA </t>
  </si>
  <si>
    <t>ÍTEM</t>
  </si>
  <si>
    <t>EXPERIENCIA REQUERIDA</t>
  </si>
  <si>
    <t>CANTIDAD</t>
  </si>
  <si>
    <t>DEDICACION (%)</t>
  </si>
  <si>
    <t>UNIDAD DE MEDIDA</t>
  </si>
  <si>
    <t>VALOR UNITARIO</t>
  </si>
  <si>
    <t>VALOR TOTAL</t>
  </si>
  <si>
    <t>DISCRIMINACION SALARIO</t>
  </si>
  <si>
    <t>SALUD</t>
  </si>
  <si>
    <t>REISGO</t>
  </si>
  <si>
    <t>PENSION</t>
  </si>
  <si>
    <t>TOTAL</t>
  </si>
  <si>
    <t>Mano de Obra Calificada</t>
  </si>
  <si>
    <t>BASE</t>
  </si>
  <si>
    <t>BASE REAL</t>
  </si>
  <si>
    <t xml:space="preserve">Ingeneiro civil </t>
  </si>
  <si>
    <t>Profesional universitariocon experiencia mayor a 6 meses</t>
  </si>
  <si>
    <t xml:space="preserve">Mes </t>
  </si>
  <si>
    <t>Pagos responsabilidad salud, riesgo y pension</t>
  </si>
  <si>
    <t>pago de salud, riesgo y pension en funcion de 40% base de cotizacion del valor total de personal</t>
  </si>
  <si>
    <t>VARIABLE</t>
  </si>
  <si>
    <t>GLB</t>
  </si>
  <si>
    <t>SUMATORIA TOTAL DE PAGO SLUD</t>
  </si>
  <si>
    <t>FACTOR VARIABLE DE PAGO SALUD</t>
  </si>
  <si>
    <t>2. COSTOS PAPELIA Y OTROS  (estimados para el desarrollo de la actividad)</t>
  </si>
  <si>
    <t>DESCRIPCIÓN COSTOS INDIRECTOS</t>
  </si>
  <si>
    <t>UNIDAD</t>
  </si>
  <si>
    <t>MESES</t>
  </si>
  <si>
    <t>COSTO PARCIAL</t>
  </si>
  <si>
    <t xml:space="preserve">Trasnporte y desplazamientos, Papelería, Copias, plotear de planos , preparación  y entraga de los inforemes tecnicos, cuentas de cobro, preparacion de bitacoras entre otros  profesionales tanto fisicos como digitales </t>
  </si>
  <si>
    <t>Global</t>
  </si>
  <si>
    <t>SUBTOTAL COSTOS INDIRECTOS</t>
  </si>
  <si>
    <t>3. DOCUMENTOS DE LEGALIZACION DEL CONTRATO DE OBRA Y RETENCIONES COMO COSTOS ADMINITRATIVOS</t>
  </si>
  <si>
    <t>COSTO DIRECTO DE OBRA</t>
  </si>
  <si>
    <t xml:space="preserve">Polizas de buen manejo del anticipo (50%) , Cumplimiento (10%) y prestaciones(5%) </t>
  </si>
  <si>
    <t>Impuesto departamental a la contruccion de obra civil</t>
  </si>
  <si>
    <t>Retencion del ICA</t>
  </si>
  <si>
    <t xml:space="preserve">SUBTOTAL COSTOS DE LEGALIZACION E IMPUESTOS </t>
  </si>
  <si>
    <t>4. COSTOS INDIRECTOS GENERALES DEL AIU%</t>
  </si>
  <si>
    <t>IMPREVISTOS</t>
  </si>
  <si>
    <t>UTILIDAD</t>
  </si>
  <si>
    <t>SUBTOTAL COSTOS DE INDIRECTOR DEL AIU%</t>
  </si>
  <si>
    <t xml:space="preserve">VALOR DIRECTO DE OBRA </t>
  </si>
  <si>
    <t xml:space="preserve">IVA SOBRE UTIIDAD </t>
  </si>
  <si>
    <t>VALOR Y PORCENTAJE DE ADMINISTRACION DEL AIU%</t>
  </si>
  <si>
    <t>COSTO TOTAL  INDIRECTO AIU%</t>
  </si>
  <si>
    <t>RETENCION 2%</t>
  </si>
  <si>
    <t>COSTO TOTAL  OBRA DIRECTO + INDIRECTA (INCLUYE  AIU%)</t>
  </si>
  <si>
    <r>
      <rPr>
        <b/>
        <i/>
        <sz val="11"/>
        <color theme="1"/>
        <rFont val="Calibri"/>
        <family val="2"/>
        <scheme val="minor"/>
      </rPr>
      <t xml:space="preserve">NOTA NO.1: Los honorarios establecidos en la tabla de costo de personal es obtenido en fundamento a la  RESOLUCIÓN No. 001 IES CINOC: </t>
    </r>
    <r>
      <rPr>
        <i/>
        <sz val="11"/>
        <color theme="1"/>
        <rFont val="Calibri"/>
        <family val="2"/>
        <scheme val="minor"/>
      </rPr>
      <t xml:space="preserve">(De enero  2024): Por medio del cual se modifica la tabla de honorarios para los contratistas por prestación de servicios profesionales y de apoyo a la gestión de la IES CINOC para la vigencia 2022. segun el </t>
    </r>
    <r>
      <rPr>
        <b/>
        <i/>
        <sz val="11"/>
        <color theme="1"/>
        <rFont val="Calibri"/>
        <family val="2"/>
        <scheme val="minor"/>
      </rPr>
      <t>ARTÍCULO PRIMERO:</t>
    </r>
    <r>
      <rPr>
        <i/>
        <sz val="11"/>
        <color theme="1"/>
        <rFont val="Calibri"/>
        <family val="2"/>
        <scheme val="minor"/>
      </rPr>
      <t xml:space="preserve"> Adoptar para la vigencia 2022, la tabla que fija los honorarios, los cuales no incluyen IVA, para los contratos por prestación de servicios profesionales y de apoyo a la gestión suscritos entre personas naturales y el Colegio Integrado Nacional Oriente de Caldas – IES CINOC, teniendo en cuenta el nivel de formación y experiencia. </t>
    </r>
  </si>
  <si>
    <r>
      <rPr>
        <b/>
        <i/>
        <sz val="11"/>
        <color theme="1"/>
        <rFont val="Calibri"/>
        <family val="2"/>
        <scheme val="minor"/>
      </rPr>
      <t>NOTA NO.2:</t>
    </r>
    <r>
      <rPr>
        <i/>
        <sz val="11"/>
        <color theme="1"/>
        <rFont val="Calibri"/>
        <family val="2"/>
        <scheme val="minor"/>
      </rPr>
      <t xml:space="preserve"> Los</t>
    </r>
    <r>
      <rPr>
        <b/>
        <i/>
        <sz val="11"/>
        <color theme="1"/>
        <rFont val="Calibri"/>
        <family val="2"/>
        <scheme val="minor"/>
      </rPr>
      <t xml:space="preserve"> conceptos, bases y tarifas de retención en la fuente</t>
    </r>
    <r>
      <rPr>
        <i/>
        <sz val="11"/>
        <color theme="1"/>
        <rFont val="Calibri"/>
        <family val="2"/>
        <scheme val="minor"/>
      </rPr>
      <t xml:space="preserve"> segun lo establecido por la DIAN para año agravante es 2024 según lo establecido y el presupuesto asignado a esta contratación comprende todos los costos que se puedan generar. Comprende todos los gastos, impuestos, ganancias, imprevistos, deducciones, y retenciones que legalmente haya lugar (EMPRESA CON RUP-RUT, PESONA JURUIDCA, PERSONA NATURAL Y /O CONSORCIOS); valores generados con la presentación de La oferta, suscripción del contrato y su posterior ejecución. Por lo tanto, el proponente deberá proyectar todos los costos directos e indirectos en que pudiera incurrir durante la ejecución del contrato como se presenta el la tabla y correspondan a su situacion financiera y contable de orden juridco que haya lugar.</t>
    </r>
  </si>
  <si>
    <t xml:space="preserve"> tecnologo En electricidad</t>
  </si>
  <si>
    <t>Tecnólogo o tecnico con experiencia de 5 años de educación superior aprobados a pártir de la expediciion de la resolucion de aprobacion de tecnologia</t>
  </si>
  <si>
    <t>DESCRIPCION DE AREA:</t>
  </si>
  <si>
    <t>ADMINISTRACION</t>
  </si>
  <si>
    <t>IVA SOBRE UTILIDAD</t>
  </si>
  <si>
    <t>TOTAL AIU%</t>
  </si>
  <si>
    <t>COSTO TOTAL  OBRA DIRECTO + INDIRECTA (INCLUYE  AIU%+IVA%/U%)</t>
  </si>
  <si>
    <t>PRECIO 1</t>
  </si>
  <si>
    <t>PRECIO 2</t>
  </si>
  <si>
    <t>PROMEDIO</t>
  </si>
  <si>
    <t xml:space="preserve">DESCRIPCION </t>
  </si>
  <si>
    <t>CABLE NO.8 ACOMETIDA</t>
  </si>
  <si>
    <t>OBSERVACION</t>
  </si>
  <si>
    <t>3 METROS EL TUBO</t>
  </si>
  <si>
    <t>8M</t>
  </si>
  <si>
    <t>1F+1N+1T</t>
  </si>
  <si>
    <t>TUBO</t>
  </si>
  <si>
    <t>TUBO SCH40 3/4 PULG</t>
  </si>
  <si>
    <t>Presupuesto en base a ficha insumos sala híbrida</t>
  </si>
  <si>
    <t>DESCRIPCIÓN</t>
  </si>
  <si>
    <t>LINK BASE DE REFERENCIA EQUIPO</t>
  </si>
  <si>
    <t>VALOR UNITARIO PROMEDIO</t>
  </si>
  <si>
    <t>REFERENCIA</t>
  </si>
  <si>
    <t>UPS UPS ON-LINE 3000VA/2700W DOBLE CONVERSIÓN ENTRADA 120VA,RACK</t>
  </si>
  <si>
    <t>https://www.assvirt.co/MCO-2177941246-ups-on-line-3000va2700w-doble-conversion-entrada-120varack-_JM?variation=179775262488</t>
  </si>
  <si>
    <t>SWITCH DE 24 PUERTOS + 2 SFP</t>
  </si>
  <si>
    <t>https://www.mercadolibre.com.co/switch-ubiquiti-usw-24-gigabit-24-puertos-2-sfp/p/MCO21904013?item_id=MCO2666763782&amp;from=gshop&amp;matt_tool=56249061&amp;matt_word=&amp;matt_source=google&amp;matt_campaign_id=14634237764&amp;matt_ad_group_id=153732147068&amp;matt_match_type=&amp;matt_network=g&amp;matt_device=c&amp;matt_creative=644988712033&amp;matt_keyword=&amp;matt_ad_position=&amp;matt_ad_type=pla&amp;matt_merchant_id=735127761&amp;matt_product_id=MCO21904013-product&amp;matt_product_partition_id=2265590047140&amp;matt_target_id=pla-2265590047140&amp;cq_src=google_ads&amp;cq_cmp=14634237764&amp;cq_net=g&amp;cq_plt=gp&amp;cq_med=pla&amp;gad_source=1&amp;gclid=Cj0KCQjw99e4BhDiARIsAISE7P_V1_wYycbuL7ivq2ddy1C1t2zfD_HmfzzKB2xDNudG9iPkc-OdI4oaAvrZEALw_wcB</t>
  </si>
  <si>
    <t>PATCH PANEL 24 PUERTOS RACK CATEGORÍA 6 CAT 6 RJ45</t>
  </si>
  <si>
    <t>https://articulo.mercadolibre.com.co/MCO-1469187892-patch-panel-24-puertos-rack-categoria-6-cat-6-rj45-3bumen-_JM?matt_tool=57917396&amp;matt_word=&amp;matt_source=google&amp;matt_campaign_id=14633847075&amp;matt_ad_group_id=148395910067&amp;matt_match_type=&amp;matt_network=g&amp;matt_device=c&amp;matt_creative=645618829900&amp;matt_keyword=&amp;matt_ad_position=&amp;matt_ad_type=pla&amp;matt_merchant_id=213103117&amp;matt_product_id=MCO1469187892&amp;matt_product_partition_id=2188687378239&amp;matt_target_id=pla-2188687378239&amp;cq_src=google_ads&amp;cq_cmp=14633847075&amp;cq_net=g&amp;cq_plt=gp&amp;cq_med=pla&amp;gad_source=1&amp;gclid=Cj0KCQjw99e4BhDiARIsAISE7P81ZrTr375HVsha35oc78lNzfqjCXMEQmoyhEAoAFpQW9tRu9VLmTEaAhC-EALw_wcB</t>
  </si>
  <si>
    <t>Rack Gabinete De Piso 24 Ru (120x60x60 )</t>
  </si>
  <si>
    <t>https://articulo.mercadolibre.com.co/MCO-503430199-rack-gabinete-de-piso-24-ru-120x60x60--_JM?matt_tool=58736426&amp;matt_word=&amp;matt_source=google&amp;matt_campaign_id=14634237761&amp;matt_ad_group_id=158151082555&amp;matt_match_type=&amp;matt_network=g&amp;matt_device=c&amp;matt_creative=686481802696&amp;matt_keyword=&amp;matt_ad_position=&amp;matt_ad_type=pla&amp;matt_merchant_id=155460926&amp;matt_product_id=MCO503430199&amp;matt_product_partition_id=2266584640481&amp;matt_target_id=pla-2266584640481&amp;cq_src=google_ads&amp;cq_cmp=14634237761&amp;cq_net=g&amp;cq_plt=gp&amp;cq_med=pla&amp;gad_source=1&amp;gclid=Cj0KCQjw99e4BhDiARIsAISE7P8FXfWknP20UpWiS0MUJigchnBE6SYbII73Ve0PWt2hsvW8JzX_FeMaAiMkEALw_wcB</t>
  </si>
  <si>
    <t>CABLE UTP CAT 6 100% COBRE</t>
  </si>
  <si>
    <t>https://www.homecenter.com.co/homecenter-co/product/659484/cable-utp-cat-6-100-cobre/659484/?kid=goosho_1161562&amp;shop=googleShopping&amp;gad_source=1&amp;gclid=Cj0KCQjw99e4BhDiARIsAISE7P8kguXNqFvRlXiKR49Zq-FAYku-r1PejwT-hpkpWw0AtnKncF6ePKEaArXAEALw_wcB</t>
  </si>
  <si>
    <t>FACEPLATE DE 1 PUERTO PARA JACK RJ45.</t>
  </si>
  <si>
    <t>https://articulo.mercadolibre.com.co/MCO-537133448-faceplate-de-1-puerto-para-jack-rj45-infinite-_JM?matt_tool=19390127&amp;utm_source=google_shopping&amp;utm_medium=organic</t>
  </si>
  <si>
    <t>TOMACORRIENTE NARANJA CON TAPA.POLO AISLADO REGULADA</t>
  </si>
  <si>
    <t>https://articulo.mercadolibre.com.co/MCO-503780537-tomacorriente-naranja-con-tapapolo-aislado-regulada-_JM</t>
  </si>
  <si>
    <t xml:space="preserve">SOPORTE MÓVIL PARA PANTALLA </t>
  </si>
  <si>
    <t>https://www.technoimport.com.co/soporte-m%C3%B3vil</t>
  </si>
  <si>
    <t>MINI AMPLIFICADOR DE AUDIO</t>
  </si>
  <si>
    <t>https://www.bhphotovideo.com/c/product/1045265-REG/soundtube_entertainment_sa502_50w_class_d.html/specs</t>
  </si>
  <si>
    <t>PAR DE ALTAVOCES DE TECHO DE 2 VIAS</t>
  </si>
  <si>
    <t>https://www.ebay.com/itm/326150448154?_skw=Extron+Sf+26x&amp;itmmeta=01JATMDJ4BDD1EQJ4K9JDWCGVT&amp;hash=item4bf014e41a:g:ggEAAOSw~shmXhsV&amp;itmprp=enc%3AAQAJAAAA0HoV3kP08IDx%2BKZ9MfhVJKnKOLYQ46nzS4qQXS2cVOeFN%2BBqNYdy%2Fxec%2B467am%2FWZvqbt4yB%2FRD%2FPM5U5cOhCuSLuaHs--aQppcQJeJD9ijzIm%2Blwjg%2FwD%2FZceSNY4nY%2FdkuRefod57%2FRlp5eQRCan2torzQjkRLLwDZpJ8dff6ni8cluVoChk2A7HeD6MyB99FpBy%2BaX9sTTOhNIPXwoSUezKmc8ccg4%2BqNiKl3vLdUGfFwGvkdCaqRg1QxWSVApQw%2BwIzDBbI7fNZ28E2B39k%3D%7Ctkp%3ABk9SR6CittTWZA</t>
  </si>
  <si>
    <t>ROLLO DE CABLE #12 X 100M</t>
  </si>
  <si>
    <t>https://www.homecenter.com.co/homecenter-co/product/56075/cable-12-100-metros-blanco-conectores-y-cables/56075/?kid=goosho_1161562&amp;shop=googleShopping&amp;gad_source=1&amp;gclid=Cj0KCQjwmt24BhDPARIsAJFYKk01XCse0hMiK8cLI8LE62DCOg7y-KQaX3MbcvEpk-tTy9YHLkd8VsoaAqvzEALw_wcB</t>
  </si>
  <si>
    <t>CABLE DE ALTAVOZ 16 AWG CALIBRE</t>
  </si>
  <si>
    <t>https://www.ebay.com/itm/116243804878?itmmeta=01JATWM2K79430MFYXQA94MP49&amp;hash=item1b10abb2ce:g:GSMAAOSwlQBmimoX&amp;itmprp=enc%3AAQAJAAAAwMxmj%2BiGvOveHXEBClPb29hSzlQFrnd7l9Z3jlxBgP%2FyGjMDQQ15dMkjjF%2BFJQspXI9etBd80FZ%2BWL%2FUPBqOppeY8yl38%2B4LDXv%2BYXo9b5n33iIiuPX45yPtC0oRbi2m2ta5jVJOejGl0c%2FM3QRLrwWw%2B1wwIZwpyHHG3c6YQWT8Ra41dX3m4WlVuAHntGUsQZcdPGvUSojRfPXbsK%2Bi5860WLPCmYiJFvKwKMTfF84cCzKPAyayJ30zusBdQlDKNg%3D%3D%7Ctkp%3ABk9SR9ip0NzWZA&amp;var=416470279428</t>
  </si>
  <si>
    <t>PROCESADOR AUDIO DE CONFERENCIA</t>
  </si>
  <si>
    <t>https://articulo.mercadolibre.com.co/MCO-547990471-procesador-shure-de-conferencias-intellimix-p300-imx-_JM</t>
  </si>
  <si>
    <t>SISTEMA INALÁMBRICO RECEPTOR DOBLE MIC</t>
  </si>
  <si>
    <t>https://www.audiocentro.com.co/tienda/mic-inalambrico-shure-blx1288-cvl-j10/</t>
  </si>
  <si>
    <t>CABLE PROEL BULK XLR CANON BLINDADO PARA MICROFONO 1 METRO</t>
  </si>
  <si>
    <t>https://www.mercadolibre.com.co/cable-proel-bulk-xlr-canon-blindado-para-microfono-1-metro/p/MCO22731336#polycard_client=search-nordic&amp;searchVariation=MCO22731336&amp;position=4&amp;search_layout=stack&amp;type=product&amp;tracking_id=189894ce-cb84-4b67-b979-4b0abbc3b817&amp;wid=MCO1409888939&amp;sid=search</t>
  </si>
  <si>
    <t>CABLE 2X1 1.8 MTS ALTA CALIDAD</t>
  </si>
  <si>
    <t>https://ccmtiendadelsonido.com/producto/cable-2x1-rca-a-35-maxlin-mx500l1-8-18mt/</t>
  </si>
  <si>
    <t>TOTAL INSUMOS</t>
  </si>
  <si>
    <t>CONECTORES RESORTE</t>
  </si>
  <si>
    <t>ROJO AMARILLO</t>
  </si>
  <si>
    <t>BREAKE  2X40</t>
  </si>
  <si>
    <t>EMT 3/4PULGADA</t>
  </si>
  <si>
    <t xml:space="preserve">CAJAS 10X10 PLASTICA </t>
  </si>
  <si>
    <t>COSTO DIRECTO SUBPROYECTO 1</t>
  </si>
  <si>
    <t xml:space="preserve">DESCRIPCION DE INUSMO </t>
  </si>
  <si>
    <t>CABLE NO.8 AWG</t>
  </si>
  <si>
    <t>CABLE ENCAUCHETADO DE 3X8 AWG</t>
  </si>
  <si>
    <t>CONECTORES RESORTES DE CABLES</t>
  </si>
  <si>
    <t>BREAKS 2X40AMP</t>
  </si>
  <si>
    <t>CUADRILLA EE ELECTRICA (HR)</t>
  </si>
  <si>
    <t>HERRAMIENTA MENOR %MO</t>
  </si>
  <si>
    <t>%MO</t>
  </si>
  <si>
    <t>M/O</t>
  </si>
  <si>
    <t>CUADRILLA</t>
  </si>
  <si>
    <t>TUBO CONDUIT SCH 40  DIAMETRO 3/4PULG}</t>
  </si>
  <si>
    <t xml:space="preserve">ANDAMIO + RUEDAS + LINEAS DE VIDA + ARNES INCLUYE TRANSPORTE </t>
  </si>
  <si>
    <t xml:space="preserve">SUMINISTRO E INTALACION DE ACOMETIDA ELECTRICA DE TABLERO A PUNTOS CONEXIÓN AIRES SOBRE CIELO FALSO EN CABLE NO.8 EN DUCTO </t>
  </si>
  <si>
    <t>SUMINISTRO E INTALACION DE CIRCUITO ELECTRICA BIFASICA EN CABLE NO.8 A TABLERO EXISTENTE</t>
  </si>
  <si>
    <t>Tecnico en sistemas</t>
  </si>
  <si>
    <t>AIRES ACONDICIONADOS</t>
  </si>
  <si>
    <t>HERRAMIENTA MENOR %</t>
  </si>
  <si>
    <t>INSMUMOS</t>
  </si>
  <si>
    <t>SUMATORIA COSTO DIRECTO SUBPROYECTOS</t>
  </si>
  <si>
    <t>CAJA RADWELD</t>
  </si>
  <si>
    <t>EXTERIORES</t>
  </si>
  <si>
    <t>Caja De Paso Plástica 10x10 Blanca hermetica</t>
  </si>
  <si>
    <t>Caja RADWELL Fundicion Aluminio 2400 con salida 1 Pulgada 4-5 Huecos TGB1005X</t>
  </si>
  <si>
    <t>Coraza Galvanizada 3/4 Pg 5 Mt - Metal Coraza</t>
  </si>
  <si>
    <t>Tubo EMT UL 3/4-pulg -  x 3 metros</t>
  </si>
  <si>
    <t>COTIZACION VIRTUAL NO.1</t>
  </si>
  <si>
    <t>COTIZACION VIRTUAL NO.2</t>
  </si>
  <si>
    <t>https://interelectricas.com.co/tuberia-metalica-y-pvc/2183-tubo-metalico-emt-de-3-4-pulgadas-x-3-mts.html</t>
  </si>
  <si>
    <t>https://www.homecenter.com.co/homecenter-co/product/374300</t>
  </si>
  <si>
    <t xml:space="preserve">COTIZACION FUENTE </t>
  </si>
  <si>
    <t xml:space="preserve">SUMINISTRO E INTALACION DE CONDUCCION DE SEÑALES ELECTRICA DE UNIDAD EXTERNA A UNIDAD INTERNA POR CORAZA AMERICA Y TUBO EMT 3/4 ANCLAJO CON GRAPA </t>
  </si>
  <si>
    <t>CABLE NO.12  AWG EN CABLE 7 HILOS</t>
  </si>
  <si>
    <t xml:space="preserve">SUMATORIA VALORES DIRECTOS  DEL PROYECTO </t>
  </si>
  <si>
    <t>ANALISIS DEL AIU</t>
  </si>
  <si>
    <t>Valor estimado de la Obra (Costo Directo).</t>
  </si>
  <si>
    <t>Valor</t>
  </si>
  <si>
    <t>Plazo estimado de ejecución.</t>
  </si>
  <si>
    <t>Meses</t>
  </si>
  <si>
    <t>Contratista Persona Natural (SI o NO)</t>
  </si>
  <si>
    <t>SI/NO</t>
  </si>
  <si>
    <t>CAPITULO</t>
  </si>
  <si>
    <t>TIPO DE GASTO</t>
  </si>
  <si>
    <t>CANTIDAD.</t>
  </si>
  <si>
    <t>DEDICACION</t>
  </si>
  <si>
    <t>VLOR UNITARIO (mes)</t>
  </si>
  <si>
    <t>FACTOR PRESTACIONAL O FACTOR AIU (PARA INDIRECTOS)</t>
  </si>
  <si>
    <t>SUMA</t>
  </si>
  <si>
    <t>PORCENTAJE</t>
  </si>
  <si>
    <t>GASTOS GENERALES.</t>
  </si>
  <si>
    <t>MANO DE OBRA Y GASTOS DE OFICINA</t>
  </si>
  <si>
    <r>
      <t xml:space="preserve">Contratista </t>
    </r>
    <r>
      <rPr>
        <sz val="10"/>
        <color indexed="10"/>
        <rFont val="Arial"/>
        <family val="2"/>
      </rPr>
      <t>(solo aplica para personas naturales)</t>
    </r>
  </si>
  <si>
    <t>Un</t>
  </si>
  <si>
    <t>Trabajador social</t>
  </si>
  <si>
    <t xml:space="preserve">Almacenista </t>
  </si>
  <si>
    <t>Celador  con prestaciones</t>
  </si>
  <si>
    <t>Secretaria con prestaciones</t>
  </si>
  <si>
    <t>Contador</t>
  </si>
  <si>
    <t>Equipo de Oficina (Escritorio, pc, impresora, sillas, papeleria)</t>
  </si>
  <si>
    <t>Mes</t>
  </si>
  <si>
    <t>Seguridad industrial personal</t>
  </si>
  <si>
    <t>Plan de Salud ocupacional y seguridad industrial</t>
  </si>
  <si>
    <t>Sistema de gestion ambiental</t>
  </si>
  <si>
    <t>Sistema de gestion de calidad</t>
  </si>
  <si>
    <t xml:space="preserve">Costos estimados de salud, riesgo y pension en funcion de valor total de cada mano de obra profesional </t>
  </si>
  <si>
    <t>GASTOS INDIRECTOS.</t>
  </si>
  <si>
    <t>LEGALIZACION.</t>
  </si>
  <si>
    <t>Impuesto de Timbre</t>
  </si>
  <si>
    <t>Publicación diario oficial</t>
  </si>
  <si>
    <t>Licencia de Construccion</t>
  </si>
  <si>
    <t>POLIZAS</t>
  </si>
  <si>
    <t>Seriedad de la Propuesta.</t>
  </si>
  <si>
    <t>Anticipo</t>
  </si>
  <si>
    <t>Cumplimiento</t>
  </si>
  <si>
    <t>Estabilidad</t>
  </si>
  <si>
    <t>Calidad</t>
  </si>
  <si>
    <t>Prestaciones Sociales</t>
  </si>
  <si>
    <t>Responsabilidad Civil</t>
  </si>
  <si>
    <t>Todo riesgo</t>
  </si>
  <si>
    <t>IMPUESTOS Y CONTRIBUCIONES</t>
  </si>
  <si>
    <t>Retencion en la fuente</t>
  </si>
  <si>
    <t>Estampilla Pro - Adulto mayor</t>
  </si>
  <si>
    <t>Estampillas Pro - Universidad.</t>
  </si>
  <si>
    <t>RETEIVA 15% / IVA%</t>
  </si>
  <si>
    <t>RETEICA 1%</t>
  </si>
  <si>
    <t>Industria y Comercio 5 x 1.000 sobre valor total</t>
  </si>
  <si>
    <t>INDIRECTOS</t>
  </si>
  <si>
    <t>TOTAL GASTOS INDIRECTOS DE ADMINISTRACION.</t>
  </si>
  <si>
    <t>IMPREVISTO</t>
  </si>
  <si>
    <t>UTILIDAD:</t>
  </si>
  <si>
    <t>IVA SOBRE UTILIDAD:</t>
  </si>
  <si>
    <t>A.I.U.</t>
  </si>
  <si>
    <t>ALCALDIA DE MANIZALES.</t>
  </si>
  <si>
    <t>Base - Tope</t>
  </si>
  <si>
    <t>Porcentaje</t>
  </si>
  <si>
    <t>Vlor x Millón o fracción.</t>
  </si>
  <si>
    <t>Estampilla Pro-Hospital.</t>
  </si>
  <si>
    <t>Estampilla Pro-Universidad.</t>
  </si>
  <si>
    <t>Timbre</t>
  </si>
  <si>
    <t>Retención en la Fuente.</t>
  </si>
  <si>
    <t>Publicación Diario Oficial.</t>
  </si>
  <si>
    <t>Contribución Especial (Impovias).</t>
  </si>
  <si>
    <t>Industria y comercio (4 X 1.000 Ing. Brutos).</t>
  </si>
  <si>
    <t xml:space="preserve">COSTO DIRECTO  PROYECTO ACOMETIDA AIRES ACONDICIONADOS </t>
  </si>
  <si>
    <t>costos indirectos adicionales no contemplados como papeleria entre otros</t>
  </si>
  <si>
    <t>und</t>
  </si>
  <si>
    <t>CABLE NO.12 ACOMETIDA</t>
  </si>
  <si>
    <t>SUMATORIA GENERAL COSTOS DIRECTOS</t>
  </si>
  <si>
    <t>TABLERO CIRCUITO 1</t>
  </si>
  <si>
    <t>3 LINEAS</t>
  </si>
  <si>
    <t>TABLERO CIRCUITO 2</t>
  </si>
  <si>
    <t>TABLERO CIRCUITO 3</t>
  </si>
  <si>
    <t>4 LINEAS</t>
  </si>
  <si>
    <t>5 LINEAS</t>
  </si>
  <si>
    <t xml:space="preserve">25MTS </t>
  </si>
  <si>
    <t>50 MTS</t>
  </si>
  <si>
    <t xml:space="preserve">LINK CONSULTA VIRTUAL </t>
  </si>
  <si>
    <t>https://www.google.com/search?sca_esv=55e9f3c856495c1e&amp;rlz=1C1CHBD_esCO965CO965&amp;sxsrf=ANbL-n5wEFGUrXUWdVvXcuVQ2IUFf7tMrg:1776283611422&amp;udm=28&amp;fbs=ADc_l-bpk8W4E-qsVlOvbGJcDwpn60DczFdcvPnuv8WQohHLTcTH442KskDyC74HpRHrYUo8DVh0t739Lf9lSmmVxEUO1C2ltbN4C6Q9LHD8THkgoerCV6C3-v3mXqfV2rMHFfFJ-QF2I9M3LO-QOpj3OEYFUgRKLyPyZv1KzHYc7I6cavBWamNzmSUZ0NEVxB9QxBELckizIYJPA-pihQNd-CQEV21h4pi7Id2pBZN33gXdE5u5goM&amp;q=CABLE+ENCAUCHETADO+DE+3X8+AWG&amp;ved=1t:220175&amp;ictx=111&amp;biw=1920&amp;bih=919&amp;dpr=1</t>
  </si>
  <si>
    <t>PRECIO 3</t>
  </si>
  <si>
    <t>CABLE NO.12 AWG rollo 100</t>
  </si>
  <si>
    <t>https://www.google.com/search?q=Cable+Aislado+%23+12+7+Hilos+Negro+X+100+Mts+color+blanco&amp;sca_esv=76a18ee69d7f7d9a&amp;rlz=1C1CHBD_esCO965CO965&amp;biw=1920&amp;bih=919&amp;udm=28&amp;sxsrf=ANbL-n4SH7NtKCkJM-t3Epqy9yBqwnOSRw%3A1773225141296&amp;ei=tUSxafLsEb2GwbkPi8XkqAQ&amp;ved=0ahUKEwiym5210peTAxU9QzABHYsiGUUQ4dUDCCQ&amp;uact=5&amp;oq=Cable+Aislado+%23+12+7+Hilos+Negro+X+100</t>
  </si>
  <si>
    <t>https://www.google.com/search?q=Caja+RADWELL+Fundicion+Aluminio+2400+con+salida+1+Pulgada+5+Huecos+TGB1005X&amp;sca_esv=76a18ee69d7f7d9a&amp;rlz=1C1CHBD_esCO965CO965&amp;biw=1920&amp;bih=919&amp;udm=28&amp;sxsrf=ANbL-n7yITPCcmx-qc1nwBdHxCO0dZoVUA%3A1773224425688&amp;ei=6UGxaeHiKbaawbkPysyrkQY&amp;ved=0ahUKEwih-__fz5eTAxU2TTABHUrmKmIQ4dUDCCQ&amp;uact=5&amp;oq=Caja+RADWELL+Fundicion+Aluminio+2400+con+salida+1+Pulgada+5</t>
  </si>
  <si>
    <t>https://www.google.com/search?q=Coraza+Galvanizada+3%2F4+Pg+5+Mt+-+Metal+Coraza&amp;sca_esv=55e9f3c856495c1e&amp;rlz=1C1CHBD_esCO965CO965&amp;biw=1920&amp;bih=919&amp;udm=28&amp;sxsrf=ANbL-n5FOuQE-fmdQxeqhDSZUg4sMw53Mg%3A1776284822997&amp;ei=lvTfaeTCPLKFwbkPn6Xx6Qw&amp;ved=0ahUKEwjk5ZPP2PCTAxWyQjABHZ9SPM0Q4dUDCCQ&amp;oq=Coraza+Galvanizada+3%2F4+Pg+5+Mt+-+Metal+Coraza&amp;gs_lp=Ehlnd3Mtd2l6LW1vZGVsZXNzLXNob3BwaW5nIi1Db3JhemEgR2FsdmFuaXphZGEgMy80IFBnIDUgTXQgLSBNZXRhbCBDb3JhemFI9yFQAFgAcAB4AZABAJgBgAGgAYABqgEDMC4xuAEMyAEA-AEC-AEBmAIAoAIAmAMAkgcAoAesAbIHALgHAMIHAMgHAIAIAQ&amp;sclient=gws-wiz-modeless-shopping</t>
  </si>
  <si>
    <t>Union EMT Acero C-H 3-4 Pulgadas</t>
  </si>
  <si>
    <t>Terminal-Conector EMT de 3-4 Pulgadas Acero C-H</t>
  </si>
  <si>
    <t>Grapa Tubería Cal. 20 EMT Doble Galvanizada 3/4"</t>
  </si>
  <si>
    <t>https://www.google.com/search?sca_esv=76a18ee69d7f7d9a&amp;rlz=1C1CHBD_esCO965CO965&amp;sxsrf=ANbL-n7Fky1zKQF0o60TgDrkINyCtXiuYw:1773224368969&amp;udm=28&amp;fbs=ADc_l-bpk8W4E-qsVlOvbGJcDwpn60DczFdcvPnuv8WQohHLTcTH442KskDyC74HpRHrYUquKPmtPp4IEQPDuCAuszg_f6lrMfx1yzeTgwnfyamc0O_AALoSLgmfLP2Zg7W_2YBA2UbNXu7k2LaJ5Gv_v_7hvi9_206zFwHmMEIljTYZ18OB8zZ-CzrA5tXSxBNH9UJRhlhTYr_ewUAbso6K52J-e92O5w&amp;q=TUBO+EMT+COLMENA+3/4%27%27+X+3+METROS&amp;ved=1t:220175&amp;ictx=111&amp;biw=1920&amp;bih=919&amp;dpr=1</t>
  </si>
  <si>
    <t>https://www.google.com/search?sca_esv=bb692e0fdf80bd80&amp;rlz=1C1CHBD_esCO965CO965&amp;sxsrf=ANbL-n6E6Ln_QADV8mYCdGqN0pVbQIYmjw:1773252250705&amp;udm=28&amp;fbs=ADc_l-bpk8W4E-qsVlOvbGJcDwpn60DczFdcvPnuv8WQohHLTcTH442KskDyC74HpRHrYUquKPmtPp4IEQPDuCAuszg_f6lrMfx1yzeTgwnfyamc0IC-bBJqJ4JzBROsH8fbxyTwPRmsuyxtLkJwKUi0vdh_MrPZ0WOXG0ZrPkJcSaDkTFwWlN9x7F71IslzL2chTfxN91ZwMEHEFzl7SE1wGE7Uoe6_6AEYzz183H45J_R_xTrs5DU&amp;q=Union+EMT+Acero+C-H+3-4+Pulgadas&amp;ved=1t:220175&amp;ictx=111&amp;biw=2400&amp;bih=1148&amp;dpr=0.8</t>
  </si>
  <si>
    <t>https://www.google.com/search?q=Terminal-Conector+EMT+de+3-4+Pulgadas+Acero+C-H&amp;sca_esv=bb692e0fdf80bd80&amp;rlz=1C1CHBD_esCO965CO965&amp;biw=2400&amp;bih=1148&amp;udm=28&amp;sxsrf=ANbL-n61vxS8bqAU67YvtWI-7Xd8z9fIRQ%3A1773252253549&amp;ei=na6xabChIbqCwbkP0p_JkQs&amp;ved=0ahUKEwjw4621t5iTAxU6QTABHdJPMrIQ4dUDCCQ&amp;uact=5&amp;oq=Terminal-Conector+EMT+de+3-4+Pulgadas+Acero+C-H&amp;gs_lp=Ehlnd3Mtd2l6LW1vZGVsZXNzLXNob3BwaW5nIi9UZXJtaW5hbC1Db25lY3RvciBFTVQgZGUgMy00IFB1bGdhZGFzIEFjZXJvIEMtSEjpBVAAWABwAHgBkAEAmAGUAaABlAGqAQMwLjG4AQPIAQD4AQL4AQGYAgCgAgCYAwCSBwCgBy2yBwC4BwDCBwDIBwCACAA&amp;sclient=gws-wiz-modeless-shopping</t>
  </si>
  <si>
    <t>https://www.google.com/search?q=Grapa+Tuber%C3%ADa+Cal.+20+EMT+Doble+Galvanizada+3%2F4%22&amp;sca_esv=bb692e0fdf80bd80&amp;rlz=1C1CHBD_esCO965CO965&amp;biw=2400&amp;bih=1148&amp;udm=28&amp;sxsrf=ANbL-n4lxuNhwruZDxCzavP8vKm3H5-qIw%3A1773252349199&amp;ei=_a6xaafqC4mQwbkP0ZGKwAQ&amp;ved=0ahUKEwjn3Pvit5iTAxUJSDABHdGIAkgQ4dUDCCQ&amp;uact=5&amp;oq=Grapa+Tuber%C3%ADa+Cal.+20+EMT+Doble+Galvanizada+3%2F4%22&amp;gs_lp=Ehlnd3Mtd2l6LW1vZGVsZXNzLXNob3BwaW5nIjFHcmFwYSBUdWJlcsOtYSBDYWwuIDIwIEVNVCBEb2JsZSBHYWx2YW5pemFkYSAzLzQiSJUMUABYAHAAeAGQAQCYAZYBoAGWAaoBAzAuMbgBA8gBAPgBAvgBAZgCAKACAJgDAJIHAKAHLbIHALgHAMIHAMgHAIAIAA&amp;sclient=gws-wiz-modeless-shopping</t>
  </si>
  <si>
    <t xml:space="preserve">accesorios uniones, termnales </t>
  </si>
  <si>
    <t>ANALISIS DE MANO DE OBRA</t>
  </si>
  <si>
    <t>Datos Basicos año 2026</t>
  </si>
  <si>
    <t>Días del año</t>
  </si>
  <si>
    <t>IPC 2026</t>
  </si>
  <si>
    <t>Subsidio Transporte 2025</t>
  </si>
  <si>
    <t>Salario mínimo 2025</t>
  </si>
  <si>
    <t>Mano de Obra AA - Albañileria</t>
  </si>
  <si>
    <t>Trabajador</t>
  </si>
  <si>
    <t>Valor Base 
Mes</t>
  </si>
  <si>
    <t>Valor Base 
Dia</t>
  </si>
  <si>
    <t>Valor Base Hora</t>
  </si>
  <si>
    <t>Factor 
Prestacional</t>
  </si>
  <si>
    <t>Valor Total
Hora</t>
  </si>
  <si>
    <t>Oficial</t>
  </si>
  <si>
    <t>Ayudante</t>
  </si>
  <si>
    <t>Cuadrilla 1 Oficial + 1 Ayudante</t>
  </si>
  <si>
    <t>Mano de Obra BB - Instalaciones</t>
  </si>
  <si>
    <t>Mano de Obra CC - Pintura</t>
  </si>
  <si>
    <t>Mano de Obra DD - Carpinteria</t>
  </si>
  <si>
    <t>NO.</t>
  </si>
  <si>
    <t>TIPO DE CUADRILLA</t>
  </si>
  <si>
    <t>TIPO  APU</t>
  </si>
  <si>
    <t>UNIDAD CON PRESTACIONES</t>
  </si>
  <si>
    <t>VALOR CUADRILLA</t>
  </si>
  <si>
    <t>Cuadrilla</t>
  </si>
  <si>
    <t>HR - PRESTACIONES</t>
  </si>
  <si>
    <t>Mano de Obra EE - Muros Secos</t>
  </si>
  <si>
    <t>Mano de Obra AAA - Intalacion metalica</t>
  </si>
  <si>
    <t>Mano de Obra FF - Instalaciones Electricas Internas</t>
  </si>
  <si>
    <t>Mano de Obra GG - Instalaciones Alumbrado Publico</t>
  </si>
  <si>
    <t>Base Mes copiado de G49</t>
  </si>
  <si>
    <t>Base Día</t>
  </si>
  <si>
    <t>Base Hora</t>
  </si>
  <si>
    <t>SOLDADOR</t>
  </si>
  <si>
    <t>JORNAL VIGILANTE NOCTURNO</t>
  </si>
  <si>
    <t>SE CALCULA EL DIA</t>
  </si>
  <si>
    <t>PROTECCION SEGUN PROTOCOLO COVID-19</t>
  </si>
  <si>
    <t>AUXILIAR DE ENFEREMERIA</t>
  </si>
  <si>
    <t>VIGIA DE SALUD (AUXILIAR DE ENFERMERIA)</t>
  </si>
  <si>
    <t>AYUDANTE PARA DESINFECCION CONTINUA DE ESPACIOS MEDIO - TIEMPO</t>
  </si>
  <si>
    <t>AYUDANTE PARA DESINFECCION CONTINUA DE ESPACIOS MEDIO TIEMPO</t>
  </si>
  <si>
    <t>CODIGO</t>
  </si>
  <si>
    <t>PERSONAL O CUADRILLA</t>
  </si>
  <si>
    <t>TIPO</t>
  </si>
  <si>
    <t>VALOR BASE</t>
  </si>
  <si>
    <t>FACTOR 
PRESTACIONAL</t>
  </si>
  <si>
    <t>ANALISIS
CALCULO</t>
  </si>
  <si>
    <t>FECHA DE 
ACTUALIZACION</t>
  </si>
  <si>
    <t>P1</t>
  </si>
  <si>
    <t>OFICIAL AA (Albañileria)</t>
  </si>
  <si>
    <t>hr</t>
  </si>
  <si>
    <t>VER ANALISIS MANO DE OBRA</t>
  </si>
  <si>
    <t>P2</t>
  </si>
  <si>
    <t>OFICIAL BB (Instalaciones)</t>
  </si>
  <si>
    <t>P3</t>
  </si>
  <si>
    <t>OFICIAL CC (Pintura)</t>
  </si>
  <si>
    <t>P4</t>
  </si>
  <si>
    <t>OFICIAL DD (Carpinteria)</t>
  </si>
  <si>
    <t>P5</t>
  </si>
  <si>
    <t>OFICIAL EE (Dry Wall)</t>
  </si>
  <si>
    <t>P6</t>
  </si>
  <si>
    <t>OFICIAL FF (Electricas)</t>
  </si>
  <si>
    <t>P7</t>
  </si>
  <si>
    <t>OFICIAL GG (Alumbrado Publico)</t>
  </si>
  <si>
    <t>P8</t>
  </si>
  <si>
    <t>AYUDANTE AA (Albañileria)</t>
  </si>
  <si>
    <t>P9</t>
  </si>
  <si>
    <t>AYUDANTE BB (Instalaciones)</t>
  </si>
  <si>
    <t>P10</t>
  </si>
  <si>
    <t>AYUDANTE CC (Pintura)</t>
  </si>
  <si>
    <t>P11</t>
  </si>
  <si>
    <t>AYUDANTE DD (Carpinteria)</t>
  </si>
  <si>
    <t>P12</t>
  </si>
  <si>
    <t>AYUDANTE EE (Dry Wall)</t>
  </si>
  <si>
    <t>P13</t>
  </si>
  <si>
    <t>AYUDANTE FF (Electricas)</t>
  </si>
  <si>
    <t>P14</t>
  </si>
  <si>
    <t>AYUDANTE GG (Alumbrado Publico)</t>
  </si>
  <si>
    <t>C1</t>
  </si>
  <si>
    <t>CUADRILLA AA TIPO 1 (1 OFICIAL + 1 AYUDANTE) (Albañileria)</t>
  </si>
  <si>
    <t>C2</t>
  </si>
  <si>
    <t>CUADRILLA BB TIPO 1 (1 OFICIAL + 1 AYUDANTE) (Instalaciones)</t>
  </si>
  <si>
    <t>C3</t>
  </si>
  <si>
    <t>CUADRILLA CC TIPO 1 (1 OFICIAL + 1 AYUDANTE) (Pintura)</t>
  </si>
  <si>
    <t>C4</t>
  </si>
  <si>
    <t>CUADRILLA DD TIPO 1 (1 OFICIAL + 1 AYUDANTE) (Carpinteria)</t>
  </si>
  <si>
    <t>C5</t>
  </si>
  <si>
    <t>CUADRILLA EE TIPO 1 (1 OFICIAL + 1 AYUDANTE) (Dry Wall)</t>
  </si>
  <si>
    <t>C6</t>
  </si>
  <si>
    <t>CUADRILLA FF TIPO 1 (1 OFICIAL + 1 AYUDANTE) (Electricas)</t>
  </si>
  <si>
    <t>C7</t>
  </si>
  <si>
    <t>CUADRILLA GG TIPO 1 (1 OFICIAL + 1 AYUDANTE) (Alumbrado Publico)</t>
  </si>
  <si>
    <t>C8</t>
  </si>
  <si>
    <t>CUADRILLA AA TIPO 2 (1 OFICIAL + 2 AYUDANTE) (Albañileria)</t>
  </si>
  <si>
    <t>C9</t>
  </si>
  <si>
    <t>CUADRILLA BB TIPO 2 (1 OFICIAL + 2 AYUDANTE) (Instalaciones)</t>
  </si>
  <si>
    <t>C10</t>
  </si>
  <si>
    <t>CUADRILLA CC TIPO 2 (1 OFICIAL + 2 AYUDANTE) (Pintura)</t>
  </si>
  <si>
    <t>C11</t>
  </si>
  <si>
    <t>CUADRILLA DD TIPO 2 (1 OFICIAL + 2 AYUDANTE) (Carpinteria)</t>
  </si>
  <si>
    <t>C12</t>
  </si>
  <si>
    <t>CUADRILLA EE TIPO 2 (1 OFICIAL + 2 AYUDANTE) (Dry Wall)</t>
  </si>
  <si>
    <t>C13</t>
  </si>
  <si>
    <t>CUADRILLA FF TIPO 2 (1 OFICIAL + 2 AYUDANTE) (Electricas)</t>
  </si>
  <si>
    <t>C14</t>
  </si>
  <si>
    <t>CUADRILLA GG TIPO 2 (1 OFICIAL + 2 AYUDANTE) (Alumbrado Publico)</t>
  </si>
  <si>
    <t>C15</t>
  </si>
  <si>
    <t>CUADRILLA AA TIPO 3 (1 OFICIAL + 3 AYUDANTE) (Albañileria)</t>
  </si>
  <si>
    <t>C16</t>
  </si>
  <si>
    <t>CUADRILLA BB TIPO 3 (1 OFICIAL + 3 AYUDANTE) (Instalaciones)</t>
  </si>
  <si>
    <t>C17</t>
  </si>
  <si>
    <t>CUADRILLA CC TIPO 3 (1 OFICIAL + 3 AYUDANTE) (Pintura)</t>
  </si>
  <si>
    <t>C18</t>
  </si>
  <si>
    <t>CUADRILLA DD TIPO 3 (1 OFICIAL + 3 AYUDANTE) (Carpinteria)</t>
  </si>
  <si>
    <t>C19</t>
  </si>
  <si>
    <t>CUADRILLA EE TIPO 3 (1 OFICIAL + 3 AYUDANTE) (Dry Wall)</t>
  </si>
  <si>
    <t>C20</t>
  </si>
  <si>
    <t>CUADRILLA FF TIPO 3 (1 OFICIAL + 3 AYUDANTE) (Electricas)</t>
  </si>
  <si>
    <t>C21</t>
  </si>
  <si>
    <t>CUADRILLA GG TIPO 3 (1 OFICIAL + 3 AYUDANTE) (Alumbrado Publico)</t>
  </si>
  <si>
    <t>C22</t>
  </si>
  <si>
    <t>CUADRILLA AA TIPO 4 (1 OFICIAL + 4 AYUDANTE) (Albañileria)</t>
  </si>
  <si>
    <t>C23</t>
  </si>
  <si>
    <t>CUADRILLA BB TIPO 4 (1 OFICIAL + 4 AYUDANTE) (Instalaciones)</t>
  </si>
  <si>
    <t>C24</t>
  </si>
  <si>
    <t>CUADRILLA CC TIPO 4 (1 OFICIAL + 4 AYUDANTE) (Pintura)</t>
  </si>
  <si>
    <t>C25</t>
  </si>
  <si>
    <t>CUADRILLA DD TIPO 4 (1 OFICIAL + 4 AYUDANTE) (Carpinteria)</t>
  </si>
  <si>
    <t>C26</t>
  </si>
  <si>
    <t>CUADRILLA EE TIPO 4 (1 OFICIAL + 4 AYUDANTE) (Dry Wall)</t>
  </si>
  <si>
    <t>C27</t>
  </si>
  <si>
    <t>CUADRILLA FF TIPO 4 (1 OFICIAL + 4 AYUDANTE) (Electricas)</t>
  </si>
  <si>
    <t>C28</t>
  </si>
  <si>
    <t>CUADRILLA GG TIPO 4 (1 OFICIAL + 4 AYUDANTE) (Alumbrado Publico)</t>
  </si>
  <si>
    <t>C29</t>
  </si>
  <si>
    <t>CUADRILLA AA TIPO 5 (1 OFICIAL + 5 AYUDANTE) (Albañileria)</t>
  </si>
  <si>
    <t>C30</t>
  </si>
  <si>
    <t>CUADRILLA BB TIPO 5 (1 OFICIAL + 5 AYUDANTE) (Instalaciones)</t>
  </si>
  <si>
    <t>C31</t>
  </si>
  <si>
    <t>CUADRILLA CC TIPO 5 (1 OFICIAL + 5 AYUDANTE) (Pintura)</t>
  </si>
  <si>
    <t>C32</t>
  </si>
  <si>
    <t>CUADRILLA DD TIPO 5 (1 OFICIAL + 5 AYUDANTE) (Carpinteria)</t>
  </si>
  <si>
    <t>C33</t>
  </si>
  <si>
    <t>CUADRILLA EE TIPO 5 (1 OFICIAL + 5 AYUDANTE) (Dry Wall)</t>
  </si>
  <si>
    <t>C34</t>
  </si>
  <si>
    <t>CUADRILLA FF TIPO 5 (1 OFICIAL + 5 AYUDANTE) (Electricas)</t>
  </si>
  <si>
    <t>C35</t>
  </si>
  <si>
    <t>CUADRILLA GG TIPO 5 (1 OFICIAL + 5 AYUDANTE) (Alumbrado Publico)</t>
  </si>
  <si>
    <t>C36</t>
  </si>
  <si>
    <t>CUADRILLA AA TIPO 6 (1 OFICIAL + 6 AYUDANTE) (Albañileria)</t>
  </si>
  <si>
    <t>C37</t>
  </si>
  <si>
    <t>CUADRILLA BB TIPO 6 (1 OFICIAL + 6 AYUDANTE) (Instalaciones)</t>
  </si>
  <si>
    <t>C38</t>
  </si>
  <si>
    <t>CUADRILLA CC TIPO 6 (1 OFICIAL + 6 AYUDANTE) (Pintura)</t>
  </si>
  <si>
    <t>C39</t>
  </si>
  <si>
    <t>CUADRILLA DD TIPO 6 (1 OFICIAL + 6 AYUDANTE) (Carpinteria)</t>
  </si>
  <si>
    <t>C40</t>
  </si>
  <si>
    <t>CUADRILLA EE TIPO 6 (1 OFICIAL + 6 AYUDANTE) (Dry Wall)</t>
  </si>
  <si>
    <t>C41</t>
  </si>
  <si>
    <t>CUADRILLA FF TIPO 6 (1 OFICIAL + 6 AYUDANTE) (Electricas)</t>
  </si>
  <si>
    <t>C42</t>
  </si>
  <si>
    <t>CUADRILLA GG TIPO 6 (1 OFICIAL + 6 AYUDANTE) (Alumbrado Publico)</t>
  </si>
  <si>
    <t xml:space="preserve">Ingeniero civil, electrico o electronico experiencia superior a 5 años desde la fecha expedicion. </t>
  </si>
  <si>
    <t>https://www.google.com/search?q=aire+acondicionado+18000+btu+110v&amp;sca_esv=09e795cc6b8f4569&amp;rlz=1C1CHBD_esCO965CO965&amp;udm=28&amp;sxsrf=ANbL-n602WvKYWEFY7dLixH00QumgMvJjQ%3A1776286432434&amp;ei=4PrfacuZGriKwbkPuJGTqAY&amp;biw=1920&amp;bih=919&amp;oq=aire+acondicionado++btu+110v&amp;gs_lp=Ehlnd3Mtd2l6LW1vZGVsZXNzLXNob3BwaW5nIhxhaXJlIGFjb25kaWNpb25hZG8gIGJ0dSAxMTB2KgIIAjIGEAAYBxgeMgYQABgHGB4yBhAAGAcYHjIGEAAYBxgeMgYQABgHGB4yBhAAGAcYHjIGEAAYBxgeMgYQABgHGB4yBhAAGAcYHjIGEAAYBxgeSLQVUNsFWNsFcAF4AZABAJgBeaABeaoBAzAuMbgBAcgBAPgBAZgCAqACjwHCAgoQABhHGNYEGLADmAMAiAYBkAYIkgcDMS4xoAfuBrIHAzAuMbgHiQHCBwM5LTLIB63dAoAIAQ&amp;sclient=gws-wiz-modeless-shopping</t>
  </si>
  <si>
    <t xml:space="preserve">suministro e instalacion y cpuesta en marcha de aires acondicionados 18000 btu </t>
  </si>
  <si>
    <t xml:space="preserve">suministro e instalacion y cpuesta en marcha de aires acondicionados 24000 btu </t>
  </si>
  <si>
    <t>https://www.google.com/search?q=aire+acondicionado+24000+btu+220v&amp;sca_esv=09e795cc6b8f4569&amp;rlz=1C1CHBD_esCO965CO965&amp;biw=1097&amp;bih=525&amp;udm=28&amp;sxsrf=ANbL-n7TlTG1enz88At1On1NdJWkumTJwg%3A1776286744151&amp;ei=GPzfaajnCJKOwbkPmp_s4Qw&amp;ved=0ahUKEwio053j3_CTAxUSRzABHZoPO8wQ4dUDCCQ&amp;uact=5&amp;oq=aire+acondicionado+24000+btu+220v&amp;gs_lp=Ehlnd3Mtd2l6LW1vZGVsZXNzLXNob3BwaW5nIiFhaXJlIGFjb25kaWNpb25hZG8gMjQwMDAgYnR1IDIyMHYyBRAAGIAEMgUQABiABEj1DFDQBFj9CXABeAGQAQCYAZoEoAG9CaoBCzAuMS4xLjEuMC4xuAEDyAEA-AEBmAICoAKRAcICChAAGEcY1gQYsAOYAwCIBgGQBgiSBwMxLjGgB9QFsgcDMC4xuAeKAcIHAzktMsgH8ZkTgAgB&amp;sclient=gws-wiz-modeless-shopping</t>
  </si>
  <si>
    <t>Aire Acondicionado Minisplit On/Off 24000 BTU 220v Blanco con unidad de refrigeracion externa incluye iva%</t>
  </si>
  <si>
    <t>Aire Acondicionado Minisplit On/Off 18000 BTU 220v Blanco con unidad de refrigeracion externa incluye iva%</t>
  </si>
  <si>
    <t>iva%</t>
  </si>
  <si>
    <t xml:space="preserve">IVA EQUIPOS </t>
  </si>
  <si>
    <t>“Contratar el suministro, instalación y puesta en marcha de aires acondicionados, junto con la adecuación e instalación de la red eléctrica bifásica requerida para los mismos, en ambientes de Bienestar (Auditorio y Gimnasio) del Bloque B de la Sede Central de la IES CINOC en Pensilvania, Caldas.”</t>
  </si>
  <si>
    <t xml:space="preserve">accesorios de sioporte de soporte de instalcion y tornilleria </t>
  </si>
  <si>
    <t xml:space="preserve">PERSONAL CUADRILLA </t>
  </si>
  <si>
    <t>H/CP</t>
  </si>
  <si>
    <t xml:space="preserve">AYUDANTE ELECTRICO </t>
  </si>
  <si>
    <t xml:space="preserve">OFICIAL ELÉCTRICO </t>
  </si>
  <si>
    <t>CUADRILLA EE ELÉCTRICA (HR) $ 49.048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</si>
</sst>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4">
    <numFmt numFmtId="6" formatCode="&quot;$&quot;\ #,##0;[Red]\-&quot;$&quot;\ #,##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[$$-240A]\ * #,##0.00_);_([$$-240A]\ * \(#,##0.00\);_([$$-240A]\ * \-??_);_(@_)"/>
    <numFmt numFmtId="165" formatCode="_-[$$-240A]\ * #,##0.00_-;\-[$$-240A]\ * #,##0.00_-;_-[$$-240A]\ * &quot;-&quot;??_-;_-@_-"/>
    <numFmt numFmtId="166" formatCode="_-&quot;$&quot;\ * #,##0_-;\-&quot;$&quot;\ * #,##0_-;_-&quot;$&quot;\ * &quot;-&quot;??_-;_-@_-"/>
    <numFmt numFmtId="167" formatCode="_(&quot;$&quot;\ * #,##0.00_);_(&quot;$&quot;\ * \(#,##0.00\);_(&quot;$&quot;\ * &quot;-&quot;??_);_(@_)"/>
    <numFmt numFmtId="168" formatCode="_(&quot;$&quot;\ * #,##0_);_(&quot;$&quot;\ * \(#,##0\);_(&quot;$&quot;\ * &quot;-&quot;??_);_(@_)"/>
    <numFmt numFmtId="169" formatCode="0.000%"/>
    <numFmt numFmtId="170" formatCode="0.0%"/>
    <numFmt numFmtId="171" formatCode="_([$$-240A]\ * #,##0_);_([$$-240A]\ * \(#,##0\);_([$$-240A]\ * \-??_);_(@_)"/>
    <numFmt numFmtId="172" formatCode="_(&quot;$ &quot;* #,##0.00_);_(&quot;$ &quot;* \(#,##0.00\);_(&quot;$ &quot;* \-??_);_(@_)"/>
    <numFmt numFmtId="173" formatCode="&quot;$&quot;#,##0"/>
    <numFmt numFmtId="174" formatCode="#,##0.00000"/>
    <numFmt numFmtId="175" formatCode="#,##0.000"/>
    <numFmt numFmtId="176" formatCode="0.0000"/>
    <numFmt numFmtId="177" formatCode="[$$-240A]\ #,##0"/>
    <numFmt numFmtId="178" formatCode="_-* #,##0.00\ _€_-;\-* #,##0.00\ _€_-;_-* &quot;-&quot;??\ _€_-;_-@_-"/>
    <numFmt numFmtId="179" formatCode="_([$$-240A]\ * #,##0_);_([$$-240A]\ * \(#,##0\);_([$$-240A]\ * &quot;-&quot;??_);_(@_)"/>
    <numFmt numFmtId="180" formatCode="0.000"/>
    <numFmt numFmtId="181" formatCode="_-* #,##0\ _€_-;\-* #,##0\ _€_-;_-* &quot;-&quot;\ _€_-;_-@_-"/>
    <numFmt numFmtId="182" formatCode="_-* #,##0.00\ _€_-;\-* #,##0.00\ _€_-;_-* &quot;-&quot;\ _€_-;_-@_-"/>
    <numFmt numFmtId="183" formatCode="_-* #,##0.000\ _€_-;\-* #,##0.000\ _€_-;_-* &quot;-&quot;\ _€_-;_-@_-"/>
    <numFmt numFmtId="184" formatCode="dd/mm/yyyy;@"/>
  </numFmts>
  <fonts count="4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9"/>
      <color theme="1"/>
      <name val="Calibri"/>
      <family val="2"/>
    </font>
    <font>
      <sz val="9"/>
      <name val="Calibri"/>
      <family val="2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8"/>
      <color theme="1"/>
      <name val="Arial"/>
      <family val="2"/>
    </font>
    <font>
      <sz val="8"/>
      <name val="Calibri"/>
      <family val="2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sz val="10"/>
      <color rgb="FF000000"/>
      <name val="Cambria"/>
      <family val="1"/>
    </font>
    <font>
      <b/>
      <sz val="18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</font>
    <font>
      <b/>
      <sz val="9"/>
      <name val="Verdana"/>
      <family val="2"/>
      <charset val="1"/>
    </font>
    <font>
      <sz val="8"/>
      <name val="Verdana"/>
      <family val="2"/>
      <charset val="1"/>
    </font>
    <font>
      <b/>
      <sz val="10"/>
      <name val="Verdana"/>
      <family val="2"/>
      <charset val="1"/>
    </font>
    <font>
      <sz val="10"/>
      <name val="Arial"/>
      <family val="2"/>
    </font>
    <font>
      <b/>
      <sz val="10"/>
      <name val="Arial"/>
      <family val="2"/>
    </font>
    <font>
      <sz val="10"/>
      <color theme="0"/>
      <name val="Arial"/>
      <family val="2"/>
    </font>
    <font>
      <sz val="10"/>
      <color indexed="10"/>
      <name val="Arial"/>
      <family val="2"/>
    </font>
    <font>
      <sz val="8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9"/>
      <color theme="10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8"/>
      <color theme="10"/>
      <name val="Calibri"/>
      <family val="2"/>
      <scheme val="minor"/>
    </font>
    <font>
      <b/>
      <sz val="12"/>
      <name val="Arial"/>
      <family val="2"/>
    </font>
    <font>
      <sz val="10"/>
      <color theme="1"/>
      <name val="Arial"/>
      <family val="2"/>
    </font>
    <font>
      <b/>
      <sz val="8"/>
      <name val="Arial"/>
      <family val="2"/>
    </font>
    <font>
      <sz val="10"/>
      <color rgb="FF363636"/>
      <name val="Arial"/>
      <family val="2"/>
    </font>
    <font>
      <sz val="9"/>
      <name val="Arial"/>
      <family val="2"/>
    </font>
    <font>
      <sz val="10"/>
      <color indexed="8"/>
      <name val="MS Sans Serif"/>
      <family val="2"/>
    </font>
    <font>
      <sz val="9"/>
      <color indexed="8"/>
      <name val="Arial"/>
      <family val="2"/>
    </font>
    <font>
      <i/>
      <sz val="8"/>
      <color theme="1"/>
      <name val="Century Gothic"/>
      <family val="2"/>
    </font>
  </fonts>
  <fills count="1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8D8D8"/>
        <bgColor rgb="FFD8D8D8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0.14999847407452621"/>
        <bgColor rgb="FFD8D8D8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9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1" fillId="7" borderId="0" applyNumberFormat="0" applyBorder="0" applyAlignment="0" applyProtection="0"/>
    <xf numFmtId="0" fontId="25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30" fillId="0" borderId="0"/>
    <xf numFmtId="9" fontId="30" fillId="0" borderId="0" applyFont="0" applyFill="0" applyBorder="0" applyAlignment="0" applyProtection="0"/>
    <xf numFmtId="0" fontId="1" fillId="0" borderId="0"/>
    <xf numFmtId="0" fontId="30" fillId="0" borderId="0"/>
    <xf numFmtId="178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0" fontId="44" fillId="0" borderId="0"/>
  </cellStyleXfs>
  <cellXfs count="537">
    <xf numFmtId="0" fontId="0" fillId="0" borderId="0" xfId="0"/>
    <xf numFmtId="2" fontId="0" fillId="0" borderId="0" xfId="0" applyNumberForma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2" fontId="2" fillId="0" borderId="2" xfId="0" applyNumberFormat="1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0" fontId="0" fillId="0" borderId="4" xfId="0" applyBorder="1"/>
    <xf numFmtId="0" fontId="0" fillId="0" borderId="0" xfId="0" applyBorder="1"/>
    <xf numFmtId="2" fontId="0" fillId="0" borderId="0" xfId="0" applyNumberFormat="1" applyBorder="1"/>
    <xf numFmtId="164" fontId="0" fillId="0" borderId="0" xfId="0" applyNumberFormat="1" applyBorder="1"/>
    <xf numFmtId="164" fontId="0" fillId="0" borderId="5" xfId="0" applyNumberFormat="1" applyBorder="1"/>
    <xf numFmtId="0" fontId="0" fillId="0" borderId="6" xfId="0" applyBorder="1"/>
    <xf numFmtId="0" fontId="0" fillId="0" borderId="7" xfId="0" applyBorder="1"/>
    <xf numFmtId="2" fontId="0" fillId="0" borderId="7" xfId="0" applyNumberFormat="1" applyBorder="1"/>
    <xf numFmtId="164" fontId="0" fillId="0" borderId="7" xfId="0" applyNumberFormat="1" applyBorder="1"/>
    <xf numFmtId="164" fontId="0" fillId="0" borderId="8" xfId="0" applyNumberFormat="1" applyBorder="1"/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2" fontId="2" fillId="0" borderId="10" xfId="0" applyNumberFormat="1" applyFont="1" applyBorder="1" applyAlignment="1">
      <alignment horizontal="center" vertical="center"/>
    </xf>
    <xf numFmtId="164" fontId="2" fillId="0" borderId="10" xfId="0" applyNumberFormat="1" applyFont="1" applyBorder="1" applyAlignment="1">
      <alignment horizontal="center" vertical="center"/>
    </xf>
    <xf numFmtId="164" fontId="2" fillId="0" borderId="11" xfId="0" applyNumberFormat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5" xfId="1" applyNumberFormat="1" applyFon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165" fontId="0" fillId="0" borderId="0" xfId="0" applyNumberFormat="1"/>
    <xf numFmtId="164" fontId="2" fillId="0" borderId="11" xfId="0" applyNumberFormat="1" applyFont="1" applyFill="1" applyBorder="1" applyAlignment="1">
      <alignment horizontal="center" vertical="center"/>
    </xf>
    <xf numFmtId="9" fontId="0" fillId="0" borderId="13" xfId="2" applyFont="1" applyBorder="1" applyAlignment="1">
      <alignment horizontal="center" vertical="center"/>
    </xf>
    <xf numFmtId="9" fontId="0" fillId="0" borderId="16" xfId="2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3"/>
    <xf numFmtId="0" fontId="1" fillId="0" borderId="0" xfId="3" applyAlignment="1">
      <alignment vertical="center" wrapText="1"/>
    </xf>
    <xf numFmtId="0" fontId="4" fillId="2" borderId="21" xfId="3" applyFont="1" applyFill="1" applyBorder="1" applyAlignment="1">
      <alignment horizontal="center" vertical="center" wrapText="1"/>
    </xf>
    <xf numFmtId="0" fontId="4" fillId="2" borderId="11" xfId="3" applyFont="1" applyFill="1" applyBorder="1" applyAlignment="1">
      <alignment horizontal="center" vertical="center" wrapText="1"/>
    </xf>
    <xf numFmtId="0" fontId="4" fillId="2" borderId="10" xfId="3" applyFont="1" applyFill="1" applyBorder="1" applyAlignment="1">
      <alignment horizontal="center" vertical="center" wrapText="1"/>
    </xf>
    <xf numFmtId="0" fontId="4" fillId="2" borderId="9" xfId="3" applyFont="1" applyFill="1" applyBorder="1" applyAlignment="1">
      <alignment horizontal="center" vertical="center" wrapText="1"/>
    </xf>
    <xf numFmtId="0" fontId="2" fillId="3" borderId="22" xfId="3" applyFont="1" applyFill="1" applyBorder="1" applyAlignment="1">
      <alignment horizontal="center" vertical="center"/>
    </xf>
    <xf numFmtId="0" fontId="2" fillId="3" borderId="17" xfId="3" applyFont="1" applyFill="1" applyBorder="1" applyAlignment="1">
      <alignment vertical="center"/>
    </xf>
    <xf numFmtId="0" fontId="4" fillId="2" borderId="10" xfId="3" applyFont="1" applyFill="1" applyBorder="1" applyAlignment="1">
      <alignment vertical="center"/>
    </xf>
    <xf numFmtId="0" fontId="2" fillId="3" borderId="23" xfId="3" applyFont="1" applyFill="1" applyBorder="1" applyAlignment="1">
      <alignment horizontal="center" vertical="center" wrapText="1"/>
    </xf>
    <xf numFmtId="10" fontId="2" fillId="3" borderId="17" xfId="3" applyNumberFormat="1" applyFont="1" applyFill="1" applyBorder="1"/>
    <xf numFmtId="9" fontId="2" fillId="3" borderId="17" xfId="3" applyNumberFormat="1" applyFont="1" applyFill="1" applyBorder="1"/>
    <xf numFmtId="167" fontId="0" fillId="0" borderId="22" xfId="5" applyFont="1" applyBorder="1" applyAlignment="1">
      <alignment vertical="center" wrapText="1"/>
    </xf>
    <xf numFmtId="167" fontId="0" fillId="0" borderId="17" xfId="5" applyFont="1" applyBorder="1" applyAlignment="1">
      <alignment vertical="center" wrapText="1"/>
    </xf>
    <xf numFmtId="166" fontId="1" fillId="0" borderId="17" xfId="3" applyNumberFormat="1" applyBorder="1"/>
    <xf numFmtId="0" fontId="5" fillId="0" borderId="17" xfId="3" applyFont="1" applyBorder="1" applyAlignment="1">
      <alignment horizontal="center" vertical="center" wrapText="1"/>
    </xf>
    <xf numFmtId="9" fontId="5" fillId="0" borderId="17" xfId="3" applyNumberFormat="1" applyFont="1" applyBorder="1" applyAlignment="1">
      <alignment horizontal="center" vertical="center" wrapText="1"/>
    </xf>
    <xf numFmtId="0" fontId="5" fillId="0" borderId="17" xfId="3" applyFont="1" applyBorder="1" applyAlignment="1">
      <alignment horizontal="center" vertical="center"/>
    </xf>
    <xf numFmtId="0" fontId="5" fillId="0" borderId="30" xfId="3" applyFont="1" applyBorder="1" applyAlignment="1">
      <alignment horizontal="center" vertical="center" wrapText="1"/>
    </xf>
    <xf numFmtId="166" fontId="2" fillId="3" borderId="17" xfId="3" applyNumberFormat="1" applyFont="1" applyFill="1" applyBorder="1" applyAlignment="1">
      <alignment horizontal="center" vertical="center"/>
    </xf>
    <xf numFmtId="166" fontId="1" fillId="0" borderId="0" xfId="3" applyNumberFormat="1"/>
    <xf numFmtId="10" fontId="2" fillId="3" borderId="17" xfId="6" applyNumberFormat="1" applyFont="1" applyFill="1" applyBorder="1" applyAlignment="1">
      <alignment horizontal="center" vertical="center"/>
    </xf>
    <xf numFmtId="0" fontId="4" fillId="2" borderId="32" xfId="3" applyFont="1" applyFill="1" applyBorder="1" applyAlignment="1">
      <alignment horizontal="center" vertical="center" wrapText="1"/>
    </xf>
    <xf numFmtId="0" fontId="5" fillId="0" borderId="23" xfId="3" applyFont="1" applyBorder="1" applyAlignment="1">
      <alignment horizontal="center" vertical="center" wrapText="1"/>
    </xf>
    <xf numFmtId="0" fontId="5" fillId="0" borderId="23" xfId="3" applyFont="1" applyBorder="1" applyAlignment="1">
      <alignment horizontal="center" vertical="center"/>
    </xf>
    <xf numFmtId="166" fontId="5" fillId="0" borderId="34" xfId="4" applyNumberFormat="1" applyFont="1" applyFill="1" applyBorder="1" applyAlignment="1">
      <alignment horizontal="justify" vertical="center"/>
    </xf>
    <xf numFmtId="0" fontId="4" fillId="2" borderId="39" xfId="3" applyFont="1" applyFill="1" applyBorder="1" applyAlignment="1">
      <alignment horizontal="center" vertical="center" wrapText="1"/>
    </xf>
    <xf numFmtId="0" fontId="4" fillId="2" borderId="20" xfId="3" applyFont="1" applyFill="1" applyBorder="1" applyAlignment="1">
      <alignment horizontal="center" vertical="center" wrapText="1"/>
    </xf>
    <xf numFmtId="10" fontId="5" fillId="0" borderId="23" xfId="3" applyNumberFormat="1" applyFont="1" applyBorder="1" applyAlignment="1">
      <alignment horizontal="center" vertical="center"/>
    </xf>
    <xf numFmtId="9" fontId="5" fillId="0" borderId="17" xfId="3" applyNumberFormat="1" applyFont="1" applyBorder="1" applyAlignment="1">
      <alignment horizontal="center" vertical="center"/>
    </xf>
    <xf numFmtId="166" fontId="5" fillId="0" borderId="28" xfId="4" applyNumberFormat="1" applyFont="1" applyFill="1" applyBorder="1" applyAlignment="1">
      <alignment horizontal="justify" vertical="center"/>
    </xf>
    <xf numFmtId="169" fontId="5" fillId="0" borderId="30" xfId="3" applyNumberFormat="1" applyFont="1" applyBorder="1" applyAlignment="1">
      <alignment horizontal="center" vertical="center"/>
    </xf>
    <xf numFmtId="166" fontId="5" fillId="0" borderId="31" xfId="4" applyNumberFormat="1" applyFont="1" applyFill="1" applyBorder="1" applyAlignment="1">
      <alignment horizontal="justify" vertical="center"/>
    </xf>
    <xf numFmtId="0" fontId="4" fillId="2" borderId="25" xfId="3" applyFont="1" applyFill="1" applyBorder="1" applyAlignment="1">
      <alignment horizontal="center" vertical="center" wrapText="1"/>
    </xf>
    <xf numFmtId="0" fontId="4" fillId="2" borderId="26" xfId="3" applyFont="1" applyFill="1" applyBorder="1" applyAlignment="1">
      <alignment horizontal="center" vertical="center" wrapText="1"/>
    </xf>
    <xf numFmtId="0" fontId="4" fillId="0" borderId="17" xfId="3" applyFont="1" applyBorder="1" applyAlignment="1">
      <alignment horizontal="center" vertical="center"/>
    </xf>
    <xf numFmtId="9" fontId="4" fillId="0" borderId="17" xfId="3" applyNumberFormat="1" applyFont="1" applyBorder="1" applyAlignment="1">
      <alignment horizontal="center" vertical="center"/>
    </xf>
    <xf numFmtId="167" fontId="4" fillId="0" borderId="28" xfId="5" applyFont="1" applyBorder="1" applyAlignment="1">
      <alignment horizontal="center" vertical="center"/>
    </xf>
    <xf numFmtId="0" fontId="4" fillId="0" borderId="47" xfId="3" applyFont="1" applyBorder="1" applyAlignment="1">
      <alignment horizontal="center" vertical="center"/>
    </xf>
    <xf numFmtId="9" fontId="4" fillId="0" borderId="47" xfId="3" applyNumberFormat="1" applyFont="1" applyBorder="1" applyAlignment="1">
      <alignment horizontal="center" vertical="center"/>
    </xf>
    <xf numFmtId="167" fontId="4" fillId="0" borderId="48" xfId="5" applyFont="1" applyBorder="1" applyAlignment="1">
      <alignment horizontal="center" vertical="center"/>
    </xf>
    <xf numFmtId="170" fontId="5" fillId="0" borderId="17" xfId="3" applyNumberFormat="1" applyFont="1" applyBorder="1" applyAlignment="1">
      <alignment horizontal="center" vertical="center"/>
    </xf>
    <xf numFmtId="170" fontId="5" fillId="0" borderId="23" xfId="3" applyNumberFormat="1" applyFont="1" applyBorder="1" applyAlignment="1">
      <alignment horizontal="center" vertical="center"/>
    </xf>
    <xf numFmtId="0" fontId="1" fillId="0" borderId="0" xfId="3" applyAlignment="1">
      <alignment horizontal="center" vertical="center" wrapText="1"/>
    </xf>
    <xf numFmtId="166" fontId="5" fillId="0" borderId="17" xfId="4" applyNumberFormat="1" applyFont="1" applyBorder="1" applyAlignment="1">
      <alignment horizontal="right" vertical="center"/>
    </xf>
    <xf numFmtId="166" fontId="5" fillId="0" borderId="23" xfId="4" applyNumberFormat="1" applyFont="1" applyFill="1" applyBorder="1" applyAlignment="1">
      <alignment horizontal="justify" vertical="center" wrapText="1"/>
    </xf>
    <xf numFmtId="44" fontId="0" fillId="0" borderId="0" xfId="0" applyNumberFormat="1"/>
    <xf numFmtId="44" fontId="0" fillId="0" borderId="0" xfId="1" applyFont="1"/>
    <xf numFmtId="166" fontId="5" fillId="4" borderId="17" xfId="4" applyNumberFormat="1" applyFont="1" applyFill="1" applyBorder="1" applyAlignment="1">
      <alignment horizontal="right" vertical="center"/>
    </xf>
    <xf numFmtId="166" fontId="5" fillId="0" borderId="17" xfId="4" applyNumberFormat="1" applyFont="1" applyBorder="1" applyAlignment="1">
      <alignment horizontal="center" vertical="center" wrapText="1"/>
    </xf>
    <xf numFmtId="166" fontId="5" fillId="0" borderId="17" xfId="4" applyNumberFormat="1" applyFont="1" applyFill="1" applyBorder="1" applyAlignment="1">
      <alignment vertical="center"/>
    </xf>
    <xf numFmtId="10" fontId="5" fillId="0" borderId="17" xfId="6" applyNumberFormat="1" applyFont="1" applyBorder="1" applyAlignment="1">
      <alignment vertical="center"/>
    </xf>
    <xf numFmtId="44" fontId="5" fillId="0" borderId="17" xfId="7" applyFont="1" applyBorder="1" applyAlignment="1">
      <alignment vertical="center"/>
    </xf>
    <xf numFmtId="9" fontId="17" fillId="5" borderId="17" xfId="0" applyNumberFormat="1" applyFont="1" applyFill="1" applyBorder="1" applyAlignment="1">
      <alignment horizontal="center" vertical="center"/>
    </xf>
    <xf numFmtId="0" fontId="23" fillId="0" borderId="0" xfId="0" applyFont="1"/>
    <xf numFmtId="44" fontId="0" fillId="0" borderId="17" xfId="0" applyNumberFormat="1" applyBorder="1"/>
    <xf numFmtId="0" fontId="0" fillId="0" borderId="17" xfId="0" applyBorder="1"/>
    <xf numFmtId="44" fontId="0" fillId="0" borderId="17" xfId="1" applyFont="1" applyBorder="1"/>
    <xf numFmtId="0" fontId="17" fillId="0" borderId="17" xfId="0" applyFont="1" applyBorder="1" applyAlignment="1">
      <alignment horizontal="center" vertical="center"/>
    </xf>
    <xf numFmtId="166" fontId="17" fillId="0" borderId="17" xfId="1" applyNumberFormat="1" applyFont="1" applyBorder="1" applyAlignment="1">
      <alignment horizontal="center" vertical="center"/>
    </xf>
    <xf numFmtId="166" fontId="0" fillId="0" borderId="17" xfId="1" applyNumberFormat="1" applyFont="1" applyBorder="1" applyAlignment="1">
      <alignment horizontal="center" vertical="center"/>
    </xf>
    <xf numFmtId="169" fontId="5" fillId="2" borderId="23" xfId="3" applyNumberFormat="1" applyFont="1" applyFill="1" applyBorder="1" applyAlignment="1">
      <alignment horizontal="center" vertical="center"/>
    </xf>
    <xf numFmtId="0" fontId="17" fillId="0" borderId="17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4" fontId="0" fillId="0" borderId="17" xfId="1" applyFont="1" applyBorder="1" applyAlignment="1">
      <alignment horizontal="center" vertical="center"/>
    </xf>
    <xf numFmtId="0" fontId="13" fillId="7" borderId="17" xfId="8" applyFont="1" applyBorder="1" applyAlignment="1">
      <alignment horizontal="center" vertical="center"/>
    </xf>
    <xf numFmtId="0" fontId="13" fillId="7" borderId="17" xfId="8" applyFont="1" applyBorder="1" applyAlignment="1">
      <alignment horizontal="center" vertical="center" wrapText="1"/>
    </xf>
    <xf numFmtId="0" fontId="13" fillId="6" borderId="17" xfId="0" applyFont="1" applyFill="1" applyBorder="1" applyAlignment="1">
      <alignment horizontal="left" vertical="center" wrapText="1"/>
    </xf>
    <xf numFmtId="0" fontId="25" fillId="0" borderId="17" xfId="9" applyBorder="1" applyAlignment="1">
      <alignment vertical="center" wrapText="1"/>
    </xf>
    <xf numFmtId="0" fontId="12" fillId="0" borderId="17" xfId="0" applyFont="1" applyBorder="1" applyAlignment="1">
      <alignment horizontal="center" vertical="center"/>
    </xf>
    <xf numFmtId="166" fontId="12" fillId="0" borderId="17" xfId="0" applyNumberFormat="1" applyFont="1" applyBorder="1" applyAlignment="1">
      <alignment horizontal="center" vertical="center"/>
    </xf>
    <xf numFmtId="0" fontId="25" fillId="0" borderId="0" xfId="9" applyAlignment="1">
      <alignment vertical="center" wrapText="1"/>
    </xf>
    <xf numFmtId="0" fontId="12" fillId="0" borderId="47" xfId="0" applyFont="1" applyBorder="1" applyAlignment="1">
      <alignment horizontal="center" vertical="center"/>
    </xf>
    <xf numFmtId="166" fontId="12" fillId="0" borderId="47" xfId="0" applyNumberFormat="1" applyFont="1" applyBorder="1" applyAlignment="1">
      <alignment horizontal="center" vertical="center"/>
    </xf>
    <xf numFmtId="0" fontId="13" fillId="0" borderId="55" xfId="0" applyFont="1" applyBorder="1" applyAlignment="1">
      <alignment horizontal="left" vertical="center" wrapText="1"/>
    </xf>
    <xf numFmtId="166" fontId="12" fillId="0" borderId="22" xfId="0" applyNumberFormat="1" applyFont="1" applyBorder="1" applyAlignment="1">
      <alignment horizontal="center" vertical="center"/>
    </xf>
    <xf numFmtId="0" fontId="26" fillId="0" borderId="0" xfId="0" applyFont="1" applyBorder="1" applyAlignment="1">
      <alignment wrapText="1"/>
    </xf>
    <xf numFmtId="0" fontId="25" fillId="0" borderId="0" xfId="9" applyBorder="1" applyAlignment="1">
      <alignment wrapText="1"/>
    </xf>
    <xf numFmtId="0" fontId="12" fillId="0" borderId="0" xfId="0" applyFont="1" applyBorder="1"/>
    <xf numFmtId="166" fontId="12" fillId="0" borderId="0" xfId="0" applyNumberFormat="1" applyFont="1" applyBorder="1"/>
    <xf numFmtId="166" fontId="12" fillId="0" borderId="0" xfId="0" applyNumberFormat="1" applyFont="1" applyBorder="1" applyAlignment="1">
      <alignment horizontal="center" vertical="center"/>
    </xf>
    <xf numFmtId="0" fontId="13" fillId="6" borderId="47" xfId="0" applyFont="1" applyFill="1" applyBorder="1" applyAlignment="1">
      <alignment horizontal="left" vertical="center" wrapText="1"/>
    </xf>
    <xf numFmtId="1" fontId="0" fillId="0" borderId="17" xfId="0" applyNumberFormat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7" fillId="0" borderId="17" xfId="0" applyFont="1" applyBorder="1" applyAlignment="1">
      <alignment horizontal="center" vertical="center" wrapText="1"/>
    </xf>
    <xf numFmtId="166" fontId="17" fillId="0" borderId="17" xfId="1" applyNumberFormat="1" applyFont="1" applyFill="1" applyBorder="1" applyAlignment="1">
      <alignment horizontal="center" vertical="center"/>
    </xf>
    <xf numFmtId="172" fontId="0" fillId="0" borderId="17" xfId="0" applyNumberFormat="1" applyBorder="1"/>
    <xf numFmtId="0" fontId="27" fillId="0" borderId="2" xfId="0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vertical="center"/>
    </xf>
    <xf numFmtId="0" fontId="28" fillId="0" borderId="0" xfId="0" applyFont="1" applyFill="1" applyBorder="1" applyAlignment="1">
      <alignment horizontal="center" vertical="center"/>
    </xf>
    <xf numFmtId="171" fontId="28" fillId="0" borderId="0" xfId="10" applyNumberFormat="1" applyFont="1" applyFill="1" applyBorder="1" applyAlignment="1" applyProtection="1">
      <alignment horizontal="right" vertical="center"/>
    </xf>
    <xf numFmtId="171" fontId="27" fillId="0" borderId="3" xfId="1" applyNumberFormat="1" applyFont="1" applyFill="1" applyBorder="1" applyAlignment="1" applyProtection="1">
      <alignment vertical="center"/>
    </xf>
    <xf numFmtId="0" fontId="28" fillId="0" borderId="4" xfId="0" applyFont="1" applyFill="1" applyBorder="1" applyAlignment="1">
      <alignment vertical="center"/>
    </xf>
    <xf numFmtId="0" fontId="28" fillId="0" borderId="4" xfId="0" applyFont="1" applyFill="1" applyBorder="1" applyAlignment="1">
      <alignment vertical="center" wrapText="1"/>
    </xf>
    <xf numFmtId="0" fontId="28" fillId="0" borderId="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left" vertical="center" wrapText="1"/>
    </xf>
    <xf numFmtId="2" fontId="28" fillId="0" borderId="2" xfId="10" applyNumberFormat="1" applyFont="1" applyFill="1" applyBorder="1" applyAlignment="1" applyProtection="1">
      <alignment horizontal="center" vertical="center"/>
    </xf>
    <xf numFmtId="2" fontId="28" fillId="0" borderId="0" xfId="10" applyNumberFormat="1" applyFont="1" applyFill="1" applyBorder="1" applyAlignment="1" applyProtection="1">
      <alignment horizontal="center" vertical="center"/>
    </xf>
    <xf numFmtId="171" fontId="28" fillId="0" borderId="5" xfId="0" applyNumberFormat="1" applyFont="1" applyFill="1" applyBorder="1" applyAlignment="1">
      <alignment vertical="center"/>
    </xf>
    <xf numFmtId="0" fontId="28" fillId="0" borderId="6" xfId="0" applyFont="1" applyFill="1" applyBorder="1" applyAlignment="1">
      <alignment vertical="center"/>
    </xf>
    <xf numFmtId="2" fontId="28" fillId="0" borderId="7" xfId="10" applyNumberFormat="1" applyFont="1" applyFill="1" applyBorder="1" applyAlignment="1" applyProtection="1">
      <alignment horizontal="center" vertical="center"/>
    </xf>
    <xf numFmtId="171" fontId="28" fillId="0" borderId="7" xfId="10" applyNumberFormat="1" applyFont="1" applyFill="1" applyBorder="1" applyAlignment="1" applyProtection="1">
      <alignment horizontal="right" vertical="center"/>
    </xf>
    <xf numFmtId="171" fontId="28" fillId="0" borderId="0" xfId="0" applyNumberFormat="1" applyFont="1" applyFill="1" applyBorder="1" applyAlignment="1">
      <alignment vertical="center"/>
    </xf>
    <xf numFmtId="171" fontId="28" fillId="0" borderId="8" xfId="0" applyNumberFormat="1" applyFont="1" applyFill="1" applyBorder="1" applyAlignment="1">
      <alignment vertical="center"/>
    </xf>
    <xf numFmtId="164" fontId="27" fillId="0" borderId="2" xfId="0" applyNumberFormat="1" applyFont="1" applyFill="1" applyBorder="1" applyAlignment="1">
      <alignment horizontal="right" vertical="center" wrapText="1"/>
    </xf>
    <xf numFmtId="171" fontId="0" fillId="0" borderId="0" xfId="0" applyNumberFormat="1"/>
    <xf numFmtId="0" fontId="0" fillId="2" borderId="17" xfId="0" applyFill="1" applyBorder="1" applyAlignment="1">
      <alignment horizontal="center" vertical="center" wrapText="1"/>
    </xf>
    <xf numFmtId="0" fontId="2" fillId="10" borderId="17" xfId="0" applyFont="1" applyFill="1" applyBorder="1" applyAlignment="1">
      <alignment horizontal="center" vertical="center"/>
    </xf>
    <xf numFmtId="0" fontId="2" fillId="10" borderId="17" xfId="0" applyFont="1" applyFill="1" applyBorder="1" applyAlignment="1">
      <alignment horizontal="center" vertical="center" wrapText="1"/>
    </xf>
    <xf numFmtId="44" fontId="2" fillId="10" borderId="17" xfId="0" applyNumberFormat="1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5" fillId="0" borderId="17" xfId="3" applyFont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" fillId="2" borderId="55" xfId="0" applyFont="1" applyFill="1" applyBorder="1" applyAlignment="1">
      <alignment horizontal="center" vertical="center"/>
    </xf>
    <xf numFmtId="43" fontId="0" fillId="0" borderId="0" xfId="0" applyNumberFormat="1"/>
    <xf numFmtId="44" fontId="0" fillId="0" borderId="0" xfId="1" applyFont="1" applyBorder="1"/>
    <xf numFmtId="44" fontId="0" fillId="0" borderId="0" xfId="0" applyNumberFormat="1" applyBorder="1"/>
    <xf numFmtId="168" fontId="0" fillId="0" borderId="0" xfId="0" applyNumberFormat="1"/>
    <xf numFmtId="10" fontId="3" fillId="5" borderId="17" xfId="0" applyNumberFormat="1" applyFont="1" applyFill="1" applyBorder="1" applyAlignment="1">
      <alignment horizontal="center" vertical="center" wrapText="1"/>
    </xf>
    <xf numFmtId="10" fontId="17" fillId="5" borderId="17" xfId="0" applyNumberFormat="1" applyFont="1" applyFill="1" applyBorder="1" applyAlignment="1">
      <alignment horizontal="center" vertical="center"/>
    </xf>
    <xf numFmtId="9" fontId="0" fillId="0" borderId="17" xfId="2" applyFont="1" applyBorder="1" applyAlignment="1">
      <alignment horizontal="center" vertical="center"/>
    </xf>
    <xf numFmtId="0" fontId="28" fillId="0" borderId="4" xfId="0" applyFont="1" applyFill="1" applyBorder="1" applyAlignment="1">
      <alignment horizontal="left" vertical="center" wrapText="1"/>
    </xf>
    <xf numFmtId="44" fontId="0" fillId="0" borderId="0" xfId="1" applyFont="1" applyAlignment="1">
      <alignment horizontal="center" vertical="center"/>
    </xf>
    <xf numFmtId="44" fontId="0" fillId="0" borderId="17" xfId="1" applyFont="1" applyBorder="1" applyAlignment="1">
      <alignment vertical="center"/>
    </xf>
    <xf numFmtId="44" fontId="0" fillId="0" borderId="17" xfId="0" applyNumberFormat="1" applyBorder="1" applyAlignment="1">
      <alignment vertical="center"/>
    </xf>
    <xf numFmtId="0" fontId="30" fillId="0" borderId="0" xfId="11" applyFont="1" applyAlignment="1">
      <alignment horizontal="left"/>
    </xf>
    <xf numFmtId="0" fontId="30" fillId="0" borderId="0" xfId="11" applyFont="1"/>
    <xf numFmtId="4" fontId="30" fillId="0" borderId="0" xfId="11" applyNumberFormat="1" applyFont="1" applyAlignment="1">
      <alignment horizontal="center"/>
    </xf>
    <xf numFmtId="0" fontId="30" fillId="0" borderId="0" xfId="11" applyFont="1" applyAlignment="1">
      <alignment horizontal="center"/>
    </xf>
    <xf numFmtId="4" fontId="30" fillId="0" borderId="0" xfId="11" applyNumberFormat="1" applyFont="1"/>
    <xf numFmtId="3" fontId="30" fillId="0" borderId="0" xfId="11" applyNumberFormat="1" applyFont="1"/>
    <xf numFmtId="17" fontId="30" fillId="0" borderId="0" xfId="11" applyNumberFormat="1" applyFont="1"/>
    <xf numFmtId="4" fontId="30" fillId="0" borderId="9" xfId="11" applyNumberFormat="1" applyFont="1" applyBorder="1" applyAlignment="1">
      <alignment horizontal="left"/>
    </xf>
    <xf numFmtId="0" fontId="30" fillId="0" borderId="10" xfId="11" applyFont="1" applyBorder="1"/>
    <xf numFmtId="0" fontId="30" fillId="0" borderId="10" xfId="11" applyFont="1" applyBorder="1" applyAlignment="1">
      <alignment horizontal="center"/>
    </xf>
    <xf numFmtId="4" fontId="30" fillId="0" borderId="10" xfId="11" applyNumberFormat="1" applyFont="1" applyBorder="1"/>
    <xf numFmtId="173" fontId="31" fillId="11" borderId="21" xfId="11" applyNumberFormat="1" applyFont="1" applyFill="1" applyBorder="1"/>
    <xf numFmtId="168" fontId="32" fillId="0" borderId="0" xfId="11" applyNumberFormat="1" applyFont="1"/>
    <xf numFmtId="10" fontId="30" fillId="0" borderId="0" xfId="11" applyNumberFormat="1" applyFont="1"/>
    <xf numFmtId="174" fontId="30" fillId="0" borderId="0" xfId="11" applyNumberFormat="1" applyFont="1"/>
    <xf numFmtId="4" fontId="30" fillId="0" borderId="0" xfId="11" applyNumberFormat="1" applyFont="1" applyBorder="1" applyAlignment="1">
      <alignment horizontal="left"/>
    </xf>
    <xf numFmtId="0" fontId="30" fillId="0" borderId="0" xfId="11" applyFont="1" applyBorder="1"/>
    <xf numFmtId="0" fontId="30" fillId="0" borderId="0" xfId="11" applyFont="1" applyBorder="1" applyAlignment="1">
      <alignment horizontal="center"/>
    </xf>
    <xf numFmtId="4" fontId="30" fillId="0" borderId="0" xfId="11" applyNumberFormat="1" applyFont="1" applyBorder="1"/>
    <xf numFmtId="4" fontId="31" fillId="11" borderId="56" xfId="11" applyNumberFormat="1" applyFont="1" applyFill="1" applyBorder="1"/>
    <xf numFmtId="0" fontId="32" fillId="0" borderId="0" xfId="11" applyFont="1"/>
    <xf numFmtId="4" fontId="30" fillId="0" borderId="14" xfId="11" applyNumberFormat="1" applyFont="1" applyBorder="1" applyAlignment="1">
      <alignment horizontal="left"/>
    </xf>
    <xf numFmtId="0" fontId="30" fillId="0" borderId="15" xfId="11" applyFont="1" applyBorder="1"/>
    <xf numFmtId="0" fontId="30" fillId="0" borderId="15" xfId="11" applyFont="1" applyBorder="1" applyAlignment="1">
      <alignment horizontal="center"/>
    </xf>
    <xf numFmtId="4" fontId="30" fillId="0" borderId="15" xfId="11" applyNumberFormat="1" applyFont="1" applyBorder="1"/>
    <xf numFmtId="4" fontId="31" fillId="11" borderId="57" xfId="11" applyNumberFormat="1" applyFont="1" applyFill="1" applyBorder="1" applyAlignment="1">
      <alignment horizontal="right"/>
    </xf>
    <xf numFmtId="4" fontId="31" fillId="0" borderId="32" xfId="11" applyNumberFormat="1" applyFont="1" applyBorder="1" applyAlignment="1">
      <alignment horizontal="center" vertical="center" wrapText="1"/>
    </xf>
    <xf numFmtId="0" fontId="31" fillId="0" borderId="32" xfId="11" applyFont="1" applyBorder="1" applyAlignment="1">
      <alignment horizontal="center" vertical="center" wrapText="1"/>
    </xf>
    <xf numFmtId="3" fontId="31" fillId="0" borderId="32" xfId="11" applyNumberFormat="1" applyFont="1" applyBorder="1" applyAlignment="1">
      <alignment horizontal="center" vertical="center" wrapText="1"/>
    </xf>
    <xf numFmtId="10" fontId="31" fillId="0" borderId="32" xfId="11" applyNumberFormat="1" applyFont="1" applyBorder="1" applyAlignment="1">
      <alignment horizontal="center" vertical="center" wrapText="1"/>
    </xf>
    <xf numFmtId="0" fontId="31" fillId="0" borderId="0" xfId="11" applyFont="1" applyAlignment="1">
      <alignment horizontal="left" vertical="center" wrapText="1"/>
    </xf>
    <xf numFmtId="0" fontId="31" fillId="0" borderId="0" xfId="11" applyFont="1" applyAlignment="1">
      <alignment horizontal="center" vertical="center" wrapText="1"/>
    </xf>
    <xf numFmtId="4" fontId="31" fillId="0" borderId="24" xfId="11" applyNumberFormat="1" applyFont="1" applyBorder="1" applyAlignment="1">
      <alignment horizontal="center"/>
    </xf>
    <xf numFmtId="0" fontId="31" fillId="11" borderId="25" xfId="11" applyFont="1" applyFill="1" applyBorder="1" applyAlignment="1">
      <alignment horizontal="center" vertical="center" wrapText="1"/>
    </xf>
    <xf numFmtId="0" fontId="30" fillId="0" borderId="25" xfId="11" applyFont="1" applyBorder="1" applyAlignment="1">
      <alignment horizontal="center"/>
    </xf>
    <xf numFmtId="4" fontId="30" fillId="0" borderId="25" xfId="11" applyNumberFormat="1" applyFont="1" applyBorder="1"/>
    <xf numFmtId="3" fontId="30" fillId="0" borderId="25" xfId="11" applyNumberFormat="1" applyFont="1" applyBorder="1"/>
    <xf numFmtId="0" fontId="30" fillId="0" borderId="25" xfId="11" applyFont="1" applyBorder="1"/>
    <xf numFmtId="10" fontId="31" fillId="11" borderId="26" xfId="11" applyNumberFormat="1" applyFont="1" applyFill="1" applyBorder="1"/>
    <xf numFmtId="4" fontId="31" fillId="0" borderId="27" xfId="11" applyNumberFormat="1" applyFont="1" applyBorder="1" applyAlignment="1">
      <alignment horizontal="center"/>
    </xf>
    <xf numFmtId="0" fontId="31" fillId="0" borderId="17" xfId="11" applyFont="1" applyBorder="1" applyAlignment="1">
      <alignment horizontal="center"/>
    </xf>
    <xf numFmtId="0" fontId="30" fillId="0" borderId="17" xfId="11" applyFont="1" applyBorder="1" applyAlignment="1">
      <alignment horizontal="center"/>
    </xf>
    <xf numFmtId="4" fontId="30" fillId="0" borderId="17" xfId="11" applyNumberFormat="1" applyFont="1" applyBorder="1"/>
    <xf numFmtId="3" fontId="30" fillId="0" borderId="17" xfId="11" applyNumberFormat="1" applyFont="1" applyBorder="1"/>
    <xf numFmtId="0" fontId="30" fillId="0" borderId="17" xfId="11" applyFont="1" applyBorder="1"/>
    <xf numFmtId="3" fontId="31" fillId="0" borderId="17" xfId="11" applyNumberFormat="1" applyFont="1" applyBorder="1"/>
    <xf numFmtId="10" fontId="31" fillId="0" borderId="28" xfId="11" applyNumberFormat="1" applyFont="1" applyBorder="1"/>
    <xf numFmtId="10" fontId="30" fillId="0" borderId="0" xfId="11" applyNumberFormat="1" applyFont="1" applyAlignment="1">
      <alignment horizontal="left"/>
    </xf>
    <xf numFmtId="9" fontId="30" fillId="0" borderId="17" xfId="12" applyFont="1" applyBorder="1"/>
    <xf numFmtId="10" fontId="30" fillId="0" borderId="17" xfId="11" applyNumberFormat="1" applyFont="1" applyBorder="1"/>
    <xf numFmtId="10" fontId="30" fillId="0" borderId="28" xfId="11" applyNumberFormat="1" applyFont="1" applyBorder="1"/>
    <xf numFmtId="0" fontId="30" fillId="0" borderId="17" xfId="11" applyFont="1" applyFill="1" applyBorder="1"/>
    <xf numFmtId="3" fontId="30" fillId="0" borderId="17" xfId="11" applyNumberFormat="1" applyFont="1" applyFill="1" applyBorder="1"/>
    <xf numFmtId="0" fontId="30" fillId="0" borderId="17" xfId="11" applyFont="1" applyFill="1" applyBorder="1" applyAlignment="1"/>
    <xf numFmtId="0" fontId="30" fillId="0" borderId="17" xfId="11" applyFont="1" applyFill="1" applyBorder="1" applyAlignment="1">
      <alignment wrapText="1"/>
    </xf>
    <xf numFmtId="0" fontId="31" fillId="11" borderId="17" xfId="11" applyFont="1" applyFill="1" applyBorder="1" applyAlignment="1">
      <alignment horizontal="center"/>
    </xf>
    <xf numFmtId="10" fontId="31" fillId="11" borderId="28" xfId="11" applyNumberFormat="1" applyFont="1" applyFill="1" applyBorder="1"/>
    <xf numFmtId="175" fontId="30" fillId="0" borderId="17" xfId="11" applyNumberFormat="1" applyFont="1" applyFill="1" applyBorder="1"/>
    <xf numFmtId="176" fontId="30" fillId="0" borderId="17" xfId="11" applyNumberFormat="1" applyFont="1" applyBorder="1"/>
    <xf numFmtId="4" fontId="31" fillId="0" borderId="27" xfId="11" applyNumberFormat="1" applyFont="1" applyFill="1" applyBorder="1" applyAlignment="1">
      <alignment horizontal="center"/>
    </xf>
    <xf numFmtId="4" fontId="30" fillId="0" borderId="17" xfId="11" applyNumberFormat="1" applyFont="1" applyFill="1" applyBorder="1"/>
    <xf numFmtId="10" fontId="30" fillId="0" borderId="28" xfId="11" applyNumberFormat="1" applyFont="1" applyFill="1" applyBorder="1"/>
    <xf numFmtId="0" fontId="30" fillId="0" borderId="0" xfId="11" applyFont="1" applyFill="1" applyAlignment="1">
      <alignment horizontal="left"/>
    </xf>
    <xf numFmtId="0" fontId="30" fillId="0" borderId="0" xfId="11" applyFont="1" applyFill="1"/>
    <xf numFmtId="10" fontId="30" fillId="0" borderId="17" xfId="11" applyNumberFormat="1" applyFont="1" applyFill="1" applyBorder="1"/>
    <xf numFmtId="4" fontId="30" fillId="0" borderId="27" xfId="11" applyNumberFormat="1" applyFont="1" applyBorder="1" applyAlignment="1">
      <alignment horizontal="center"/>
    </xf>
    <xf numFmtId="4" fontId="30" fillId="12" borderId="49" xfId="11" applyNumberFormat="1" applyFont="1" applyFill="1" applyBorder="1" applyAlignment="1">
      <alignment horizontal="center"/>
    </xf>
    <xf numFmtId="0" fontId="31" fillId="12" borderId="50" xfId="11" applyFont="1" applyFill="1" applyBorder="1"/>
    <xf numFmtId="0" fontId="30" fillId="12" borderId="50" xfId="11" applyFont="1" applyFill="1" applyBorder="1" applyAlignment="1">
      <alignment horizontal="center"/>
    </xf>
    <xf numFmtId="4" fontId="30" fillId="12" borderId="50" xfId="11" applyNumberFormat="1" applyFont="1" applyFill="1" applyBorder="1"/>
    <xf numFmtId="3" fontId="30" fillId="12" borderId="50" xfId="11" applyNumberFormat="1" applyFont="1" applyFill="1" applyBorder="1"/>
    <xf numFmtId="0" fontId="30" fillId="12" borderId="50" xfId="11" applyFont="1" applyFill="1" applyBorder="1"/>
    <xf numFmtId="3" fontId="30" fillId="12" borderId="51" xfId="11" applyNumberFormat="1" applyFont="1" applyFill="1" applyBorder="1"/>
    <xf numFmtId="173" fontId="31" fillId="12" borderId="32" xfId="11" applyNumberFormat="1" applyFont="1" applyFill="1" applyBorder="1"/>
    <xf numFmtId="10" fontId="31" fillId="12" borderId="32" xfId="11" applyNumberFormat="1" applyFont="1" applyFill="1" applyBorder="1"/>
    <xf numFmtId="4" fontId="30" fillId="0" borderId="24" xfId="11" applyNumberFormat="1" applyFont="1" applyBorder="1" applyAlignment="1">
      <alignment horizontal="center"/>
    </xf>
    <xf numFmtId="0" fontId="31" fillId="0" borderId="25" xfId="11" applyFont="1" applyBorder="1"/>
    <xf numFmtId="10" fontId="30" fillId="0" borderId="26" xfId="11" applyNumberFormat="1" applyFont="1" applyBorder="1"/>
    <xf numFmtId="0" fontId="31" fillId="0" borderId="17" xfId="11" applyFont="1" applyBorder="1"/>
    <xf numFmtId="10" fontId="31" fillId="0" borderId="17" xfId="11" applyNumberFormat="1" applyFont="1" applyFill="1" applyBorder="1"/>
    <xf numFmtId="0" fontId="30" fillId="0" borderId="0" xfId="13" applyFont="1"/>
    <xf numFmtId="4" fontId="31" fillId="0" borderId="0" xfId="11" applyNumberFormat="1" applyFont="1" applyAlignment="1">
      <alignment horizontal="center" vertical="center" wrapText="1"/>
    </xf>
    <xf numFmtId="3" fontId="31" fillId="0" borderId="0" xfId="11" applyNumberFormat="1" applyFont="1" applyAlignment="1">
      <alignment horizontal="center" vertical="center" wrapText="1"/>
    </xf>
    <xf numFmtId="10" fontId="31" fillId="0" borderId="0" xfId="11" applyNumberFormat="1" applyFont="1" applyAlignment="1">
      <alignment horizontal="center" vertical="center" wrapText="1"/>
    </xf>
    <xf numFmtId="0" fontId="30" fillId="0" borderId="58" xfId="11" applyFont="1" applyBorder="1"/>
    <xf numFmtId="0" fontId="30" fillId="0" borderId="58" xfId="11" applyFont="1" applyBorder="1" applyAlignment="1">
      <alignment horizontal="center"/>
    </xf>
    <xf numFmtId="173" fontId="30" fillId="0" borderId="58" xfId="11" applyNumberFormat="1" applyFont="1" applyBorder="1"/>
    <xf numFmtId="10" fontId="30" fillId="0" borderId="58" xfId="11" applyNumberFormat="1" applyFont="1" applyBorder="1"/>
    <xf numFmtId="0" fontId="30" fillId="0" borderId="59" xfId="11" applyFont="1" applyBorder="1"/>
    <xf numFmtId="0" fontId="30" fillId="0" borderId="59" xfId="11" applyFont="1" applyBorder="1" applyAlignment="1">
      <alignment horizontal="center"/>
    </xf>
    <xf numFmtId="173" fontId="30" fillId="0" borderId="59" xfId="11" applyNumberFormat="1" applyFont="1" applyBorder="1"/>
    <xf numFmtId="10" fontId="30" fillId="0" borderId="59" xfId="11" applyNumberFormat="1" applyFont="1" applyBorder="1"/>
    <xf numFmtId="10" fontId="30" fillId="13" borderId="59" xfId="11" applyNumberFormat="1" applyFont="1" applyFill="1" applyBorder="1"/>
    <xf numFmtId="0" fontId="30" fillId="0" borderId="60" xfId="11" applyFont="1" applyBorder="1"/>
    <xf numFmtId="0" fontId="30" fillId="0" borderId="60" xfId="11" applyFont="1" applyBorder="1" applyAlignment="1">
      <alignment horizontal="center"/>
    </xf>
    <xf numFmtId="173" fontId="30" fillId="0" borderId="60" xfId="11" applyNumberFormat="1" applyFont="1" applyBorder="1"/>
    <xf numFmtId="10" fontId="30" fillId="0" borderId="60" xfId="11" applyNumberFormat="1" applyFont="1" applyBorder="1"/>
    <xf numFmtId="169" fontId="31" fillId="12" borderId="32" xfId="11" applyNumberFormat="1" applyFont="1" applyFill="1" applyBorder="1"/>
    <xf numFmtId="169" fontId="30" fillId="0" borderId="17" xfId="11" applyNumberFormat="1" applyFont="1" applyBorder="1"/>
    <xf numFmtId="44" fontId="1" fillId="14" borderId="0" xfId="3" applyNumberFormat="1" applyFill="1"/>
    <xf numFmtId="0" fontId="0" fillId="0" borderId="17" xfId="0" applyFill="1" applyBorder="1" applyAlignment="1">
      <alignment horizontal="left"/>
    </xf>
    <xf numFmtId="0" fontId="30" fillId="0" borderId="17" xfId="11" applyFont="1" applyBorder="1" applyAlignment="1">
      <alignment wrapText="1"/>
    </xf>
    <xf numFmtId="0" fontId="34" fillId="0" borderId="17" xfId="0" applyFont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17" fillId="0" borderId="17" xfId="0" applyFont="1" applyBorder="1" applyAlignment="1">
      <alignment vertical="center" wrapText="1"/>
    </xf>
    <xf numFmtId="0" fontId="17" fillId="0" borderId="0" xfId="0" applyFont="1"/>
    <xf numFmtId="0" fontId="17" fillId="0" borderId="9" xfId="0" applyFont="1" applyBorder="1"/>
    <xf numFmtId="0" fontId="17" fillId="0" borderId="14" xfId="0" applyFont="1" applyBorder="1"/>
    <xf numFmtId="0" fontId="17" fillId="5" borderId="17" xfId="0" applyFont="1" applyFill="1" applyBorder="1" applyAlignment="1">
      <alignment horizontal="center" vertical="center"/>
    </xf>
    <xf numFmtId="0" fontId="30" fillId="0" borderId="0" xfId="14" applyAlignment="1" applyProtection="1">
      <alignment vertical="center"/>
      <protection hidden="1"/>
    </xf>
    <xf numFmtId="0" fontId="30" fillId="2" borderId="0" xfId="14" applyFill="1" applyBorder="1" applyAlignment="1" applyProtection="1">
      <alignment vertical="center"/>
      <protection hidden="1"/>
    </xf>
    <xf numFmtId="0" fontId="31" fillId="0" borderId="0" xfId="14" applyFont="1" applyAlignment="1"/>
    <xf numFmtId="0" fontId="31" fillId="15" borderId="17" xfId="14" applyFont="1" applyFill="1" applyBorder="1" applyAlignment="1" applyProtection="1">
      <alignment vertical="center" wrapText="1"/>
      <protection hidden="1"/>
    </xf>
    <xf numFmtId="0" fontId="30" fillId="15" borderId="17" xfId="14" applyFont="1" applyFill="1" applyBorder="1" applyAlignment="1" applyProtection="1">
      <alignment horizontal="left" vertical="center" indent="1"/>
      <protection hidden="1"/>
    </xf>
    <xf numFmtId="0" fontId="30" fillId="15" borderId="17" xfId="14" applyFont="1" applyFill="1" applyBorder="1" applyAlignment="1" applyProtection="1">
      <alignment horizontal="right" vertical="center"/>
      <protection hidden="1"/>
    </xf>
    <xf numFmtId="0" fontId="30" fillId="15" borderId="0" xfId="14" applyFont="1" applyFill="1" applyBorder="1" applyAlignment="1" applyProtection="1">
      <alignment horizontal="right" vertical="center"/>
      <protection hidden="1"/>
    </xf>
    <xf numFmtId="0" fontId="30" fillId="0" borderId="0" xfId="14" applyFont="1"/>
    <xf numFmtId="177" fontId="40" fillId="6" borderId="17" xfId="15" applyNumberFormat="1" applyFont="1" applyFill="1" applyBorder="1" applyAlignment="1" applyProtection="1">
      <alignment horizontal="right" vertical="center"/>
      <protection hidden="1"/>
    </xf>
    <xf numFmtId="177" fontId="40" fillId="15" borderId="0" xfId="15" applyNumberFormat="1" applyFont="1" applyFill="1" applyBorder="1" applyAlignment="1" applyProtection="1">
      <alignment horizontal="right" vertical="center"/>
      <protection hidden="1"/>
    </xf>
    <xf numFmtId="10" fontId="40" fillId="6" borderId="17" xfId="16" applyNumberFormat="1" applyFont="1" applyFill="1" applyBorder="1" applyAlignment="1" applyProtection="1">
      <alignment horizontal="right" vertical="center"/>
      <protection hidden="1"/>
    </xf>
    <xf numFmtId="177" fontId="30" fillId="2" borderId="0" xfId="14" applyNumberFormat="1" applyFill="1" applyBorder="1" applyAlignment="1" applyProtection="1">
      <alignment vertical="center"/>
      <protection hidden="1"/>
    </xf>
    <xf numFmtId="0" fontId="30" fillId="16" borderId="0" xfId="14" applyFill="1" applyBorder="1" applyAlignment="1" applyProtection="1">
      <alignment vertical="center"/>
      <protection hidden="1"/>
    </xf>
    <xf numFmtId="0" fontId="31" fillId="16" borderId="0" xfId="14" applyFont="1" applyFill="1" applyBorder="1" applyAlignment="1" applyProtection="1">
      <alignment vertical="center"/>
      <protection hidden="1"/>
    </xf>
    <xf numFmtId="0" fontId="31" fillId="16" borderId="17" xfId="14" applyFont="1" applyFill="1" applyBorder="1" applyAlignment="1" applyProtection="1">
      <alignment horizontal="center" vertical="center"/>
      <protection hidden="1"/>
    </xf>
    <xf numFmtId="0" fontId="31" fillId="16" borderId="17" xfId="14" applyFont="1" applyFill="1" applyBorder="1" applyAlignment="1" applyProtection="1">
      <alignment horizontal="center" vertical="center" wrapText="1"/>
      <protection hidden="1"/>
    </xf>
    <xf numFmtId="0" fontId="30" fillId="16" borderId="17" xfId="14" applyFill="1" applyBorder="1" applyAlignment="1" applyProtection="1">
      <alignment horizontal="left" vertical="center" indent="1"/>
      <protection hidden="1"/>
    </xf>
    <xf numFmtId="179" fontId="30" fillId="16" borderId="17" xfId="14" applyNumberFormat="1" applyFill="1" applyBorder="1" applyAlignment="1" applyProtection="1">
      <alignment horizontal="center" vertical="center"/>
      <protection hidden="1"/>
    </xf>
    <xf numFmtId="179" fontId="30" fillId="4" borderId="17" xfId="14" applyNumberFormat="1" applyFill="1" applyBorder="1" applyAlignment="1" applyProtection="1">
      <alignment horizontal="center" vertical="center"/>
      <protection hidden="1"/>
    </xf>
    <xf numFmtId="179" fontId="30" fillId="0" borderId="17" xfId="14" applyNumberFormat="1" applyFill="1" applyBorder="1" applyAlignment="1" applyProtection="1">
      <alignment horizontal="center" vertical="center"/>
      <protection hidden="1"/>
    </xf>
    <xf numFmtId="179" fontId="30" fillId="0" borderId="0" xfId="14" applyNumberFormat="1" applyFont="1"/>
    <xf numFmtId="179" fontId="30" fillId="0" borderId="0" xfId="14" applyNumberFormat="1" applyAlignment="1" applyProtection="1">
      <alignment vertical="center"/>
      <protection hidden="1"/>
    </xf>
    <xf numFmtId="1" fontId="30" fillId="0" borderId="0" xfId="14" applyNumberFormat="1" applyAlignment="1" applyProtection="1">
      <alignment vertical="center"/>
      <protection hidden="1"/>
    </xf>
    <xf numFmtId="0" fontId="31" fillId="16" borderId="55" xfId="14" applyFont="1" applyFill="1" applyBorder="1" applyAlignment="1" applyProtection="1">
      <alignment vertical="center"/>
      <protection hidden="1"/>
    </xf>
    <xf numFmtId="179" fontId="31" fillId="16" borderId="17" xfId="14" applyNumberFormat="1" applyFont="1" applyFill="1" applyBorder="1" applyAlignment="1" applyProtection="1">
      <alignment horizontal="center" vertical="center"/>
      <protection hidden="1"/>
    </xf>
    <xf numFmtId="179" fontId="30" fillId="16" borderId="0" xfId="14" applyNumberFormat="1" applyFill="1" applyBorder="1" applyAlignment="1" applyProtection="1">
      <alignment vertical="center"/>
      <protection hidden="1"/>
    </xf>
    <xf numFmtId="180" fontId="30" fillId="0" borderId="17" xfId="14" applyNumberFormat="1" applyBorder="1" applyAlignment="1" applyProtection="1">
      <alignment vertical="center"/>
      <protection hidden="1"/>
    </xf>
    <xf numFmtId="0" fontId="31" fillId="2" borderId="17" xfId="0" applyFont="1" applyFill="1" applyBorder="1" applyAlignment="1">
      <alignment horizontal="center" vertical="center"/>
    </xf>
    <xf numFmtId="0" fontId="31" fillId="2" borderId="17" xfId="0" applyFont="1" applyFill="1" applyBorder="1" applyAlignment="1">
      <alignment horizontal="center" vertical="center" wrapText="1"/>
    </xf>
    <xf numFmtId="0" fontId="41" fillId="2" borderId="17" xfId="0" applyFont="1" applyFill="1" applyBorder="1" applyAlignment="1">
      <alignment horizontal="center" vertical="center"/>
    </xf>
    <xf numFmtId="0" fontId="30" fillId="0" borderId="17" xfId="14" applyFont="1" applyBorder="1" applyAlignment="1">
      <alignment horizontal="center"/>
    </xf>
    <xf numFmtId="166" fontId="30" fillId="0" borderId="17" xfId="1" applyNumberFormat="1" applyFont="1" applyBorder="1" applyAlignment="1">
      <alignment horizontal="center"/>
    </xf>
    <xf numFmtId="43" fontId="30" fillId="0" borderId="0" xfId="14" applyNumberFormat="1" applyFont="1"/>
    <xf numFmtId="0" fontId="30" fillId="16" borderId="17" xfId="14" applyFont="1" applyFill="1" applyBorder="1" applyAlignment="1" applyProtection="1">
      <alignment vertical="center"/>
      <protection hidden="1"/>
    </xf>
    <xf numFmtId="0" fontId="30" fillId="16" borderId="17" xfId="14" applyFont="1" applyFill="1" applyBorder="1" applyAlignment="1" applyProtection="1">
      <alignment horizontal="center" vertical="center"/>
      <protection hidden="1"/>
    </xf>
    <xf numFmtId="0" fontId="31" fillId="16" borderId="0" xfId="14" applyFont="1" applyFill="1" applyBorder="1" applyAlignment="1" applyProtection="1">
      <alignment horizontal="center" vertical="center" wrapText="1"/>
      <protection hidden="1"/>
    </xf>
    <xf numFmtId="0" fontId="42" fillId="0" borderId="17" xfId="14" applyFont="1" applyBorder="1"/>
    <xf numFmtId="181" fontId="30" fillId="16" borderId="17" xfId="17" applyFont="1" applyFill="1" applyBorder="1" applyAlignment="1" applyProtection="1">
      <alignment vertical="center"/>
      <protection hidden="1"/>
    </xf>
    <xf numFmtId="181" fontId="30" fillId="4" borderId="17" xfId="17" applyFont="1" applyFill="1" applyBorder="1" applyAlignment="1" applyProtection="1">
      <alignment vertical="center"/>
      <protection hidden="1"/>
    </xf>
    <xf numFmtId="182" fontId="30" fillId="17" borderId="0" xfId="17" applyNumberFormat="1" applyFont="1" applyFill="1" applyBorder="1" applyAlignment="1" applyProtection="1">
      <alignment vertical="center"/>
      <protection hidden="1"/>
    </xf>
    <xf numFmtId="179" fontId="30" fillId="17" borderId="0" xfId="14" applyNumberFormat="1" applyFont="1" applyFill="1" applyBorder="1" applyAlignment="1" applyProtection="1">
      <alignment vertical="center"/>
      <protection hidden="1"/>
    </xf>
    <xf numFmtId="1" fontId="30" fillId="17" borderId="0" xfId="14" applyNumberFormat="1" applyFont="1" applyFill="1"/>
    <xf numFmtId="1" fontId="30" fillId="0" borderId="0" xfId="14" applyNumberFormat="1" applyFont="1"/>
    <xf numFmtId="181" fontId="30" fillId="17" borderId="0" xfId="17" applyFont="1" applyFill="1" applyBorder="1" applyAlignment="1" applyProtection="1">
      <alignment vertical="center"/>
      <protection hidden="1"/>
    </xf>
    <xf numFmtId="0" fontId="30" fillId="17" borderId="0" xfId="14" applyFont="1" applyFill="1"/>
    <xf numFmtId="183" fontId="30" fillId="17" borderId="0" xfId="17" applyNumberFormat="1" applyFont="1" applyFill="1" applyBorder="1" applyAlignment="1" applyProtection="1">
      <alignment vertical="center"/>
      <protection hidden="1"/>
    </xf>
    <xf numFmtId="0" fontId="31" fillId="0" borderId="0" xfId="14" applyFont="1" applyAlignment="1" applyProtection="1">
      <alignment horizontal="center" vertical="center" wrapText="1"/>
      <protection hidden="1"/>
    </xf>
    <xf numFmtId="0" fontId="30" fillId="0" borderId="0" xfId="14" applyAlignment="1" applyProtection="1">
      <alignment horizontal="center" vertical="center" wrapText="1"/>
      <protection hidden="1"/>
    </xf>
    <xf numFmtId="0" fontId="43" fillId="0" borderId="0" xfId="14" applyFont="1"/>
    <xf numFmtId="0" fontId="43" fillId="0" borderId="0" xfId="18" applyFont="1" applyFill="1" applyBorder="1" applyAlignment="1" applyProtection="1">
      <alignment vertical="center"/>
      <protection hidden="1"/>
    </xf>
    <xf numFmtId="0" fontId="30" fillId="0" borderId="0" xfId="14" applyFont="1" applyAlignment="1" applyProtection="1">
      <alignment vertical="center"/>
      <protection hidden="1"/>
    </xf>
    <xf numFmtId="0" fontId="45" fillId="0" borderId="0" xfId="14" applyNumberFormat="1" applyFont="1" applyFill="1" applyBorder="1" applyAlignment="1" applyProtection="1">
      <alignment horizontal="center" vertical="center"/>
      <protection hidden="1"/>
    </xf>
    <xf numFmtId="179" fontId="30" fillId="16" borderId="0" xfId="14" applyNumberFormat="1" applyFill="1" applyBorder="1" applyAlignment="1" applyProtection="1">
      <alignment horizontal="right" vertical="center"/>
      <protection hidden="1"/>
    </xf>
    <xf numFmtId="176" fontId="30" fillId="0" borderId="0" xfId="14" applyNumberFormat="1" applyBorder="1" applyAlignment="1" applyProtection="1">
      <alignment vertical="center"/>
      <protection hidden="1"/>
    </xf>
    <xf numFmtId="0" fontId="30" fillId="0" borderId="0" xfId="14" applyFont="1" applyBorder="1"/>
    <xf numFmtId="184" fontId="43" fillId="0" borderId="0" xfId="14" applyNumberFormat="1" applyFont="1" applyFill="1" applyBorder="1" applyAlignment="1" applyProtection="1">
      <alignment horizontal="center" vertical="center"/>
      <protection hidden="1"/>
    </xf>
    <xf numFmtId="0" fontId="30" fillId="0" borderId="0" xfId="14" applyBorder="1" applyAlignment="1" applyProtection="1">
      <alignment vertical="center"/>
      <protection hidden="1"/>
    </xf>
    <xf numFmtId="179" fontId="30" fillId="0" borderId="0" xfId="14" applyNumberFormat="1" applyBorder="1" applyAlignment="1" applyProtection="1">
      <alignment vertical="center"/>
      <protection hidden="1"/>
    </xf>
    <xf numFmtId="177" fontId="30" fillId="0" borderId="0" xfId="14" applyNumberFormat="1" applyFont="1"/>
    <xf numFmtId="0" fontId="31" fillId="0" borderId="0" xfId="14" applyFont="1" applyBorder="1"/>
    <xf numFmtId="10" fontId="0" fillId="0" borderId="0" xfId="2" applyNumberFormat="1" applyFont="1"/>
    <xf numFmtId="0" fontId="46" fillId="0" borderId="0" xfId="0" applyFont="1" applyAlignment="1">
      <alignment horizontal="center" vertical="center"/>
    </xf>
    <xf numFmtId="6" fontId="46" fillId="0" borderId="0" xfId="0" applyNumberFormat="1" applyFont="1" applyAlignment="1">
      <alignment horizontal="center" vertical="center"/>
    </xf>
    <xf numFmtId="168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3" fillId="0" borderId="0" xfId="0" applyFont="1" applyAlignment="1">
      <alignment horizontal="center" vertical="center"/>
    </xf>
    <xf numFmtId="0" fontId="14" fillId="5" borderId="17" xfId="0" applyFont="1" applyFill="1" applyBorder="1" applyAlignment="1">
      <alignment horizontal="center" vertical="center"/>
    </xf>
    <xf numFmtId="0" fontId="15" fillId="0" borderId="17" xfId="0" applyFont="1" applyBorder="1"/>
    <xf numFmtId="0" fontId="19" fillId="5" borderId="17" xfId="0" applyFont="1" applyFill="1" applyBorder="1" applyAlignment="1">
      <alignment horizontal="center" vertical="center" wrapText="1"/>
    </xf>
    <xf numFmtId="0" fontId="20" fillId="0" borderId="17" xfId="0" applyFont="1" applyBorder="1"/>
    <xf numFmtId="0" fontId="3" fillId="5" borderId="55" xfId="0" applyFont="1" applyFill="1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3" fillId="5" borderId="22" xfId="0" applyFont="1" applyFill="1" applyBorder="1" applyAlignment="1">
      <alignment horizontal="center" vertical="center" wrapText="1"/>
    </xf>
    <xf numFmtId="166" fontId="16" fillId="0" borderId="55" xfId="1" applyNumberFormat="1" applyFont="1" applyFill="1" applyBorder="1" applyAlignment="1">
      <alignment horizontal="center" vertical="center" wrapText="1"/>
    </xf>
    <xf numFmtId="166" fontId="16" fillId="0" borderId="22" xfId="1" applyNumberFormat="1" applyFont="1" applyFill="1" applyBorder="1" applyAlignment="1">
      <alignment horizontal="center" vertical="center" wrapText="1"/>
    </xf>
    <xf numFmtId="0" fontId="17" fillId="5" borderId="17" xfId="0" applyFont="1" applyFill="1" applyBorder="1" applyAlignment="1">
      <alignment horizontal="center" vertical="center"/>
    </xf>
    <xf numFmtId="0" fontId="18" fillId="0" borderId="17" xfId="0" applyFont="1" applyBorder="1"/>
    <xf numFmtId="168" fontId="21" fillId="0" borderId="17" xfId="0" applyNumberFormat="1" applyFont="1" applyBorder="1" applyAlignment="1">
      <alignment vertical="center"/>
    </xf>
    <xf numFmtId="0" fontId="22" fillId="0" borderId="17" xfId="0" applyFont="1" applyBorder="1"/>
    <xf numFmtId="0" fontId="3" fillId="5" borderId="17" xfId="0" applyFont="1" applyFill="1" applyBorder="1" applyAlignment="1">
      <alignment horizontal="center" vertical="center" wrapText="1"/>
    </xf>
    <xf numFmtId="0" fontId="3" fillId="9" borderId="17" xfId="0" applyFont="1" applyFill="1" applyBorder="1" applyAlignment="1">
      <alignment horizontal="center" vertical="center" wrapText="1"/>
    </xf>
    <xf numFmtId="166" fontId="16" fillId="3" borderId="55" xfId="1" applyNumberFormat="1" applyFont="1" applyFill="1" applyBorder="1" applyAlignment="1">
      <alignment horizontal="center" vertical="center" wrapText="1"/>
    </xf>
    <xf numFmtId="166" fontId="16" fillId="3" borderId="22" xfId="1" applyNumberFormat="1" applyFont="1" applyFill="1" applyBorder="1" applyAlignment="1">
      <alignment horizontal="center" vertical="center" wrapText="1"/>
    </xf>
    <xf numFmtId="168" fontId="11" fillId="3" borderId="17" xfId="0" applyNumberFormat="1" applyFont="1" applyFill="1" applyBorder="1" applyAlignment="1">
      <alignment horizontal="center" vertical="center"/>
    </xf>
    <xf numFmtId="168" fontId="21" fillId="0" borderId="17" xfId="0" applyNumberFormat="1" applyFont="1" applyBorder="1" applyAlignment="1">
      <alignment horizontal="center" vertical="center"/>
    </xf>
    <xf numFmtId="0" fontId="3" fillId="5" borderId="17" xfId="0" applyFont="1" applyFill="1" applyBorder="1" applyAlignment="1">
      <alignment horizontal="center" vertical="center"/>
    </xf>
    <xf numFmtId="168" fontId="16" fillId="0" borderId="17" xfId="0" applyNumberFormat="1" applyFont="1" applyBorder="1" applyAlignment="1">
      <alignment horizontal="center" vertical="center"/>
    </xf>
    <xf numFmtId="168" fontId="21" fillId="0" borderId="55" xfId="0" applyNumberFormat="1" applyFont="1" applyBorder="1" applyAlignment="1">
      <alignment horizontal="center" vertical="center"/>
    </xf>
    <xf numFmtId="168" fontId="21" fillId="0" borderId="22" xfId="0" applyNumberFormat="1" applyFont="1" applyBorder="1" applyAlignment="1">
      <alignment horizontal="center" vertical="center"/>
    </xf>
    <xf numFmtId="0" fontId="17" fillId="5" borderId="55" xfId="0" applyFont="1" applyFill="1" applyBorder="1" applyAlignment="1">
      <alignment horizontal="center" vertical="center"/>
    </xf>
    <xf numFmtId="0" fontId="17" fillId="5" borderId="22" xfId="0" applyFont="1" applyFill="1" applyBorder="1" applyAlignment="1">
      <alignment horizontal="center" vertical="center"/>
    </xf>
    <xf numFmtId="4" fontId="31" fillId="0" borderId="17" xfId="11" applyNumberFormat="1" applyFont="1" applyBorder="1" applyAlignment="1">
      <alignment horizontal="center"/>
    </xf>
    <xf numFmtId="0" fontId="4" fillId="2" borderId="18" xfId="3" applyFont="1" applyFill="1" applyBorder="1" applyAlignment="1">
      <alignment horizontal="center" vertical="center" wrapText="1"/>
    </xf>
    <xf numFmtId="0" fontId="4" fillId="2" borderId="19" xfId="3" applyFont="1" applyFill="1" applyBorder="1" applyAlignment="1">
      <alignment horizontal="center" vertical="center" wrapText="1"/>
    </xf>
    <xf numFmtId="0" fontId="4" fillId="2" borderId="20" xfId="3" applyFont="1" applyFill="1" applyBorder="1" applyAlignment="1">
      <alignment horizontal="center" vertical="center" wrapText="1"/>
    </xf>
    <xf numFmtId="0" fontId="4" fillId="2" borderId="14" xfId="3" applyFont="1" applyFill="1" applyBorder="1" applyAlignment="1">
      <alignment horizontal="center" vertical="center"/>
    </xf>
    <xf numFmtId="0" fontId="4" fillId="2" borderId="15" xfId="3" applyFont="1" applyFill="1" applyBorder="1" applyAlignment="1">
      <alignment horizontal="center" vertical="center"/>
    </xf>
    <xf numFmtId="0" fontId="4" fillId="2" borderId="16" xfId="3" applyFont="1" applyFill="1" applyBorder="1" applyAlignment="1">
      <alignment horizontal="center" vertical="center"/>
    </xf>
    <xf numFmtId="166" fontId="3" fillId="2" borderId="14" xfId="3" applyNumberFormat="1" applyFont="1" applyFill="1" applyBorder="1" applyAlignment="1">
      <alignment horizontal="center" vertical="center" wrapText="1"/>
    </xf>
    <xf numFmtId="0" fontId="3" fillId="2" borderId="15" xfId="3" applyFont="1" applyFill="1" applyBorder="1" applyAlignment="1">
      <alignment horizontal="center" vertical="center" wrapText="1"/>
    </xf>
    <xf numFmtId="0" fontId="2" fillId="3" borderId="17" xfId="3" applyFont="1" applyFill="1" applyBorder="1" applyAlignment="1">
      <alignment horizontal="center" vertical="center" wrapText="1"/>
    </xf>
    <xf numFmtId="0" fontId="4" fillId="0" borderId="18" xfId="3" applyFont="1" applyBorder="1" applyAlignment="1">
      <alignment horizontal="center" vertical="center"/>
    </xf>
    <xf numFmtId="0" fontId="4" fillId="0" borderId="19" xfId="3" applyFont="1" applyBorder="1" applyAlignment="1">
      <alignment horizontal="center" vertical="center"/>
    </xf>
    <xf numFmtId="0" fontId="4" fillId="0" borderId="20" xfId="3" applyFont="1" applyBorder="1" applyAlignment="1">
      <alignment horizontal="center" vertical="center"/>
    </xf>
    <xf numFmtId="0" fontId="3" fillId="0" borderId="18" xfId="3" applyFont="1" applyBorder="1" applyAlignment="1">
      <alignment horizontal="center" vertical="center"/>
    </xf>
    <xf numFmtId="0" fontId="3" fillId="0" borderId="19" xfId="3" applyFont="1" applyBorder="1" applyAlignment="1">
      <alignment horizontal="center" vertical="center"/>
    </xf>
    <xf numFmtId="0" fontId="3" fillId="0" borderId="20" xfId="3" applyFont="1" applyBorder="1" applyAlignment="1">
      <alignment horizontal="center" vertical="center"/>
    </xf>
    <xf numFmtId="0" fontId="5" fillId="0" borderId="33" xfId="3" applyFont="1" applyBorder="1" applyAlignment="1">
      <alignment horizontal="center" vertical="center" wrapText="1"/>
    </xf>
    <xf numFmtId="0" fontId="5" fillId="0" borderId="23" xfId="3" applyFont="1" applyBorder="1" applyAlignment="1">
      <alignment horizontal="center" vertical="center" wrapText="1"/>
    </xf>
    <xf numFmtId="0" fontId="4" fillId="2" borderId="35" xfId="3" applyFont="1" applyFill="1" applyBorder="1" applyAlignment="1">
      <alignment horizontal="center" vertical="center" wrapText="1"/>
    </xf>
    <xf numFmtId="0" fontId="4" fillId="2" borderId="36" xfId="3" applyFont="1" applyFill="1" applyBorder="1" applyAlignment="1">
      <alignment horizontal="center" vertical="center" wrapText="1"/>
    </xf>
    <xf numFmtId="0" fontId="4" fillId="2" borderId="37" xfId="3" applyFont="1" applyFill="1" applyBorder="1" applyAlignment="1">
      <alignment horizontal="center" vertical="center" wrapText="1"/>
    </xf>
    <xf numFmtId="166" fontId="3" fillId="2" borderId="37" xfId="3" applyNumberFormat="1" applyFont="1" applyFill="1" applyBorder="1" applyAlignment="1">
      <alignment horizontal="center" vertical="center"/>
    </xf>
    <xf numFmtId="166" fontId="3" fillId="2" borderId="38" xfId="3" applyNumberFormat="1" applyFont="1" applyFill="1" applyBorder="1" applyAlignment="1">
      <alignment horizontal="center" vertical="center"/>
    </xf>
    <xf numFmtId="0" fontId="4" fillId="0" borderId="18" xfId="3" applyFont="1" applyBorder="1" applyAlignment="1">
      <alignment horizontal="center" vertical="center" wrapText="1"/>
    </xf>
    <xf numFmtId="0" fontId="4" fillId="0" borderId="19" xfId="3" applyFont="1" applyBorder="1" applyAlignment="1">
      <alignment horizontal="center" vertical="center" wrapText="1"/>
    </xf>
    <xf numFmtId="0" fontId="4" fillId="0" borderId="20" xfId="3" applyFont="1" applyBorder="1" applyAlignment="1">
      <alignment horizontal="center" vertical="center" wrapText="1"/>
    </xf>
    <xf numFmtId="0" fontId="7" fillId="0" borderId="9" xfId="3" applyFont="1" applyBorder="1" applyAlignment="1">
      <alignment horizontal="center" vertical="center"/>
    </xf>
    <xf numFmtId="0" fontId="7" fillId="0" borderId="10" xfId="3" applyFont="1" applyBorder="1" applyAlignment="1">
      <alignment horizontal="center" vertical="center"/>
    </xf>
    <xf numFmtId="0" fontId="7" fillId="0" borderId="11" xfId="3" applyFont="1" applyBorder="1" applyAlignment="1">
      <alignment horizontal="center" vertical="center"/>
    </xf>
    <xf numFmtId="0" fontId="2" fillId="3" borderId="22" xfId="3" applyFont="1" applyFill="1" applyBorder="1" applyAlignment="1">
      <alignment horizontal="center" vertical="center" wrapText="1"/>
    </xf>
    <xf numFmtId="0" fontId="2" fillId="2" borderId="18" xfId="3" applyFont="1" applyFill="1" applyBorder="1" applyAlignment="1">
      <alignment horizontal="center" vertical="center" wrapText="1"/>
    </xf>
    <xf numFmtId="0" fontId="2" fillId="2" borderId="19" xfId="3" applyFont="1" applyFill="1" applyBorder="1" applyAlignment="1">
      <alignment horizontal="center" vertical="center" wrapText="1"/>
    </xf>
    <xf numFmtId="0" fontId="2" fillId="2" borderId="20" xfId="3" applyFont="1" applyFill="1" applyBorder="1" applyAlignment="1">
      <alignment horizontal="center" vertical="center" wrapText="1"/>
    </xf>
    <xf numFmtId="0" fontId="2" fillId="3" borderId="18" xfId="3" applyFont="1" applyFill="1" applyBorder="1" applyAlignment="1">
      <alignment horizontal="center" vertical="center" wrapText="1"/>
    </xf>
    <xf numFmtId="0" fontId="2" fillId="3" borderId="20" xfId="3" applyFont="1" applyFill="1" applyBorder="1" applyAlignment="1">
      <alignment horizontal="center" vertical="center" wrapText="1"/>
    </xf>
    <xf numFmtId="0" fontId="4" fillId="2" borderId="9" xfId="3" applyFont="1" applyFill="1" applyBorder="1" applyAlignment="1">
      <alignment horizontal="center" vertical="center"/>
    </xf>
    <xf numFmtId="0" fontId="4" fillId="2" borderId="10" xfId="3" applyFont="1" applyFill="1" applyBorder="1" applyAlignment="1">
      <alignment horizontal="center" vertical="center"/>
    </xf>
    <xf numFmtId="0" fontId="5" fillId="0" borderId="17" xfId="3" applyFont="1" applyBorder="1" applyAlignment="1">
      <alignment horizontal="center" vertical="center" wrapText="1"/>
    </xf>
    <xf numFmtId="0" fontId="4" fillId="0" borderId="17" xfId="3" applyFont="1" applyBorder="1" applyAlignment="1">
      <alignment horizontal="center" vertical="center" textRotation="90" wrapText="1"/>
    </xf>
    <xf numFmtId="44" fontId="5" fillId="0" borderId="40" xfId="5" applyNumberFormat="1" applyFont="1" applyFill="1" applyBorder="1" applyAlignment="1">
      <alignment horizontal="center" vertical="center" wrapText="1"/>
    </xf>
    <xf numFmtId="0" fontId="5" fillId="0" borderId="41" xfId="5" applyNumberFormat="1" applyFont="1" applyFill="1" applyBorder="1" applyAlignment="1">
      <alignment horizontal="center" vertical="center" wrapText="1"/>
    </xf>
    <xf numFmtId="0" fontId="5" fillId="0" borderId="4" xfId="5" applyNumberFormat="1" applyFont="1" applyFill="1" applyBorder="1" applyAlignment="1">
      <alignment horizontal="center" vertical="center" wrapText="1"/>
    </xf>
    <xf numFmtId="0" fontId="5" fillId="0" borderId="5" xfId="5" applyNumberFormat="1" applyFont="1" applyFill="1" applyBorder="1" applyAlignment="1">
      <alignment horizontal="center" vertical="center" wrapText="1"/>
    </xf>
    <xf numFmtId="0" fontId="5" fillId="0" borderId="42" xfId="5" applyNumberFormat="1" applyFont="1" applyFill="1" applyBorder="1" applyAlignment="1">
      <alignment horizontal="center" vertical="center" wrapText="1"/>
    </xf>
    <xf numFmtId="0" fontId="5" fillId="0" borderId="36" xfId="5" applyNumberFormat="1" applyFont="1" applyFill="1" applyBorder="1" applyAlignment="1">
      <alignment horizontal="center" vertical="center" wrapText="1"/>
    </xf>
    <xf numFmtId="0" fontId="5" fillId="0" borderId="27" xfId="3" applyFont="1" applyBorder="1" applyAlignment="1">
      <alignment horizontal="center" vertical="center" wrapText="1"/>
    </xf>
    <xf numFmtId="0" fontId="5" fillId="0" borderId="29" xfId="3" applyFont="1" applyBorder="1" applyAlignment="1">
      <alignment horizontal="center" vertical="center" wrapText="1"/>
    </xf>
    <xf numFmtId="0" fontId="5" fillId="0" borderId="30" xfId="3" applyFont="1" applyBorder="1" applyAlignment="1">
      <alignment horizontal="center" vertical="center" wrapText="1"/>
    </xf>
    <xf numFmtId="0" fontId="4" fillId="2" borderId="43" xfId="3" applyFont="1" applyFill="1" applyBorder="1" applyAlignment="1">
      <alignment horizontal="center" vertical="center" wrapText="1"/>
    </xf>
    <xf numFmtId="0" fontId="4" fillId="2" borderId="5" xfId="3" applyFont="1" applyFill="1" applyBorder="1" applyAlignment="1">
      <alignment horizontal="center" vertical="center" wrapText="1"/>
    </xf>
    <xf numFmtId="0" fontId="4" fillId="2" borderId="44" xfId="3" applyFont="1" applyFill="1" applyBorder="1" applyAlignment="1">
      <alignment horizontal="center" vertical="center" wrapText="1"/>
    </xf>
    <xf numFmtId="166" fontId="3" fillId="2" borderId="44" xfId="3" applyNumberFormat="1" applyFont="1" applyFill="1" applyBorder="1" applyAlignment="1">
      <alignment horizontal="center" vertical="center"/>
    </xf>
    <xf numFmtId="166" fontId="3" fillId="2" borderId="45" xfId="3" applyNumberFormat="1" applyFont="1" applyFill="1" applyBorder="1" applyAlignment="1">
      <alignment horizontal="center" vertical="center"/>
    </xf>
    <xf numFmtId="0" fontId="4" fillId="2" borderId="24" xfId="3" applyFont="1" applyFill="1" applyBorder="1" applyAlignment="1">
      <alignment horizontal="center" vertical="center" wrapText="1"/>
    </xf>
    <xf numFmtId="0" fontId="4" fillId="2" borderId="25" xfId="3" applyFont="1" applyFill="1" applyBorder="1" applyAlignment="1">
      <alignment horizontal="center" vertical="center" wrapText="1"/>
    </xf>
    <xf numFmtId="0" fontId="4" fillId="0" borderId="27" xfId="3" applyFont="1" applyBorder="1" applyAlignment="1">
      <alignment horizontal="center" vertical="center"/>
    </xf>
    <xf numFmtId="0" fontId="4" fillId="0" borderId="17" xfId="3" applyFont="1" applyBorder="1" applyAlignment="1">
      <alignment horizontal="center" vertical="center"/>
    </xf>
    <xf numFmtId="168" fontId="4" fillId="0" borderId="17" xfId="3" applyNumberFormat="1" applyFont="1" applyBorder="1" applyAlignment="1">
      <alignment horizontal="center" vertical="center"/>
    </xf>
    <xf numFmtId="0" fontId="4" fillId="0" borderId="47" xfId="3" applyFont="1" applyBorder="1" applyAlignment="1">
      <alignment horizontal="center" vertical="center"/>
    </xf>
    <xf numFmtId="0" fontId="4" fillId="0" borderId="46" xfId="3" applyFont="1" applyBorder="1" applyAlignment="1">
      <alignment horizontal="center" vertical="center"/>
    </xf>
    <xf numFmtId="166" fontId="8" fillId="2" borderId="30" xfId="3" applyNumberFormat="1" applyFont="1" applyFill="1" applyBorder="1" applyAlignment="1">
      <alignment horizontal="justify" vertical="center" wrapText="1"/>
    </xf>
    <xf numFmtId="0" fontId="8" fillId="2" borderId="31" xfId="3" applyFont="1" applyFill="1" applyBorder="1" applyAlignment="1">
      <alignment horizontal="justify" vertical="center" wrapText="1"/>
    </xf>
    <xf numFmtId="0" fontId="4" fillId="2" borderId="49" xfId="3" applyFont="1" applyFill="1" applyBorder="1" applyAlignment="1">
      <alignment horizontal="center" vertical="center" wrapText="1"/>
    </xf>
    <xf numFmtId="0" fontId="4" fillId="2" borderId="50" xfId="3" applyFont="1" applyFill="1" applyBorder="1" applyAlignment="1">
      <alignment horizontal="center" vertical="center" wrapText="1"/>
    </xf>
    <xf numFmtId="0" fontId="4" fillId="2" borderId="51" xfId="3" applyFont="1" applyFill="1" applyBorder="1" applyAlignment="1">
      <alignment horizontal="center" vertical="center" wrapText="1"/>
    </xf>
    <xf numFmtId="166" fontId="4" fillId="2" borderId="49" xfId="3" applyNumberFormat="1" applyFont="1" applyFill="1" applyBorder="1" applyAlignment="1">
      <alignment horizontal="center" vertical="center"/>
    </xf>
    <xf numFmtId="166" fontId="4" fillId="2" borderId="52" xfId="3" applyNumberFormat="1" applyFont="1" applyFill="1" applyBorder="1" applyAlignment="1">
      <alignment horizontal="center" vertical="center"/>
    </xf>
    <xf numFmtId="0" fontId="4" fillId="0" borderId="12" xfId="3" applyFont="1" applyBorder="1" applyAlignment="1">
      <alignment horizontal="center" vertical="center" wrapText="1"/>
    </xf>
    <xf numFmtId="0" fontId="4" fillId="0" borderId="0" xfId="3" applyFont="1" applyAlignment="1">
      <alignment horizontal="center" vertical="center" wrapText="1"/>
    </xf>
    <xf numFmtId="0" fontId="4" fillId="0" borderId="13" xfId="3" applyFont="1" applyBorder="1" applyAlignment="1">
      <alignment horizontal="center" vertical="center" wrapText="1"/>
    </xf>
    <xf numFmtId="0" fontId="8" fillId="2" borderId="24" xfId="3" applyFont="1" applyFill="1" applyBorder="1" applyAlignment="1">
      <alignment horizontal="center" vertical="center"/>
    </xf>
    <xf numFmtId="0" fontId="8" fillId="2" borderId="25" xfId="3" applyFont="1" applyFill="1" applyBorder="1" applyAlignment="1">
      <alignment horizontal="center" vertical="center"/>
    </xf>
    <xf numFmtId="166" fontId="8" fillId="2" borderId="25" xfId="3" applyNumberFormat="1" applyFont="1" applyFill="1" applyBorder="1" applyAlignment="1">
      <alignment horizontal="justify" vertical="center" wrapText="1"/>
    </xf>
    <xf numFmtId="0" fontId="8" fillId="2" borderId="26" xfId="3" applyFont="1" applyFill="1" applyBorder="1" applyAlignment="1">
      <alignment horizontal="justify" vertical="center" wrapText="1"/>
    </xf>
    <xf numFmtId="166" fontId="5" fillId="0" borderId="17" xfId="4" applyNumberFormat="1" applyFont="1" applyFill="1" applyBorder="1" applyAlignment="1">
      <alignment horizontal="center" vertical="center" wrapText="1"/>
    </xf>
    <xf numFmtId="166" fontId="5" fillId="0" borderId="28" xfId="4" applyNumberFormat="1" applyFont="1" applyFill="1" applyBorder="1" applyAlignment="1">
      <alignment horizontal="center" vertical="center" wrapText="1"/>
    </xf>
    <xf numFmtId="0" fontId="9" fillId="0" borderId="9" xfId="3" applyFont="1" applyBorder="1" applyAlignment="1">
      <alignment horizontal="center" vertical="center" wrapText="1"/>
    </xf>
    <xf numFmtId="0" fontId="1" fillId="0" borderId="10" xfId="3" applyBorder="1" applyAlignment="1">
      <alignment horizontal="center" vertical="center" wrapText="1"/>
    </xf>
    <xf numFmtId="0" fontId="1" fillId="0" borderId="11" xfId="3" applyBorder="1" applyAlignment="1">
      <alignment horizontal="center" vertical="center" wrapText="1"/>
    </xf>
    <xf numFmtId="0" fontId="1" fillId="0" borderId="12" xfId="3" applyBorder="1" applyAlignment="1">
      <alignment horizontal="center" vertical="center" wrapText="1"/>
    </xf>
    <xf numFmtId="0" fontId="1" fillId="0" borderId="0" xfId="3" applyAlignment="1">
      <alignment horizontal="center" vertical="center" wrapText="1"/>
    </xf>
    <xf numFmtId="0" fontId="1" fillId="0" borderId="13" xfId="3" applyBorder="1" applyAlignment="1">
      <alignment horizontal="center" vertical="center" wrapText="1"/>
    </xf>
    <xf numFmtId="0" fontId="1" fillId="0" borderId="14" xfId="3" applyBorder="1" applyAlignment="1">
      <alignment horizontal="center" vertical="center" wrapText="1"/>
    </xf>
    <xf numFmtId="0" fontId="1" fillId="0" borderId="15" xfId="3" applyBorder="1" applyAlignment="1">
      <alignment horizontal="center" vertical="center" wrapText="1"/>
    </xf>
    <xf numFmtId="0" fontId="1" fillId="0" borderId="16" xfId="3" applyBorder="1" applyAlignment="1">
      <alignment horizontal="center" vertical="center" wrapText="1"/>
    </xf>
    <xf numFmtId="0" fontId="8" fillId="2" borderId="29" xfId="3" applyFont="1" applyFill="1" applyBorder="1" applyAlignment="1">
      <alignment horizontal="center" vertical="center"/>
    </xf>
    <xf numFmtId="0" fontId="8" fillId="2" borderId="30" xfId="3" applyFont="1" applyFill="1" applyBorder="1" applyAlignment="1">
      <alignment horizontal="center" vertical="center"/>
    </xf>
    <xf numFmtId="166" fontId="3" fillId="0" borderId="18" xfId="3" applyNumberFormat="1" applyFont="1" applyBorder="1" applyAlignment="1">
      <alignment horizontal="center" vertical="center" wrapText="1"/>
    </xf>
    <xf numFmtId="166" fontId="3" fillId="0" borderId="19" xfId="3" applyNumberFormat="1" applyFont="1" applyBorder="1" applyAlignment="1">
      <alignment horizontal="center" vertical="center" wrapText="1"/>
    </xf>
    <xf numFmtId="166" fontId="3" fillId="0" borderId="20" xfId="3" applyNumberFormat="1" applyFont="1" applyBorder="1" applyAlignment="1">
      <alignment horizontal="center" vertical="center" wrapText="1"/>
    </xf>
    <xf numFmtId="0" fontId="9" fillId="0" borderId="10" xfId="3" applyFont="1" applyBorder="1" applyAlignment="1">
      <alignment horizontal="center" vertical="center" wrapText="1"/>
    </xf>
    <xf numFmtId="0" fontId="9" fillId="0" borderId="11" xfId="3" applyFont="1" applyBorder="1" applyAlignment="1">
      <alignment horizontal="center" vertical="center" wrapText="1"/>
    </xf>
    <xf numFmtId="0" fontId="9" fillId="0" borderId="12" xfId="3" applyFont="1" applyBorder="1" applyAlignment="1">
      <alignment horizontal="center" vertical="center" wrapText="1"/>
    </xf>
    <xf numFmtId="0" fontId="9" fillId="0" borderId="0" xfId="3" applyFont="1" applyAlignment="1">
      <alignment horizontal="center" vertical="center" wrapText="1"/>
    </xf>
    <xf numFmtId="0" fontId="9" fillId="0" borderId="13" xfId="3" applyFont="1" applyBorder="1" applyAlignment="1">
      <alignment horizontal="center" vertical="center" wrapText="1"/>
    </xf>
    <xf numFmtId="0" fontId="9" fillId="0" borderId="14" xfId="3" applyFont="1" applyBorder="1" applyAlignment="1">
      <alignment horizontal="center" vertical="center" wrapText="1"/>
    </xf>
    <xf numFmtId="0" fontId="9" fillId="0" borderId="15" xfId="3" applyFont="1" applyBorder="1" applyAlignment="1">
      <alignment horizontal="center" vertical="center" wrapText="1"/>
    </xf>
    <xf numFmtId="0" fontId="9" fillId="0" borderId="16" xfId="3" applyFont="1" applyBorder="1" applyAlignment="1">
      <alignment horizontal="center" vertical="center" wrapText="1"/>
    </xf>
    <xf numFmtId="0" fontId="4" fillId="0" borderId="33" xfId="3" applyFont="1" applyBorder="1" applyAlignment="1">
      <alignment horizontal="center" vertical="center"/>
    </xf>
    <xf numFmtId="0" fontId="4" fillId="0" borderId="23" xfId="3" applyFont="1" applyBorder="1" applyAlignment="1">
      <alignment horizontal="center" vertical="center"/>
    </xf>
    <xf numFmtId="166" fontId="5" fillId="0" borderId="23" xfId="4" applyNumberFormat="1" applyFont="1" applyFill="1" applyBorder="1" applyAlignment="1">
      <alignment horizontal="justify" vertical="center" wrapText="1"/>
    </xf>
    <xf numFmtId="166" fontId="5" fillId="0" borderId="34" xfId="4" applyNumberFormat="1" applyFont="1" applyFill="1" applyBorder="1" applyAlignment="1">
      <alignment horizontal="justify" vertical="center" wrapText="1"/>
    </xf>
    <xf numFmtId="0" fontId="8" fillId="2" borderId="53" xfId="3" applyFont="1" applyFill="1" applyBorder="1" applyAlignment="1">
      <alignment horizontal="center" vertical="center"/>
    </xf>
    <xf numFmtId="0" fontId="8" fillId="2" borderId="54" xfId="3" applyFont="1" applyFill="1" applyBorder="1" applyAlignment="1">
      <alignment horizontal="center" vertical="center"/>
    </xf>
    <xf numFmtId="0" fontId="8" fillId="2" borderId="22" xfId="3" applyFont="1" applyFill="1" applyBorder="1" applyAlignment="1">
      <alignment horizontal="center" vertical="center"/>
    </xf>
    <xf numFmtId="166" fontId="8" fillId="2" borderId="17" xfId="3" applyNumberFormat="1" applyFont="1" applyFill="1" applyBorder="1" applyAlignment="1">
      <alignment horizontal="justify" vertical="center" wrapText="1"/>
    </xf>
    <xf numFmtId="0" fontId="8" fillId="2" borderId="28" xfId="3" applyFont="1" applyFill="1" applyBorder="1" applyAlignment="1">
      <alignment horizontal="justify" vertical="center" wrapText="1"/>
    </xf>
    <xf numFmtId="177" fontId="39" fillId="2" borderId="0" xfId="14" applyNumberFormat="1" applyFont="1" applyFill="1" applyBorder="1" applyAlignment="1" applyProtection="1">
      <alignment horizontal="center" vertical="center"/>
      <protection hidden="1"/>
    </xf>
    <xf numFmtId="180" fontId="30" fillId="0" borderId="47" xfId="14" applyNumberFormat="1" applyFont="1" applyBorder="1" applyAlignment="1" applyProtection="1">
      <alignment horizontal="center" vertical="center"/>
      <protection hidden="1"/>
    </xf>
    <xf numFmtId="180" fontId="30" fillId="0" borderId="23" xfId="14" applyNumberFormat="1" applyFont="1" applyBorder="1" applyAlignment="1" applyProtection="1">
      <alignment horizontal="center" vertical="center"/>
      <protection hidden="1"/>
    </xf>
    <xf numFmtId="0" fontId="31" fillId="0" borderId="0" xfId="14" applyFont="1" applyBorder="1" applyAlignment="1">
      <alignment horizontal="left"/>
    </xf>
    <xf numFmtId="0" fontId="17" fillId="0" borderId="17" xfId="0" applyFont="1" applyBorder="1" applyAlignment="1">
      <alignment horizontal="center"/>
    </xf>
    <xf numFmtId="0" fontId="25" fillId="0" borderId="10" xfId="9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Border="1" applyAlignment="1">
      <alignment horizontal="center" wrapText="1"/>
    </xf>
    <xf numFmtId="0" fontId="3" fillId="2" borderId="55" xfId="0" applyFont="1" applyFill="1" applyBorder="1" applyAlignment="1">
      <alignment horizontal="center" vertical="center"/>
    </xf>
    <xf numFmtId="0" fontId="3" fillId="2" borderId="54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9" fillId="10" borderId="17" xfId="0" applyFont="1" applyFill="1" applyBorder="1" applyAlignment="1">
      <alignment horizontal="center" vertical="center"/>
    </xf>
    <xf numFmtId="0" fontId="25" fillId="0" borderId="10" xfId="9" applyBorder="1" applyAlignment="1">
      <alignment horizontal="center"/>
    </xf>
    <xf numFmtId="0" fontId="17" fillId="0" borderId="10" xfId="0" applyFont="1" applyBorder="1" applyAlignment="1">
      <alignment horizontal="center"/>
    </xf>
    <xf numFmtId="0" fontId="17" fillId="0" borderId="11" xfId="0" applyFont="1" applyBorder="1" applyAlignment="1">
      <alignment horizontal="center"/>
    </xf>
    <xf numFmtId="0" fontId="25" fillId="0" borderId="15" xfId="9" applyBorder="1" applyAlignment="1">
      <alignment horizontal="center"/>
    </xf>
    <xf numFmtId="0" fontId="35" fillId="0" borderId="15" xfId="9" applyFont="1" applyBorder="1" applyAlignment="1">
      <alignment horizontal="center"/>
    </xf>
    <xf numFmtId="0" fontId="35" fillId="0" borderId="16" xfId="9" applyFont="1" applyBorder="1" applyAlignment="1">
      <alignment horizontal="center"/>
    </xf>
    <xf numFmtId="0" fontId="17" fillId="0" borderId="17" xfId="0" applyFont="1" applyBorder="1" applyAlignment="1">
      <alignment horizontal="center" vertical="center"/>
    </xf>
    <xf numFmtId="0" fontId="17" fillId="0" borderId="55" xfId="0" applyFont="1" applyBorder="1" applyAlignment="1">
      <alignment horizontal="center" vertical="center"/>
    </xf>
    <xf numFmtId="0" fontId="17" fillId="0" borderId="54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0" fontId="17" fillId="0" borderId="55" xfId="0" applyFont="1" applyBorder="1" applyAlignment="1">
      <alignment horizontal="center"/>
    </xf>
    <xf numFmtId="0" fontId="17" fillId="0" borderId="54" xfId="0" applyFont="1" applyBorder="1" applyAlignment="1">
      <alignment horizontal="center"/>
    </xf>
    <xf numFmtId="0" fontId="17" fillId="0" borderId="22" xfId="0" applyFont="1" applyBorder="1" applyAlignment="1">
      <alignment horizontal="center"/>
    </xf>
    <xf numFmtId="0" fontId="38" fillId="0" borderId="55" xfId="9" applyFont="1" applyBorder="1" applyAlignment="1">
      <alignment horizontal="center" wrapText="1"/>
    </xf>
    <xf numFmtId="0" fontId="34" fillId="0" borderId="54" xfId="0" applyFont="1" applyBorder="1" applyAlignment="1">
      <alignment horizontal="center" wrapText="1"/>
    </xf>
    <xf numFmtId="0" fontId="34" fillId="0" borderId="22" xfId="0" applyFont="1" applyBorder="1" applyAlignment="1">
      <alignment horizontal="center" wrapText="1"/>
    </xf>
    <xf numFmtId="0" fontId="36" fillId="0" borderId="55" xfId="9" applyFont="1" applyBorder="1" applyAlignment="1">
      <alignment horizontal="center" vertical="center" wrapText="1"/>
    </xf>
    <xf numFmtId="0" fontId="37" fillId="0" borderId="54" xfId="0" applyFont="1" applyBorder="1" applyAlignment="1">
      <alignment horizontal="center" vertical="center" wrapText="1"/>
    </xf>
    <xf numFmtId="0" fontId="37" fillId="0" borderId="22" xfId="0" applyFont="1" applyBorder="1" applyAlignment="1">
      <alignment horizontal="center" vertical="center" wrapText="1"/>
    </xf>
    <xf numFmtId="0" fontId="36" fillId="0" borderId="55" xfId="9" applyFont="1" applyBorder="1" applyAlignment="1">
      <alignment horizontal="center" wrapText="1"/>
    </xf>
    <xf numFmtId="0" fontId="37" fillId="0" borderId="54" xfId="0" applyFont="1" applyBorder="1" applyAlignment="1">
      <alignment horizontal="center" wrapText="1"/>
    </xf>
    <xf numFmtId="0" fontId="37" fillId="0" borderId="22" xfId="0" applyFont="1" applyBorder="1" applyAlignment="1">
      <alignment horizontal="center" wrapText="1"/>
    </xf>
    <xf numFmtId="0" fontId="38" fillId="0" borderId="55" xfId="9" applyFont="1" applyBorder="1" applyAlignment="1">
      <alignment horizontal="center" vertical="center" wrapText="1"/>
    </xf>
    <xf numFmtId="0" fontId="34" fillId="0" borderId="54" xfId="0" applyFont="1" applyBorder="1" applyAlignment="1">
      <alignment horizontal="center" vertical="center" wrapText="1"/>
    </xf>
    <xf numFmtId="0" fontId="34" fillId="0" borderId="22" xfId="0" applyFont="1" applyBorder="1" applyAlignment="1">
      <alignment horizontal="center" vertical="center" wrapText="1"/>
    </xf>
    <xf numFmtId="0" fontId="25" fillId="0" borderId="55" xfId="9" applyBorder="1" applyAlignment="1">
      <alignment horizontal="center" vertical="center" wrapText="1"/>
    </xf>
    <xf numFmtId="0" fontId="17" fillId="0" borderId="54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38" fillId="0" borderId="54" xfId="9" applyFont="1" applyBorder="1" applyAlignment="1">
      <alignment horizontal="center" vertical="center" wrapText="1"/>
    </xf>
    <xf numFmtId="0" fontId="38" fillId="0" borderId="22" xfId="9" applyFont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/>
    </xf>
    <xf numFmtId="0" fontId="3" fillId="3" borderId="55" xfId="0" applyFont="1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0" fontId="24" fillId="8" borderId="7" xfId="0" applyFont="1" applyFill="1" applyBorder="1" applyAlignment="1">
      <alignment horizontal="center" vertical="center"/>
    </xf>
    <xf numFmtId="0" fontId="12" fillId="0" borderId="55" xfId="0" applyFont="1" applyBorder="1" applyAlignment="1">
      <alignment horizontal="center" vertical="center" wrapText="1"/>
    </xf>
    <xf numFmtId="0" fontId="12" fillId="0" borderId="54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</cellXfs>
  <cellStyles count="19">
    <cellStyle name="20% - Énfasis5" xfId="8" builtinId="46"/>
    <cellStyle name="Hipervínculo" xfId="9" builtinId="8"/>
    <cellStyle name="Millares" xfId="10" builtinId="3"/>
    <cellStyle name="Millares [0] 2" xfId="17" xr:uid="{2AC6E004-B0D9-4030-B703-C1586727A6CC}"/>
    <cellStyle name="Millares 2 2" xfId="15" xr:uid="{BE2E5103-355F-402C-9AA3-8FD965A3C928}"/>
    <cellStyle name="Moneda" xfId="1" builtinId="4"/>
    <cellStyle name="Moneda 2" xfId="5" xr:uid="{C97C9005-7927-4C8F-9149-3B3B4784F56D}"/>
    <cellStyle name="Moneda 3" xfId="4" xr:uid="{CF3AA2F9-53A7-4DCB-8EA7-43888803C2B8}"/>
    <cellStyle name="Moneda 4" xfId="7" xr:uid="{410E24F4-DC07-4E13-A191-4F155E8F7A50}"/>
    <cellStyle name="Normal" xfId="0" builtinId="0"/>
    <cellStyle name="Normal 11 2" xfId="13" xr:uid="{0815E9FC-A0BB-4C4E-9FEE-FDF20628681D}"/>
    <cellStyle name="Normal 2" xfId="3" xr:uid="{DA53858B-8BF3-4A1D-BB78-D72EC123CBE5}"/>
    <cellStyle name="Normal 2 10" xfId="14" xr:uid="{875E045C-97A3-4639-96BA-91A3B0CB4695}"/>
    <cellStyle name="Normal 23" xfId="11" xr:uid="{72E94080-53C6-42CF-80A5-026D758E43E7}"/>
    <cellStyle name="Normal_PRESUPUESTO ESCUELA DE INFANTERIA" xfId="18" xr:uid="{60812B69-F218-4F4C-80EC-E3FAABEA9561}"/>
    <cellStyle name="Porcentaje" xfId="2" builtinId="5"/>
    <cellStyle name="Porcentaje 2" xfId="6" xr:uid="{7B9EB652-A209-4F15-A3D6-0BA0196DE755}"/>
    <cellStyle name="Porcentaje 2 2" xfId="16" xr:uid="{65BDEA2C-2AEE-4193-B557-D1BC4C08F9FF}"/>
    <cellStyle name="Porcentaje 3" xfId="12" xr:uid="{7B915CA1-2ADA-4EEB-A4DB-8B359C152707}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18" Type="http://schemas.openxmlformats.org/officeDocument/2006/relationships/image" Target="../media/image19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17" Type="http://schemas.openxmlformats.org/officeDocument/2006/relationships/image" Target="../media/image18.png"/><Relationship Id="rId2" Type="http://schemas.openxmlformats.org/officeDocument/2006/relationships/image" Target="../media/image3.png"/><Relationship Id="rId16" Type="http://schemas.openxmlformats.org/officeDocument/2006/relationships/image" Target="../media/image17.jpeg"/><Relationship Id="rId20" Type="http://schemas.openxmlformats.org/officeDocument/2006/relationships/image" Target="../media/image21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5" Type="http://schemas.openxmlformats.org/officeDocument/2006/relationships/image" Target="../media/image16.png"/><Relationship Id="rId10" Type="http://schemas.openxmlformats.org/officeDocument/2006/relationships/image" Target="../media/image11.png"/><Relationship Id="rId19" Type="http://schemas.openxmlformats.org/officeDocument/2006/relationships/image" Target="../media/image20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9.png"/><Relationship Id="rId3" Type="http://schemas.openxmlformats.org/officeDocument/2006/relationships/image" Target="../media/image24.png"/><Relationship Id="rId7" Type="http://schemas.openxmlformats.org/officeDocument/2006/relationships/image" Target="../media/image28.png"/><Relationship Id="rId2" Type="http://schemas.openxmlformats.org/officeDocument/2006/relationships/image" Target="../media/image23.png"/><Relationship Id="rId1" Type="http://schemas.openxmlformats.org/officeDocument/2006/relationships/image" Target="../media/image22.png"/><Relationship Id="rId6" Type="http://schemas.openxmlformats.org/officeDocument/2006/relationships/image" Target="../media/image27.png"/><Relationship Id="rId5" Type="http://schemas.openxmlformats.org/officeDocument/2006/relationships/image" Target="../media/image26.png"/><Relationship Id="rId4" Type="http://schemas.openxmlformats.org/officeDocument/2006/relationships/image" Target="../media/image25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37.png"/><Relationship Id="rId13" Type="http://schemas.openxmlformats.org/officeDocument/2006/relationships/image" Target="../media/image42.png"/><Relationship Id="rId3" Type="http://schemas.openxmlformats.org/officeDocument/2006/relationships/image" Target="../media/image32.png"/><Relationship Id="rId7" Type="http://schemas.openxmlformats.org/officeDocument/2006/relationships/image" Target="../media/image36.png"/><Relationship Id="rId12" Type="http://schemas.openxmlformats.org/officeDocument/2006/relationships/image" Target="../media/image41.png"/><Relationship Id="rId2" Type="http://schemas.openxmlformats.org/officeDocument/2006/relationships/image" Target="../media/image31.png"/><Relationship Id="rId16" Type="http://schemas.openxmlformats.org/officeDocument/2006/relationships/image" Target="../media/image45.png"/><Relationship Id="rId1" Type="http://schemas.openxmlformats.org/officeDocument/2006/relationships/image" Target="../media/image30.png"/><Relationship Id="rId6" Type="http://schemas.openxmlformats.org/officeDocument/2006/relationships/image" Target="../media/image35.png"/><Relationship Id="rId11" Type="http://schemas.openxmlformats.org/officeDocument/2006/relationships/image" Target="../media/image40.png"/><Relationship Id="rId5" Type="http://schemas.openxmlformats.org/officeDocument/2006/relationships/image" Target="../media/image34.png"/><Relationship Id="rId15" Type="http://schemas.openxmlformats.org/officeDocument/2006/relationships/image" Target="../media/image44.png"/><Relationship Id="rId10" Type="http://schemas.openxmlformats.org/officeDocument/2006/relationships/image" Target="../media/image39.png"/><Relationship Id="rId4" Type="http://schemas.openxmlformats.org/officeDocument/2006/relationships/image" Target="../media/image33.png"/><Relationship Id="rId9" Type="http://schemas.openxmlformats.org/officeDocument/2006/relationships/image" Target="../media/image38.png"/><Relationship Id="rId14" Type="http://schemas.openxmlformats.org/officeDocument/2006/relationships/image" Target="../media/image4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476250</xdr:colOff>
      <xdr:row>9</xdr:row>
      <xdr:rowOff>171450</xdr:rowOff>
    </xdr:from>
    <xdr:to>
      <xdr:col>18</xdr:col>
      <xdr:colOff>228600</xdr:colOff>
      <xdr:row>28</xdr:row>
      <xdr:rowOff>142875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2977064-58E1-4F1F-921D-5EC24B224D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11100" y="2076450"/>
          <a:ext cx="6610350" cy="5334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868454</xdr:colOff>
      <xdr:row>61</xdr:row>
      <xdr:rowOff>142770</xdr:rowOff>
    </xdr:from>
    <xdr:to>
      <xdr:col>10</xdr:col>
      <xdr:colOff>786091</xdr:colOff>
      <xdr:row>61</xdr:row>
      <xdr:rowOff>1451163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060C2A27-7839-495D-AC5E-1E3E56BE6B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04660" y="15662917"/>
          <a:ext cx="3329748" cy="1308393"/>
        </a:xfrm>
        <a:prstGeom prst="rect">
          <a:avLst/>
        </a:prstGeom>
      </xdr:spPr>
    </xdr:pic>
    <xdr:clientData/>
  </xdr:twoCellAnchor>
  <xdr:twoCellAnchor editAs="oneCell">
    <xdr:from>
      <xdr:col>12</xdr:col>
      <xdr:colOff>901856</xdr:colOff>
      <xdr:row>61</xdr:row>
      <xdr:rowOff>257799</xdr:rowOff>
    </xdr:from>
    <xdr:to>
      <xdr:col>16</xdr:col>
      <xdr:colOff>120972</xdr:colOff>
      <xdr:row>61</xdr:row>
      <xdr:rowOff>1396151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F73D6890-F569-46D6-9D91-20A2863617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033249" y="18491370"/>
          <a:ext cx="3301259" cy="1138352"/>
        </a:xfrm>
        <a:prstGeom prst="rect">
          <a:avLst/>
        </a:prstGeom>
      </xdr:spPr>
    </xdr:pic>
    <xdr:clientData/>
  </xdr:twoCellAnchor>
  <xdr:twoCellAnchor editAs="oneCell">
    <xdr:from>
      <xdr:col>8</xdr:col>
      <xdr:colOff>1010639</xdr:colOff>
      <xdr:row>70</xdr:row>
      <xdr:rowOff>379762</xdr:rowOff>
    </xdr:from>
    <xdr:to>
      <xdr:col>10</xdr:col>
      <xdr:colOff>149576</xdr:colOff>
      <xdr:row>70</xdr:row>
      <xdr:rowOff>1417197</xdr:rowOff>
    </xdr:to>
    <xdr:pic>
      <xdr:nvPicPr>
        <xdr:cNvPr id="92" name="Imagen 91">
          <a:extLst>
            <a:ext uri="{FF2B5EF4-FFF2-40B4-BE49-F238E27FC236}">
              <a16:creationId xmlns:a16="http://schemas.microsoft.com/office/drawing/2014/main" id="{55012DE5-2D06-4097-A541-7EE562E078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562853" y="26859262"/>
          <a:ext cx="2693123" cy="1037435"/>
        </a:xfrm>
        <a:prstGeom prst="rect">
          <a:avLst/>
        </a:prstGeom>
      </xdr:spPr>
    </xdr:pic>
    <xdr:clientData/>
  </xdr:twoCellAnchor>
  <xdr:twoCellAnchor editAs="oneCell">
    <xdr:from>
      <xdr:col>12</xdr:col>
      <xdr:colOff>1235777</xdr:colOff>
      <xdr:row>70</xdr:row>
      <xdr:rowOff>176892</xdr:rowOff>
    </xdr:from>
    <xdr:to>
      <xdr:col>16</xdr:col>
      <xdr:colOff>494732</xdr:colOff>
      <xdr:row>70</xdr:row>
      <xdr:rowOff>1438873</xdr:rowOff>
    </xdr:to>
    <xdr:pic>
      <xdr:nvPicPr>
        <xdr:cNvPr id="94" name="Imagen 93">
          <a:extLst>
            <a:ext uri="{FF2B5EF4-FFF2-40B4-BE49-F238E27FC236}">
              <a16:creationId xmlns:a16="http://schemas.microsoft.com/office/drawing/2014/main" id="{753D0939-C2EC-4F04-9B7F-10640489D0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6938420" y="26656392"/>
          <a:ext cx="3341098" cy="1261981"/>
        </a:xfrm>
        <a:prstGeom prst="rect">
          <a:avLst/>
        </a:prstGeom>
      </xdr:spPr>
    </xdr:pic>
    <xdr:clientData/>
  </xdr:twoCellAnchor>
  <xdr:twoCellAnchor editAs="oneCell">
    <xdr:from>
      <xdr:col>8</xdr:col>
      <xdr:colOff>1261755</xdr:colOff>
      <xdr:row>69</xdr:row>
      <xdr:rowOff>161773</xdr:rowOff>
    </xdr:from>
    <xdr:to>
      <xdr:col>10</xdr:col>
      <xdr:colOff>239632</xdr:colOff>
      <xdr:row>69</xdr:row>
      <xdr:rowOff>1403000</xdr:rowOff>
    </xdr:to>
    <xdr:pic>
      <xdr:nvPicPr>
        <xdr:cNvPr id="96" name="Imagen 95">
          <a:extLst>
            <a:ext uri="{FF2B5EF4-FFF2-40B4-BE49-F238E27FC236}">
              <a16:creationId xmlns:a16="http://schemas.microsoft.com/office/drawing/2014/main" id="{B54D1893-4FAA-4F7F-A7A7-4F66B2A6F7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813969" y="25062844"/>
          <a:ext cx="2779713" cy="1241227"/>
        </a:xfrm>
        <a:prstGeom prst="rect">
          <a:avLst/>
        </a:prstGeom>
      </xdr:spPr>
    </xdr:pic>
    <xdr:clientData/>
  </xdr:twoCellAnchor>
  <xdr:twoCellAnchor editAs="oneCell">
    <xdr:from>
      <xdr:col>12</xdr:col>
      <xdr:colOff>1371847</xdr:colOff>
      <xdr:row>69</xdr:row>
      <xdr:rowOff>220958</xdr:rowOff>
    </xdr:from>
    <xdr:to>
      <xdr:col>16</xdr:col>
      <xdr:colOff>255648</xdr:colOff>
      <xdr:row>69</xdr:row>
      <xdr:rowOff>1532660</xdr:rowOff>
    </xdr:to>
    <xdr:pic>
      <xdr:nvPicPr>
        <xdr:cNvPr id="98" name="Imagen 97">
          <a:extLst>
            <a:ext uri="{FF2B5EF4-FFF2-40B4-BE49-F238E27FC236}">
              <a16:creationId xmlns:a16="http://schemas.microsoft.com/office/drawing/2014/main" id="{569B5FFE-F4D6-447B-927F-1BEA8FCD1E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7074490" y="25122029"/>
          <a:ext cx="2965944" cy="1311702"/>
        </a:xfrm>
        <a:prstGeom prst="rect">
          <a:avLst/>
        </a:prstGeom>
      </xdr:spPr>
    </xdr:pic>
    <xdr:clientData/>
  </xdr:twoCellAnchor>
  <xdr:twoCellAnchor editAs="oneCell">
    <xdr:from>
      <xdr:col>8</xdr:col>
      <xdr:colOff>789214</xdr:colOff>
      <xdr:row>63</xdr:row>
      <xdr:rowOff>189631</xdr:rowOff>
    </xdr:from>
    <xdr:to>
      <xdr:col>10</xdr:col>
      <xdr:colOff>725172</xdr:colOff>
      <xdr:row>63</xdr:row>
      <xdr:rowOff>1632857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9AA3DAEF-DBFB-400B-A8B3-04AF43A2631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/>
        <a:srcRect l="16865" t="16519" r="16756" b="31435"/>
        <a:stretch/>
      </xdr:blipFill>
      <xdr:spPr>
        <a:xfrm>
          <a:off x="10341428" y="18926667"/>
          <a:ext cx="3271069" cy="1443226"/>
        </a:xfrm>
        <a:prstGeom prst="rect">
          <a:avLst/>
        </a:prstGeom>
      </xdr:spPr>
    </xdr:pic>
    <xdr:clientData/>
  </xdr:twoCellAnchor>
  <xdr:twoCellAnchor editAs="oneCell">
    <xdr:from>
      <xdr:col>12</xdr:col>
      <xdr:colOff>1279073</xdr:colOff>
      <xdr:row>63</xdr:row>
      <xdr:rowOff>111942</xdr:rowOff>
    </xdr:from>
    <xdr:to>
      <xdr:col>16</xdr:col>
      <xdr:colOff>122464</xdr:colOff>
      <xdr:row>63</xdr:row>
      <xdr:rowOff>1780768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15496AFB-758F-4F71-B9BA-5B1B23FCA5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6981716" y="18848978"/>
          <a:ext cx="2925534" cy="1668826"/>
        </a:xfrm>
        <a:prstGeom prst="rect">
          <a:avLst/>
        </a:prstGeom>
      </xdr:spPr>
    </xdr:pic>
    <xdr:clientData/>
  </xdr:twoCellAnchor>
  <xdr:twoCellAnchor editAs="oneCell">
    <xdr:from>
      <xdr:col>8</xdr:col>
      <xdr:colOff>1605644</xdr:colOff>
      <xdr:row>62</xdr:row>
      <xdr:rowOff>76556</xdr:rowOff>
    </xdr:from>
    <xdr:to>
      <xdr:col>9</xdr:col>
      <xdr:colOff>1343025</xdr:colOff>
      <xdr:row>62</xdr:row>
      <xdr:rowOff>1596801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995721DB-8D61-40FE-AFAA-C9C63DD9E2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1157858" y="17221556"/>
          <a:ext cx="1347106" cy="1520245"/>
        </a:xfrm>
        <a:prstGeom prst="rect">
          <a:avLst/>
        </a:prstGeom>
      </xdr:spPr>
    </xdr:pic>
    <xdr:clientData/>
  </xdr:twoCellAnchor>
  <xdr:twoCellAnchor editAs="oneCell">
    <xdr:from>
      <xdr:col>13</xdr:col>
      <xdr:colOff>857248</xdr:colOff>
      <xdr:row>62</xdr:row>
      <xdr:rowOff>58048</xdr:rowOff>
    </xdr:from>
    <xdr:to>
      <xdr:col>15</xdr:col>
      <xdr:colOff>353785</xdr:colOff>
      <xdr:row>62</xdr:row>
      <xdr:rowOff>1469747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4C2B3100-FF35-4548-A6BC-1395C660504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/>
        <a:srcRect l="59755" t="24606" r="11149" b="18906"/>
        <a:stretch/>
      </xdr:blipFill>
      <xdr:spPr>
        <a:xfrm>
          <a:off x="17988641" y="17203048"/>
          <a:ext cx="1292680" cy="1411699"/>
        </a:xfrm>
        <a:prstGeom prst="rect">
          <a:avLst/>
        </a:prstGeom>
      </xdr:spPr>
    </xdr:pic>
    <xdr:clientData/>
  </xdr:twoCellAnchor>
  <xdr:twoCellAnchor editAs="oneCell">
    <xdr:from>
      <xdr:col>9</xdr:col>
      <xdr:colOff>2185898</xdr:colOff>
      <xdr:row>58</xdr:row>
      <xdr:rowOff>143360</xdr:rowOff>
    </xdr:from>
    <xdr:to>
      <xdr:col>12</xdr:col>
      <xdr:colOff>528014</xdr:colOff>
      <xdr:row>59</xdr:row>
      <xdr:rowOff>4094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687ADE5-42ED-472C-9CBA-7E0B14A5A12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/>
        <a:srcRect l="11599" t="29397" r="51001" b="42218"/>
        <a:stretch/>
      </xdr:blipFill>
      <xdr:spPr>
        <a:xfrm>
          <a:off x="14152762" y="13218587"/>
          <a:ext cx="3520253" cy="1505960"/>
        </a:xfrm>
        <a:prstGeom prst="rect">
          <a:avLst/>
        </a:prstGeom>
      </xdr:spPr>
    </xdr:pic>
    <xdr:clientData/>
  </xdr:twoCellAnchor>
  <xdr:twoCellAnchor editAs="oneCell">
    <xdr:from>
      <xdr:col>9</xdr:col>
      <xdr:colOff>1934544</xdr:colOff>
      <xdr:row>60</xdr:row>
      <xdr:rowOff>74475</xdr:rowOff>
    </xdr:from>
    <xdr:to>
      <xdr:col>12</xdr:col>
      <xdr:colOff>1155224</xdr:colOff>
      <xdr:row>60</xdr:row>
      <xdr:rowOff>1608553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B9F9F7BF-D15A-4468-AC81-77A9A4D6869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"/>
        <a:srcRect l="11459" t="29633" r="39387" b="39892"/>
        <a:stretch/>
      </xdr:blipFill>
      <xdr:spPr>
        <a:xfrm>
          <a:off x="13880015" y="16647975"/>
          <a:ext cx="4386592" cy="1534078"/>
        </a:xfrm>
        <a:prstGeom prst="rect">
          <a:avLst/>
        </a:prstGeom>
      </xdr:spPr>
    </xdr:pic>
    <xdr:clientData/>
  </xdr:twoCellAnchor>
  <xdr:twoCellAnchor editAs="oneCell">
    <xdr:from>
      <xdr:col>9</xdr:col>
      <xdr:colOff>2207558</xdr:colOff>
      <xdr:row>59</xdr:row>
      <xdr:rowOff>133558</xdr:rowOff>
    </xdr:from>
    <xdr:to>
      <xdr:col>12</xdr:col>
      <xdr:colOff>403412</xdr:colOff>
      <xdr:row>59</xdr:row>
      <xdr:rowOff>1743915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01E384D9-DB29-434B-8A26-ECCED94E6E9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3"/>
        <a:srcRect l="11460" t="22919" r="51296" b="45364"/>
        <a:stretch/>
      </xdr:blipFill>
      <xdr:spPr>
        <a:xfrm>
          <a:off x="14153029" y="14846882"/>
          <a:ext cx="3361766" cy="1610357"/>
        </a:xfrm>
        <a:prstGeom prst="rect">
          <a:avLst/>
        </a:prstGeom>
      </xdr:spPr>
    </xdr:pic>
    <xdr:clientData/>
  </xdr:twoCellAnchor>
  <xdr:twoCellAnchor editAs="oneCell">
    <xdr:from>
      <xdr:col>9</xdr:col>
      <xdr:colOff>2152649</xdr:colOff>
      <xdr:row>64</xdr:row>
      <xdr:rowOff>227624</xdr:rowOff>
    </xdr:from>
    <xdr:to>
      <xdr:col>13</xdr:col>
      <xdr:colOff>136072</xdr:colOff>
      <xdr:row>64</xdr:row>
      <xdr:rowOff>1940377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DDBE6F67-8F9A-4F82-9629-334E0DFF780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4"/>
        <a:srcRect l="11385" t="30559" r="40634" b="38371"/>
        <a:stretch/>
      </xdr:blipFill>
      <xdr:spPr>
        <a:xfrm>
          <a:off x="14113328" y="23849624"/>
          <a:ext cx="4678138" cy="1712753"/>
        </a:xfrm>
        <a:prstGeom prst="rect">
          <a:avLst/>
        </a:prstGeom>
      </xdr:spPr>
    </xdr:pic>
    <xdr:clientData/>
  </xdr:twoCellAnchor>
  <xdr:twoCellAnchor editAs="oneCell">
    <xdr:from>
      <xdr:col>10</xdr:col>
      <xdr:colOff>680358</xdr:colOff>
      <xdr:row>65</xdr:row>
      <xdr:rowOff>123154</xdr:rowOff>
    </xdr:from>
    <xdr:to>
      <xdr:col>12</xdr:col>
      <xdr:colOff>748392</xdr:colOff>
      <xdr:row>65</xdr:row>
      <xdr:rowOff>1808770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9CFF0AE0-8397-4CB6-89C0-CBDD43E5322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5"/>
        <a:srcRect l="11720" t="24309" r="60672" b="45132"/>
        <a:stretch/>
      </xdr:blipFill>
      <xdr:spPr>
        <a:xfrm>
          <a:off x="15185572" y="25827047"/>
          <a:ext cx="2694213" cy="1685616"/>
        </a:xfrm>
        <a:prstGeom prst="rect">
          <a:avLst/>
        </a:prstGeom>
      </xdr:spPr>
    </xdr:pic>
    <xdr:clientData/>
  </xdr:twoCellAnchor>
  <xdr:twoCellAnchor editAs="oneCell">
    <xdr:from>
      <xdr:col>10</xdr:col>
      <xdr:colOff>1000128</xdr:colOff>
      <xdr:row>68</xdr:row>
      <xdr:rowOff>176893</xdr:rowOff>
    </xdr:from>
    <xdr:to>
      <xdr:col>11</xdr:col>
      <xdr:colOff>1224850</xdr:colOff>
      <xdr:row>68</xdr:row>
      <xdr:rowOff>1597478</xdr:rowOff>
    </xdr:to>
    <xdr:pic>
      <xdr:nvPicPr>
        <xdr:cNvPr id="32" name="Imagen 31" descr="https://images.co.soytul.com/42ffda32-9b9a-4aa7-987c-406b4984037e">
          <a:extLst>
            <a:ext uri="{FF2B5EF4-FFF2-40B4-BE49-F238E27FC236}">
              <a16:creationId xmlns:a16="http://schemas.microsoft.com/office/drawing/2014/main" id="{7EE33F78-FA24-4D46-A100-A118F37430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05342" y="31514143"/>
          <a:ext cx="1422151" cy="14205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1741715</xdr:colOff>
      <xdr:row>66</xdr:row>
      <xdr:rowOff>54429</xdr:rowOff>
    </xdr:from>
    <xdr:to>
      <xdr:col>12</xdr:col>
      <xdr:colOff>1306286</xdr:colOff>
      <xdr:row>66</xdr:row>
      <xdr:rowOff>1858348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746336A9-9BFE-437D-99D3-E09DCE867A7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7"/>
        <a:srcRect l="9377" t="20142" r="52337" b="53929"/>
        <a:stretch/>
      </xdr:blipFill>
      <xdr:spPr>
        <a:xfrm>
          <a:off x="13702394" y="27636108"/>
          <a:ext cx="4735286" cy="1803919"/>
        </a:xfrm>
        <a:prstGeom prst="rect">
          <a:avLst/>
        </a:prstGeom>
      </xdr:spPr>
    </xdr:pic>
    <xdr:clientData/>
  </xdr:twoCellAnchor>
  <xdr:twoCellAnchor editAs="oneCell">
    <xdr:from>
      <xdr:col>9</xdr:col>
      <xdr:colOff>1643062</xdr:colOff>
      <xdr:row>67</xdr:row>
      <xdr:rowOff>40822</xdr:rowOff>
    </xdr:from>
    <xdr:to>
      <xdr:col>12</xdr:col>
      <xdr:colOff>1281137</xdr:colOff>
      <xdr:row>67</xdr:row>
      <xdr:rowOff>1779135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2D3B719D-BAE5-40D9-9966-028AED64DB5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8"/>
        <a:srcRect l="9245" t="20836" r="52208" b="54392"/>
        <a:stretch/>
      </xdr:blipFill>
      <xdr:spPr>
        <a:xfrm>
          <a:off x="13603741" y="29500286"/>
          <a:ext cx="4808790" cy="1738313"/>
        </a:xfrm>
        <a:prstGeom prst="rect">
          <a:avLst/>
        </a:prstGeom>
      </xdr:spPr>
    </xdr:pic>
    <xdr:clientData/>
  </xdr:twoCellAnchor>
  <xdr:twoCellAnchor editAs="oneCell">
    <xdr:from>
      <xdr:col>10</xdr:col>
      <xdr:colOff>190500</xdr:colOff>
      <xdr:row>72</xdr:row>
      <xdr:rowOff>123335</xdr:rowOff>
    </xdr:from>
    <xdr:to>
      <xdr:col>12</xdr:col>
      <xdr:colOff>86590</xdr:colOff>
      <xdr:row>72</xdr:row>
      <xdr:rowOff>2491354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3BC2012A-FB64-4C42-A687-961BB679531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9"/>
        <a:srcRect l="28097" t="31583" r="34624" b="6353"/>
        <a:stretch/>
      </xdr:blipFill>
      <xdr:spPr>
        <a:xfrm>
          <a:off x="15690273" y="41860153"/>
          <a:ext cx="2528454" cy="2368019"/>
        </a:xfrm>
        <a:prstGeom prst="rect">
          <a:avLst/>
        </a:prstGeom>
      </xdr:spPr>
    </xdr:pic>
    <xdr:clientData/>
  </xdr:twoCellAnchor>
  <xdr:twoCellAnchor editAs="oneCell">
    <xdr:from>
      <xdr:col>9</xdr:col>
      <xdr:colOff>2424547</xdr:colOff>
      <xdr:row>71</xdr:row>
      <xdr:rowOff>218096</xdr:rowOff>
    </xdr:from>
    <xdr:to>
      <xdr:col>12</xdr:col>
      <xdr:colOff>450273</xdr:colOff>
      <xdr:row>71</xdr:row>
      <xdr:rowOff>2511135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76121CAF-303C-438D-B895-B52CDC2A5AE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0"/>
        <a:srcRect l="8240" t="38725" r="53782" b="12952"/>
        <a:stretch/>
      </xdr:blipFill>
      <xdr:spPr>
        <a:xfrm>
          <a:off x="15378547" y="39045460"/>
          <a:ext cx="3203863" cy="229303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394856</xdr:colOff>
      <xdr:row>4</xdr:row>
      <xdr:rowOff>0</xdr:rowOff>
    </xdr:from>
    <xdr:to>
      <xdr:col>37</xdr:col>
      <xdr:colOff>394277</xdr:colOff>
      <xdr:row>24</xdr:row>
      <xdr:rowOff>188858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DC8ED6C-1D56-46A7-8280-4CB0470BAB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133156" y="1256344"/>
          <a:ext cx="3047421" cy="4008383"/>
        </a:xfrm>
        <a:prstGeom prst="rect">
          <a:avLst/>
        </a:prstGeom>
      </xdr:spPr>
    </xdr:pic>
    <xdr:clientData/>
  </xdr:twoCellAnchor>
  <xdr:twoCellAnchor editAs="oneCell">
    <xdr:from>
      <xdr:col>20</xdr:col>
      <xdr:colOff>571499</xdr:colOff>
      <xdr:row>4</xdr:row>
      <xdr:rowOff>0</xdr:rowOff>
    </xdr:from>
    <xdr:to>
      <xdr:col>24</xdr:col>
      <xdr:colOff>460388</xdr:colOff>
      <xdr:row>24</xdr:row>
      <xdr:rowOff>163656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F60A45B6-FA2A-4264-A8CD-3E59936BCE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0376090" y="1316182"/>
          <a:ext cx="2936889" cy="3983181"/>
        </a:xfrm>
        <a:prstGeom prst="rect">
          <a:avLst/>
        </a:prstGeom>
      </xdr:spPr>
    </xdr:pic>
    <xdr:clientData/>
  </xdr:twoCellAnchor>
  <xdr:twoCellAnchor editAs="oneCell">
    <xdr:from>
      <xdr:col>38</xdr:col>
      <xdr:colOff>370611</xdr:colOff>
      <xdr:row>4</xdr:row>
      <xdr:rowOff>0</xdr:rowOff>
    </xdr:from>
    <xdr:to>
      <xdr:col>42</xdr:col>
      <xdr:colOff>256644</xdr:colOff>
      <xdr:row>24</xdr:row>
      <xdr:rowOff>42429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DCE7D3FF-9A70-4246-B5A9-9D6CCD9779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3918911" y="1541319"/>
          <a:ext cx="2934033" cy="3861954"/>
        </a:xfrm>
        <a:prstGeom prst="rect">
          <a:avLst/>
        </a:prstGeom>
      </xdr:spPr>
    </xdr:pic>
    <xdr:clientData/>
  </xdr:twoCellAnchor>
  <xdr:twoCellAnchor editAs="oneCell">
    <xdr:from>
      <xdr:col>25</xdr:col>
      <xdr:colOff>432955</xdr:colOff>
      <xdr:row>4</xdr:row>
      <xdr:rowOff>0</xdr:rowOff>
    </xdr:from>
    <xdr:to>
      <xdr:col>32</xdr:col>
      <xdr:colOff>528107</xdr:colOff>
      <xdr:row>24</xdr:row>
      <xdr:rowOff>65194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F50F37C5-D6E1-41E1-A95B-7860A243A6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4075255" y="1307271"/>
          <a:ext cx="5429152" cy="3884719"/>
        </a:xfrm>
        <a:prstGeom prst="rect">
          <a:avLst/>
        </a:prstGeom>
      </xdr:spPr>
    </xdr:pic>
    <xdr:clientData/>
  </xdr:twoCellAnchor>
  <xdr:twoCellAnchor editAs="oneCell">
    <xdr:from>
      <xdr:col>13</xdr:col>
      <xdr:colOff>616528</xdr:colOff>
      <xdr:row>4</xdr:row>
      <xdr:rowOff>0</xdr:rowOff>
    </xdr:from>
    <xdr:to>
      <xdr:col>18</xdr:col>
      <xdr:colOff>272579</xdr:colOff>
      <xdr:row>17</xdr:row>
      <xdr:rowOff>78798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50CFC419-A220-4554-A157-E3666A1AE5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5087119" y="3979718"/>
          <a:ext cx="3466051" cy="2566555"/>
        </a:xfrm>
        <a:prstGeom prst="rect">
          <a:avLst/>
        </a:prstGeom>
      </xdr:spPr>
    </xdr:pic>
    <xdr:clientData/>
  </xdr:twoCellAnchor>
  <xdr:twoCellAnchor editAs="oneCell">
    <xdr:from>
      <xdr:col>13</xdr:col>
      <xdr:colOff>606136</xdr:colOff>
      <xdr:row>4</xdr:row>
      <xdr:rowOff>0</xdr:rowOff>
    </xdr:from>
    <xdr:to>
      <xdr:col>18</xdr:col>
      <xdr:colOff>301367</xdr:colOff>
      <xdr:row>17</xdr:row>
      <xdr:rowOff>101312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667DE79B-6B7F-4FF2-8804-27621F99EB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5076727" y="1170708"/>
          <a:ext cx="3505231" cy="2587337"/>
        </a:xfrm>
        <a:prstGeom prst="rect">
          <a:avLst/>
        </a:prstGeom>
      </xdr:spPr>
    </xdr:pic>
    <xdr:clientData/>
  </xdr:twoCellAnchor>
  <xdr:twoCellAnchor editAs="oneCell">
    <xdr:from>
      <xdr:col>9</xdr:col>
      <xdr:colOff>23813</xdr:colOff>
      <xdr:row>8</xdr:row>
      <xdr:rowOff>71437</xdr:rowOff>
    </xdr:from>
    <xdr:to>
      <xdr:col>29</xdr:col>
      <xdr:colOff>666749</xdr:colOff>
      <xdr:row>70</xdr:row>
      <xdr:rowOff>125083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FEDCF8EE-A549-4752-BA20-78913DD19A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6525876" y="17240250"/>
          <a:ext cx="15882936" cy="11874171"/>
        </a:xfrm>
        <a:prstGeom prst="rect">
          <a:avLst/>
        </a:prstGeom>
      </xdr:spPr>
    </xdr:pic>
    <xdr:clientData/>
  </xdr:twoCellAnchor>
  <xdr:twoCellAnchor>
    <xdr:from>
      <xdr:col>24</xdr:col>
      <xdr:colOff>714374</xdr:colOff>
      <xdr:row>41</xdr:row>
      <xdr:rowOff>142875</xdr:rowOff>
    </xdr:from>
    <xdr:to>
      <xdr:col>24</xdr:col>
      <xdr:colOff>738188</xdr:colOff>
      <xdr:row>59</xdr:row>
      <xdr:rowOff>47624</xdr:rowOff>
    </xdr:to>
    <xdr:cxnSp macro="">
      <xdr:nvCxnSpPr>
        <xdr:cNvPr id="19" name="Conector recto 18">
          <a:extLst>
            <a:ext uri="{FF2B5EF4-FFF2-40B4-BE49-F238E27FC236}">
              <a16:creationId xmlns:a16="http://schemas.microsoft.com/office/drawing/2014/main" id="{4812F465-433D-4DE1-8A14-1E9ACA2ED283}"/>
            </a:ext>
          </a:extLst>
        </xdr:cNvPr>
        <xdr:cNvCxnSpPr/>
      </xdr:nvCxnSpPr>
      <xdr:spPr>
        <a:xfrm flipH="1">
          <a:off x="28646437" y="23217188"/>
          <a:ext cx="23814" cy="3333749"/>
        </a:xfrm>
        <a:prstGeom prst="line">
          <a:avLst/>
        </a:prstGeom>
        <a:ln w="76200">
          <a:solidFill>
            <a:schemeClr val="accent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438149</xdr:colOff>
      <xdr:row>59</xdr:row>
      <xdr:rowOff>80962</xdr:rowOff>
    </xdr:from>
    <xdr:to>
      <xdr:col>28</xdr:col>
      <xdr:colOff>547687</xdr:colOff>
      <xdr:row>59</xdr:row>
      <xdr:rowOff>142875</xdr:rowOff>
    </xdr:to>
    <xdr:cxnSp macro="">
      <xdr:nvCxnSpPr>
        <xdr:cNvPr id="22" name="Conector recto 21">
          <a:extLst>
            <a:ext uri="{FF2B5EF4-FFF2-40B4-BE49-F238E27FC236}">
              <a16:creationId xmlns:a16="http://schemas.microsoft.com/office/drawing/2014/main" id="{3B725858-7C19-42A8-BBCF-C7C08DF4C0E3}"/>
            </a:ext>
          </a:extLst>
        </xdr:cNvPr>
        <xdr:cNvCxnSpPr/>
      </xdr:nvCxnSpPr>
      <xdr:spPr>
        <a:xfrm flipH="1" flipV="1">
          <a:off x="27608212" y="26584275"/>
          <a:ext cx="3919538" cy="61913"/>
        </a:xfrm>
        <a:prstGeom prst="line">
          <a:avLst/>
        </a:prstGeom>
        <a:ln w="76200">
          <a:solidFill>
            <a:schemeClr val="accent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642939</xdr:colOff>
      <xdr:row>41</xdr:row>
      <xdr:rowOff>142875</xdr:rowOff>
    </xdr:from>
    <xdr:to>
      <xdr:col>26</xdr:col>
      <xdr:colOff>309561</xdr:colOff>
      <xdr:row>41</xdr:row>
      <xdr:rowOff>166687</xdr:rowOff>
    </xdr:to>
    <xdr:cxnSp macro="">
      <xdr:nvCxnSpPr>
        <xdr:cNvPr id="24" name="Conector recto 23">
          <a:extLst>
            <a:ext uri="{FF2B5EF4-FFF2-40B4-BE49-F238E27FC236}">
              <a16:creationId xmlns:a16="http://schemas.microsoft.com/office/drawing/2014/main" id="{B1DC151B-5E8C-4DC8-9398-C478F7F8A14C}"/>
            </a:ext>
          </a:extLst>
        </xdr:cNvPr>
        <xdr:cNvCxnSpPr/>
      </xdr:nvCxnSpPr>
      <xdr:spPr>
        <a:xfrm>
          <a:off x="28575002" y="23217188"/>
          <a:ext cx="1190622" cy="23812"/>
        </a:xfrm>
        <a:prstGeom prst="line">
          <a:avLst/>
        </a:prstGeom>
        <a:ln w="76200">
          <a:solidFill>
            <a:schemeClr val="accent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176214</xdr:colOff>
      <xdr:row>26</xdr:row>
      <xdr:rowOff>-1</xdr:rowOff>
    </xdr:from>
    <xdr:to>
      <xdr:col>26</xdr:col>
      <xdr:colOff>214312</xdr:colOff>
      <xdr:row>42</xdr:row>
      <xdr:rowOff>57150</xdr:rowOff>
    </xdr:to>
    <xdr:cxnSp macro="">
      <xdr:nvCxnSpPr>
        <xdr:cNvPr id="26" name="Conector recto 25">
          <a:extLst>
            <a:ext uri="{FF2B5EF4-FFF2-40B4-BE49-F238E27FC236}">
              <a16:creationId xmlns:a16="http://schemas.microsoft.com/office/drawing/2014/main" id="{E72BCB75-7286-4B4A-8977-38B848605B37}"/>
            </a:ext>
          </a:extLst>
        </xdr:cNvPr>
        <xdr:cNvCxnSpPr/>
      </xdr:nvCxnSpPr>
      <xdr:spPr>
        <a:xfrm flipV="1">
          <a:off x="29632277" y="20216812"/>
          <a:ext cx="38098" cy="3105151"/>
        </a:xfrm>
        <a:prstGeom prst="line">
          <a:avLst/>
        </a:prstGeom>
        <a:ln w="76200">
          <a:solidFill>
            <a:schemeClr val="accent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247651</xdr:colOff>
      <xdr:row>26</xdr:row>
      <xdr:rowOff>33337</xdr:rowOff>
    </xdr:from>
    <xdr:to>
      <xdr:col>27</xdr:col>
      <xdr:colOff>676273</xdr:colOff>
      <xdr:row>26</xdr:row>
      <xdr:rowOff>57149</xdr:rowOff>
    </xdr:to>
    <xdr:cxnSp macro="">
      <xdr:nvCxnSpPr>
        <xdr:cNvPr id="29" name="Conector recto 28">
          <a:extLst>
            <a:ext uri="{FF2B5EF4-FFF2-40B4-BE49-F238E27FC236}">
              <a16:creationId xmlns:a16="http://schemas.microsoft.com/office/drawing/2014/main" id="{4C3F83DD-98F4-453D-88E2-470ABDBC8634}"/>
            </a:ext>
          </a:extLst>
        </xdr:cNvPr>
        <xdr:cNvCxnSpPr/>
      </xdr:nvCxnSpPr>
      <xdr:spPr>
        <a:xfrm>
          <a:off x="29703714" y="20250150"/>
          <a:ext cx="1190622" cy="23812"/>
        </a:xfrm>
        <a:prstGeom prst="line">
          <a:avLst/>
        </a:prstGeom>
        <a:ln w="76200">
          <a:solidFill>
            <a:schemeClr val="accent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6</xdr:col>
      <xdr:colOff>581024</xdr:colOff>
      <xdr:row>1</xdr:row>
      <xdr:rowOff>152400</xdr:rowOff>
    </xdr:from>
    <xdr:to>
      <xdr:col>7</xdr:col>
      <xdr:colOff>1838325</xdr:colOff>
      <xdr:row>23</xdr:row>
      <xdr:rowOff>85724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62837B0C-0EF5-4801-A41C-D765AA783B8C}"/>
            </a:ext>
          </a:extLst>
        </xdr:cNvPr>
        <xdr:cNvPicPr/>
      </xdr:nvPicPr>
      <xdr:blipFill rotWithShape="1">
        <a:blip xmlns:r="http://schemas.openxmlformats.org/officeDocument/2006/relationships" r:embed="rId8"/>
        <a:srcRect l="54829" t="43061" r="27043" b="12029"/>
        <a:stretch/>
      </xdr:blipFill>
      <xdr:spPr bwMode="auto">
        <a:xfrm>
          <a:off x="10477499" y="352425"/>
          <a:ext cx="3790951" cy="4133849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10583</xdr:colOff>
      <xdr:row>2</xdr:row>
      <xdr:rowOff>10583</xdr:rowOff>
    </xdr:from>
    <xdr:to>
      <xdr:col>5</xdr:col>
      <xdr:colOff>1661583</xdr:colOff>
      <xdr:row>2</xdr:row>
      <xdr:rowOff>931585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16093A6-EE0E-470E-AF3A-AC0F381926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59533" y="982133"/>
          <a:ext cx="1651000" cy="921002"/>
        </a:xfrm>
        <a:prstGeom prst="rect">
          <a:avLst/>
        </a:prstGeom>
      </xdr:spPr>
    </xdr:pic>
    <xdr:clientData/>
  </xdr:twoCellAnchor>
  <xdr:twoCellAnchor editAs="oneCell">
    <xdr:from>
      <xdr:col>5</xdr:col>
      <xdr:colOff>10583</xdr:colOff>
      <xdr:row>3</xdr:row>
      <xdr:rowOff>582083</xdr:rowOff>
    </xdr:from>
    <xdr:to>
      <xdr:col>5</xdr:col>
      <xdr:colOff>1661582</xdr:colOff>
      <xdr:row>3</xdr:row>
      <xdr:rowOff>1545166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994F66E-D7D5-49F8-968B-C7F373C791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flipH="1">
          <a:off x="10659533" y="2525183"/>
          <a:ext cx="1650999" cy="963083"/>
        </a:xfrm>
        <a:prstGeom prst="rect">
          <a:avLst/>
        </a:prstGeom>
      </xdr:spPr>
    </xdr:pic>
    <xdr:clientData/>
  </xdr:twoCellAnchor>
  <xdr:twoCellAnchor editAs="oneCell">
    <xdr:from>
      <xdr:col>5</xdr:col>
      <xdr:colOff>21166</xdr:colOff>
      <xdr:row>4</xdr:row>
      <xdr:rowOff>508001</xdr:rowOff>
    </xdr:from>
    <xdr:to>
      <xdr:col>6</xdr:col>
      <xdr:colOff>0</xdr:colOff>
      <xdr:row>4</xdr:row>
      <xdr:rowOff>1270001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9B522F9-D970-48D6-941C-5C0EB0DADB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670116" y="4479926"/>
          <a:ext cx="1645709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21167</xdr:colOff>
      <xdr:row>5</xdr:row>
      <xdr:rowOff>190494</xdr:rowOff>
    </xdr:from>
    <xdr:to>
      <xdr:col>5</xdr:col>
      <xdr:colOff>1657987</xdr:colOff>
      <xdr:row>5</xdr:row>
      <xdr:rowOff>1693327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FE2D1AA0-8B7C-4B60-B986-58255DC9F6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670117" y="6153144"/>
          <a:ext cx="1636820" cy="1502833"/>
        </a:xfrm>
        <a:prstGeom prst="rect">
          <a:avLst/>
        </a:prstGeom>
      </xdr:spPr>
    </xdr:pic>
    <xdr:clientData/>
  </xdr:twoCellAnchor>
  <xdr:twoCellAnchor editAs="oneCell">
    <xdr:from>
      <xdr:col>5</xdr:col>
      <xdr:colOff>21167</xdr:colOff>
      <xdr:row>6</xdr:row>
      <xdr:rowOff>179917</xdr:rowOff>
    </xdr:from>
    <xdr:to>
      <xdr:col>5</xdr:col>
      <xdr:colOff>1649457</xdr:colOff>
      <xdr:row>6</xdr:row>
      <xdr:rowOff>1697605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4595758F-EE0B-4BDF-BC84-B5F323BD38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670117" y="8018992"/>
          <a:ext cx="1628290" cy="1517688"/>
        </a:xfrm>
        <a:prstGeom prst="rect">
          <a:avLst/>
        </a:prstGeom>
      </xdr:spPr>
    </xdr:pic>
    <xdr:clientData/>
  </xdr:twoCellAnchor>
  <xdr:twoCellAnchor editAs="oneCell">
    <xdr:from>
      <xdr:col>5</xdr:col>
      <xdr:colOff>190498</xdr:colOff>
      <xdr:row>8</xdr:row>
      <xdr:rowOff>31749</xdr:rowOff>
    </xdr:from>
    <xdr:to>
      <xdr:col>5</xdr:col>
      <xdr:colOff>1555748</xdr:colOff>
      <xdr:row>8</xdr:row>
      <xdr:rowOff>1268833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3F9A540A-BA0A-4801-A616-A3A95A32DD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839448" y="11299824"/>
          <a:ext cx="1365250" cy="1237084"/>
        </a:xfrm>
        <a:prstGeom prst="rect">
          <a:avLst/>
        </a:prstGeom>
      </xdr:spPr>
    </xdr:pic>
    <xdr:clientData/>
  </xdr:twoCellAnchor>
  <xdr:twoCellAnchor editAs="oneCell">
    <xdr:from>
      <xdr:col>5</xdr:col>
      <xdr:colOff>148168</xdr:colOff>
      <xdr:row>7</xdr:row>
      <xdr:rowOff>10584</xdr:rowOff>
    </xdr:from>
    <xdr:to>
      <xdr:col>5</xdr:col>
      <xdr:colOff>1566334</xdr:colOff>
      <xdr:row>7</xdr:row>
      <xdr:rowOff>1400387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754F2313-ED95-4D11-ADAF-82ED1EFDE3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0797118" y="9868959"/>
          <a:ext cx="1418166" cy="1389803"/>
        </a:xfrm>
        <a:prstGeom prst="rect">
          <a:avLst/>
        </a:prstGeom>
      </xdr:spPr>
    </xdr:pic>
    <xdr:clientData/>
  </xdr:twoCellAnchor>
  <xdr:twoCellAnchor editAs="oneCell">
    <xdr:from>
      <xdr:col>5</xdr:col>
      <xdr:colOff>444499</xdr:colOff>
      <xdr:row>9</xdr:row>
      <xdr:rowOff>10582</xdr:rowOff>
    </xdr:from>
    <xdr:to>
      <xdr:col>5</xdr:col>
      <xdr:colOff>1333499</xdr:colOff>
      <xdr:row>10</xdr:row>
      <xdr:rowOff>3586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D79689CC-EDDC-4C21-9263-02F47CD2C0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1093449" y="12555007"/>
          <a:ext cx="889000" cy="1021704"/>
        </a:xfrm>
        <a:prstGeom prst="rect">
          <a:avLst/>
        </a:prstGeom>
      </xdr:spPr>
    </xdr:pic>
    <xdr:clientData/>
  </xdr:twoCellAnchor>
  <xdr:twoCellAnchor editAs="oneCell">
    <xdr:from>
      <xdr:col>5</xdr:col>
      <xdr:colOff>317497</xdr:colOff>
      <xdr:row>10</xdr:row>
      <xdr:rowOff>31749</xdr:rowOff>
    </xdr:from>
    <xdr:to>
      <xdr:col>5</xdr:col>
      <xdr:colOff>1344081</xdr:colOff>
      <xdr:row>10</xdr:row>
      <xdr:rowOff>815142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66006412-86A4-49DF-96C9-ED5BFB2E17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0966447" y="13604874"/>
          <a:ext cx="1026584" cy="783393"/>
        </a:xfrm>
        <a:prstGeom prst="rect">
          <a:avLst/>
        </a:prstGeom>
      </xdr:spPr>
    </xdr:pic>
    <xdr:clientData/>
  </xdr:twoCellAnchor>
  <xdr:twoCellAnchor editAs="oneCell">
    <xdr:from>
      <xdr:col>5</xdr:col>
      <xdr:colOff>42331</xdr:colOff>
      <xdr:row>11</xdr:row>
      <xdr:rowOff>306916</xdr:rowOff>
    </xdr:from>
    <xdr:to>
      <xdr:col>5</xdr:col>
      <xdr:colOff>1636893</xdr:colOff>
      <xdr:row>11</xdr:row>
      <xdr:rowOff>1354666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3ECB930D-932A-41EE-97A8-6C904436D9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691281" y="14718241"/>
          <a:ext cx="1594562" cy="1047750"/>
        </a:xfrm>
        <a:prstGeom prst="rect">
          <a:avLst/>
        </a:prstGeom>
      </xdr:spPr>
    </xdr:pic>
    <xdr:clientData/>
  </xdr:twoCellAnchor>
  <xdr:twoCellAnchor editAs="oneCell">
    <xdr:from>
      <xdr:col>5</xdr:col>
      <xdr:colOff>21166</xdr:colOff>
      <xdr:row>12</xdr:row>
      <xdr:rowOff>243416</xdr:rowOff>
    </xdr:from>
    <xdr:to>
      <xdr:col>5</xdr:col>
      <xdr:colOff>1660785</xdr:colOff>
      <xdr:row>12</xdr:row>
      <xdr:rowOff>1439333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D83D0C65-040A-479F-A740-BCF65F81B0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670116" y="16235891"/>
          <a:ext cx="1639619" cy="1195917"/>
        </a:xfrm>
        <a:prstGeom prst="rect">
          <a:avLst/>
        </a:prstGeom>
      </xdr:spPr>
    </xdr:pic>
    <xdr:clientData/>
  </xdr:twoCellAnchor>
  <xdr:twoCellAnchor editAs="oneCell">
    <xdr:from>
      <xdr:col>5</xdr:col>
      <xdr:colOff>10583</xdr:colOff>
      <xdr:row>13</xdr:row>
      <xdr:rowOff>21167</xdr:rowOff>
    </xdr:from>
    <xdr:to>
      <xdr:col>6</xdr:col>
      <xdr:colOff>1378</xdr:colOff>
      <xdr:row>13</xdr:row>
      <xdr:rowOff>1513417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793FE135-A804-4527-AEB9-9D1C3E0F9E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659533" y="17594792"/>
          <a:ext cx="1657670" cy="1492250"/>
        </a:xfrm>
        <a:prstGeom prst="rect">
          <a:avLst/>
        </a:prstGeom>
      </xdr:spPr>
    </xdr:pic>
    <xdr:clientData/>
  </xdr:twoCellAnchor>
  <xdr:twoCellAnchor editAs="oneCell">
    <xdr:from>
      <xdr:col>5</xdr:col>
      <xdr:colOff>31753</xdr:colOff>
      <xdr:row>14</xdr:row>
      <xdr:rowOff>317500</xdr:rowOff>
    </xdr:from>
    <xdr:to>
      <xdr:col>5</xdr:col>
      <xdr:colOff>1640417</xdr:colOff>
      <xdr:row>14</xdr:row>
      <xdr:rowOff>1259418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F2F21857-25EB-467C-818E-51A809F1EA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680703" y="19472275"/>
          <a:ext cx="1608664" cy="941918"/>
        </a:xfrm>
        <a:prstGeom prst="rect">
          <a:avLst/>
        </a:prstGeom>
      </xdr:spPr>
    </xdr:pic>
    <xdr:clientData/>
  </xdr:twoCellAnchor>
  <xdr:twoCellAnchor editAs="oneCell">
    <xdr:from>
      <xdr:col>5</xdr:col>
      <xdr:colOff>31750</xdr:colOff>
      <xdr:row>15</xdr:row>
      <xdr:rowOff>21167</xdr:rowOff>
    </xdr:from>
    <xdr:to>
      <xdr:col>5</xdr:col>
      <xdr:colOff>1650999</xdr:colOff>
      <xdr:row>15</xdr:row>
      <xdr:rowOff>1375834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DA4F84C6-DF8C-48E0-AF1C-D9FD5DB4B0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680700" y="20757092"/>
          <a:ext cx="1619249" cy="1354667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190501</xdr:colOff>
      <xdr:row>16</xdr:row>
      <xdr:rowOff>21167</xdr:rowOff>
    </xdr:from>
    <xdr:to>
      <xdr:col>5</xdr:col>
      <xdr:colOff>1439333</xdr:colOff>
      <xdr:row>16</xdr:row>
      <xdr:rowOff>1240323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E28696D4-7A6F-458C-B456-0D5AE2D9B0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839451" y="22223942"/>
          <a:ext cx="1248832" cy="1219156"/>
        </a:xfrm>
        <a:prstGeom prst="rect">
          <a:avLst/>
        </a:prstGeom>
      </xdr:spPr>
    </xdr:pic>
    <xdr:clientData/>
  </xdr:twoCellAnchor>
  <xdr:twoCellAnchor editAs="oneCell">
    <xdr:from>
      <xdr:col>5</xdr:col>
      <xdr:colOff>264584</xdr:colOff>
      <xdr:row>17</xdr:row>
      <xdr:rowOff>52917</xdr:rowOff>
    </xdr:from>
    <xdr:to>
      <xdr:col>5</xdr:col>
      <xdr:colOff>1481666</xdr:colOff>
      <xdr:row>17</xdr:row>
      <xdr:rowOff>1037928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26CB6501-5DD6-420B-A73E-B7DB1D34B9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913534" y="23503467"/>
          <a:ext cx="1217082" cy="98501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IES%20CINOC%20ING%20JMSR%202022-2024/IES%20CINOC%20ENERO%20C-12-CED12-2023%20JMSR/4.%20OBRAS%20URBANISMO%20CUBIERTAS%202024/FICHA%20TECNICACINOC%20CUBIERTA%20TERRAZA%20BLOQUE%20A_PRESUPUEST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de actividades Zona 1 "/>
      <sheetName val="Cuadro Comparativo "/>
      <sheetName val="Analisis AIU% MANILA"/>
      <sheetName val="Hoja2"/>
      <sheetName val="DESGLOSE AIU% OBSERVACION"/>
      <sheetName val="RESUMEN GENERAL"/>
      <sheetName val="DESGLOSE AIU%"/>
      <sheetName val="PRESUPUESTO TERRAZA A"/>
      <sheetName val="A.P.U TERRAZA A"/>
      <sheetName val="MEMORIA DE CANTIDADES TERRAZA A"/>
      <sheetName val="PRESUPUESTO TERRAZA B"/>
      <sheetName val="A.P.U APU TERRA ZA B"/>
      <sheetName val="MEMORIA DE CANTIDADES TERREZA B"/>
      <sheetName val="PRESUPUESTO ACCESO BLOQUE B"/>
      <sheetName val="A.P.U ACCESO BB"/>
      <sheetName val="MEMORIA DE CANTIDADES ACCESO BB"/>
      <sheetName val="PRESUPUESTO CANCHA GRADAS"/>
      <sheetName val="A.P.U CANCHA GRADAS"/>
      <sheetName val="MEMORIA DE CANTIDADES CANCHA GR"/>
      <sheetName val="PRESUPUESTO PERGOLA PRINCIPÁL A"/>
      <sheetName val="MEMORIA DE CANTIDADES PERGOLA"/>
      <sheetName val="Hoja1"/>
      <sheetName val="PRESUPUESTO adecuaciones varias"/>
      <sheetName val="APU ADECUACIONES"/>
      <sheetName val="ACCESORIOS E IMAGENES"/>
      <sheetName val="Analisis Mano de Obra"/>
      <sheetName val="Insumos"/>
      <sheetName val="Analisis Factor Prestacional"/>
      <sheetName val="Analisis Herramienta Menor"/>
      <sheetName val="Analisis AIU"/>
    </sheetNames>
    <sheetDataSet>
      <sheetData sheetId="0"/>
      <sheetData sheetId="1"/>
      <sheetData sheetId="2"/>
      <sheetData sheetId="3"/>
      <sheetData sheetId="4">
        <row r="7">
          <cell r="I7">
            <v>4001168</v>
          </cell>
        </row>
        <row r="60">
          <cell r="T60">
            <v>1191943.1124749999</v>
          </cell>
        </row>
      </sheetData>
      <sheetData sheetId="5"/>
      <sheetData sheetId="6"/>
      <sheetData sheetId="7"/>
      <sheetData sheetId="8">
        <row r="12">
          <cell r="X12">
            <v>19294</v>
          </cell>
        </row>
        <row r="14">
          <cell r="X14">
            <v>18552</v>
          </cell>
        </row>
        <row r="15">
          <cell r="X15">
            <v>21856</v>
          </cell>
        </row>
        <row r="16">
          <cell r="X16">
            <v>25499</v>
          </cell>
        </row>
      </sheetData>
      <sheetData sheetId="9"/>
      <sheetData sheetId="10"/>
      <sheetData sheetId="11">
        <row r="2">
          <cell r="A2">
            <v>1</v>
          </cell>
        </row>
      </sheetData>
      <sheetData sheetId="12"/>
      <sheetData sheetId="13"/>
      <sheetData sheetId="14">
        <row r="5">
          <cell r="P5">
            <v>40408</v>
          </cell>
        </row>
      </sheetData>
      <sheetData sheetId="15">
        <row r="13">
          <cell r="C13" t="str">
            <v>SUMINISTRO, TRANSPORTE E INSTALACIÓN CERRAMIENTO EN TELA VERDE H= 2 M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26">
          <cell r="C26">
            <v>0.69790000000000008</v>
          </cell>
          <cell r="D26">
            <v>0.54830000000000001</v>
          </cell>
        </row>
      </sheetData>
      <sheetData sheetId="28"/>
      <sheetData sheetId="2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google.com/search?sca_esv=76a18ee69d7f7d9a&amp;rlz=1C1CHBD_esCO965CO965&amp;sxsrf=ANbL-n7Fky1zKQF0o60TgDrkINyCtXiuYw:1773224368969&amp;udm=28&amp;fbs=ADc_l-bpk8W4E-qsVlOvbGJcDwpn60DczFdcvPnuv8WQohHLTcTH442KskDyC74HpRHrYUquKPmtPp4IEQPDuCAuszg_f6lrMfx1yzeTgwnfyamc0O_AALoSLgmfLP2Zg7W_2YBA2UbNXu7k2LaJ5Gv_v_7hvi9_206zFwHmMEIljTYZ18OB8zZ-CzrA5tXSxBNH9UJRhlhTYr_ewUAbso6K52J-e92O5w&amp;q=TUBO+EMT+COLMENA+3/4%27%27+X+3+METROS&amp;ved=1t:220175&amp;ictx=111&amp;biw=1920&amp;bih=919&amp;dpr=1" TargetMode="External"/><Relationship Id="rId13" Type="http://schemas.openxmlformats.org/officeDocument/2006/relationships/hyperlink" Target="https://interelectricas.com.co/tuberia-metalica-y-pvc/2183-tubo-metalico-emt-de-3-4-pulgadas-x-3-mts.html" TargetMode="External"/><Relationship Id="rId18" Type="http://schemas.openxmlformats.org/officeDocument/2006/relationships/printerSettings" Target="../printerSettings/printerSettings6.bin"/><Relationship Id="rId3" Type="http://schemas.openxmlformats.org/officeDocument/2006/relationships/hyperlink" Target="https://www.homecenter.com.co/homecenter-co/product/374300" TargetMode="External"/><Relationship Id="rId7" Type="http://schemas.openxmlformats.org/officeDocument/2006/relationships/hyperlink" Target="https://www.google.com/search?q=Coraza+Galvanizada+3%2F4+Pg+5+Mt+-+Metal+Coraza&amp;sca_esv=55e9f3c856495c1e&amp;rlz=1C1CHBD_esCO965CO965&amp;biw=1920&amp;bih=919&amp;udm=28&amp;sxsrf=ANbL-n5FOuQE-fmdQxeqhDSZUg4sMw53Mg%3A1776284822997&amp;ei=lvTfaeTCPLKFwbkPn6Xx6Qw&amp;ved=0ahUKEwjk5ZPP2PCTAxWyQjABHZ9SPM0Q4dUDCCQ&amp;oq=Coraza+Galvanizada+3%2F4+Pg+5+Mt+-+Metal+Coraza&amp;gs_lp=Ehlnd3Mtd2l6LW1vZGVsZXNzLXNob3BwaW5nIi1Db3JhemEgR2FsdmFuaXphZGEgMy80IFBnIDUgTXQgLSBNZXRhbCBDb3JhemFI9yFQAFgAcAB4AZABAJgBgAGgAYABqgEDMC4xuAEMyAEA-AEC-AEBmAIAoAIAmAMAkgcAoAesAbIHALgHAMIHAMgHAIAIAQ&amp;sclient=gws-wiz-modeless-shopping" TargetMode="External"/><Relationship Id="rId12" Type="http://schemas.openxmlformats.org/officeDocument/2006/relationships/hyperlink" Target="https://interelectricas.com.co/tuberia-metalica-y-pvc/2183-tubo-metalico-emt-de-3-4-pulgadas-x-3-mts.html" TargetMode="External"/><Relationship Id="rId17" Type="http://schemas.openxmlformats.org/officeDocument/2006/relationships/hyperlink" Target="https://www.google.com/search?q=aire+acondicionado+24000+btu+220v&amp;sca_esv=09e795cc6b8f4569&amp;rlz=1C1CHBD_esCO965CO965&amp;biw=1097&amp;bih=525&amp;udm=28&amp;sxsrf=ANbL-n7TlTG1enz88At1On1NdJWkumTJwg%3A1776286744151&amp;ei=GPzfaajnCJKOwbkPmp_s4Qw&amp;ved=0ahUKEwio053j3_CTAxUSRzABHZoPO8wQ4dUDCCQ&amp;uact=5&amp;oq=aire+acondicionado+24000+btu+220v&amp;gs_lp=Ehlnd3Mtd2l6LW1vZGVsZXNzLXNob3BwaW5nIiFhaXJlIGFjb25kaWNpb25hZG8gMjQwMDAgYnR1IDIyMHYyBRAAGIAEMgUQABiABEj1DFDQBFj9CXABeAGQAQCYAZoEoAG9CaoBCzAuMS4xLjEuMC4xuAEDyAEA-AEBmAICoAKRAcICChAAGEcY1gQYsAOYAwCIBgGQBgiSBwMxLjGgB9QFsgcDMC4xuAeKAcIHAzktMsgH8ZkTgAgB&amp;sclient=gws-wiz-modeless-shopping" TargetMode="External"/><Relationship Id="rId2" Type="http://schemas.openxmlformats.org/officeDocument/2006/relationships/hyperlink" Target="https://www.homecenter.com.co/homecenter-co/product/374300" TargetMode="External"/><Relationship Id="rId16" Type="http://schemas.openxmlformats.org/officeDocument/2006/relationships/hyperlink" Target="https://www.google.com/search?q=aire+acondicionado+18000+btu+110v&amp;sca_esv=09e795cc6b8f4569&amp;rlz=1C1CHBD_esCO965CO965&amp;udm=28&amp;sxsrf=ANbL-n602WvKYWEFY7dLixH00QumgMvJjQ%3A1776286432434&amp;ei=4PrfacuZGriKwbkPuJGTqAY&amp;biw=1920&amp;bih=919&amp;oq=aire+acondicionado++btu+110v&amp;gs_lp=Ehlnd3Mtd2l6LW1vZGVsZXNzLXNob3BwaW5nIhxhaXJlIGFjb25kaWNpb25hZG8gIGJ0dSAxMTB2KgIIAjIGEAAYBxgeMgYQABgHGB4yBhAAGAcYHjIGEAAYBxgeMgYQABgHGB4yBhAAGAcYHjIGEAAYBxgeMgYQABgHGB4yBhAAGAcYHjIGEAAYBxgeSLQVUNsFWNsFcAF4AZABAJgBeaABeaoBAzAuMbgBAcgBAPgBAZgCAqACjwHCAgoQABhHGNYEGLADmAMAiAYBkAYIkgcDMS4xoAfuBrIHAzAuMbgHiQHCBwM5LTLIB63dAoAIAQ&amp;sclient=gws-wiz-modeless-shopping" TargetMode="External"/><Relationship Id="rId1" Type="http://schemas.openxmlformats.org/officeDocument/2006/relationships/hyperlink" Target="https://interelectricas.com.co/tuberia-metalica-y-pvc/2183-tubo-metalico-emt-de-3-4-pulgadas-x-3-mts.html" TargetMode="External"/><Relationship Id="rId6" Type="http://schemas.openxmlformats.org/officeDocument/2006/relationships/hyperlink" Target="https://www.google.com/search?q=Caja+RADWELL+Fundicion+Aluminio+2400+con+salida+1+Pulgada+5+Huecos+TGB1005X&amp;sca_esv=76a18ee69d7f7d9a&amp;rlz=1C1CHBD_esCO965CO965&amp;biw=1920&amp;bih=919&amp;udm=28&amp;sxsrf=ANbL-n7yITPCcmx-qc1nwBdHxCO0dZoVUA%3A1773224425688&amp;ei=6UGxaeHiKbaawbkPysyrkQY&amp;ved=0ahUKEwih-__fz5eTAxU2TTABHUrmKmIQ4dUDCCQ&amp;uact=5&amp;oq=Caja+RADWELL+Fundicion+Aluminio+2400+con+salida+1+Pulgada+5" TargetMode="External"/><Relationship Id="rId11" Type="http://schemas.openxmlformats.org/officeDocument/2006/relationships/hyperlink" Target="https://www.google.com/search?q=Grapa+Tuber%C3%ADa+Cal.+20+EMT+Doble+Galvanizada+3%2F4%22&amp;sca_esv=bb692e0fdf80bd80&amp;rlz=1C1CHBD_esCO965CO965&amp;biw=2400&amp;bih=1148&amp;udm=28&amp;sxsrf=ANbL-n4lxuNhwruZDxCzavP8vKm3H5-qIw%3A1773252349199&amp;ei=_a6xaafqC4mQwbkP0ZGKwAQ&amp;ved=0ahUKEwjn3Pvit5iTAxUJSDABHdGIAkgQ4dUDCCQ&amp;uact=5&amp;oq=Grapa+Tuber%C3%ADa+Cal.+20+EMT+Doble+Galvanizada+3%2F4%22&amp;gs_lp=Ehlnd3Mtd2l6LW1vZGVsZXNzLXNob3BwaW5nIjFHcmFwYSBUdWJlcsOtYSBDYWwuIDIwIEVNVCBEb2JsZSBHYWx2YW5pemFkYSAzLzQiSJUMUABYAHAAeAGQAQCYAZYBoAGWAaoBAzAuMbgBA8gBAPgBAvgBAZgCAKACAJgDAJIHAKAHLbIHALgHAMIHAMgHAIAIAA&amp;sclient=gws-wiz-modeless-shopping" TargetMode="External"/><Relationship Id="rId5" Type="http://schemas.openxmlformats.org/officeDocument/2006/relationships/hyperlink" Target="https://www.google.com/search?q=Cable+Aislado+%23+12+7+Hilos+Negro+X+100+Mts+color+blanco&amp;sca_esv=76a18ee69d7f7d9a&amp;rlz=1C1CHBD_esCO965CO965&amp;biw=1920&amp;bih=919&amp;udm=28&amp;sxsrf=ANbL-n4SH7NtKCkJM-t3Epqy9yBqwnOSRw%3A1773225141296&amp;ei=tUSxafLsEb2GwbkPi8XkqAQ&amp;ved=0ahUKEwiym5210peTAxU9QzABHYsiGUUQ4dUDCCQ&amp;uact=5&amp;oq=Cable+Aislado+%23+12+7+Hilos+Negro+X+100" TargetMode="External"/><Relationship Id="rId15" Type="http://schemas.openxmlformats.org/officeDocument/2006/relationships/hyperlink" Target="https://interelectricas.com.co/tuberia-metalica-y-pvc/2183-tubo-metalico-emt-de-3-4-pulgadas-x-3-mts.html" TargetMode="External"/><Relationship Id="rId10" Type="http://schemas.openxmlformats.org/officeDocument/2006/relationships/hyperlink" Target="https://www.google.com/search?q=Terminal-Conector+EMT+de+3-4+Pulgadas+Acero+C-H&amp;sca_esv=bb692e0fdf80bd80&amp;rlz=1C1CHBD_esCO965CO965&amp;biw=2400&amp;bih=1148&amp;udm=28&amp;sxsrf=ANbL-n61vxS8bqAU67YvtWI-7Xd8z9fIRQ%3A1773252253549&amp;ei=na6xabChIbqCwbkP0p_JkQs&amp;ved=0ahUKEwjw4621t5iTAxU6QTABHdJPMrIQ4dUDCCQ&amp;uact=5&amp;oq=Terminal-Conector+EMT+de+3-4+Pulgadas+Acero+C-H&amp;gs_lp=Ehlnd3Mtd2l6LW1vZGVsZXNzLXNob3BwaW5nIi9UZXJtaW5hbC1Db25lY3RvciBFTVQgZGUgMy00IFB1bGdhZGFzIEFjZXJvIEMtSEjpBVAAWABwAHgBkAEAmAGUAaABlAGqAQMwLjG4AQPIAQD4AQL4AQGYAgCgAgCYAwCSBwCgBy2yBwC4BwDCBwDIBwCACAA&amp;sclient=gws-wiz-modeless-shopping" TargetMode="External"/><Relationship Id="rId19" Type="http://schemas.openxmlformats.org/officeDocument/2006/relationships/drawing" Target="../drawings/drawing2.xml"/><Relationship Id="rId4" Type="http://schemas.openxmlformats.org/officeDocument/2006/relationships/hyperlink" Target="https://www.google.com/search?sca_esv=55e9f3c856495c1e&amp;rlz=1C1CHBD_esCO965CO965&amp;sxsrf=ANbL-n5wEFGUrXUWdVvXcuVQ2IUFf7tMrg:1776283611422&amp;udm=28&amp;fbs=ADc_l-bpk8W4E-qsVlOvbGJcDwpn60DczFdcvPnuv8WQohHLTcTH442KskDyC74HpRHrYUo8DVh0t739Lf9lSmmVxEUO1C2ltbN4C6Q9LHD8THkgoerCV6C3-v3mXqfV2rMHFfFJ-QF2I9M3LO-QOpj3OEYFUgRKLyPyZv1KzHYc7I6cavBWamNzmSUZ0NEVxB9QxBELckizIYJPA-pihQNd-CQEV21h4pi7Id2pBZN33gXdE5u5goM&amp;q=CABLE+ENCAUCHETADO+DE+3X8+AWG&amp;ved=1t:220175&amp;ictx=111&amp;biw=1920&amp;bih=919&amp;dpr=1" TargetMode="External"/><Relationship Id="rId9" Type="http://schemas.openxmlformats.org/officeDocument/2006/relationships/hyperlink" Target="https://www.google.com/search?sca_esv=bb692e0fdf80bd80&amp;rlz=1C1CHBD_esCO965CO965&amp;sxsrf=ANbL-n6E6Ln_QADV8mYCdGqN0pVbQIYmjw:1773252250705&amp;udm=28&amp;fbs=ADc_l-bpk8W4E-qsVlOvbGJcDwpn60DczFdcvPnuv8WQohHLTcTH442KskDyC74HpRHrYUquKPmtPp4IEQPDuCAuszg_f6lrMfx1yzeTgwnfyamc0IC-bBJqJ4JzBROsH8fbxyTwPRmsuyxtLkJwKUi0vdh_MrPZ0WOXG0ZrPkJcSaDkTFwWlN9x7F71IslzL2chTfxN91ZwMEHEFzl7SE1wGE7Uoe6_6AEYzz183H45J_R_xTrs5DU&amp;q=Union+EMT+Acero+C-H+3-4+Pulgadas&amp;ved=1t:220175&amp;ictx=111&amp;biw=2400&amp;bih=1148&amp;dpr=0.8" TargetMode="External"/><Relationship Id="rId14" Type="http://schemas.openxmlformats.org/officeDocument/2006/relationships/hyperlink" Target="https://interelectricas.com.co/tuberia-metalica-y-pvc/2183-tubo-metalico-emt-de-3-4-pulgadas-x-3-mts.html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s://www.assvirt.co/MCO-2177941246-ups-on-line-3000va2700w-doble-conversion-entrada-120varack-_JM?variation=1797752624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59725-B18E-40DF-A791-76F5CF3DD416}">
  <dimension ref="C2:K36"/>
  <sheetViews>
    <sheetView showGridLines="0" topLeftCell="B1" zoomScaleNormal="100" workbookViewId="0">
      <selection activeCell="N32" sqref="N32"/>
    </sheetView>
  </sheetViews>
  <sheetFormatPr baseColWidth="10" defaultRowHeight="15" x14ac:dyDescent="0.25"/>
  <cols>
    <col min="1" max="1" width="16.140625" customWidth="1"/>
    <col min="4" max="4" width="76.5703125" customWidth="1"/>
    <col min="7" max="8" width="13" bestFit="1" customWidth="1"/>
    <col min="9" max="9" width="17.5703125" customWidth="1"/>
  </cols>
  <sheetData>
    <row r="2" spans="3:9" ht="30" x14ac:dyDescent="0.25">
      <c r="C2" s="1"/>
      <c r="D2" s="2" t="s">
        <v>0</v>
      </c>
      <c r="E2" s="3" t="s">
        <v>1</v>
      </c>
      <c r="F2" s="4"/>
      <c r="G2" s="5"/>
      <c r="H2" s="5"/>
      <c r="I2" s="6">
        <v>484291.20186206891</v>
      </c>
    </row>
    <row r="3" spans="3:9" x14ac:dyDescent="0.25">
      <c r="C3" s="1"/>
      <c r="D3" s="7" t="s">
        <v>2</v>
      </c>
      <c r="E3" s="8" t="s">
        <v>3</v>
      </c>
      <c r="F3" s="9">
        <v>20</v>
      </c>
      <c r="G3" s="10">
        <v>1849</v>
      </c>
      <c r="H3" s="10">
        <v>36980.32</v>
      </c>
      <c r="I3" s="11"/>
    </row>
    <row r="4" spans="3:9" x14ac:dyDescent="0.25">
      <c r="C4" s="1"/>
      <c r="D4" s="7" t="s">
        <v>4</v>
      </c>
      <c r="E4" s="8" t="s">
        <v>3</v>
      </c>
      <c r="F4" s="9">
        <v>20</v>
      </c>
      <c r="G4" s="10">
        <v>1349.0000000000002</v>
      </c>
      <c r="H4" s="10">
        <v>26980.320000000003</v>
      </c>
      <c r="I4" s="11"/>
    </row>
    <row r="5" spans="3:9" x14ac:dyDescent="0.25">
      <c r="C5" s="1"/>
      <c r="D5" s="7" t="s">
        <v>5</v>
      </c>
      <c r="E5" s="8" t="s">
        <v>1</v>
      </c>
      <c r="F5" s="9">
        <v>1</v>
      </c>
      <c r="G5" s="10">
        <v>32755.94</v>
      </c>
      <c r="H5" s="10">
        <v>32756.26</v>
      </c>
      <c r="I5" s="11"/>
    </row>
    <row r="6" spans="3:9" x14ac:dyDescent="0.25">
      <c r="C6" s="1"/>
      <c r="D6" s="7" t="s">
        <v>6</v>
      </c>
      <c r="E6" s="8" t="s">
        <v>1</v>
      </c>
      <c r="F6" s="9">
        <v>1</v>
      </c>
      <c r="G6" s="10">
        <v>150000</v>
      </c>
      <c r="H6" s="10">
        <v>150000.32000000001</v>
      </c>
      <c r="I6" s="11"/>
    </row>
    <row r="7" spans="3:9" x14ac:dyDescent="0.25">
      <c r="C7" s="1"/>
      <c r="D7" s="7" t="s">
        <v>7</v>
      </c>
      <c r="E7" s="8" t="s">
        <v>1</v>
      </c>
      <c r="F7" s="9">
        <v>6</v>
      </c>
      <c r="G7" s="10">
        <v>10591</v>
      </c>
      <c r="H7" s="10">
        <v>63546.32</v>
      </c>
      <c r="I7" s="11"/>
    </row>
    <row r="8" spans="3:9" x14ac:dyDescent="0.25">
      <c r="C8" s="1"/>
      <c r="D8" s="7" t="s">
        <v>8</v>
      </c>
      <c r="E8" s="8" t="s">
        <v>1</v>
      </c>
      <c r="F8" s="9">
        <v>6</v>
      </c>
      <c r="G8" s="10">
        <v>377.00431034482699</v>
      </c>
      <c r="H8" s="10">
        <v>2262.3458620689621</v>
      </c>
      <c r="I8" s="11"/>
    </row>
    <row r="9" spans="3:9" x14ac:dyDescent="0.25">
      <c r="C9" s="1"/>
      <c r="D9" s="12" t="s">
        <v>9</v>
      </c>
      <c r="E9" s="13" t="s">
        <v>10</v>
      </c>
      <c r="F9" s="14">
        <v>3</v>
      </c>
      <c r="G9" s="15">
        <v>57255</v>
      </c>
      <c r="H9" s="15">
        <v>171765.32</v>
      </c>
      <c r="I9" s="16"/>
    </row>
    <row r="10" spans="3:9" ht="15.75" thickBot="1" x14ac:dyDescent="0.3"/>
    <row r="11" spans="3:9" ht="60" x14ac:dyDescent="0.25">
      <c r="C11" t="s">
        <v>24</v>
      </c>
      <c r="D11" s="17" t="s">
        <v>21</v>
      </c>
      <c r="E11" s="18" t="s">
        <v>1</v>
      </c>
      <c r="F11" s="19">
        <v>1</v>
      </c>
      <c r="G11" s="20"/>
      <c r="H11" s="20"/>
      <c r="I11" s="21">
        <f>SUM(H12:H20)</f>
        <v>883760.03012500005</v>
      </c>
    </row>
    <row r="12" spans="3:9" x14ac:dyDescent="0.25">
      <c r="D12" s="22" t="s">
        <v>13</v>
      </c>
      <c r="E12" s="23" t="s">
        <v>14</v>
      </c>
      <c r="F12" s="24">
        <v>25</v>
      </c>
      <c r="G12" s="25">
        <v>16000</v>
      </c>
      <c r="H12" s="25">
        <f>+G12*F12</f>
        <v>400000</v>
      </c>
      <c r="I12" s="34">
        <f>+H12/$I$11</f>
        <v>0.45261155332338748</v>
      </c>
    </row>
    <row r="13" spans="3:9" x14ac:dyDescent="0.25">
      <c r="D13" s="22" t="s">
        <v>15</v>
      </c>
      <c r="E13" s="23" t="s">
        <v>3</v>
      </c>
      <c r="F13" s="24">
        <f>15*2</f>
        <v>30</v>
      </c>
      <c r="G13" s="25">
        <v>4100</v>
      </c>
      <c r="H13" s="25">
        <f t="shared" ref="H13:H18" si="0">+G13*F13</f>
        <v>123000</v>
      </c>
      <c r="I13" s="34">
        <f t="shared" ref="I13:I19" si="1">+H13/$I$11</f>
        <v>0.13917805264694166</v>
      </c>
    </row>
    <row r="14" spans="3:9" x14ac:dyDescent="0.25">
      <c r="D14" s="22" t="s">
        <v>16</v>
      </c>
      <c r="E14" s="23" t="s">
        <v>1</v>
      </c>
      <c r="F14" s="24">
        <v>1</v>
      </c>
      <c r="G14" s="25">
        <v>20000</v>
      </c>
      <c r="H14" s="25">
        <f t="shared" si="0"/>
        <v>20000</v>
      </c>
      <c r="I14" s="34">
        <f t="shared" si="1"/>
        <v>2.2630577666169376E-2</v>
      </c>
    </row>
    <row r="15" spans="3:9" x14ac:dyDescent="0.25">
      <c r="D15" s="22" t="s">
        <v>17</v>
      </c>
      <c r="E15" s="23" t="s">
        <v>1</v>
      </c>
      <c r="F15" s="24">
        <v>1</v>
      </c>
      <c r="G15" s="25">
        <v>35000</v>
      </c>
      <c r="H15" s="25">
        <f t="shared" si="0"/>
        <v>35000</v>
      </c>
      <c r="I15" s="34">
        <f t="shared" si="1"/>
        <v>3.9603510915796405E-2</v>
      </c>
    </row>
    <row r="16" spans="3:9" ht="30" x14ac:dyDescent="0.25">
      <c r="D16" s="26" t="s">
        <v>18</v>
      </c>
      <c r="E16" s="23" t="s">
        <v>1</v>
      </c>
      <c r="F16" s="24">
        <v>1</v>
      </c>
      <c r="G16" s="25">
        <v>30000</v>
      </c>
      <c r="H16" s="25">
        <f t="shared" si="0"/>
        <v>30000</v>
      </c>
      <c r="I16" s="34">
        <f t="shared" si="1"/>
        <v>3.394586649925406E-2</v>
      </c>
    </row>
    <row r="17" spans="3:11" ht="30" x14ac:dyDescent="0.25">
      <c r="D17" s="26" t="s">
        <v>19</v>
      </c>
      <c r="E17" s="23" t="s">
        <v>1</v>
      </c>
      <c r="F17" s="24">
        <v>5</v>
      </c>
      <c r="G17" s="25">
        <v>7700</v>
      </c>
      <c r="H17" s="25">
        <f t="shared" si="0"/>
        <v>38500</v>
      </c>
      <c r="I17" s="34">
        <f t="shared" si="1"/>
        <v>4.3563862007376046E-2</v>
      </c>
    </row>
    <row r="18" spans="3:11" x14ac:dyDescent="0.25">
      <c r="D18" s="26" t="s">
        <v>20</v>
      </c>
      <c r="E18" s="27" t="s">
        <v>1</v>
      </c>
      <c r="F18" s="24">
        <v>1</v>
      </c>
      <c r="G18" s="25">
        <v>25000</v>
      </c>
      <c r="H18" s="25">
        <f t="shared" si="0"/>
        <v>25000</v>
      </c>
      <c r="I18" s="34">
        <f t="shared" si="1"/>
        <v>2.8288222082711718E-2</v>
      </c>
    </row>
    <row r="19" spans="3:11" x14ac:dyDescent="0.25">
      <c r="D19" s="22" t="s">
        <v>9</v>
      </c>
      <c r="E19" s="23" t="s">
        <v>10</v>
      </c>
      <c r="F19" s="24">
        <v>3.05</v>
      </c>
      <c r="G19" s="25">
        <f>(57255*10.5%)+57255</f>
        <v>63266.775000000001</v>
      </c>
      <c r="H19" s="25">
        <f>+G19*F19</f>
        <v>192963.66375000001</v>
      </c>
      <c r="I19" s="34">
        <f t="shared" si="1"/>
        <v>0.21834395896214837</v>
      </c>
    </row>
    <row r="20" spans="3:11" ht="15.75" thickBot="1" x14ac:dyDescent="0.3">
      <c r="D20" s="28" t="s">
        <v>11</v>
      </c>
      <c r="E20" s="29" t="s">
        <v>12</v>
      </c>
      <c r="F20" s="30">
        <v>0.1</v>
      </c>
      <c r="G20" s="31">
        <f>+H19</f>
        <v>192963.66375000001</v>
      </c>
      <c r="H20" s="31">
        <f>+G20*F20</f>
        <v>19296.366375000001</v>
      </c>
      <c r="I20" s="35">
        <f>+H20/$I$11</f>
        <v>2.1834395896214838E-2</v>
      </c>
    </row>
    <row r="22" spans="3:11" ht="15.75" thickBot="1" x14ac:dyDescent="0.3"/>
    <row r="23" spans="3:11" ht="60" x14ac:dyDescent="0.25">
      <c r="C23" s="36" t="s">
        <v>25</v>
      </c>
      <c r="D23" s="17" t="s">
        <v>23</v>
      </c>
      <c r="E23" s="18" t="s">
        <v>1</v>
      </c>
      <c r="F23" s="19">
        <v>1</v>
      </c>
      <c r="G23" s="20"/>
      <c r="H23" s="20"/>
      <c r="I23" s="33">
        <f>SUM(H24:H35)</f>
        <v>1652467.2625</v>
      </c>
    </row>
    <row r="24" spans="3:11" x14ac:dyDescent="0.25">
      <c r="D24" s="22" t="s">
        <v>22</v>
      </c>
      <c r="E24" s="23" t="s">
        <v>14</v>
      </c>
      <c r="F24" s="24">
        <v>30</v>
      </c>
      <c r="G24" s="25">
        <v>26000</v>
      </c>
      <c r="H24" s="25">
        <f>+G24*F24</f>
        <v>780000</v>
      </c>
      <c r="I24" s="34">
        <f>+H24/$I$23</f>
        <v>0.47202145404075746</v>
      </c>
    </row>
    <row r="25" spans="3:11" x14ac:dyDescent="0.25">
      <c r="D25" s="22" t="s">
        <v>15</v>
      </c>
      <c r="E25" s="23" t="s">
        <v>3</v>
      </c>
      <c r="F25" s="24">
        <f>15*3</f>
        <v>45</v>
      </c>
      <c r="G25" s="25">
        <v>4100</v>
      </c>
      <c r="H25" s="25">
        <f t="shared" ref="H25:H33" si="2">+G25*F25</f>
        <v>184500</v>
      </c>
      <c r="I25" s="34">
        <f t="shared" ref="I25:I35" si="3">+H25/$I$23</f>
        <v>0.11165122855194839</v>
      </c>
    </row>
    <row r="26" spans="3:11" x14ac:dyDescent="0.25">
      <c r="D26" s="22" t="s">
        <v>28</v>
      </c>
      <c r="E26" s="23" t="s">
        <v>27</v>
      </c>
      <c r="F26" s="24">
        <v>1</v>
      </c>
      <c r="G26" s="25">
        <v>60000</v>
      </c>
      <c r="H26" s="25">
        <f t="shared" si="2"/>
        <v>60000</v>
      </c>
      <c r="I26" s="34">
        <f t="shared" si="3"/>
        <v>3.6309342618519806E-2</v>
      </c>
      <c r="K26">
        <f>175/50</f>
        <v>3.5</v>
      </c>
    </row>
    <row r="27" spans="3:11" ht="30" x14ac:dyDescent="0.25">
      <c r="D27" s="26" t="s">
        <v>29</v>
      </c>
      <c r="E27" s="23" t="s">
        <v>27</v>
      </c>
      <c r="F27" s="24">
        <v>1</v>
      </c>
      <c r="G27" s="25">
        <v>71500</v>
      </c>
      <c r="H27" s="25">
        <f t="shared" si="2"/>
        <v>71500</v>
      </c>
      <c r="I27" s="34">
        <f t="shared" si="3"/>
        <v>4.3268633287069432E-2</v>
      </c>
    </row>
    <row r="28" spans="3:11" x14ac:dyDescent="0.25">
      <c r="D28" s="22" t="s">
        <v>26</v>
      </c>
      <c r="E28" s="23" t="s">
        <v>1</v>
      </c>
      <c r="F28" s="24">
        <v>2</v>
      </c>
      <c r="G28" s="25">
        <v>20000</v>
      </c>
      <c r="H28" s="25">
        <f t="shared" si="2"/>
        <v>40000</v>
      </c>
      <c r="I28" s="34">
        <f t="shared" si="3"/>
        <v>2.4206228412346535E-2</v>
      </c>
    </row>
    <row r="29" spans="3:11" x14ac:dyDescent="0.25">
      <c r="D29" s="22" t="s">
        <v>16</v>
      </c>
      <c r="E29" s="23" t="s">
        <v>1</v>
      </c>
      <c r="F29" s="24">
        <v>2</v>
      </c>
      <c r="G29" s="25">
        <v>20000</v>
      </c>
      <c r="H29" s="25">
        <f t="shared" si="2"/>
        <v>40000</v>
      </c>
      <c r="I29" s="34">
        <f t="shared" si="3"/>
        <v>2.4206228412346535E-2</v>
      </c>
    </row>
    <row r="30" spans="3:11" x14ac:dyDescent="0.25">
      <c r="D30" s="22" t="s">
        <v>17</v>
      </c>
      <c r="E30" s="23" t="s">
        <v>1</v>
      </c>
      <c r="F30" s="24">
        <v>1</v>
      </c>
      <c r="G30" s="25">
        <v>35000</v>
      </c>
      <c r="H30" s="25">
        <f t="shared" si="2"/>
        <v>35000</v>
      </c>
      <c r="I30" s="34">
        <f t="shared" si="3"/>
        <v>2.1180449860803217E-2</v>
      </c>
    </row>
    <row r="31" spans="3:11" ht="30" x14ac:dyDescent="0.25">
      <c r="D31" s="26" t="s">
        <v>18</v>
      </c>
      <c r="E31" s="23" t="s">
        <v>1</v>
      </c>
      <c r="F31" s="24">
        <v>1</v>
      </c>
      <c r="G31" s="25">
        <v>30000</v>
      </c>
      <c r="H31" s="25">
        <f t="shared" si="2"/>
        <v>30000</v>
      </c>
      <c r="I31" s="34">
        <f t="shared" si="3"/>
        <v>1.8154671309259903E-2</v>
      </c>
    </row>
    <row r="32" spans="3:11" ht="30" x14ac:dyDescent="0.25">
      <c r="D32" s="26" t="s">
        <v>19</v>
      </c>
      <c r="E32" s="23" t="s">
        <v>1</v>
      </c>
      <c r="F32" s="24">
        <v>5</v>
      </c>
      <c r="G32" s="25">
        <v>7700</v>
      </c>
      <c r="H32" s="25">
        <f t="shared" si="2"/>
        <v>38500</v>
      </c>
      <c r="I32" s="34">
        <f t="shared" si="3"/>
        <v>2.3298494846883542E-2</v>
      </c>
    </row>
    <row r="33" spans="4:9" x14ac:dyDescent="0.25">
      <c r="D33" s="26" t="s">
        <v>20</v>
      </c>
      <c r="E33" s="27" t="s">
        <v>1</v>
      </c>
      <c r="F33" s="24">
        <v>1</v>
      </c>
      <c r="G33" s="25">
        <v>25000</v>
      </c>
      <c r="H33" s="25">
        <f t="shared" si="2"/>
        <v>25000</v>
      </c>
      <c r="I33" s="34">
        <f t="shared" si="3"/>
        <v>1.5128892757716585E-2</v>
      </c>
    </row>
    <row r="34" spans="4:9" x14ac:dyDescent="0.25">
      <c r="D34" s="22" t="s">
        <v>9</v>
      </c>
      <c r="E34" s="23" t="s">
        <v>10</v>
      </c>
      <c r="F34" s="24">
        <v>5</v>
      </c>
      <c r="G34" s="25">
        <f>(57255*10.5%)+57255</f>
        <v>63266.775000000001</v>
      </c>
      <c r="H34" s="25">
        <f>+G34*F34</f>
        <v>316333.875</v>
      </c>
      <c r="I34" s="34">
        <f t="shared" si="3"/>
        <v>0.19143125082031695</v>
      </c>
    </row>
    <row r="35" spans="4:9" ht="15.75" thickBot="1" x14ac:dyDescent="0.3">
      <c r="D35" s="28" t="s">
        <v>11</v>
      </c>
      <c r="E35" s="29" t="s">
        <v>12</v>
      </c>
      <c r="F35" s="30">
        <v>0.1</v>
      </c>
      <c r="G35" s="31">
        <f>+H34</f>
        <v>316333.875</v>
      </c>
      <c r="H35" s="31">
        <f>+G35*F35</f>
        <v>31633.387500000001</v>
      </c>
      <c r="I35" s="35">
        <f t="shared" si="3"/>
        <v>1.9143125082031694E-2</v>
      </c>
    </row>
    <row r="36" spans="4:9" x14ac:dyDescent="0.25">
      <c r="I36" s="32"/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481D7-905E-4FF2-B11F-29787540363F}">
  <dimension ref="C3:I17"/>
  <sheetViews>
    <sheetView showGridLines="0" tabSelected="1" zoomScale="115" zoomScaleNormal="115" workbookViewId="0">
      <selection activeCell="C3" sqref="C3:E3"/>
    </sheetView>
  </sheetViews>
  <sheetFormatPr baseColWidth="10" defaultRowHeight="15" x14ac:dyDescent="0.25"/>
  <cols>
    <col min="3" max="3" width="17.42578125" customWidth="1"/>
    <col min="4" max="4" width="17.28515625" customWidth="1"/>
    <col min="5" max="5" width="15.7109375" customWidth="1"/>
    <col min="6" max="6" width="20.28515625" customWidth="1"/>
    <col min="7" max="7" width="28.7109375" customWidth="1"/>
    <col min="8" max="8" width="15.5703125" bestFit="1" customWidth="1"/>
    <col min="9" max="9" width="14.5703125" bestFit="1" customWidth="1"/>
  </cols>
  <sheetData>
    <row r="3" spans="3:9" ht="123.75" customHeight="1" x14ac:dyDescent="0.25">
      <c r="C3" s="344" t="s">
        <v>85</v>
      </c>
      <c r="D3" s="345"/>
      <c r="E3" s="345"/>
      <c r="F3" s="346" t="s">
        <v>446</v>
      </c>
      <c r="G3" s="347"/>
    </row>
    <row r="4" spans="3:9" ht="18.75" hidden="1" x14ac:dyDescent="0.25">
      <c r="C4" s="348" t="s">
        <v>144</v>
      </c>
      <c r="D4" s="349"/>
      <c r="E4" s="350"/>
      <c r="F4" s="351">
        <v>0</v>
      </c>
      <c r="G4" s="352"/>
      <c r="I4" s="83"/>
    </row>
    <row r="5" spans="3:9" ht="35.25" customHeight="1" x14ac:dyDescent="0.25">
      <c r="C5" s="357" t="s">
        <v>247</v>
      </c>
      <c r="D5" s="357"/>
      <c r="E5" s="357"/>
      <c r="F5" s="351">
        <f>+'PRESUPUESTO + APU + MERCADO'!H51</f>
        <v>10144846.1555</v>
      </c>
      <c r="G5" s="352"/>
      <c r="I5" s="83"/>
    </row>
    <row r="6" spans="3:9" ht="18.75" x14ac:dyDescent="0.25">
      <c r="C6" s="358" t="s">
        <v>163</v>
      </c>
      <c r="D6" s="358"/>
      <c r="E6" s="358"/>
      <c r="F6" s="359">
        <f>+F5+F4</f>
        <v>10144846.1555</v>
      </c>
      <c r="G6" s="360"/>
      <c r="H6" s="83"/>
      <c r="I6" s="83"/>
    </row>
    <row r="7" spans="3:9" ht="18.75" x14ac:dyDescent="0.3">
      <c r="C7" s="163">
        <f>+'Analisis aiu%'!K52</f>
        <v>0.14404026117787019</v>
      </c>
      <c r="D7" s="353" t="s">
        <v>86</v>
      </c>
      <c r="E7" s="354"/>
      <c r="F7" s="355">
        <f>+C7*$F$6</f>
        <v>1461266.2898475323</v>
      </c>
      <c r="G7" s="356"/>
    </row>
    <row r="8" spans="3:9" ht="18.75" x14ac:dyDescent="0.3">
      <c r="C8" s="90">
        <f>+'CHEQUEO APU'!J29</f>
        <v>0.05</v>
      </c>
      <c r="D8" s="353" t="s">
        <v>73</v>
      </c>
      <c r="E8" s="353"/>
      <c r="F8" s="355">
        <f>+C8*$F$6</f>
        <v>507242.30777500005</v>
      </c>
      <c r="G8" s="356"/>
    </row>
    <row r="9" spans="3:9" ht="18.75" x14ac:dyDescent="0.3">
      <c r="C9" s="90">
        <v>0</v>
      </c>
      <c r="D9" s="353" t="s">
        <v>72</v>
      </c>
      <c r="E9" s="353"/>
      <c r="F9" s="355">
        <f>+C9*$F$4</f>
        <v>0</v>
      </c>
      <c r="G9" s="356"/>
    </row>
    <row r="10" spans="3:9" ht="18.75" x14ac:dyDescent="0.25">
      <c r="C10" s="163">
        <f>+F10/F6</f>
        <v>7.5524818703266411E-2</v>
      </c>
      <c r="D10" s="367" t="s">
        <v>445</v>
      </c>
      <c r="E10" s="368"/>
      <c r="F10" s="365">
        <f>+'PRESUPUESTO + APU + MERCADO'!B72+'PRESUPUESTO + APU + MERCADO'!B73</f>
        <v>766187.66666666674</v>
      </c>
      <c r="G10" s="366"/>
    </row>
    <row r="11" spans="3:9" ht="18.75" x14ac:dyDescent="0.25">
      <c r="C11" s="90">
        <v>0.19</v>
      </c>
      <c r="D11" s="277" t="s">
        <v>87</v>
      </c>
      <c r="E11" s="277"/>
      <c r="F11" s="362">
        <f>+F8*C11</f>
        <v>96376.038477250011</v>
      </c>
      <c r="G11" s="362"/>
    </row>
    <row r="12" spans="3:9" ht="18.75" x14ac:dyDescent="0.25">
      <c r="C12" s="162">
        <f>+C7+C8+(C11*C8)+C10+C9</f>
        <v>0.2790650798811366</v>
      </c>
      <c r="D12" s="363" t="s">
        <v>88</v>
      </c>
      <c r="E12" s="363"/>
      <c r="F12" s="364">
        <f>+F11+F10+F7+F8</f>
        <v>2831072.3027664493</v>
      </c>
      <c r="G12" s="364"/>
      <c r="H12" s="338"/>
      <c r="I12" s="84"/>
    </row>
    <row r="13" spans="3:9" ht="51" customHeight="1" x14ac:dyDescent="0.25">
      <c r="C13" s="357" t="s">
        <v>89</v>
      </c>
      <c r="D13" s="357"/>
      <c r="E13" s="357"/>
      <c r="F13" s="361">
        <f>+F12+F6</f>
        <v>12975918.45826645</v>
      </c>
      <c r="G13" s="361"/>
      <c r="H13" s="161"/>
      <c r="I13" s="83"/>
    </row>
    <row r="15" spans="3:9" x14ac:dyDescent="0.25">
      <c r="D15" s="343"/>
      <c r="E15" s="343"/>
      <c r="F15" s="341"/>
      <c r="G15" s="342"/>
      <c r="H15" s="161"/>
    </row>
    <row r="16" spans="3:9" x14ac:dyDescent="0.25">
      <c r="D16" s="343"/>
      <c r="E16" s="343"/>
      <c r="F16" s="341"/>
      <c r="G16" s="342"/>
    </row>
    <row r="17" spans="4:7" x14ac:dyDescent="0.25">
      <c r="D17" s="91"/>
      <c r="F17" s="341"/>
      <c r="G17" s="342"/>
    </row>
  </sheetData>
  <mergeCells count="26">
    <mergeCell ref="C13:E13"/>
    <mergeCell ref="F13:G13"/>
    <mergeCell ref="D8:E8"/>
    <mergeCell ref="F8:G8"/>
    <mergeCell ref="D9:E9"/>
    <mergeCell ref="F9:G9"/>
    <mergeCell ref="F11:G11"/>
    <mergeCell ref="D12:E12"/>
    <mergeCell ref="F12:G12"/>
    <mergeCell ref="F10:G10"/>
    <mergeCell ref="D10:E10"/>
    <mergeCell ref="C3:E3"/>
    <mergeCell ref="F3:G3"/>
    <mergeCell ref="C4:E4"/>
    <mergeCell ref="F4:G4"/>
    <mergeCell ref="D7:E7"/>
    <mergeCell ref="F7:G7"/>
    <mergeCell ref="C5:E5"/>
    <mergeCell ref="F5:G5"/>
    <mergeCell ref="C6:E6"/>
    <mergeCell ref="F6:G6"/>
    <mergeCell ref="F15:G15"/>
    <mergeCell ref="F16:G16"/>
    <mergeCell ref="F17:G17"/>
    <mergeCell ref="D15:E15"/>
    <mergeCell ref="D16:E16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629D7E-5386-467F-8B0D-28F5429DE273}">
  <dimension ref="B1:M68"/>
  <sheetViews>
    <sheetView showGridLines="0" topLeftCell="A7" zoomScale="85" zoomScaleNormal="85" zoomScaleSheetLayoutView="80" workbookViewId="0">
      <selection activeCell="B2" sqref="B2:K57"/>
    </sheetView>
  </sheetViews>
  <sheetFormatPr baseColWidth="10" defaultColWidth="9.140625" defaultRowHeight="15" x14ac:dyDescent="0.25"/>
  <cols>
    <col min="2" max="2" width="11.28515625" customWidth="1"/>
    <col min="3" max="3" width="54.5703125" bestFit="1" customWidth="1"/>
    <col min="4" max="4" width="5.28515625" customWidth="1"/>
    <col min="5" max="5" width="21" customWidth="1"/>
    <col min="6" max="6" width="20" customWidth="1"/>
    <col min="7" max="7" width="19.28515625" customWidth="1"/>
    <col min="8" max="8" width="19.5703125" customWidth="1"/>
    <col min="9" max="9" width="17.42578125" customWidth="1"/>
    <col min="10" max="10" width="12" bestFit="1" customWidth="1"/>
    <col min="11" max="11" width="15.42578125" customWidth="1"/>
    <col min="12" max="12" width="2.85546875" customWidth="1"/>
    <col min="258" max="258" width="11.28515625" customWidth="1"/>
    <col min="259" max="259" width="54.5703125" bestFit="1" customWidth="1"/>
    <col min="260" max="260" width="5.28515625" customWidth="1"/>
    <col min="261" max="261" width="12.28515625" bestFit="1" customWidth="1"/>
    <col min="262" max="262" width="14.42578125" bestFit="1" customWidth="1"/>
    <col min="263" max="263" width="15.140625" bestFit="1" customWidth="1"/>
    <col min="264" max="264" width="0" hidden="1" customWidth="1"/>
    <col min="265" max="265" width="13.5703125" bestFit="1" customWidth="1"/>
    <col min="266" max="266" width="12" bestFit="1" customWidth="1"/>
    <col min="267" max="267" width="15.42578125" customWidth="1"/>
    <col min="268" max="268" width="2.85546875" customWidth="1"/>
    <col min="514" max="514" width="11.28515625" customWidth="1"/>
    <col min="515" max="515" width="54.5703125" bestFit="1" customWidth="1"/>
    <col min="516" max="516" width="5.28515625" customWidth="1"/>
    <col min="517" max="517" width="12.28515625" bestFit="1" customWidth="1"/>
    <col min="518" max="518" width="14.42578125" bestFit="1" customWidth="1"/>
    <col min="519" max="519" width="15.140625" bestFit="1" customWidth="1"/>
    <col min="520" max="520" width="0" hidden="1" customWidth="1"/>
    <col min="521" max="521" width="13.5703125" bestFit="1" customWidth="1"/>
    <col min="522" max="522" width="12" bestFit="1" customWidth="1"/>
    <col min="523" max="523" width="15.42578125" customWidth="1"/>
    <col min="524" max="524" width="2.85546875" customWidth="1"/>
    <col min="770" max="770" width="11.28515625" customWidth="1"/>
    <col min="771" max="771" width="54.5703125" bestFit="1" customWidth="1"/>
    <col min="772" max="772" width="5.28515625" customWidth="1"/>
    <col min="773" max="773" width="12.28515625" bestFit="1" customWidth="1"/>
    <col min="774" max="774" width="14.42578125" bestFit="1" customWidth="1"/>
    <col min="775" max="775" width="15.140625" bestFit="1" customWidth="1"/>
    <col min="776" max="776" width="0" hidden="1" customWidth="1"/>
    <col min="777" max="777" width="13.5703125" bestFit="1" customWidth="1"/>
    <col min="778" max="778" width="12" bestFit="1" customWidth="1"/>
    <col min="779" max="779" width="15.42578125" customWidth="1"/>
    <col min="780" max="780" width="2.85546875" customWidth="1"/>
    <col min="1026" max="1026" width="11.28515625" customWidth="1"/>
    <col min="1027" max="1027" width="54.5703125" bestFit="1" customWidth="1"/>
    <col min="1028" max="1028" width="5.28515625" customWidth="1"/>
    <col min="1029" max="1029" width="12.28515625" bestFit="1" customWidth="1"/>
    <col min="1030" max="1030" width="14.42578125" bestFit="1" customWidth="1"/>
    <col min="1031" max="1031" width="15.140625" bestFit="1" customWidth="1"/>
    <col min="1032" max="1032" width="0" hidden="1" customWidth="1"/>
    <col min="1033" max="1033" width="13.5703125" bestFit="1" customWidth="1"/>
    <col min="1034" max="1034" width="12" bestFit="1" customWidth="1"/>
    <col min="1035" max="1035" width="15.42578125" customWidth="1"/>
    <col min="1036" max="1036" width="2.85546875" customWidth="1"/>
    <col min="1282" max="1282" width="11.28515625" customWidth="1"/>
    <col min="1283" max="1283" width="54.5703125" bestFit="1" customWidth="1"/>
    <col min="1284" max="1284" width="5.28515625" customWidth="1"/>
    <col min="1285" max="1285" width="12.28515625" bestFit="1" customWidth="1"/>
    <col min="1286" max="1286" width="14.42578125" bestFit="1" customWidth="1"/>
    <col min="1287" max="1287" width="15.140625" bestFit="1" customWidth="1"/>
    <col min="1288" max="1288" width="0" hidden="1" customWidth="1"/>
    <col min="1289" max="1289" width="13.5703125" bestFit="1" customWidth="1"/>
    <col min="1290" max="1290" width="12" bestFit="1" customWidth="1"/>
    <col min="1291" max="1291" width="15.42578125" customWidth="1"/>
    <col min="1292" max="1292" width="2.85546875" customWidth="1"/>
    <col min="1538" max="1538" width="11.28515625" customWidth="1"/>
    <col min="1539" max="1539" width="54.5703125" bestFit="1" customWidth="1"/>
    <col min="1540" max="1540" width="5.28515625" customWidth="1"/>
    <col min="1541" max="1541" width="12.28515625" bestFit="1" customWidth="1"/>
    <col min="1542" max="1542" width="14.42578125" bestFit="1" customWidth="1"/>
    <col min="1543" max="1543" width="15.140625" bestFit="1" customWidth="1"/>
    <col min="1544" max="1544" width="0" hidden="1" customWidth="1"/>
    <col min="1545" max="1545" width="13.5703125" bestFit="1" customWidth="1"/>
    <col min="1546" max="1546" width="12" bestFit="1" customWidth="1"/>
    <col min="1547" max="1547" width="15.42578125" customWidth="1"/>
    <col min="1548" max="1548" width="2.85546875" customWidth="1"/>
    <col min="1794" max="1794" width="11.28515625" customWidth="1"/>
    <col min="1795" max="1795" width="54.5703125" bestFit="1" customWidth="1"/>
    <col min="1796" max="1796" width="5.28515625" customWidth="1"/>
    <col min="1797" max="1797" width="12.28515625" bestFit="1" customWidth="1"/>
    <col min="1798" max="1798" width="14.42578125" bestFit="1" customWidth="1"/>
    <col min="1799" max="1799" width="15.140625" bestFit="1" customWidth="1"/>
    <col min="1800" max="1800" width="0" hidden="1" customWidth="1"/>
    <col min="1801" max="1801" width="13.5703125" bestFit="1" customWidth="1"/>
    <col min="1802" max="1802" width="12" bestFit="1" customWidth="1"/>
    <col min="1803" max="1803" width="15.42578125" customWidth="1"/>
    <col min="1804" max="1804" width="2.85546875" customWidth="1"/>
    <col min="2050" max="2050" width="11.28515625" customWidth="1"/>
    <col min="2051" max="2051" width="54.5703125" bestFit="1" customWidth="1"/>
    <col min="2052" max="2052" width="5.28515625" customWidth="1"/>
    <col min="2053" max="2053" width="12.28515625" bestFit="1" customWidth="1"/>
    <col min="2054" max="2054" width="14.42578125" bestFit="1" customWidth="1"/>
    <col min="2055" max="2055" width="15.140625" bestFit="1" customWidth="1"/>
    <col min="2056" max="2056" width="0" hidden="1" customWidth="1"/>
    <col min="2057" max="2057" width="13.5703125" bestFit="1" customWidth="1"/>
    <col min="2058" max="2058" width="12" bestFit="1" customWidth="1"/>
    <col min="2059" max="2059" width="15.42578125" customWidth="1"/>
    <col min="2060" max="2060" width="2.85546875" customWidth="1"/>
    <col min="2306" max="2306" width="11.28515625" customWidth="1"/>
    <col min="2307" max="2307" width="54.5703125" bestFit="1" customWidth="1"/>
    <col min="2308" max="2308" width="5.28515625" customWidth="1"/>
    <col min="2309" max="2309" width="12.28515625" bestFit="1" customWidth="1"/>
    <col min="2310" max="2310" width="14.42578125" bestFit="1" customWidth="1"/>
    <col min="2311" max="2311" width="15.140625" bestFit="1" customWidth="1"/>
    <col min="2312" max="2312" width="0" hidden="1" customWidth="1"/>
    <col min="2313" max="2313" width="13.5703125" bestFit="1" customWidth="1"/>
    <col min="2314" max="2314" width="12" bestFit="1" customWidth="1"/>
    <col min="2315" max="2315" width="15.42578125" customWidth="1"/>
    <col min="2316" max="2316" width="2.85546875" customWidth="1"/>
    <col min="2562" max="2562" width="11.28515625" customWidth="1"/>
    <col min="2563" max="2563" width="54.5703125" bestFit="1" customWidth="1"/>
    <col min="2564" max="2564" width="5.28515625" customWidth="1"/>
    <col min="2565" max="2565" width="12.28515625" bestFit="1" customWidth="1"/>
    <col min="2566" max="2566" width="14.42578125" bestFit="1" customWidth="1"/>
    <col min="2567" max="2567" width="15.140625" bestFit="1" customWidth="1"/>
    <col min="2568" max="2568" width="0" hidden="1" customWidth="1"/>
    <col min="2569" max="2569" width="13.5703125" bestFit="1" customWidth="1"/>
    <col min="2570" max="2570" width="12" bestFit="1" customWidth="1"/>
    <col min="2571" max="2571" width="15.42578125" customWidth="1"/>
    <col min="2572" max="2572" width="2.85546875" customWidth="1"/>
    <col min="2818" max="2818" width="11.28515625" customWidth="1"/>
    <col min="2819" max="2819" width="54.5703125" bestFit="1" customWidth="1"/>
    <col min="2820" max="2820" width="5.28515625" customWidth="1"/>
    <col min="2821" max="2821" width="12.28515625" bestFit="1" customWidth="1"/>
    <col min="2822" max="2822" width="14.42578125" bestFit="1" customWidth="1"/>
    <col min="2823" max="2823" width="15.140625" bestFit="1" customWidth="1"/>
    <col min="2824" max="2824" width="0" hidden="1" customWidth="1"/>
    <col min="2825" max="2825" width="13.5703125" bestFit="1" customWidth="1"/>
    <col min="2826" max="2826" width="12" bestFit="1" customWidth="1"/>
    <col min="2827" max="2827" width="15.42578125" customWidth="1"/>
    <col min="2828" max="2828" width="2.85546875" customWidth="1"/>
    <col min="3074" max="3074" width="11.28515625" customWidth="1"/>
    <col min="3075" max="3075" width="54.5703125" bestFit="1" customWidth="1"/>
    <col min="3076" max="3076" width="5.28515625" customWidth="1"/>
    <col min="3077" max="3077" width="12.28515625" bestFit="1" customWidth="1"/>
    <col min="3078" max="3078" width="14.42578125" bestFit="1" customWidth="1"/>
    <col min="3079" max="3079" width="15.140625" bestFit="1" customWidth="1"/>
    <col min="3080" max="3080" width="0" hidden="1" customWidth="1"/>
    <col min="3081" max="3081" width="13.5703125" bestFit="1" customWidth="1"/>
    <col min="3082" max="3082" width="12" bestFit="1" customWidth="1"/>
    <col min="3083" max="3083" width="15.42578125" customWidth="1"/>
    <col min="3084" max="3084" width="2.85546875" customWidth="1"/>
    <col min="3330" max="3330" width="11.28515625" customWidth="1"/>
    <col min="3331" max="3331" width="54.5703125" bestFit="1" customWidth="1"/>
    <col min="3332" max="3332" width="5.28515625" customWidth="1"/>
    <col min="3333" max="3333" width="12.28515625" bestFit="1" customWidth="1"/>
    <col min="3334" max="3334" width="14.42578125" bestFit="1" customWidth="1"/>
    <col min="3335" max="3335" width="15.140625" bestFit="1" customWidth="1"/>
    <col min="3336" max="3336" width="0" hidden="1" customWidth="1"/>
    <col min="3337" max="3337" width="13.5703125" bestFit="1" customWidth="1"/>
    <col min="3338" max="3338" width="12" bestFit="1" customWidth="1"/>
    <col min="3339" max="3339" width="15.42578125" customWidth="1"/>
    <col min="3340" max="3340" width="2.85546875" customWidth="1"/>
    <col min="3586" max="3586" width="11.28515625" customWidth="1"/>
    <col min="3587" max="3587" width="54.5703125" bestFit="1" customWidth="1"/>
    <col min="3588" max="3588" width="5.28515625" customWidth="1"/>
    <col min="3589" max="3589" width="12.28515625" bestFit="1" customWidth="1"/>
    <col min="3590" max="3590" width="14.42578125" bestFit="1" customWidth="1"/>
    <col min="3591" max="3591" width="15.140625" bestFit="1" customWidth="1"/>
    <col min="3592" max="3592" width="0" hidden="1" customWidth="1"/>
    <col min="3593" max="3593" width="13.5703125" bestFit="1" customWidth="1"/>
    <col min="3594" max="3594" width="12" bestFit="1" customWidth="1"/>
    <col min="3595" max="3595" width="15.42578125" customWidth="1"/>
    <col min="3596" max="3596" width="2.85546875" customWidth="1"/>
    <col min="3842" max="3842" width="11.28515625" customWidth="1"/>
    <col min="3843" max="3843" width="54.5703125" bestFit="1" customWidth="1"/>
    <col min="3844" max="3844" width="5.28515625" customWidth="1"/>
    <col min="3845" max="3845" width="12.28515625" bestFit="1" customWidth="1"/>
    <col min="3846" max="3846" width="14.42578125" bestFit="1" customWidth="1"/>
    <col min="3847" max="3847" width="15.140625" bestFit="1" customWidth="1"/>
    <col min="3848" max="3848" width="0" hidden="1" customWidth="1"/>
    <col min="3849" max="3849" width="13.5703125" bestFit="1" customWidth="1"/>
    <col min="3850" max="3850" width="12" bestFit="1" customWidth="1"/>
    <col min="3851" max="3851" width="15.42578125" customWidth="1"/>
    <col min="3852" max="3852" width="2.85546875" customWidth="1"/>
    <col min="4098" max="4098" width="11.28515625" customWidth="1"/>
    <col min="4099" max="4099" width="54.5703125" bestFit="1" customWidth="1"/>
    <col min="4100" max="4100" width="5.28515625" customWidth="1"/>
    <col min="4101" max="4101" width="12.28515625" bestFit="1" customWidth="1"/>
    <col min="4102" max="4102" width="14.42578125" bestFit="1" customWidth="1"/>
    <col min="4103" max="4103" width="15.140625" bestFit="1" customWidth="1"/>
    <col min="4104" max="4104" width="0" hidden="1" customWidth="1"/>
    <col min="4105" max="4105" width="13.5703125" bestFit="1" customWidth="1"/>
    <col min="4106" max="4106" width="12" bestFit="1" customWidth="1"/>
    <col min="4107" max="4107" width="15.42578125" customWidth="1"/>
    <col min="4108" max="4108" width="2.85546875" customWidth="1"/>
    <col min="4354" max="4354" width="11.28515625" customWidth="1"/>
    <col min="4355" max="4355" width="54.5703125" bestFit="1" customWidth="1"/>
    <col min="4356" max="4356" width="5.28515625" customWidth="1"/>
    <col min="4357" max="4357" width="12.28515625" bestFit="1" customWidth="1"/>
    <col min="4358" max="4358" width="14.42578125" bestFit="1" customWidth="1"/>
    <col min="4359" max="4359" width="15.140625" bestFit="1" customWidth="1"/>
    <col min="4360" max="4360" width="0" hidden="1" customWidth="1"/>
    <col min="4361" max="4361" width="13.5703125" bestFit="1" customWidth="1"/>
    <col min="4362" max="4362" width="12" bestFit="1" customWidth="1"/>
    <col min="4363" max="4363" width="15.42578125" customWidth="1"/>
    <col min="4364" max="4364" width="2.85546875" customWidth="1"/>
    <col min="4610" max="4610" width="11.28515625" customWidth="1"/>
    <col min="4611" max="4611" width="54.5703125" bestFit="1" customWidth="1"/>
    <col min="4612" max="4612" width="5.28515625" customWidth="1"/>
    <col min="4613" max="4613" width="12.28515625" bestFit="1" customWidth="1"/>
    <col min="4614" max="4614" width="14.42578125" bestFit="1" customWidth="1"/>
    <col min="4615" max="4615" width="15.140625" bestFit="1" customWidth="1"/>
    <col min="4616" max="4616" width="0" hidden="1" customWidth="1"/>
    <col min="4617" max="4617" width="13.5703125" bestFit="1" customWidth="1"/>
    <col min="4618" max="4618" width="12" bestFit="1" customWidth="1"/>
    <col min="4619" max="4619" width="15.42578125" customWidth="1"/>
    <col min="4620" max="4620" width="2.85546875" customWidth="1"/>
    <col min="4866" max="4866" width="11.28515625" customWidth="1"/>
    <col min="4867" max="4867" width="54.5703125" bestFit="1" customWidth="1"/>
    <col min="4868" max="4868" width="5.28515625" customWidth="1"/>
    <col min="4869" max="4869" width="12.28515625" bestFit="1" customWidth="1"/>
    <col min="4870" max="4870" width="14.42578125" bestFit="1" customWidth="1"/>
    <col min="4871" max="4871" width="15.140625" bestFit="1" customWidth="1"/>
    <col min="4872" max="4872" width="0" hidden="1" customWidth="1"/>
    <col min="4873" max="4873" width="13.5703125" bestFit="1" customWidth="1"/>
    <col min="4874" max="4874" width="12" bestFit="1" customWidth="1"/>
    <col min="4875" max="4875" width="15.42578125" customWidth="1"/>
    <col min="4876" max="4876" width="2.85546875" customWidth="1"/>
    <col min="5122" max="5122" width="11.28515625" customWidth="1"/>
    <col min="5123" max="5123" width="54.5703125" bestFit="1" customWidth="1"/>
    <col min="5124" max="5124" width="5.28515625" customWidth="1"/>
    <col min="5125" max="5125" width="12.28515625" bestFit="1" customWidth="1"/>
    <col min="5126" max="5126" width="14.42578125" bestFit="1" customWidth="1"/>
    <col min="5127" max="5127" width="15.140625" bestFit="1" customWidth="1"/>
    <col min="5128" max="5128" width="0" hidden="1" customWidth="1"/>
    <col min="5129" max="5129" width="13.5703125" bestFit="1" customWidth="1"/>
    <col min="5130" max="5130" width="12" bestFit="1" customWidth="1"/>
    <col min="5131" max="5131" width="15.42578125" customWidth="1"/>
    <col min="5132" max="5132" width="2.85546875" customWidth="1"/>
    <col min="5378" max="5378" width="11.28515625" customWidth="1"/>
    <col min="5379" max="5379" width="54.5703125" bestFit="1" customWidth="1"/>
    <col min="5380" max="5380" width="5.28515625" customWidth="1"/>
    <col min="5381" max="5381" width="12.28515625" bestFit="1" customWidth="1"/>
    <col min="5382" max="5382" width="14.42578125" bestFit="1" customWidth="1"/>
    <col min="5383" max="5383" width="15.140625" bestFit="1" customWidth="1"/>
    <col min="5384" max="5384" width="0" hidden="1" customWidth="1"/>
    <col min="5385" max="5385" width="13.5703125" bestFit="1" customWidth="1"/>
    <col min="5386" max="5386" width="12" bestFit="1" customWidth="1"/>
    <col min="5387" max="5387" width="15.42578125" customWidth="1"/>
    <col min="5388" max="5388" width="2.85546875" customWidth="1"/>
    <col min="5634" max="5634" width="11.28515625" customWidth="1"/>
    <col min="5635" max="5635" width="54.5703125" bestFit="1" customWidth="1"/>
    <col min="5636" max="5636" width="5.28515625" customWidth="1"/>
    <col min="5637" max="5637" width="12.28515625" bestFit="1" customWidth="1"/>
    <col min="5638" max="5638" width="14.42578125" bestFit="1" customWidth="1"/>
    <col min="5639" max="5639" width="15.140625" bestFit="1" customWidth="1"/>
    <col min="5640" max="5640" width="0" hidden="1" customWidth="1"/>
    <col min="5641" max="5641" width="13.5703125" bestFit="1" customWidth="1"/>
    <col min="5642" max="5642" width="12" bestFit="1" customWidth="1"/>
    <col min="5643" max="5643" width="15.42578125" customWidth="1"/>
    <col min="5644" max="5644" width="2.85546875" customWidth="1"/>
    <col min="5890" max="5890" width="11.28515625" customWidth="1"/>
    <col min="5891" max="5891" width="54.5703125" bestFit="1" customWidth="1"/>
    <col min="5892" max="5892" width="5.28515625" customWidth="1"/>
    <col min="5893" max="5893" width="12.28515625" bestFit="1" customWidth="1"/>
    <col min="5894" max="5894" width="14.42578125" bestFit="1" customWidth="1"/>
    <col min="5895" max="5895" width="15.140625" bestFit="1" customWidth="1"/>
    <col min="5896" max="5896" width="0" hidden="1" customWidth="1"/>
    <col min="5897" max="5897" width="13.5703125" bestFit="1" customWidth="1"/>
    <col min="5898" max="5898" width="12" bestFit="1" customWidth="1"/>
    <col min="5899" max="5899" width="15.42578125" customWidth="1"/>
    <col min="5900" max="5900" width="2.85546875" customWidth="1"/>
    <col min="6146" max="6146" width="11.28515625" customWidth="1"/>
    <col min="6147" max="6147" width="54.5703125" bestFit="1" customWidth="1"/>
    <col min="6148" max="6148" width="5.28515625" customWidth="1"/>
    <col min="6149" max="6149" width="12.28515625" bestFit="1" customWidth="1"/>
    <col min="6150" max="6150" width="14.42578125" bestFit="1" customWidth="1"/>
    <col min="6151" max="6151" width="15.140625" bestFit="1" customWidth="1"/>
    <col min="6152" max="6152" width="0" hidden="1" customWidth="1"/>
    <col min="6153" max="6153" width="13.5703125" bestFit="1" customWidth="1"/>
    <col min="6154" max="6154" width="12" bestFit="1" customWidth="1"/>
    <col min="6155" max="6155" width="15.42578125" customWidth="1"/>
    <col min="6156" max="6156" width="2.85546875" customWidth="1"/>
    <col min="6402" max="6402" width="11.28515625" customWidth="1"/>
    <col min="6403" max="6403" width="54.5703125" bestFit="1" customWidth="1"/>
    <col min="6404" max="6404" width="5.28515625" customWidth="1"/>
    <col min="6405" max="6405" width="12.28515625" bestFit="1" customWidth="1"/>
    <col min="6406" max="6406" width="14.42578125" bestFit="1" customWidth="1"/>
    <col min="6407" max="6407" width="15.140625" bestFit="1" customWidth="1"/>
    <col min="6408" max="6408" width="0" hidden="1" customWidth="1"/>
    <col min="6409" max="6409" width="13.5703125" bestFit="1" customWidth="1"/>
    <col min="6410" max="6410" width="12" bestFit="1" customWidth="1"/>
    <col min="6411" max="6411" width="15.42578125" customWidth="1"/>
    <col min="6412" max="6412" width="2.85546875" customWidth="1"/>
    <col min="6658" max="6658" width="11.28515625" customWidth="1"/>
    <col min="6659" max="6659" width="54.5703125" bestFit="1" customWidth="1"/>
    <col min="6660" max="6660" width="5.28515625" customWidth="1"/>
    <col min="6661" max="6661" width="12.28515625" bestFit="1" customWidth="1"/>
    <col min="6662" max="6662" width="14.42578125" bestFit="1" customWidth="1"/>
    <col min="6663" max="6663" width="15.140625" bestFit="1" customWidth="1"/>
    <col min="6664" max="6664" width="0" hidden="1" customWidth="1"/>
    <col min="6665" max="6665" width="13.5703125" bestFit="1" customWidth="1"/>
    <col min="6666" max="6666" width="12" bestFit="1" customWidth="1"/>
    <col min="6667" max="6667" width="15.42578125" customWidth="1"/>
    <col min="6668" max="6668" width="2.85546875" customWidth="1"/>
    <col min="6914" max="6914" width="11.28515625" customWidth="1"/>
    <col min="6915" max="6915" width="54.5703125" bestFit="1" customWidth="1"/>
    <col min="6916" max="6916" width="5.28515625" customWidth="1"/>
    <col min="6917" max="6917" width="12.28515625" bestFit="1" customWidth="1"/>
    <col min="6918" max="6918" width="14.42578125" bestFit="1" customWidth="1"/>
    <col min="6919" max="6919" width="15.140625" bestFit="1" customWidth="1"/>
    <col min="6920" max="6920" width="0" hidden="1" customWidth="1"/>
    <col min="6921" max="6921" width="13.5703125" bestFit="1" customWidth="1"/>
    <col min="6922" max="6922" width="12" bestFit="1" customWidth="1"/>
    <col min="6923" max="6923" width="15.42578125" customWidth="1"/>
    <col min="6924" max="6924" width="2.85546875" customWidth="1"/>
    <col min="7170" max="7170" width="11.28515625" customWidth="1"/>
    <col min="7171" max="7171" width="54.5703125" bestFit="1" customWidth="1"/>
    <col min="7172" max="7172" width="5.28515625" customWidth="1"/>
    <col min="7173" max="7173" width="12.28515625" bestFit="1" customWidth="1"/>
    <col min="7174" max="7174" width="14.42578125" bestFit="1" customWidth="1"/>
    <col min="7175" max="7175" width="15.140625" bestFit="1" customWidth="1"/>
    <col min="7176" max="7176" width="0" hidden="1" customWidth="1"/>
    <col min="7177" max="7177" width="13.5703125" bestFit="1" customWidth="1"/>
    <col min="7178" max="7178" width="12" bestFit="1" customWidth="1"/>
    <col min="7179" max="7179" width="15.42578125" customWidth="1"/>
    <col min="7180" max="7180" width="2.85546875" customWidth="1"/>
    <col min="7426" max="7426" width="11.28515625" customWidth="1"/>
    <col min="7427" max="7427" width="54.5703125" bestFit="1" customWidth="1"/>
    <col min="7428" max="7428" width="5.28515625" customWidth="1"/>
    <col min="7429" max="7429" width="12.28515625" bestFit="1" customWidth="1"/>
    <col min="7430" max="7430" width="14.42578125" bestFit="1" customWidth="1"/>
    <col min="7431" max="7431" width="15.140625" bestFit="1" customWidth="1"/>
    <col min="7432" max="7432" width="0" hidden="1" customWidth="1"/>
    <col min="7433" max="7433" width="13.5703125" bestFit="1" customWidth="1"/>
    <col min="7434" max="7434" width="12" bestFit="1" customWidth="1"/>
    <col min="7435" max="7435" width="15.42578125" customWidth="1"/>
    <col min="7436" max="7436" width="2.85546875" customWidth="1"/>
    <col min="7682" max="7682" width="11.28515625" customWidth="1"/>
    <col min="7683" max="7683" width="54.5703125" bestFit="1" customWidth="1"/>
    <col min="7684" max="7684" width="5.28515625" customWidth="1"/>
    <col min="7685" max="7685" width="12.28515625" bestFit="1" customWidth="1"/>
    <col min="7686" max="7686" width="14.42578125" bestFit="1" customWidth="1"/>
    <col min="7687" max="7687" width="15.140625" bestFit="1" customWidth="1"/>
    <col min="7688" max="7688" width="0" hidden="1" customWidth="1"/>
    <col min="7689" max="7689" width="13.5703125" bestFit="1" customWidth="1"/>
    <col min="7690" max="7690" width="12" bestFit="1" customWidth="1"/>
    <col min="7691" max="7691" width="15.42578125" customWidth="1"/>
    <col min="7692" max="7692" width="2.85546875" customWidth="1"/>
    <col min="7938" max="7938" width="11.28515625" customWidth="1"/>
    <col min="7939" max="7939" width="54.5703125" bestFit="1" customWidth="1"/>
    <col min="7940" max="7940" width="5.28515625" customWidth="1"/>
    <col min="7941" max="7941" width="12.28515625" bestFit="1" customWidth="1"/>
    <col min="7942" max="7942" width="14.42578125" bestFit="1" customWidth="1"/>
    <col min="7943" max="7943" width="15.140625" bestFit="1" customWidth="1"/>
    <col min="7944" max="7944" width="0" hidden="1" customWidth="1"/>
    <col min="7945" max="7945" width="13.5703125" bestFit="1" customWidth="1"/>
    <col min="7946" max="7946" width="12" bestFit="1" customWidth="1"/>
    <col min="7947" max="7947" width="15.42578125" customWidth="1"/>
    <col min="7948" max="7948" width="2.85546875" customWidth="1"/>
    <col min="8194" max="8194" width="11.28515625" customWidth="1"/>
    <col min="8195" max="8195" width="54.5703125" bestFit="1" customWidth="1"/>
    <col min="8196" max="8196" width="5.28515625" customWidth="1"/>
    <col min="8197" max="8197" width="12.28515625" bestFit="1" customWidth="1"/>
    <col min="8198" max="8198" width="14.42578125" bestFit="1" customWidth="1"/>
    <col min="8199" max="8199" width="15.140625" bestFit="1" customWidth="1"/>
    <col min="8200" max="8200" width="0" hidden="1" customWidth="1"/>
    <col min="8201" max="8201" width="13.5703125" bestFit="1" customWidth="1"/>
    <col min="8202" max="8202" width="12" bestFit="1" customWidth="1"/>
    <col min="8203" max="8203" width="15.42578125" customWidth="1"/>
    <col min="8204" max="8204" width="2.85546875" customWidth="1"/>
    <col min="8450" max="8450" width="11.28515625" customWidth="1"/>
    <col min="8451" max="8451" width="54.5703125" bestFit="1" customWidth="1"/>
    <col min="8452" max="8452" width="5.28515625" customWidth="1"/>
    <col min="8453" max="8453" width="12.28515625" bestFit="1" customWidth="1"/>
    <col min="8454" max="8454" width="14.42578125" bestFit="1" customWidth="1"/>
    <col min="8455" max="8455" width="15.140625" bestFit="1" customWidth="1"/>
    <col min="8456" max="8456" width="0" hidden="1" customWidth="1"/>
    <col min="8457" max="8457" width="13.5703125" bestFit="1" customWidth="1"/>
    <col min="8458" max="8458" width="12" bestFit="1" customWidth="1"/>
    <col min="8459" max="8459" width="15.42578125" customWidth="1"/>
    <col min="8460" max="8460" width="2.85546875" customWidth="1"/>
    <col min="8706" max="8706" width="11.28515625" customWidth="1"/>
    <col min="8707" max="8707" width="54.5703125" bestFit="1" customWidth="1"/>
    <col min="8708" max="8708" width="5.28515625" customWidth="1"/>
    <col min="8709" max="8709" width="12.28515625" bestFit="1" customWidth="1"/>
    <col min="8710" max="8710" width="14.42578125" bestFit="1" customWidth="1"/>
    <col min="8711" max="8711" width="15.140625" bestFit="1" customWidth="1"/>
    <col min="8712" max="8712" width="0" hidden="1" customWidth="1"/>
    <col min="8713" max="8713" width="13.5703125" bestFit="1" customWidth="1"/>
    <col min="8714" max="8714" width="12" bestFit="1" customWidth="1"/>
    <col min="8715" max="8715" width="15.42578125" customWidth="1"/>
    <col min="8716" max="8716" width="2.85546875" customWidth="1"/>
    <col min="8962" max="8962" width="11.28515625" customWidth="1"/>
    <col min="8963" max="8963" width="54.5703125" bestFit="1" customWidth="1"/>
    <col min="8964" max="8964" width="5.28515625" customWidth="1"/>
    <col min="8965" max="8965" width="12.28515625" bestFit="1" customWidth="1"/>
    <col min="8966" max="8966" width="14.42578125" bestFit="1" customWidth="1"/>
    <col min="8967" max="8967" width="15.140625" bestFit="1" customWidth="1"/>
    <col min="8968" max="8968" width="0" hidden="1" customWidth="1"/>
    <col min="8969" max="8969" width="13.5703125" bestFit="1" customWidth="1"/>
    <col min="8970" max="8970" width="12" bestFit="1" customWidth="1"/>
    <col min="8971" max="8971" width="15.42578125" customWidth="1"/>
    <col min="8972" max="8972" width="2.85546875" customWidth="1"/>
    <col min="9218" max="9218" width="11.28515625" customWidth="1"/>
    <col min="9219" max="9219" width="54.5703125" bestFit="1" customWidth="1"/>
    <col min="9220" max="9220" width="5.28515625" customWidth="1"/>
    <col min="9221" max="9221" width="12.28515625" bestFit="1" customWidth="1"/>
    <col min="9222" max="9222" width="14.42578125" bestFit="1" customWidth="1"/>
    <col min="9223" max="9223" width="15.140625" bestFit="1" customWidth="1"/>
    <col min="9224" max="9224" width="0" hidden="1" customWidth="1"/>
    <col min="9225" max="9225" width="13.5703125" bestFit="1" customWidth="1"/>
    <col min="9226" max="9226" width="12" bestFit="1" customWidth="1"/>
    <col min="9227" max="9227" width="15.42578125" customWidth="1"/>
    <col min="9228" max="9228" width="2.85546875" customWidth="1"/>
    <col min="9474" max="9474" width="11.28515625" customWidth="1"/>
    <col min="9475" max="9475" width="54.5703125" bestFit="1" customWidth="1"/>
    <col min="9476" max="9476" width="5.28515625" customWidth="1"/>
    <col min="9477" max="9477" width="12.28515625" bestFit="1" customWidth="1"/>
    <col min="9478" max="9478" width="14.42578125" bestFit="1" customWidth="1"/>
    <col min="9479" max="9479" width="15.140625" bestFit="1" customWidth="1"/>
    <col min="9480" max="9480" width="0" hidden="1" customWidth="1"/>
    <col min="9481" max="9481" width="13.5703125" bestFit="1" customWidth="1"/>
    <col min="9482" max="9482" width="12" bestFit="1" customWidth="1"/>
    <col min="9483" max="9483" width="15.42578125" customWidth="1"/>
    <col min="9484" max="9484" width="2.85546875" customWidth="1"/>
    <col min="9730" max="9730" width="11.28515625" customWidth="1"/>
    <col min="9731" max="9731" width="54.5703125" bestFit="1" customWidth="1"/>
    <col min="9732" max="9732" width="5.28515625" customWidth="1"/>
    <col min="9733" max="9733" width="12.28515625" bestFit="1" customWidth="1"/>
    <col min="9734" max="9734" width="14.42578125" bestFit="1" customWidth="1"/>
    <col min="9735" max="9735" width="15.140625" bestFit="1" customWidth="1"/>
    <col min="9736" max="9736" width="0" hidden="1" customWidth="1"/>
    <col min="9737" max="9737" width="13.5703125" bestFit="1" customWidth="1"/>
    <col min="9738" max="9738" width="12" bestFit="1" customWidth="1"/>
    <col min="9739" max="9739" width="15.42578125" customWidth="1"/>
    <col min="9740" max="9740" width="2.85546875" customWidth="1"/>
    <col min="9986" max="9986" width="11.28515625" customWidth="1"/>
    <col min="9987" max="9987" width="54.5703125" bestFit="1" customWidth="1"/>
    <col min="9988" max="9988" width="5.28515625" customWidth="1"/>
    <col min="9989" max="9989" width="12.28515625" bestFit="1" customWidth="1"/>
    <col min="9990" max="9990" width="14.42578125" bestFit="1" customWidth="1"/>
    <col min="9991" max="9991" width="15.140625" bestFit="1" customWidth="1"/>
    <col min="9992" max="9992" width="0" hidden="1" customWidth="1"/>
    <col min="9993" max="9993" width="13.5703125" bestFit="1" customWidth="1"/>
    <col min="9994" max="9994" width="12" bestFit="1" customWidth="1"/>
    <col min="9995" max="9995" width="15.42578125" customWidth="1"/>
    <col min="9996" max="9996" width="2.85546875" customWidth="1"/>
    <col min="10242" max="10242" width="11.28515625" customWidth="1"/>
    <col min="10243" max="10243" width="54.5703125" bestFit="1" customWidth="1"/>
    <col min="10244" max="10244" width="5.28515625" customWidth="1"/>
    <col min="10245" max="10245" width="12.28515625" bestFit="1" customWidth="1"/>
    <col min="10246" max="10246" width="14.42578125" bestFit="1" customWidth="1"/>
    <col min="10247" max="10247" width="15.140625" bestFit="1" customWidth="1"/>
    <col min="10248" max="10248" width="0" hidden="1" customWidth="1"/>
    <col min="10249" max="10249" width="13.5703125" bestFit="1" customWidth="1"/>
    <col min="10250" max="10250" width="12" bestFit="1" customWidth="1"/>
    <col min="10251" max="10251" width="15.42578125" customWidth="1"/>
    <col min="10252" max="10252" width="2.85546875" customWidth="1"/>
    <col min="10498" max="10498" width="11.28515625" customWidth="1"/>
    <col min="10499" max="10499" width="54.5703125" bestFit="1" customWidth="1"/>
    <col min="10500" max="10500" width="5.28515625" customWidth="1"/>
    <col min="10501" max="10501" width="12.28515625" bestFit="1" customWidth="1"/>
    <col min="10502" max="10502" width="14.42578125" bestFit="1" customWidth="1"/>
    <col min="10503" max="10503" width="15.140625" bestFit="1" customWidth="1"/>
    <col min="10504" max="10504" width="0" hidden="1" customWidth="1"/>
    <col min="10505" max="10505" width="13.5703125" bestFit="1" customWidth="1"/>
    <col min="10506" max="10506" width="12" bestFit="1" customWidth="1"/>
    <col min="10507" max="10507" width="15.42578125" customWidth="1"/>
    <col min="10508" max="10508" width="2.85546875" customWidth="1"/>
    <col min="10754" max="10754" width="11.28515625" customWidth="1"/>
    <col min="10755" max="10755" width="54.5703125" bestFit="1" customWidth="1"/>
    <col min="10756" max="10756" width="5.28515625" customWidth="1"/>
    <col min="10757" max="10757" width="12.28515625" bestFit="1" customWidth="1"/>
    <col min="10758" max="10758" width="14.42578125" bestFit="1" customWidth="1"/>
    <col min="10759" max="10759" width="15.140625" bestFit="1" customWidth="1"/>
    <col min="10760" max="10760" width="0" hidden="1" customWidth="1"/>
    <col min="10761" max="10761" width="13.5703125" bestFit="1" customWidth="1"/>
    <col min="10762" max="10762" width="12" bestFit="1" customWidth="1"/>
    <col min="10763" max="10763" width="15.42578125" customWidth="1"/>
    <col min="10764" max="10764" width="2.85546875" customWidth="1"/>
    <col min="11010" max="11010" width="11.28515625" customWidth="1"/>
    <col min="11011" max="11011" width="54.5703125" bestFit="1" customWidth="1"/>
    <col min="11012" max="11012" width="5.28515625" customWidth="1"/>
    <col min="11013" max="11013" width="12.28515625" bestFit="1" customWidth="1"/>
    <col min="11014" max="11014" width="14.42578125" bestFit="1" customWidth="1"/>
    <col min="11015" max="11015" width="15.140625" bestFit="1" customWidth="1"/>
    <col min="11016" max="11016" width="0" hidden="1" customWidth="1"/>
    <col min="11017" max="11017" width="13.5703125" bestFit="1" customWidth="1"/>
    <col min="11018" max="11018" width="12" bestFit="1" customWidth="1"/>
    <col min="11019" max="11019" width="15.42578125" customWidth="1"/>
    <col min="11020" max="11020" width="2.85546875" customWidth="1"/>
    <col min="11266" max="11266" width="11.28515625" customWidth="1"/>
    <col min="11267" max="11267" width="54.5703125" bestFit="1" customWidth="1"/>
    <col min="11268" max="11268" width="5.28515625" customWidth="1"/>
    <col min="11269" max="11269" width="12.28515625" bestFit="1" customWidth="1"/>
    <col min="11270" max="11270" width="14.42578125" bestFit="1" customWidth="1"/>
    <col min="11271" max="11271" width="15.140625" bestFit="1" customWidth="1"/>
    <col min="11272" max="11272" width="0" hidden="1" customWidth="1"/>
    <col min="11273" max="11273" width="13.5703125" bestFit="1" customWidth="1"/>
    <col min="11274" max="11274" width="12" bestFit="1" customWidth="1"/>
    <col min="11275" max="11275" width="15.42578125" customWidth="1"/>
    <col min="11276" max="11276" width="2.85546875" customWidth="1"/>
    <col min="11522" max="11522" width="11.28515625" customWidth="1"/>
    <col min="11523" max="11523" width="54.5703125" bestFit="1" customWidth="1"/>
    <col min="11524" max="11524" width="5.28515625" customWidth="1"/>
    <col min="11525" max="11525" width="12.28515625" bestFit="1" customWidth="1"/>
    <col min="11526" max="11526" width="14.42578125" bestFit="1" customWidth="1"/>
    <col min="11527" max="11527" width="15.140625" bestFit="1" customWidth="1"/>
    <col min="11528" max="11528" width="0" hidden="1" customWidth="1"/>
    <col min="11529" max="11529" width="13.5703125" bestFit="1" customWidth="1"/>
    <col min="11530" max="11530" width="12" bestFit="1" customWidth="1"/>
    <col min="11531" max="11531" width="15.42578125" customWidth="1"/>
    <col min="11532" max="11532" width="2.85546875" customWidth="1"/>
    <col min="11778" max="11778" width="11.28515625" customWidth="1"/>
    <col min="11779" max="11779" width="54.5703125" bestFit="1" customWidth="1"/>
    <col min="11780" max="11780" width="5.28515625" customWidth="1"/>
    <col min="11781" max="11781" width="12.28515625" bestFit="1" customWidth="1"/>
    <col min="11782" max="11782" width="14.42578125" bestFit="1" customWidth="1"/>
    <col min="11783" max="11783" width="15.140625" bestFit="1" customWidth="1"/>
    <col min="11784" max="11784" width="0" hidden="1" customWidth="1"/>
    <col min="11785" max="11785" width="13.5703125" bestFit="1" customWidth="1"/>
    <col min="11786" max="11786" width="12" bestFit="1" customWidth="1"/>
    <col min="11787" max="11787" width="15.42578125" customWidth="1"/>
    <col min="11788" max="11788" width="2.85546875" customWidth="1"/>
    <col min="12034" max="12034" width="11.28515625" customWidth="1"/>
    <col min="12035" max="12035" width="54.5703125" bestFit="1" customWidth="1"/>
    <col min="12036" max="12036" width="5.28515625" customWidth="1"/>
    <col min="12037" max="12037" width="12.28515625" bestFit="1" customWidth="1"/>
    <col min="12038" max="12038" width="14.42578125" bestFit="1" customWidth="1"/>
    <col min="12039" max="12039" width="15.140625" bestFit="1" customWidth="1"/>
    <col min="12040" max="12040" width="0" hidden="1" customWidth="1"/>
    <col min="12041" max="12041" width="13.5703125" bestFit="1" customWidth="1"/>
    <col min="12042" max="12042" width="12" bestFit="1" customWidth="1"/>
    <col min="12043" max="12043" width="15.42578125" customWidth="1"/>
    <col min="12044" max="12044" width="2.85546875" customWidth="1"/>
    <col min="12290" max="12290" width="11.28515625" customWidth="1"/>
    <col min="12291" max="12291" width="54.5703125" bestFit="1" customWidth="1"/>
    <col min="12292" max="12292" width="5.28515625" customWidth="1"/>
    <col min="12293" max="12293" width="12.28515625" bestFit="1" customWidth="1"/>
    <col min="12294" max="12294" width="14.42578125" bestFit="1" customWidth="1"/>
    <col min="12295" max="12295" width="15.140625" bestFit="1" customWidth="1"/>
    <col min="12296" max="12296" width="0" hidden="1" customWidth="1"/>
    <col min="12297" max="12297" width="13.5703125" bestFit="1" customWidth="1"/>
    <col min="12298" max="12298" width="12" bestFit="1" customWidth="1"/>
    <col min="12299" max="12299" width="15.42578125" customWidth="1"/>
    <col min="12300" max="12300" width="2.85546875" customWidth="1"/>
    <col min="12546" max="12546" width="11.28515625" customWidth="1"/>
    <col min="12547" max="12547" width="54.5703125" bestFit="1" customWidth="1"/>
    <col min="12548" max="12548" width="5.28515625" customWidth="1"/>
    <col min="12549" max="12549" width="12.28515625" bestFit="1" customWidth="1"/>
    <col min="12550" max="12550" width="14.42578125" bestFit="1" customWidth="1"/>
    <col min="12551" max="12551" width="15.140625" bestFit="1" customWidth="1"/>
    <col min="12552" max="12552" width="0" hidden="1" customWidth="1"/>
    <col min="12553" max="12553" width="13.5703125" bestFit="1" customWidth="1"/>
    <col min="12554" max="12554" width="12" bestFit="1" customWidth="1"/>
    <col min="12555" max="12555" width="15.42578125" customWidth="1"/>
    <col min="12556" max="12556" width="2.85546875" customWidth="1"/>
    <col min="12802" max="12802" width="11.28515625" customWidth="1"/>
    <col min="12803" max="12803" width="54.5703125" bestFit="1" customWidth="1"/>
    <col min="12804" max="12804" width="5.28515625" customWidth="1"/>
    <col min="12805" max="12805" width="12.28515625" bestFit="1" customWidth="1"/>
    <col min="12806" max="12806" width="14.42578125" bestFit="1" customWidth="1"/>
    <col min="12807" max="12807" width="15.140625" bestFit="1" customWidth="1"/>
    <col min="12808" max="12808" width="0" hidden="1" customWidth="1"/>
    <col min="12809" max="12809" width="13.5703125" bestFit="1" customWidth="1"/>
    <col min="12810" max="12810" width="12" bestFit="1" customWidth="1"/>
    <col min="12811" max="12811" width="15.42578125" customWidth="1"/>
    <col min="12812" max="12812" width="2.85546875" customWidth="1"/>
    <col min="13058" max="13058" width="11.28515625" customWidth="1"/>
    <col min="13059" max="13059" width="54.5703125" bestFit="1" customWidth="1"/>
    <col min="13060" max="13060" width="5.28515625" customWidth="1"/>
    <col min="13061" max="13061" width="12.28515625" bestFit="1" customWidth="1"/>
    <col min="13062" max="13062" width="14.42578125" bestFit="1" customWidth="1"/>
    <col min="13063" max="13063" width="15.140625" bestFit="1" customWidth="1"/>
    <col min="13064" max="13064" width="0" hidden="1" customWidth="1"/>
    <col min="13065" max="13065" width="13.5703125" bestFit="1" customWidth="1"/>
    <col min="13066" max="13066" width="12" bestFit="1" customWidth="1"/>
    <col min="13067" max="13067" width="15.42578125" customWidth="1"/>
    <col min="13068" max="13068" width="2.85546875" customWidth="1"/>
    <col min="13314" max="13314" width="11.28515625" customWidth="1"/>
    <col min="13315" max="13315" width="54.5703125" bestFit="1" customWidth="1"/>
    <col min="13316" max="13316" width="5.28515625" customWidth="1"/>
    <col min="13317" max="13317" width="12.28515625" bestFit="1" customWidth="1"/>
    <col min="13318" max="13318" width="14.42578125" bestFit="1" customWidth="1"/>
    <col min="13319" max="13319" width="15.140625" bestFit="1" customWidth="1"/>
    <col min="13320" max="13320" width="0" hidden="1" customWidth="1"/>
    <col min="13321" max="13321" width="13.5703125" bestFit="1" customWidth="1"/>
    <col min="13322" max="13322" width="12" bestFit="1" customWidth="1"/>
    <col min="13323" max="13323" width="15.42578125" customWidth="1"/>
    <col min="13324" max="13324" width="2.85546875" customWidth="1"/>
    <col min="13570" max="13570" width="11.28515625" customWidth="1"/>
    <col min="13571" max="13571" width="54.5703125" bestFit="1" customWidth="1"/>
    <col min="13572" max="13572" width="5.28515625" customWidth="1"/>
    <col min="13573" max="13573" width="12.28515625" bestFit="1" customWidth="1"/>
    <col min="13574" max="13574" width="14.42578125" bestFit="1" customWidth="1"/>
    <col min="13575" max="13575" width="15.140625" bestFit="1" customWidth="1"/>
    <col min="13576" max="13576" width="0" hidden="1" customWidth="1"/>
    <col min="13577" max="13577" width="13.5703125" bestFit="1" customWidth="1"/>
    <col min="13578" max="13578" width="12" bestFit="1" customWidth="1"/>
    <col min="13579" max="13579" width="15.42578125" customWidth="1"/>
    <col min="13580" max="13580" width="2.85546875" customWidth="1"/>
    <col min="13826" max="13826" width="11.28515625" customWidth="1"/>
    <col min="13827" max="13827" width="54.5703125" bestFit="1" customWidth="1"/>
    <col min="13828" max="13828" width="5.28515625" customWidth="1"/>
    <col min="13829" max="13829" width="12.28515625" bestFit="1" customWidth="1"/>
    <col min="13830" max="13830" width="14.42578125" bestFit="1" customWidth="1"/>
    <col min="13831" max="13831" width="15.140625" bestFit="1" customWidth="1"/>
    <col min="13832" max="13832" width="0" hidden="1" customWidth="1"/>
    <col min="13833" max="13833" width="13.5703125" bestFit="1" customWidth="1"/>
    <col min="13834" max="13834" width="12" bestFit="1" customWidth="1"/>
    <col min="13835" max="13835" width="15.42578125" customWidth="1"/>
    <col min="13836" max="13836" width="2.85546875" customWidth="1"/>
    <col min="14082" max="14082" width="11.28515625" customWidth="1"/>
    <col min="14083" max="14083" width="54.5703125" bestFit="1" customWidth="1"/>
    <col min="14084" max="14084" width="5.28515625" customWidth="1"/>
    <col min="14085" max="14085" width="12.28515625" bestFit="1" customWidth="1"/>
    <col min="14086" max="14086" width="14.42578125" bestFit="1" customWidth="1"/>
    <col min="14087" max="14087" width="15.140625" bestFit="1" customWidth="1"/>
    <col min="14088" max="14088" width="0" hidden="1" customWidth="1"/>
    <col min="14089" max="14089" width="13.5703125" bestFit="1" customWidth="1"/>
    <col min="14090" max="14090" width="12" bestFit="1" customWidth="1"/>
    <col min="14091" max="14091" width="15.42578125" customWidth="1"/>
    <col min="14092" max="14092" width="2.85546875" customWidth="1"/>
    <col min="14338" max="14338" width="11.28515625" customWidth="1"/>
    <col min="14339" max="14339" width="54.5703125" bestFit="1" customWidth="1"/>
    <col min="14340" max="14340" width="5.28515625" customWidth="1"/>
    <col min="14341" max="14341" width="12.28515625" bestFit="1" customWidth="1"/>
    <col min="14342" max="14342" width="14.42578125" bestFit="1" customWidth="1"/>
    <col min="14343" max="14343" width="15.140625" bestFit="1" customWidth="1"/>
    <col min="14344" max="14344" width="0" hidden="1" customWidth="1"/>
    <col min="14345" max="14345" width="13.5703125" bestFit="1" customWidth="1"/>
    <col min="14346" max="14346" width="12" bestFit="1" customWidth="1"/>
    <col min="14347" max="14347" width="15.42578125" customWidth="1"/>
    <col min="14348" max="14348" width="2.85546875" customWidth="1"/>
    <col min="14594" max="14594" width="11.28515625" customWidth="1"/>
    <col min="14595" max="14595" width="54.5703125" bestFit="1" customWidth="1"/>
    <col min="14596" max="14596" width="5.28515625" customWidth="1"/>
    <col min="14597" max="14597" width="12.28515625" bestFit="1" customWidth="1"/>
    <col min="14598" max="14598" width="14.42578125" bestFit="1" customWidth="1"/>
    <col min="14599" max="14599" width="15.140625" bestFit="1" customWidth="1"/>
    <col min="14600" max="14600" width="0" hidden="1" customWidth="1"/>
    <col min="14601" max="14601" width="13.5703125" bestFit="1" customWidth="1"/>
    <col min="14602" max="14602" width="12" bestFit="1" customWidth="1"/>
    <col min="14603" max="14603" width="15.42578125" customWidth="1"/>
    <col min="14604" max="14604" width="2.85546875" customWidth="1"/>
    <col min="14850" max="14850" width="11.28515625" customWidth="1"/>
    <col min="14851" max="14851" width="54.5703125" bestFit="1" customWidth="1"/>
    <col min="14852" max="14852" width="5.28515625" customWidth="1"/>
    <col min="14853" max="14853" width="12.28515625" bestFit="1" customWidth="1"/>
    <col min="14854" max="14854" width="14.42578125" bestFit="1" customWidth="1"/>
    <col min="14855" max="14855" width="15.140625" bestFit="1" customWidth="1"/>
    <col min="14856" max="14856" width="0" hidden="1" customWidth="1"/>
    <col min="14857" max="14857" width="13.5703125" bestFit="1" customWidth="1"/>
    <col min="14858" max="14858" width="12" bestFit="1" customWidth="1"/>
    <col min="14859" max="14859" width="15.42578125" customWidth="1"/>
    <col min="14860" max="14860" width="2.85546875" customWidth="1"/>
    <col min="15106" max="15106" width="11.28515625" customWidth="1"/>
    <col min="15107" max="15107" width="54.5703125" bestFit="1" customWidth="1"/>
    <col min="15108" max="15108" width="5.28515625" customWidth="1"/>
    <col min="15109" max="15109" width="12.28515625" bestFit="1" customWidth="1"/>
    <col min="15110" max="15110" width="14.42578125" bestFit="1" customWidth="1"/>
    <col min="15111" max="15111" width="15.140625" bestFit="1" customWidth="1"/>
    <col min="15112" max="15112" width="0" hidden="1" customWidth="1"/>
    <col min="15113" max="15113" width="13.5703125" bestFit="1" customWidth="1"/>
    <col min="15114" max="15114" width="12" bestFit="1" customWidth="1"/>
    <col min="15115" max="15115" width="15.42578125" customWidth="1"/>
    <col min="15116" max="15116" width="2.85546875" customWidth="1"/>
    <col min="15362" max="15362" width="11.28515625" customWidth="1"/>
    <col min="15363" max="15363" width="54.5703125" bestFit="1" customWidth="1"/>
    <col min="15364" max="15364" width="5.28515625" customWidth="1"/>
    <col min="15365" max="15365" width="12.28515625" bestFit="1" customWidth="1"/>
    <col min="15366" max="15366" width="14.42578125" bestFit="1" customWidth="1"/>
    <col min="15367" max="15367" width="15.140625" bestFit="1" customWidth="1"/>
    <col min="15368" max="15368" width="0" hidden="1" customWidth="1"/>
    <col min="15369" max="15369" width="13.5703125" bestFit="1" customWidth="1"/>
    <col min="15370" max="15370" width="12" bestFit="1" customWidth="1"/>
    <col min="15371" max="15371" width="15.42578125" customWidth="1"/>
    <col min="15372" max="15372" width="2.85546875" customWidth="1"/>
    <col min="15618" max="15618" width="11.28515625" customWidth="1"/>
    <col min="15619" max="15619" width="54.5703125" bestFit="1" customWidth="1"/>
    <col min="15620" max="15620" width="5.28515625" customWidth="1"/>
    <col min="15621" max="15621" width="12.28515625" bestFit="1" customWidth="1"/>
    <col min="15622" max="15622" width="14.42578125" bestFit="1" customWidth="1"/>
    <col min="15623" max="15623" width="15.140625" bestFit="1" customWidth="1"/>
    <col min="15624" max="15624" width="0" hidden="1" customWidth="1"/>
    <col min="15625" max="15625" width="13.5703125" bestFit="1" customWidth="1"/>
    <col min="15626" max="15626" width="12" bestFit="1" customWidth="1"/>
    <col min="15627" max="15627" width="15.42578125" customWidth="1"/>
    <col min="15628" max="15628" width="2.85546875" customWidth="1"/>
    <col min="15874" max="15874" width="11.28515625" customWidth="1"/>
    <col min="15875" max="15875" width="54.5703125" bestFit="1" customWidth="1"/>
    <col min="15876" max="15876" width="5.28515625" customWidth="1"/>
    <col min="15877" max="15877" width="12.28515625" bestFit="1" customWidth="1"/>
    <col min="15878" max="15878" width="14.42578125" bestFit="1" customWidth="1"/>
    <col min="15879" max="15879" width="15.140625" bestFit="1" customWidth="1"/>
    <col min="15880" max="15880" width="0" hidden="1" customWidth="1"/>
    <col min="15881" max="15881" width="13.5703125" bestFit="1" customWidth="1"/>
    <col min="15882" max="15882" width="12" bestFit="1" customWidth="1"/>
    <col min="15883" max="15883" width="15.42578125" customWidth="1"/>
    <col min="15884" max="15884" width="2.85546875" customWidth="1"/>
    <col min="16130" max="16130" width="11.28515625" customWidth="1"/>
    <col min="16131" max="16131" width="54.5703125" bestFit="1" customWidth="1"/>
    <col min="16132" max="16132" width="5.28515625" customWidth="1"/>
    <col min="16133" max="16133" width="12.28515625" bestFit="1" customWidth="1"/>
    <col min="16134" max="16134" width="14.42578125" bestFit="1" customWidth="1"/>
    <col min="16135" max="16135" width="15.140625" bestFit="1" customWidth="1"/>
    <col min="16136" max="16136" width="0" hidden="1" customWidth="1"/>
    <col min="16137" max="16137" width="13.5703125" bestFit="1" customWidth="1"/>
    <col min="16138" max="16138" width="12" bestFit="1" customWidth="1"/>
    <col min="16139" max="16139" width="15.42578125" customWidth="1"/>
    <col min="16140" max="16140" width="2.85546875" customWidth="1"/>
  </cols>
  <sheetData>
    <row r="1" spans="2:13" ht="39" customHeight="1" x14ac:dyDescent="0.25"/>
    <row r="2" spans="2:13" x14ac:dyDescent="0.25">
      <c r="B2" s="369" t="s">
        <v>178</v>
      </c>
      <c r="C2" s="369"/>
      <c r="D2" s="369"/>
      <c r="E2" s="369"/>
      <c r="F2" s="369"/>
      <c r="G2" s="369"/>
      <c r="H2" s="369"/>
      <c r="I2" s="369"/>
      <c r="J2" s="369"/>
      <c r="K2" s="369"/>
      <c r="L2" s="169"/>
      <c r="M2" s="170"/>
    </row>
    <row r="3" spans="2:13" ht="15.75" thickBot="1" x14ac:dyDescent="0.3">
      <c r="B3" s="171"/>
      <c r="C3" s="170"/>
      <c r="D3" s="172"/>
      <c r="E3" s="173"/>
      <c r="F3" s="173"/>
      <c r="G3" s="174"/>
      <c r="H3" s="170"/>
      <c r="I3" s="174"/>
      <c r="J3" s="174"/>
      <c r="K3" s="175"/>
      <c r="L3" s="169"/>
      <c r="M3" s="170"/>
    </row>
    <row r="4" spans="2:13" x14ac:dyDescent="0.25">
      <c r="B4" s="176" t="s">
        <v>179</v>
      </c>
      <c r="C4" s="177"/>
      <c r="D4" s="178"/>
      <c r="E4" s="179" t="s">
        <v>180</v>
      </c>
      <c r="F4" s="180">
        <f>+'RESUMEN GENERAL'!F6:G6</f>
        <v>10144846.1555</v>
      </c>
      <c r="G4" s="181">
        <v>132071259</v>
      </c>
      <c r="H4" s="182"/>
      <c r="I4" s="183"/>
      <c r="J4" s="174"/>
      <c r="K4" s="182"/>
      <c r="L4" s="169"/>
      <c r="M4" s="170"/>
    </row>
    <row r="5" spans="2:13" x14ac:dyDescent="0.25">
      <c r="B5" s="184" t="s">
        <v>181</v>
      </c>
      <c r="C5" s="185"/>
      <c r="D5" s="186"/>
      <c r="E5" s="187" t="s">
        <v>182</v>
      </c>
      <c r="F5" s="188">
        <v>0.5</v>
      </c>
      <c r="G5" s="189">
        <f>+'[1]DESGLOSE AIU% OBSERVACION'!T60</f>
        <v>1191943.1124749999</v>
      </c>
      <c r="H5" s="170"/>
      <c r="I5" s="174"/>
      <c r="J5" s="174"/>
      <c r="K5" s="182"/>
      <c r="L5" s="169"/>
      <c r="M5" s="170"/>
    </row>
    <row r="6" spans="2:13" ht="15.75" thickBot="1" x14ac:dyDescent="0.3">
      <c r="B6" s="190" t="s">
        <v>183</v>
      </c>
      <c r="C6" s="191"/>
      <c r="D6" s="192"/>
      <c r="E6" s="193"/>
      <c r="F6" s="194" t="s">
        <v>184</v>
      </c>
      <c r="G6" s="174"/>
      <c r="H6" s="170"/>
      <c r="I6" s="174"/>
      <c r="J6" s="174"/>
      <c r="K6" s="182"/>
      <c r="L6" s="169"/>
      <c r="M6" s="170"/>
    </row>
    <row r="7" spans="2:13" ht="15.75" thickBot="1" x14ac:dyDescent="0.3">
      <c r="B7" s="171"/>
      <c r="C7" s="170"/>
      <c r="D7" s="172"/>
      <c r="E7" s="173"/>
      <c r="F7" s="173"/>
      <c r="G7" s="174"/>
      <c r="H7" s="170"/>
      <c r="I7" s="174"/>
      <c r="J7" s="174"/>
      <c r="K7" s="182"/>
      <c r="L7" s="169"/>
      <c r="M7" s="170"/>
    </row>
    <row r="8" spans="2:13" s="200" customFormat="1" ht="51.75" thickBot="1" x14ac:dyDescent="0.3">
      <c r="B8" s="195" t="s">
        <v>185</v>
      </c>
      <c r="C8" s="196" t="s">
        <v>186</v>
      </c>
      <c r="D8" s="196" t="s">
        <v>1</v>
      </c>
      <c r="E8" s="195" t="s">
        <v>187</v>
      </c>
      <c r="F8" s="195" t="s">
        <v>188</v>
      </c>
      <c r="G8" s="197" t="s">
        <v>189</v>
      </c>
      <c r="H8" s="196" t="s">
        <v>190</v>
      </c>
      <c r="I8" s="197" t="s">
        <v>39</v>
      </c>
      <c r="J8" s="197" t="s">
        <v>191</v>
      </c>
      <c r="K8" s="198" t="s">
        <v>192</v>
      </c>
      <c r="L8" s="199"/>
    </row>
    <row r="9" spans="2:13" x14ac:dyDescent="0.25">
      <c r="B9" s="201">
        <v>1</v>
      </c>
      <c r="C9" s="202" t="s">
        <v>193</v>
      </c>
      <c r="D9" s="203"/>
      <c r="E9" s="204"/>
      <c r="F9" s="204"/>
      <c r="G9" s="205"/>
      <c r="H9" s="206"/>
      <c r="I9" s="205"/>
      <c r="J9" s="205"/>
      <c r="K9" s="207">
        <f>+K10</f>
        <v>6.4154539247916587E-2</v>
      </c>
      <c r="L9" s="169"/>
      <c r="M9" s="170"/>
    </row>
    <row r="10" spans="2:13" x14ac:dyDescent="0.25">
      <c r="B10" s="208">
        <v>1.1000000000000001</v>
      </c>
      <c r="C10" s="209" t="s">
        <v>194</v>
      </c>
      <c r="D10" s="210"/>
      <c r="E10" s="211"/>
      <c r="F10" s="211"/>
      <c r="G10" s="212"/>
      <c r="H10" s="213"/>
      <c r="I10" s="212"/>
      <c r="J10" s="214">
        <f>SUM(I11:I26)</f>
        <v>650837.93084710045</v>
      </c>
      <c r="K10" s="215">
        <f>+J10/$F$4</f>
        <v>6.4154539247916587E-2</v>
      </c>
      <c r="L10" s="216"/>
      <c r="M10" s="182"/>
    </row>
    <row r="11" spans="2:13" hidden="1" x14ac:dyDescent="0.25">
      <c r="B11" s="208"/>
      <c r="C11" s="213" t="s">
        <v>195</v>
      </c>
      <c r="D11" s="210" t="s">
        <v>196</v>
      </c>
      <c r="E11" s="211">
        <f>+IF(F6="SI",1,0)</f>
        <v>0</v>
      </c>
      <c r="F11" s="217">
        <v>0</v>
      </c>
      <c r="G11" s="212">
        <v>0</v>
      </c>
      <c r="H11" s="218">
        <v>0</v>
      </c>
      <c r="I11" s="212">
        <f t="shared" ref="I11:I25" si="0">+E11*F11*$F$5*G11*(1+H11)</f>
        <v>0</v>
      </c>
      <c r="J11" s="212"/>
      <c r="K11" s="219">
        <f t="shared" ref="K11:K25" si="1">+I11/$F$4</f>
        <v>0</v>
      </c>
      <c r="L11" s="169"/>
      <c r="M11" s="170"/>
    </row>
    <row r="12" spans="2:13" ht="26.25" x14ac:dyDescent="0.25">
      <c r="B12" s="208"/>
      <c r="C12" s="270" t="s">
        <v>437</v>
      </c>
      <c r="D12" s="210" t="s">
        <v>196</v>
      </c>
      <c r="E12" s="211">
        <v>1</v>
      </c>
      <c r="F12" s="217">
        <v>0.2</v>
      </c>
      <c r="G12" s="212">
        <v>3421506</v>
      </c>
      <c r="H12" s="218">
        <v>0</v>
      </c>
      <c r="I12" s="212">
        <f>+E12*F12*$F$5*G12*(1+H12)</f>
        <v>342150.60000000003</v>
      </c>
      <c r="J12" s="212"/>
      <c r="K12" s="219">
        <f t="shared" si="1"/>
        <v>3.37265439766678E-2</v>
      </c>
      <c r="L12" s="169"/>
      <c r="M12" s="170"/>
    </row>
    <row r="13" spans="2:13" hidden="1" x14ac:dyDescent="0.25">
      <c r="B13" s="208"/>
      <c r="C13" s="213"/>
      <c r="D13" s="210" t="s">
        <v>196</v>
      </c>
      <c r="E13" s="211">
        <v>0</v>
      </c>
      <c r="F13" s="217">
        <v>0.5</v>
      </c>
      <c r="G13" s="212">
        <v>3274168</v>
      </c>
      <c r="H13" s="218">
        <v>0</v>
      </c>
      <c r="I13" s="212">
        <f t="shared" si="0"/>
        <v>0</v>
      </c>
      <c r="J13" s="212"/>
      <c r="K13" s="219">
        <f t="shared" si="1"/>
        <v>0</v>
      </c>
      <c r="L13" s="169"/>
      <c r="M13" s="170"/>
    </row>
    <row r="14" spans="2:13" hidden="1" x14ac:dyDescent="0.25">
      <c r="B14" s="208"/>
      <c r="C14" s="213"/>
      <c r="D14" s="210" t="s">
        <v>196</v>
      </c>
      <c r="E14" s="211">
        <v>0</v>
      </c>
      <c r="F14" s="217">
        <v>1</v>
      </c>
      <c r="G14" s="212">
        <v>2439364</v>
      </c>
      <c r="H14" s="218">
        <v>0</v>
      </c>
      <c r="I14" s="212">
        <f>+E14*F14*$F$5*G14*(1+H14)</f>
        <v>0</v>
      </c>
      <c r="J14" s="212"/>
      <c r="K14" s="219">
        <f t="shared" si="1"/>
        <v>0</v>
      </c>
      <c r="L14" s="169"/>
      <c r="M14" s="170"/>
    </row>
    <row r="15" spans="2:13" hidden="1" x14ac:dyDescent="0.25">
      <c r="B15" s="208"/>
      <c r="C15" s="213"/>
      <c r="D15" s="210" t="s">
        <v>196</v>
      </c>
      <c r="E15" s="211">
        <v>0</v>
      </c>
      <c r="F15" s="217">
        <v>0.3</v>
      </c>
      <c r="G15" s="212">
        <v>2439364</v>
      </c>
      <c r="H15" s="218">
        <v>0</v>
      </c>
      <c r="I15" s="212">
        <f t="shared" si="0"/>
        <v>0</v>
      </c>
      <c r="J15" s="212"/>
      <c r="K15" s="219">
        <f t="shared" si="1"/>
        <v>0</v>
      </c>
      <c r="L15" s="169"/>
      <c r="M15" s="170"/>
    </row>
    <row r="16" spans="2:13" hidden="1" x14ac:dyDescent="0.25">
      <c r="B16" s="208"/>
      <c r="C16" s="213" t="s">
        <v>197</v>
      </c>
      <c r="D16" s="210" t="s">
        <v>196</v>
      </c>
      <c r="E16" s="211">
        <v>1</v>
      </c>
      <c r="F16" s="217">
        <v>0</v>
      </c>
      <c r="G16" s="212">
        <v>0</v>
      </c>
      <c r="H16" s="218">
        <v>0</v>
      </c>
      <c r="I16" s="212">
        <f t="shared" si="0"/>
        <v>0</v>
      </c>
      <c r="J16" s="212"/>
      <c r="K16" s="219">
        <f t="shared" si="1"/>
        <v>0</v>
      </c>
      <c r="L16" s="169"/>
      <c r="M16" s="170"/>
    </row>
    <row r="17" spans="2:12" hidden="1" x14ac:dyDescent="0.25">
      <c r="B17" s="208"/>
      <c r="C17" s="213" t="s">
        <v>198</v>
      </c>
      <c r="D17" s="210" t="s">
        <v>196</v>
      </c>
      <c r="E17" s="211">
        <v>1</v>
      </c>
      <c r="F17" s="217">
        <v>0</v>
      </c>
      <c r="G17" s="212">
        <v>0</v>
      </c>
      <c r="H17" s="218">
        <v>0</v>
      </c>
      <c r="I17" s="212">
        <f t="shared" si="0"/>
        <v>0</v>
      </c>
      <c r="J17" s="212"/>
      <c r="K17" s="219">
        <f t="shared" si="1"/>
        <v>0</v>
      </c>
      <c r="L17" s="169"/>
    </row>
    <row r="18" spans="2:12" hidden="1" x14ac:dyDescent="0.25">
      <c r="B18" s="208"/>
      <c r="C18" s="220" t="s">
        <v>199</v>
      </c>
      <c r="D18" s="210" t="s">
        <v>196</v>
      </c>
      <c r="E18" s="211">
        <v>1</v>
      </c>
      <c r="F18" s="217">
        <v>0</v>
      </c>
      <c r="G18" s="212">
        <v>0</v>
      </c>
      <c r="H18" s="218">
        <v>0</v>
      </c>
      <c r="I18" s="212">
        <f t="shared" si="0"/>
        <v>0</v>
      </c>
      <c r="J18" s="212"/>
      <c r="K18" s="219">
        <f t="shared" si="1"/>
        <v>0</v>
      </c>
      <c r="L18" s="169"/>
    </row>
    <row r="19" spans="2:12" hidden="1" x14ac:dyDescent="0.25">
      <c r="B19" s="208"/>
      <c r="C19" s="213" t="s">
        <v>200</v>
      </c>
      <c r="D19" s="210" t="s">
        <v>196</v>
      </c>
      <c r="E19" s="211">
        <v>1</v>
      </c>
      <c r="F19" s="217">
        <v>0</v>
      </c>
      <c r="G19" s="221">
        <v>0</v>
      </c>
      <c r="H19" s="218">
        <v>0</v>
      </c>
      <c r="I19" s="212">
        <f t="shared" si="0"/>
        <v>0</v>
      </c>
      <c r="J19" s="212"/>
      <c r="K19" s="219">
        <f t="shared" si="1"/>
        <v>0</v>
      </c>
      <c r="L19" s="169"/>
    </row>
    <row r="20" spans="2:12" hidden="1" x14ac:dyDescent="0.25">
      <c r="B20" s="208"/>
      <c r="C20" s="220" t="s">
        <v>201</v>
      </c>
      <c r="D20" s="210" t="s">
        <v>196</v>
      </c>
      <c r="E20" s="211">
        <v>1</v>
      </c>
      <c r="F20" s="217">
        <v>0</v>
      </c>
      <c r="G20" s="221">
        <v>0</v>
      </c>
      <c r="H20" s="218">
        <v>0</v>
      </c>
      <c r="I20" s="212">
        <f t="shared" si="0"/>
        <v>0</v>
      </c>
      <c r="J20" s="212"/>
      <c r="K20" s="219">
        <f t="shared" si="1"/>
        <v>0</v>
      </c>
      <c r="L20" s="216"/>
    </row>
    <row r="21" spans="2:12" hidden="1" x14ac:dyDescent="0.25">
      <c r="B21" s="208"/>
      <c r="C21" s="222" t="s">
        <v>202</v>
      </c>
      <c r="D21" s="210" t="s">
        <v>203</v>
      </c>
      <c r="E21" s="211">
        <v>1</v>
      </c>
      <c r="F21" s="217">
        <v>0</v>
      </c>
      <c r="G21" s="221">
        <v>0</v>
      </c>
      <c r="H21" s="218"/>
      <c r="I21" s="212">
        <f t="shared" si="0"/>
        <v>0</v>
      </c>
      <c r="J21" s="212"/>
      <c r="K21" s="219">
        <f t="shared" si="1"/>
        <v>0</v>
      </c>
      <c r="L21" s="216"/>
    </row>
    <row r="22" spans="2:12" hidden="1" x14ac:dyDescent="0.25">
      <c r="B22" s="208"/>
      <c r="C22" s="220" t="s">
        <v>204</v>
      </c>
      <c r="D22" s="210" t="s">
        <v>203</v>
      </c>
      <c r="E22" s="211">
        <v>1</v>
      </c>
      <c r="F22" s="217">
        <v>0</v>
      </c>
      <c r="G22" s="221">
        <v>0</v>
      </c>
      <c r="H22" s="218"/>
      <c r="I22" s="212">
        <f t="shared" si="0"/>
        <v>0</v>
      </c>
      <c r="J22" s="212"/>
      <c r="K22" s="219">
        <f t="shared" si="1"/>
        <v>0</v>
      </c>
      <c r="L22" s="216"/>
    </row>
    <row r="23" spans="2:12" hidden="1" x14ac:dyDescent="0.25">
      <c r="B23" s="208"/>
      <c r="C23" s="220" t="s">
        <v>205</v>
      </c>
      <c r="D23" s="210" t="s">
        <v>203</v>
      </c>
      <c r="E23" s="211">
        <v>1</v>
      </c>
      <c r="F23" s="217">
        <v>0</v>
      </c>
      <c r="G23" s="221">
        <v>0</v>
      </c>
      <c r="H23" s="218"/>
      <c r="I23" s="212">
        <f t="shared" si="0"/>
        <v>0</v>
      </c>
      <c r="J23" s="212"/>
      <c r="K23" s="219">
        <f t="shared" si="1"/>
        <v>0</v>
      </c>
      <c r="L23" s="216"/>
    </row>
    <row r="24" spans="2:12" hidden="1" x14ac:dyDescent="0.25">
      <c r="B24" s="208"/>
      <c r="C24" s="220" t="s">
        <v>206</v>
      </c>
      <c r="D24" s="210" t="s">
        <v>203</v>
      </c>
      <c r="E24" s="211">
        <v>1</v>
      </c>
      <c r="F24" s="217">
        <v>0</v>
      </c>
      <c r="G24" s="221">
        <v>0</v>
      </c>
      <c r="H24" s="218"/>
      <c r="I24" s="212">
        <f t="shared" si="0"/>
        <v>0</v>
      </c>
      <c r="J24" s="212"/>
      <c r="K24" s="219">
        <f t="shared" si="1"/>
        <v>0</v>
      </c>
      <c r="L24" s="216"/>
    </row>
    <row r="25" spans="2:12" hidden="1" x14ac:dyDescent="0.25">
      <c r="B25" s="208"/>
      <c r="C25" s="220" t="s">
        <v>207</v>
      </c>
      <c r="D25" s="210" t="s">
        <v>203</v>
      </c>
      <c r="E25" s="211">
        <v>1</v>
      </c>
      <c r="F25" s="217">
        <v>0</v>
      </c>
      <c r="G25" s="221">
        <v>0</v>
      </c>
      <c r="H25" s="218"/>
      <c r="I25" s="212">
        <f t="shared" si="0"/>
        <v>0</v>
      </c>
      <c r="J25" s="212"/>
      <c r="K25" s="219">
        <f t="shared" si="1"/>
        <v>0</v>
      </c>
      <c r="L25" s="216"/>
    </row>
    <row r="26" spans="2:12" ht="26.25" x14ac:dyDescent="0.25">
      <c r="B26" s="208"/>
      <c r="C26" s="223" t="s">
        <v>208</v>
      </c>
      <c r="D26" s="210" t="s">
        <v>203</v>
      </c>
      <c r="E26" s="211">
        <v>1</v>
      </c>
      <c r="F26" s="217">
        <v>0.36</v>
      </c>
      <c r="G26" s="221">
        <v>1714929.6158172244</v>
      </c>
      <c r="H26" s="218"/>
      <c r="I26" s="212">
        <f>+E26*F26*$F$5*G26*(1+H26)</f>
        <v>308687.33084710035</v>
      </c>
      <c r="J26" s="212"/>
      <c r="K26" s="219">
        <f>+I26/$F$4</f>
        <v>3.0427995271248776E-2</v>
      </c>
      <c r="L26" s="216"/>
    </row>
    <row r="27" spans="2:12" x14ac:dyDescent="0.25">
      <c r="B27" s="208">
        <v>2</v>
      </c>
      <c r="C27" s="224" t="s">
        <v>209</v>
      </c>
      <c r="D27" s="210"/>
      <c r="E27" s="211"/>
      <c r="F27" s="211"/>
      <c r="G27" s="212"/>
      <c r="H27" s="213"/>
      <c r="I27" s="212"/>
      <c r="J27" s="212"/>
      <c r="K27" s="225">
        <f>+K28+K32+K41</f>
        <v>7.0028500000000007E-2</v>
      </c>
      <c r="L27" s="169"/>
    </row>
    <row r="28" spans="2:12" x14ac:dyDescent="0.25">
      <c r="B28" s="208">
        <v>2.1</v>
      </c>
      <c r="C28" s="209" t="s">
        <v>210</v>
      </c>
      <c r="D28" s="210"/>
      <c r="E28" s="211"/>
      <c r="F28" s="211"/>
      <c r="G28" s="212"/>
      <c r="H28" s="213"/>
      <c r="I28" s="212"/>
      <c r="J28" s="214">
        <f>SUM(I29:I31)</f>
        <v>0</v>
      </c>
      <c r="K28" s="215">
        <f>+J28/$F$4</f>
        <v>0</v>
      </c>
      <c r="L28" s="216"/>
    </row>
    <row r="29" spans="2:12" ht="19.5" customHeight="1" x14ac:dyDescent="0.25">
      <c r="B29" s="208"/>
      <c r="C29" s="213" t="s">
        <v>211</v>
      </c>
      <c r="D29" s="210" t="s">
        <v>30</v>
      </c>
      <c r="E29" s="218">
        <v>0</v>
      </c>
      <c r="F29" s="211"/>
      <c r="G29" s="226">
        <v>0</v>
      </c>
      <c r="H29" s="227">
        <v>1</v>
      </c>
      <c r="I29" s="212">
        <f>+G29*E29*H29</f>
        <v>0</v>
      </c>
      <c r="J29" s="212"/>
      <c r="K29" s="219">
        <f>+I29/$F$4</f>
        <v>0</v>
      </c>
      <c r="L29" s="169"/>
    </row>
    <row r="30" spans="2:12" s="232" customFormat="1" ht="12.75" x14ac:dyDescent="0.2">
      <c r="B30" s="228"/>
      <c r="C30" s="220" t="s">
        <v>212</v>
      </c>
      <c r="D30" s="210" t="s">
        <v>30</v>
      </c>
      <c r="E30" s="218">
        <v>0</v>
      </c>
      <c r="F30" s="229"/>
      <c r="G30" s="226">
        <v>0</v>
      </c>
      <c r="H30" s="227">
        <f>+$H$29</f>
        <v>1</v>
      </c>
      <c r="I30" s="212">
        <f>+G30*E30*H30</f>
        <v>0</v>
      </c>
      <c r="J30" s="221"/>
      <c r="K30" s="230">
        <f>+I30/$F$4</f>
        <v>0</v>
      </c>
      <c r="L30" s="231"/>
    </row>
    <row r="31" spans="2:12" s="232" customFormat="1" ht="12.75" x14ac:dyDescent="0.2">
      <c r="B31" s="228"/>
      <c r="C31" s="220" t="s">
        <v>213</v>
      </c>
      <c r="D31" s="210" t="s">
        <v>30</v>
      </c>
      <c r="E31" s="218">
        <v>0</v>
      </c>
      <c r="F31" s="229"/>
      <c r="G31" s="226">
        <v>0</v>
      </c>
      <c r="H31" s="227">
        <f>+$H$29</f>
        <v>1</v>
      </c>
      <c r="I31" s="212">
        <f>+G31*E31*H31</f>
        <v>0</v>
      </c>
      <c r="J31" s="221"/>
      <c r="K31" s="230">
        <f>+I31/$F$4</f>
        <v>0</v>
      </c>
      <c r="L31" s="231"/>
    </row>
    <row r="32" spans="2:12" x14ac:dyDescent="0.25">
      <c r="B32" s="208">
        <v>2.2000000000000002</v>
      </c>
      <c r="C32" s="209" t="s">
        <v>214</v>
      </c>
      <c r="D32" s="210"/>
      <c r="E32" s="211"/>
      <c r="F32" s="211"/>
      <c r="G32" s="212"/>
      <c r="H32" s="227"/>
      <c r="I32" s="212"/>
      <c r="J32" s="214">
        <f>SUM(I33:I40)</f>
        <v>101448.46155500002</v>
      </c>
      <c r="K32" s="215">
        <f>+J32/$F$4</f>
        <v>1.0000000000000002E-2</v>
      </c>
      <c r="L32" s="216"/>
    </row>
    <row r="33" spans="2:12" x14ac:dyDescent="0.25">
      <c r="B33" s="208"/>
      <c r="C33" s="213" t="s">
        <v>215</v>
      </c>
      <c r="D33" s="210" t="s">
        <v>30</v>
      </c>
      <c r="E33" s="218">
        <v>0</v>
      </c>
      <c r="F33" s="211"/>
      <c r="G33" s="212">
        <f>+$F$4</f>
        <v>10144846.1555</v>
      </c>
      <c r="H33" s="227">
        <f t="shared" ref="H33:H40" si="2">+$H$29</f>
        <v>1</v>
      </c>
      <c r="I33" s="212">
        <f t="shared" ref="I33:I40" si="3">+G33*E33*H33</f>
        <v>0</v>
      </c>
      <c r="J33" s="212"/>
      <c r="K33" s="219">
        <f t="shared" ref="K33:K40" si="4">+I33/$F$4</f>
        <v>0</v>
      </c>
      <c r="L33" s="169"/>
    </row>
    <row r="34" spans="2:12" x14ac:dyDescent="0.25">
      <c r="B34" s="208"/>
      <c r="C34" s="213" t="s">
        <v>216</v>
      </c>
      <c r="D34" s="210" t="s">
        <v>30</v>
      </c>
      <c r="E34" s="218">
        <v>0</v>
      </c>
      <c r="F34" s="211"/>
      <c r="G34" s="212">
        <v>0</v>
      </c>
      <c r="H34" s="227">
        <f t="shared" si="2"/>
        <v>1</v>
      </c>
      <c r="I34" s="212">
        <f t="shared" si="3"/>
        <v>0</v>
      </c>
      <c r="J34" s="212"/>
      <c r="K34" s="219">
        <f t="shared" si="4"/>
        <v>0</v>
      </c>
      <c r="L34" s="169"/>
    </row>
    <row r="35" spans="2:12" x14ac:dyDescent="0.25">
      <c r="B35" s="208"/>
      <c r="C35" s="213" t="s">
        <v>217</v>
      </c>
      <c r="D35" s="210" t="s">
        <v>30</v>
      </c>
      <c r="E35" s="218">
        <v>2E-3</v>
      </c>
      <c r="F35" s="211"/>
      <c r="G35" s="212">
        <f>+$F$4</f>
        <v>10144846.1555</v>
      </c>
      <c r="H35" s="227">
        <f t="shared" si="2"/>
        <v>1</v>
      </c>
      <c r="I35" s="212">
        <f t="shared" si="3"/>
        <v>20289.692311000003</v>
      </c>
      <c r="J35" s="212"/>
      <c r="K35" s="219">
        <f t="shared" si="4"/>
        <v>2E-3</v>
      </c>
      <c r="L35" s="169"/>
    </row>
    <row r="36" spans="2:12" x14ac:dyDescent="0.25">
      <c r="B36" s="208"/>
      <c r="C36" s="213" t="s">
        <v>218</v>
      </c>
      <c r="D36" s="210" t="s">
        <v>30</v>
      </c>
      <c r="E36" s="218">
        <v>2E-3</v>
      </c>
      <c r="F36" s="211"/>
      <c r="G36" s="212">
        <f>+$F$4</f>
        <v>10144846.1555</v>
      </c>
      <c r="H36" s="227">
        <f t="shared" si="2"/>
        <v>1</v>
      </c>
      <c r="I36" s="212">
        <f t="shared" si="3"/>
        <v>20289.692311000003</v>
      </c>
      <c r="J36" s="212"/>
      <c r="K36" s="219">
        <f t="shared" si="4"/>
        <v>2E-3</v>
      </c>
      <c r="L36" s="169"/>
    </row>
    <row r="37" spans="2:12" x14ac:dyDescent="0.25">
      <c r="B37" s="208"/>
      <c r="C37" s="213" t="s">
        <v>219</v>
      </c>
      <c r="D37" s="210" t="s">
        <v>30</v>
      </c>
      <c r="E37" s="218">
        <v>2E-3</v>
      </c>
      <c r="F37" s="211"/>
      <c r="G37" s="212">
        <f>+$F$4</f>
        <v>10144846.1555</v>
      </c>
      <c r="H37" s="227">
        <f t="shared" si="2"/>
        <v>1</v>
      </c>
      <c r="I37" s="212">
        <f t="shared" si="3"/>
        <v>20289.692311000003</v>
      </c>
      <c r="J37" s="212"/>
      <c r="K37" s="219">
        <f t="shared" si="4"/>
        <v>2E-3</v>
      </c>
      <c r="L37" s="169"/>
    </row>
    <row r="38" spans="2:12" x14ac:dyDescent="0.25">
      <c r="B38" s="208"/>
      <c r="C38" s="213" t="s">
        <v>220</v>
      </c>
      <c r="D38" s="210" t="s">
        <v>30</v>
      </c>
      <c r="E38" s="218">
        <v>2E-3</v>
      </c>
      <c r="F38" s="211"/>
      <c r="G38" s="212">
        <f>+$F$4</f>
        <v>10144846.1555</v>
      </c>
      <c r="H38" s="227">
        <f t="shared" si="2"/>
        <v>1</v>
      </c>
      <c r="I38" s="212">
        <f t="shared" si="3"/>
        <v>20289.692311000003</v>
      </c>
      <c r="J38" s="212"/>
      <c r="K38" s="219">
        <f t="shared" si="4"/>
        <v>2E-3</v>
      </c>
      <c r="L38" s="169"/>
    </row>
    <row r="39" spans="2:12" x14ac:dyDescent="0.25">
      <c r="B39" s="208"/>
      <c r="C39" s="213" t="s">
        <v>221</v>
      </c>
      <c r="D39" s="210" t="s">
        <v>30</v>
      </c>
      <c r="E39" s="218">
        <v>2E-3</v>
      </c>
      <c r="F39" s="211"/>
      <c r="G39" s="212">
        <f>+$F$4</f>
        <v>10144846.1555</v>
      </c>
      <c r="H39" s="227">
        <f t="shared" si="2"/>
        <v>1</v>
      </c>
      <c r="I39" s="212">
        <f t="shared" si="3"/>
        <v>20289.692311000003</v>
      </c>
      <c r="J39" s="212"/>
      <c r="K39" s="219">
        <f t="shared" si="4"/>
        <v>2E-3</v>
      </c>
      <c r="L39" s="169"/>
    </row>
    <row r="40" spans="2:12" x14ac:dyDescent="0.25">
      <c r="B40" s="208"/>
      <c r="C40" s="213" t="s">
        <v>222</v>
      </c>
      <c r="D40" s="210" t="s">
        <v>30</v>
      </c>
      <c r="E40" s="218">
        <v>0</v>
      </c>
      <c r="F40" s="211"/>
      <c r="G40" s="212">
        <v>0</v>
      </c>
      <c r="H40" s="227">
        <f t="shared" si="2"/>
        <v>1</v>
      </c>
      <c r="I40" s="212">
        <f t="shared" si="3"/>
        <v>0</v>
      </c>
      <c r="J40" s="212"/>
      <c r="K40" s="219">
        <f t="shared" si="4"/>
        <v>0</v>
      </c>
      <c r="L40" s="169"/>
    </row>
    <row r="41" spans="2:12" x14ac:dyDescent="0.25">
      <c r="B41" s="208">
        <v>2.2999999999999998</v>
      </c>
      <c r="C41" s="209" t="s">
        <v>223</v>
      </c>
      <c r="D41" s="210"/>
      <c r="E41" s="211"/>
      <c r="F41" s="211"/>
      <c r="G41" s="212"/>
      <c r="H41" s="227"/>
      <c r="I41" s="212"/>
      <c r="J41" s="214">
        <f>SUM(I42:I49)</f>
        <v>608979.89744543179</v>
      </c>
      <c r="K41" s="215">
        <f>+J41/$F$4</f>
        <v>6.0028500000000005E-2</v>
      </c>
      <c r="L41" s="216"/>
    </row>
    <row r="42" spans="2:12" x14ac:dyDescent="0.25">
      <c r="B42" s="208"/>
      <c r="C42" s="213"/>
      <c r="D42" s="210"/>
      <c r="E42" s="218"/>
      <c r="F42" s="211"/>
      <c r="G42" s="221">
        <f>+G39</f>
        <v>10144846.1555</v>
      </c>
      <c r="H42" s="227">
        <v>1</v>
      </c>
      <c r="I42" s="212">
        <f t="shared" ref="I42:I48" si="5">+G42*E42*H42</f>
        <v>0</v>
      </c>
      <c r="J42" s="212"/>
      <c r="K42" s="219">
        <f t="shared" ref="K42:K48" si="6">+I42/$F$4</f>
        <v>0</v>
      </c>
      <c r="L42" s="169"/>
    </row>
    <row r="43" spans="2:12" x14ac:dyDescent="0.25">
      <c r="B43" s="208"/>
      <c r="C43" s="213" t="s">
        <v>224</v>
      </c>
      <c r="D43" s="210" t="s">
        <v>30</v>
      </c>
      <c r="E43" s="218">
        <v>0.05</v>
      </c>
      <c r="F43" s="211"/>
      <c r="G43" s="221">
        <f>+G39</f>
        <v>10144846.1555</v>
      </c>
      <c r="H43" s="227">
        <v>1</v>
      </c>
      <c r="I43" s="212">
        <f>+G43*E43*H43</f>
        <v>507242.30777500005</v>
      </c>
      <c r="J43" s="212"/>
      <c r="K43" s="219">
        <f t="shared" si="6"/>
        <v>0.05</v>
      </c>
      <c r="L43" s="169"/>
    </row>
    <row r="44" spans="2:12" x14ac:dyDescent="0.25">
      <c r="B44" s="208"/>
      <c r="C44" s="213" t="s">
        <v>225</v>
      </c>
      <c r="D44" s="210" t="s">
        <v>30</v>
      </c>
      <c r="E44" s="233">
        <v>0</v>
      </c>
      <c r="F44" s="211"/>
      <c r="G44" s="221">
        <v>0</v>
      </c>
      <c r="H44" s="227">
        <v>1</v>
      </c>
      <c r="I44" s="212">
        <f t="shared" si="5"/>
        <v>0</v>
      </c>
      <c r="J44" s="212"/>
      <c r="K44" s="219">
        <f t="shared" si="6"/>
        <v>0</v>
      </c>
      <c r="L44" s="169"/>
    </row>
    <row r="45" spans="2:12" x14ac:dyDescent="0.25">
      <c r="B45" s="208"/>
      <c r="C45" s="213" t="s">
        <v>226</v>
      </c>
      <c r="D45" s="210" t="s">
        <v>30</v>
      </c>
      <c r="E45" s="218">
        <v>0</v>
      </c>
      <c r="F45" s="211"/>
      <c r="G45" s="212">
        <v>0</v>
      </c>
      <c r="H45" s="227">
        <v>1</v>
      </c>
      <c r="I45" s="212">
        <f t="shared" si="5"/>
        <v>0</v>
      </c>
      <c r="J45" s="212"/>
      <c r="K45" s="219">
        <f t="shared" si="6"/>
        <v>0</v>
      </c>
      <c r="L45" s="169"/>
    </row>
    <row r="46" spans="2:12" x14ac:dyDescent="0.25">
      <c r="B46" s="208"/>
      <c r="C46" s="213" t="s">
        <v>227</v>
      </c>
      <c r="D46" s="210" t="s">
        <v>30</v>
      </c>
      <c r="E46" s="267">
        <v>1.4999999999999999E-4</v>
      </c>
      <c r="F46" s="211"/>
      <c r="G46" s="212">
        <f>+F4*J55</f>
        <v>1927520.769545</v>
      </c>
      <c r="H46" s="227">
        <v>1</v>
      </c>
      <c r="I46" s="212">
        <f t="shared" si="5"/>
        <v>289.12811543174996</v>
      </c>
      <c r="J46" s="212"/>
      <c r="K46" s="219">
        <f t="shared" si="6"/>
        <v>2.8499999999999995E-5</v>
      </c>
      <c r="L46" s="169"/>
    </row>
    <row r="47" spans="2:12" x14ac:dyDescent="0.25">
      <c r="B47" s="208"/>
      <c r="C47" s="213" t="s">
        <v>228</v>
      </c>
      <c r="D47" s="210" t="s">
        <v>30</v>
      </c>
      <c r="E47" s="218">
        <v>0.01</v>
      </c>
      <c r="F47" s="211"/>
      <c r="G47" s="212">
        <f>+F4</f>
        <v>10144846.1555</v>
      </c>
      <c r="H47" s="227">
        <v>1</v>
      </c>
      <c r="I47" s="212">
        <f>+G47*E47*H47</f>
        <v>101448.461555</v>
      </c>
      <c r="J47" s="212"/>
      <c r="K47" s="219">
        <f t="shared" si="6"/>
        <v>0.01</v>
      </c>
      <c r="L47" s="169"/>
    </row>
    <row r="48" spans="2:12" x14ac:dyDescent="0.25">
      <c r="B48" s="234"/>
      <c r="C48" s="213" t="s">
        <v>229</v>
      </c>
      <c r="D48" s="210" t="s">
        <v>30</v>
      </c>
      <c r="E48" s="218">
        <v>0</v>
      </c>
      <c r="F48" s="211"/>
      <c r="G48" s="212">
        <v>0</v>
      </c>
      <c r="H48" s="227">
        <v>1</v>
      </c>
      <c r="I48" s="212">
        <f t="shared" si="5"/>
        <v>0</v>
      </c>
      <c r="J48" s="212"/>
      <c r="K48" s="219">
        <f t="shared" si="6"/>
        <v>0</v>
      </c>
      <c r="L48" s="169"/>
    </row>
    <row r="49" spans="2:12" x14ac:dyDescent="0.25">
      <c r="B49" s="234"/>
      <c r="C49" s="213"/>
      <c r="D49" s="210"/>
      <c r="E49" s="218"/>
      <c r="F49" s="211"/>
      <c r="G49" s="212"/>
      <c r="H49" s="227">
        <v>1</v>
      </c>
      <c r="I49" s="212"/>
      <c r="J49" s="212"/>
      <c r="K49" s="219"/>
      <c r="L49" s="169"/>
    </row>
    <row r="50" spans="2:12" x14ac:dyDescent="0.25">
      <c r="B50" s="208">
        <v>2.2999999999999998</v>
      </c>
      <c r="C50" s="209" t="s">
        <v>230</v>
      </c>
      <c r="D50" s="210"/>
      <c r="E50" s="211"/>
      <c r="F50" s="211"/>
      <c r="G50" s="212"/>
      <c r="H50" s="227"/>
      <c r="I50" s="212"/>
      <c r="J50" s="214">
        <f>SUM(I52:I59)</f>
        <v>0</v>
      </c>
      <c r="K50" s="215">
        <f>+K51</f>
        <v>9.8572219299535926E-3</v>
      </c>
      <c r="L50" s="169"/>
    </row>
    <row r="51" spans="2:12" ht="27" thickBot="1" x14ac:dyDescent="0.3">
      <c r="B51" s="234"/>
      <c r="C51" s="270" t="s">
        <v>248</v>
      </c>
      <c r="D51" s="210" t="s">
        <v>30</v>
      </c>
      <c r="E51" s="218">
        <v>1</v>
      </c>
      <c r="F51" s="211"/>
      <c r="G51" s="212">
        <v>100000</v>
      </c>
      <c r="H51" s="227">
        <v>1</v>
      </c>
      <c r="I51" s="212">
        <f>+G51</f>
        <v>100000</v>
      </c>
      <c r="J51" s="212">
        <f>+I51</f>
        <v>100000</v>
      </c>
      <c r="K51" s="219">
        <f>+I51/$F$4</f>
        <v>9.8572219299535926E-3</v>
      </c>
      <c r="L51" s="169"/>
    </row>
    <row r="52" spans="2:12" ht="15.75" thickBot="1" x14ac:dyDescent="0.3">
      <c r="B52" s="235"/>
      <c r="C52" s="236" t="s">
        <v>231</v>
      </c>
      <c r="D52" s="237"/>
      <c r="E52" s="238"/>
      <c r="F52" s="238"/>
      <c r="G52" s="239"/>
      <c r="H52" s="240"/>
      <c r="I52" s="241"/>
      <c r="J52" s="242">
        <f>SUM(J10:J51)</f>
        <v>1461266.2898475323</v>
      </c>
      <c r="K52" s="243">
        <f>+K50+K27+K9</f>
        <v>0.14404026117787019</v>
      </c>
      <c r="L52" s="216"/>
    </row>
    <row r="53" spans="2:12" x14ac:dyDescent="0.25">
      <c r="B53" s="244"/>
      <c r="C53" s="245" t="s">
        <v>232</v>
      </c>
      <c r="D53" s="203"/>
      <c r="E53" s="204"/>
      <c r="F53" s="204"/>
      <c r="G53" s="205"/>
      <c r="H53" s="206"/>
      <c r="I53" s="205"/>
      <c r="J53" s="205"/>
      <c r="K53" s="246">
        <v>0</v>
      </c>
      <c r="L53" s="169"/>
    </row>
    <row r="54" spans="2:12" x14ac:dyDescent="0.25">
      <c r="B54" s="234"/>
      <c r="C54" s="247" t="s">
        <v>233</v>
      </c>
      <c r="D54" s="210"/>
      <c r="E54" s="211"/>
      <c r="F54" s="211"/>
      <c r="G54" s="212"/>
      <c r="H54" s="213"/>
      <c r="I54" s="212"/>
      <c r="J54" s="212"/>
      <c r="K54" s="219">
        <v>0.05</v>
      </c>
      <c r="L54" s="169"/>
    </row>
    <row r="55" spans="2:12" ht="15.75" thickBot="1" x14ac:dyDescent="0.3">
      <c r="B55" s="234"/>
      <c r="C55" s="247" t="s">
        <v>234</v>
      </c>
      <c r="D55" s="210"/>
      <c r="E55" s="211"/>
      <c r="F55" s="211"/>
      <c r="G55" s="212"/>
      <c r="H55" s="213"/>
      <c r="I55" s="212"/>
      <c r="J55" s="248">
        <v>0.19</v>
      </c>
      <c r="K55" s="219">
        <f>K54*J55</f>
        <v>9.5000000000000015E-3</v>
      </c>
      <c r="L55" s="169"/>
    </row>
    <row r="56" spans="2:12" ht="15.75" thickBot="1" x14ac:dyDescent="0.3">
      <c r="B56" s="235"/>
      <c r="C56" s="236" t="s">
        <v>235</v>
      </c>
      <c r="D56" s="237"/>
      <c r="E56" s="238"/>
      <c r="F56" s="238"/>
      <c r="G56" s="239"/>
      <c r="H56" s="240"/>
      <c r="I56" s="241"/>
      <c r="J56" s="242"/>
      <c r="K56" s="266">
        <f>SUM(K52:K55)</f>
        <v>0.20354026117787022</v>
      </c>
      <c r="L56" s="216"/>
    </row>
    <row r="58" spans="2:12" x14ac:dyDescent="0.25">
      <c r="B58" s="249"/>
      <c r="C58" s="249"/>
      <c r="D58" s="249"/>
      <c r="E58" s="173"/>
      <c r="F58" s="173"/>
      <c r="G58" s="174"/>
      <c r="H58" s="170"/>
      <c r="I58" s="174"/>
      <c r="J58" s="174"/>
      <c r="K58" s="182"/>
      <c r="L58" s="169"/>
    </row>
    <row r="60" spans="2:12" s="200" customFormat="1" ht="26.25" hidden="1" thickBot="1" x14ac:dyDescent="0.3">
      <c r="B60" s="250"/>
      <c r="C60" s="196" t="s">
        <v>236</v>
      </c>
      <c r="D60" s="196"/>
      <c r="E60" s="195" t="s">
        <v>237</v>
      </c>
      <c r="F60" s="197" t="s">
        <v>238</v>
      </c>
      <c r="G60" s="196" t="s">
        <v>239</v>
      </c>
      <c r="I60" s="251"/>
      <c r="J60" s="251"/>
      <c r="K60" s="252"/>
      <c r="L60" s="199"/>
    </row>
    <row r="61" spans="2:12" hidden="1" x14ac:dyDescent="0.25">
      <c r="C61" s="253" t="s">
        <v>240</v>
      </c>
      <c r="D61" s="254"/>
      <c r="E61" s="255"/>
      <c r="F61" s="256">
        <v>0.02</v>
      </c>
      <c r="G61" s="255"/>
      <c r="H61" s="170"/>
      <c r="I61" s="174"/>
      <c r="J61" s="174"/>
      <c r="K61" s="182"/>
      <c r="L61" s="169"/>
    </row>
    <row r="62" spans="2:12" hidden="1" x14ac:dyDescent="0.25">
      <c r="B62" s="171"/>
      <c r="C62" s="257" t="s">
        <v>241</v>
      </c>
      <c r="D62" s="258"/>
      <c r="E62" s="259"/>
      <c r="F62" s="260">
        <v>0.01</v>
      </c>
      <c r="G62" s="259"/>
      <c r="H62" s="170"/>
      <c r="I62" s="174"/>
      <c r="J62" s="174"/>
      <c r="K62" s="182"/>
      <c r="L62" s="169"/>
    </row>
    <row r="63" spans="2:12" hidden="1" x14ac:dyDescent="0.25">
      <c r="B63" s="171"/>
      <c r="C63" s="257" t="s">
        <v>242</v>
      </c>
      <c r="D63" s="258"/>
      <c r="E63" s="259">
        <v>53000000</v>
      </c>
      <c r="F63" s="260">
        <v>7.4999999999999997E-3</v>
      </c>
      <c r="G63" s="259"/>
      <c r="H63" s="170"/>
      <c r="I63" s="174"/>
      <c r="J63" s="174"/>
      <c r="K63" s="182"/>
      <c r="L63" s="169"/>
    </row>
    <row r="64" spans="2:12" hidden="1" x14ac:dyDescent="0.25">
      <c r="B64" s="171"/>
      <c r="C64" s="257" t="s">
        <v>243</v>
      </c>
      <c r="D64" s="258"/>
      <c r="E64" s="259"/>
      <c r="F64" s="261">
        <v>0.01</v>
      </c>
      <c r="G64" s="259"/>
      <c r="H64" s="170"/>
      <c r="I64" s="174"/>
      <c r="J64" s="174"/>
      <c r="K64" s="182"/>
      <c r="L64" s="169"/>
    </row>
    <row r="65" spans="3:7" hidden="1" x14ac:dyDescent="0.25">
      <c r="C65" s="257" t="s">
        <v>244</v>
      </c>
      <c r="D65" s="258"/>
      <c r="E65" s="259"/>
      <c r="F65" s="260"/>
      <c r="G65" s="259">
        <v>5530</v>
      </c>
    </row>
    <row r="66" spans="3:7" hidden="1" x14ac:dyDescent="0.25">
      <c r="C66" s="257" t="s">
        <v>245</v>
      </c>
      <c r="D66" s="258"/>
      <c r="E66" s="259"/>
      <c r="F66" s="260">
        <v>0.05</v>
      </c>
      <c r="G66" s="259"/>
    </row>
    <row r="67" spans="3:7" ht="15.75" hidden="1" thickBot="1" x14ac:dyDescent="0.3">
      <c r="C67" s="262" t="s">
        <v>246</v>
      </c>
      <c r="D67" s="263"/>
      <c r="E67" s="264"/>
      <c r="F67" s="265">
        <v>4.0000000000000001E-3</v>
      </c>
      <c r="G67" s="264"/>
    </row>
    <row r="68" spans="3:7" x14ac:dyDescent="0.25">
      <c r="C68" s="170"/>
      <c r="D68" s="172"/>
      <c r="E68" s="173"/>
      <c r="F68" s="173"/>
      <c r="G68" s="174"/>
    </row>
  </sheetData>
  <mergeCells count="1">
    <mergeCell ref="B2:K2"/>
  </mergeCells>
  <pageMargins left="0.70866141732283472" right="0.70866141732283472" top="0.74803149606299213" bottom="0.74803149606299213" header="0.31496062992125984" footer="0.31496062992125984"/>
  <pageSetup paperSize="119" scale="53" orientation="portrait" horizontalDpi="1200" verticalDpi="1200" r:id="rId1"/>
  <ignoredErrors>
    <ignoredError sqref="K32 K41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4BBEB-3495-408F-9463-2D672F68B710}">
  <sheetPr>
    <tabColor rgb="FF92D050"/>
  </sheetPr>
  <dimension ref="D3:U49"/>
  <sheetViews>
    <sheetView topLeftCell="B14" zoomScale="70" zoomScaleNormal="70" workbookViewId="0">
      <selection activeCell="G52" sqref="G52"/>
    </sheetView>
  </sheetViews>
  <sheetFormatPr baseColWidth="10" defaultColWidth="9.140625" defaultRowHeight="15" x14ac:dyDescent="0.25"/>
  <cols>
    <col min="1" max="3" width="9.140625" style="37"/>
    <col min="4" max="4" width="25.5703125" style="37" customWidth="1"/>
    <col min="5" max="6" width="26.85546875" style="37" customWidth="1"/>
    <col min="7" max="7" width="14" style="37" customWidth="1"/>
    <col min="8" max="8" width="16.140625" style="37" customWidth="1"/>
    <col min="9" max="9" width="15" style="37" customWidth="1"/>
    <col min="10" max="10" width="16.5703125" style="37" customWidth="1"/>
    <col min="11" max="11" width="14.140625" style="37" customWidth="1"/>
    <col min="12" max="12" width="25.85546875" style="37" customWidth="1"/>
    <col min="13" max="13" width="20.42578125" style="37" customWidth="1"/>
    <col min="14" max="14" width="22.42578125" style="37" customWidth="1"/>
    <col min="15" max="15" width="18" style="37" customWidth="1"/>
    <col min="16" max="16" width="17.85546875" style="37" bestFit="1" customWidth="1"/>
    <col min="17" max="17" width="12.5703125" style="37" customWidth="1"/>
    <col min="18" max="18" width="17.42578125" style="37" customWidth="1"/>
    <col min="19" max="19" width="20.42578125" style="37" customWidth="1"/>
    <col min="20" max="20" width="9.140625" style="37"/>
    <col min="21" max="21" width="11.140625" style="37" bestFit="1" customWidth="1"/>
    <col min="22" max="16384" width="9.140625" style="37"/>
  </cols>
  <sheetData>
    <row r="3" spans="4:21" ht="15.75" thickBot="1" x14ac:dyDescent="0.3"/>
    <row r="4" spans="4:21" ht="51" customHeight="1" thickBot="1" x14ac:dyDescent="0.3">
      <c r="D4" s="399" t="s">
        <v>31</v>
      </c>
      <c r="E4" s="400"/>
      <c r="F4" s="400"/>
      <c r="G4" s="400"/>
      <c r="H4" s="400"/>
      <c r="I4" s="400"/>
      <c r="J4" s="400"/>
      <c r="K4" s="400"/>
      <c r="L4" s="400"/>
      <c r="M4" s="401"/>
      <c r="N4" s="38"/>
      <c r="O4" s="38"/>
    </row>
    <row r="5" spans="4:21" ht="16.5" thickBot="1" x14ac:dyDescent="0.3">
      <c r="D5" s="382" t="s">
        <v>32</v>
      </c>
      <c r="E5" s="383"/>
      <c r="F5" s="383"/>
      <c r="G5" s="383"/>
      <c r="H5" s="383"/>
      <c r="I5" s="383"/>
      <c r="J5" s="383"/>
      <c r="K5" s="383"/>
      <c r="L5" s="383"/>
      <c r="M5" s="384"/>
      <c r="N5" s="38"/>
      <c r="O5" s="38"/>
    </row>
    <row r="6" spans="4:21" ht="26.25" thickBot="1" x14ac:dyDescent="0.3">
      <c r="D6" s="39" t="s">
        <v>33</v>
      </c>
      <c r="E6" s="370" t="s">
        <v>34</v>
      </c>
      <c r="F6" s="372"/>
      <c r="G6" s="40" t="s">
        <v>35</v>
      </c>
      <c r="H6" s="40" t="s">
        <v>36</v>
      </c>
      <c r="I6" s="40" t="s">
        <v>37</v>
      </c>
      <c r="J6" s="40" t="s">
        <v>35</v>
      </c>
      <c r="K6" s="40" t="s">
        <v>38</v>
      </c>
      <c r="L6" s="41" t="s">
        <v>30</v>
      </c>
      <c r="M6" s="42" t="s">
        <v>39</v>
      </c>
      <c r="N6" s="402" t="s">
        <v>40</v>
      </c>
      <c r="O6" s="403"/>
      <c r="P6" s="43" t="s">
        <v>41</v>
      </c>
      <c r="Q6" s="44" t="s">
        <v>42</v>
      </c>
      <c r="R6" s="44" t="s">
        <v>43</v>
      </c>
      <c r="S6" s="44" t="s">
        <v>44</v>
      </c>
    </row>
    <row r="7" spans="4:21" x14ac:dyDescent="0.25">
      <c r="D7" s="404" t="s">
        <v>45</v>
      </c>
      <c r="E7" s="405"/>
      <c r="F7" s="405"/>
      <c r="G7" s="405"/>
      <c r="H7" s="405"/>
      <c r="I7" s="405"/>
      <c r="J7" s="405"/>
      <c r="K7" s="45"/>
      <c r="L7" s="45"/>
      <c r="M7" s="45"/>
      <c r="N7" s="46" t="s">
        <v>46</v>
      </c>
      <c r="O7" s="46" t="s">
        <v>47</v>
      </c>
      <c r="P7" s="47">
        <v>0.125</v>
      </c>
      <c r="Q7" s="47">
        <v>4.3499999999999997E-2</v>
      </c>
      <c r="R7" s="48">
        <v>0.16</v>
      </c>
      <c r="S7" s="47">
        <f>+R7+Q7+P7</f>
        <v>0.32850000000000001</v>
      </c>
    </row>
    <row r="8" spans="4:21" ht="31.5" hidden="1" customHeight="1" x14ac:dyDescent="0.25">
      <c r="D8" s="152" t="s">
        <v>48</v>
      </c>
      <c r="E8" s="406" t="s">
        <v>49</v>
      </c>
      <c r="F8" s="406"/>
      <c r="G8" s="152">
        <v>1</v>
      </c>
      <c r="H8" s="53">
        <v>0</v>
      </c>
      <c r="I8" s="152" t="s">
        <v>50</v>
      </c>
      <c r="J8" s="54">
        <v>1.5</v>
      </c>
      <c r="K8" s="85"/>
      <c r="L8" s="407">
        <v>1</v>
      </c>
      <c r="M8" s="86">
        <f>+(K8*J8*H8*G8)*L8</f>
        <v>0</v>
      </c>
      <c r="N8" s="49">
        <f>+M8*40%</f>
        <v>0</v>
      </c>
      <c r="O8" s="50">
        <v>1300000</v>
      </c>
      <c r="P8" s="51">
        <f>+P7*$O$8</f>
        <v>162500</v>
      </c>
      <c r="Q8" s="51">
        <f>+Q7*$O$8</f>
        <v>56549.999999999993</v>
      </c>
      <c r="R8" s="51">
        <f>+R7*$O$8</f>
        <v>208000</v>
      </c>
      <c r="S8" s="51">
        <f>+P8+Q8+R8</f>
        <v>427050</v>
      </c>
    </row>
    <row r="9" spans="4:21" ht="44.25" customHeight="1" x14ac:dyDescent="0.25">
      <c r="D9" s="152" t="s">
        <v>83</v>
      </c>
      <c r="E9" s="406" t="s">
        <v>84</v>
      </c>
      <c r="F9" s="406"/>
      <c r="G9" s="152">
        <v>1</v>
      </c>
      <c r="H9" s="53">
        <v>0.5</v>
      </c>
      <c r="I9" s="152" t="s">
        <v>50</v>
      </c>
      <c r="J9" s="54">
        <f>15/30</f>
        <v>0.5</v>
      </c>
      <c r="K9" s="81">
        <v>2318787</v>
      </c>
      <c r="L9" s="407"/>
      <c r="M9" s="86">
        <f>+(K9*J9*H9*G9)*L8</f>
        <v>579696.75</v>
      </c>
      <c r="N9" s="49">
        <f>+M9*40%</f>
        <v>231878.7</v>
      </c>
      <c r="O9" s="50">
        <f>+O8</f>
        <v>1300000</v>
      </c>
      <c r="P9" s="51">
        <f>+P7*$O$9</f>
        <v>162500</v>
      </c>
      <c r="Q9" s="51">
        <f>+Q7*$O$9</f>
        <v>56549.999999999993</v>
      </c>
      <c r="R9" s="51">
        <f>+R7*$O$9</f>
        <v>208000</v>
      </c>
      <c r="S9" s="51">
        <f>+P9+Q9+R9</f>
        <v>427050</v>
      </c>
    </row>
    <row r="10" spans="4:21" ht="44.25" hidden="1" customHeight="1" x14ac:dyDescent="0.25">
      <c r="D10" s="152" t="s">
        <v>159</v>
      </c>
      <c r="E10" s="406" t="s">
        <v>84</v>
      </c>
      <c r="F10" s="406"/>
      <c r="G10" s="152">
        <v>0</v>
      </c>
      <c r="H10" s="53">
        <f>+H9</f>
        <v>0.5</v>
      </c>
      <c r="I10" s="152" t="str">
        <f>+I9</f>
        <v xml:space="preserve">Mes </v>
      </c>
      <c r="J10" s="54">
        <f>+J9</f>
        <v>0.5</v>
      </c>
      <c r="K10" s="81">
        <v>1873674</v>
      </c>
      <c r="L10" s="407"/>
      <c r="M10" s="86">
        <f>+(K10*J10*H10*G10)*L8</f>
        <v>0</v>
      </c>
      <c r="N10" s="49"/>
      <c r="O10" s="50"/>
      <c r="P10" s="51"/>
      <c r="Q10" s="51"/>
      <c r="R10" s="51"/>
      <c r="S10" s="51"/>
    </row>
    <row r="11" spans="4:21" ht="49.5" customHeight="1" x14ac:dyDescent="0.25">
      <c r="D11" s="152" t="s">
        <v>51</v>
      </c>
      <c r="E11" s="406" t="s">
        <v>52</v>
      </c>
      <c r="F11" s="406"/>
      <c r="G11" s="152">
        <v>1</v>
      </c>
      <c r="H11" s="53" t="s">
        <v>53</v>
      </c>
      <c r="I11" s="152" t="s">
        <v>54</v>
      </c>
      <c r="J11" s="54">
        <v>1</v>
      </c>
      <c r="K11" s="87">
        <v>427050</v>
      </c>
      <c r="L11" s="88">
        <v>0.22270000000000001</v>
      </c>
      <c r="M11" s="89">
        <f>+S9</f>
        <v>427050</v>
      </c>
      <c r="N11" s="398" t="s">
        <v>55</v>
      </c>
      <c r="O11" s="378"/>
      <c r="P11" s="378"/>
      <c r="Q11" s="378"/>
      <c r="R11" s="378"/>
      <c r="S11" s="56">
        <f>+S9+S8</f>
        <v>854100</v>
      </c>
      <c r="U11" s="57"/>
    </row>
    <row r="12" spans="4:21" ht="16.5" thickBot="1" x14ac:dyDescent="0.3">
      <c r="D12" s="373"/>
      <c r="E12" s="374"/>
      <c r="F12" s="374"/>
      <c r="G12" s="374"/>
      <c r="H12" s="374"/>
      <c r="I12" s="374"/>
      <c r="J12" s="374"/>
      <c r="K12" s="375"/>
      <c r="L12" s="376">
        <f>+M8+M9+M11+M10</f>
        <v>1006746.75</v>
      </c>
      <c r="M12" s="377"/>
      <c r="N12" s="378" t="s">
        <v>56</v>
      </c>
      <c r="O12" s="378"/>
      <c r="P12" s="378"/>
      <c r="Q12" s="378"/>
      <c r="R12" s="378"/>
      <c r="S12" s="58">
        <f>+S11/(M8+M9)</f>
        <v>1.473356543744639</v>
      </c>
    </row>
    <row r="13" spans="4:21" ht="15.75" thickBot="1" x14ac:dyDescent="0.3">
      <c r="D13" s="379"/>
      <c r="E13" s="380"/>
      <c r="F13" s="380"/>
      <c r="G13" s="380"/>
      <c r="H13" s="380"/>
      <c r="I13" s="380"/>
      <c r="J13" s="380"/>
      <c r="K13" s="380"/>
      <c r="L13" s="380"/>
      <c r="M13" s="381"/>
      <c r="N13" s="38"/>
      <c r="O13" s="38"/>
    </row>
    <row r="14" spans="4:21" ht="16.5" thickBot="1" x14ac:dyDescent="0.3">
      <c r="D14" s="382" t="s">
        <v>57</v>
      </c>
      <c r="E14" s="383"/>
      <c r="F14" s="383"/>
      <c r="G14" s="383"/>
      <c r="H14" s="383"/>
      <c r="I14" s="383"/>
      <c r="J14" s="383"/>
      <c r="K14" s="383"/>
      <c r="L14" s="383"/>
      <c r="M14" s="384"/>
    </row>
    <row r="15" spans="4:21" ht="24.75" customHeight="1" thickBot="1" x14ac:dyDescent="0.3">
      <c r="D15" s="370" t="s">
        <v>58</v>
      </c>
      <c r="E15" s="371"/>
      <c r="F15" s="371"/>
      <c r="G15" s="371"/>
      <c r="H15" s="372"/>
      <c r="I15" s="59" t="s">
        <v>59</v>
      </c>
      <c r="J15" s="59" t="s">
        <v>35</v>
      </c>
      <c r="K15" s="59" t="s">
        <v>60</v>
      </c>
      <c r="L15" s="59" t="s">
        <v>61</v>
      </c>
      <c r="M15" s="59" t="s">
        <v>39</v>
      </c>
    </row>
    <row r="16" spans="4:21" ht="41.25" customHeight="1" x14ac:dyDescent="0.25">
      <c r="D16" s="385" t="s">
        <v>62</v>
      </c>
      <c r="E16" s="386"/>
      <c r="F16" s="386"/>
      <c r="G16" s="386"/>
      <c r="H16" s="386"/>
      <c r="I16" s="60" t="s">
        <v>63</v>
      </c>
      <c r="J16" s="61">
        <v>1</v>
      </c>
      <c r="K16" s="60">
        <v>1</v>
      </c>
      <c r="L16" s="82">
        <v>100000</v>
      </c>
      <c r="M16" s="62">
        <f>+L16</f>
        <v>100000</v>
      </c>
    </row>
    <row r="17" spans="4:16" ht="15.75" customHeight="1" thickBot="1" x14ac:dyDescent="0.3">
      <c r="D17" s="387" t="s">
        <v>64</v>
      </c>
      <c r="E17" s="388"/>
      <c r="F17" s="388"/>
      <c r="G17" s="389"/>
      <c r="H17" s="389"/>
      <c r="I17" s="389"/>
      <c r="J17" s="389"/>
      <c r="K17" s="389"/>
      <c r="L17" s="390">
        <f>+M16</f>
        <v>100000</v>
      </c>
      <c r="M17" s="391"/>
    </row>
    <row r="18" spans="4:16" ht="15.75" customHeight="1" thickBot="1" x14ac:dyDescent="0.3">
      <c r="D18" s="392"/>
      <c r="E18" s="393"/>
      <c r="F18" s="393"/>
      <c r="G18" s="393"/>
      <c r="H18" s="393"/>
      <c r="I18" s="393"/>
      <c r="J18" s="393"/>
      <c r="K18" s="393"/>
      <c r="L18" s="393"/>
      <c r="M18" s="394"/>
    </row>
    <row r="19" spans="4:16" ht="16.5" thickBot="1" x14ac:dyDescent="0.3">
      <c r="D19" s="395" t="s">
        <v>65</v>
      </c>
      <c r="E19" s="396"/>
      <c r="F19" s="396"/>
      <c r="G19" s="396"/>
      <c r="H19" s="396"/>
      <c r="I19" s="396"/>
      <c r="J19" s="396"/>
      <c r="K19" s="396"/>
      <c r="L19" s="396"/>
      <c r="M19" s="397"/>
    </row>
    <row r="20" spans="4:16" ht="29.25" customHeight="1" thickBot="1" x14ac:dyDescent="0.3">
      <c r="D20" s="370" t="s">
        <v>58</v>
      </c>
      <c r="E20" s="371"/>
      <c r="F20" s="371"/>
      <c r="G20" s="371"/>
      <c r="H20" s="372"/>
      <c r="I20" s="63" t="s">
        <v>59</v>
      </c>
      <c r="J20" s="64" t="s">
        <v>35</v>
      </c>
      <c r="K20" s="370" t="s">
        <v>66</v>
      </c>
      <c r="L20" s="372"/>
      <c r="M20" s="64" t="s">
        <v>39</v>
      </c>
    </row>
    <row r="21" spans="4:16" ht="30.75" customHeight="1" x14ac:dyDescent="0.25">
      <c r="D21" s="385" t="s">
        <v>67</v>
      </c>
      <c r="E21" s="386"/>
      <c r="F21" s="386"/>
      <c r="G21" s="386"/>
      <c r="H21" s="386"/>
      <c r="I21" s="60" t="s">
        <v>30</v>
      </c>
      <c r="J21" s="65">
        <v>0.01</v>
      </c>
      <c r="K21" s="408">
        <f>+N21</f>
        <v>10144846.1555</v>
      </c>
      <c r="L21" s="409"/>
      <c r="M21" s="62">
        <f>+K21*J21</f>
        <v>101448.461555</v>
      </c>
      <c r="N21" s="268">
        <f>+'PRESUPUESTO + APU + MERCADO'!H51</f>
        <v>10144846.1555</v>
      </c>
      <c r="O21" s="83"/>
      <c r="P21" s="83"/>
    </row>
    <row r="22" spans="4:16" ht="30.75" customHeight="1" x14ac:dyDescent="0.25">
      <c r="D22" s="414" t="s">
        <v>68</v>
      </c>
      <c r="E22" s="406"/>
      <c r="F22" s="406"/>
      <c r="G22" s="406"/>
      <c r="H22" s="406"/>
      <c r="I22" s="52" t="s">
        <v>30</v>
      </c>
      <c r="J22" s="66">
        <v>0.05</v>
      </c>
      <c r="K22" s="410"/>
      <c r="L22" s="411"/>
      <c r="M22" s="67">
        <f>+K21*J22</f>
        <v>507242.30777500005</v>
      </c>
    </row>
    <row r="23" spans="4:16" ht="30.75" customHeight="1" thickBot="1" x14ac:dyDescent="0.3">
      <c r="D23" s="415" t="s">
        <v>69</v>
      </c>
      <c r="E23" s="416"/>
      <c r="F23" s="416"/>
      <c r="G23" s="416"/>
      <c r="H23" s="416"/>
      <c r="I23" s="55" t="s">
        <v>30</v>
      </c>
      <c r="J23" s="68">
        <v>1E-4</v>
      </c>
      <c r="K23" s="412"/>
      <c r="L23" s="413"/>
      <c r="M23" s="69">
        <f>+K21*J23</f>
        <v>1014.4846155500001</v>
      </c>
    </row>
    <row r="24" spans="4:16" ht="16.5" thickBot="1" x14ac:dyDescent="0.3">
      <c r="D24" s="417" t="s">
        <v>70</v>
      </c>
      <c r="E24" s="418"/>
      <c r="F24" s="418"/>
      <c r="G24" s="419"/>
      <c r="H24" s="419"/>
      <c r="I24" s="419"/>
      <c r="J24" s="419"/>
      <c r="K24" s="419"/>
      <c r="L24" s="420">
        <f>+M23+M22+M21</f>
        <v>609705.25394555007</v>
      </c>
      <c r="M24" s="421"/>
      <c r="N24" s="57"/>
    </row>
    <row r="25" spans="4:16" ht="15.75" thickBot="1" x14ac:dyDescent="0.3">
      <c r="D25" s="392"/>
      <c r="E25" s="393"/>
      <c r="F25" s="393"/>
      <c r="G25" s="393"/>
      <c r="H25" s="393"/>
      <c r="I25" s="393"/>
      <c r="J25" s="393"/>
      <c r="K25" s="393"/>
      <c r="L25" s="393"/>
      <c r="M25" s="394"/>
    </row>
    <row r="26" spans="4:16" ht="16.5" thickBot="1" x14ac:dyDescent="0.3">
      <c r="D26" s="395" t="s">
        <v>71</v>
      </c>
      <c r="E26" s="396"/>
      <c r="F26" s="396"/>
      <c r="G26" s="396"/>
      <c r="H26" s="396"/>
      <c r="I26" s="396"/>
      <c r="J26" s="396"/>
      <c r="K26" s="396"/>
      <c r="L26" s="396"/>
      <c r="M26" s="397"/>
    </row>
    <row r="27" spans="4:16" ht="15.75" customHeight="1" x14ac:dyDescent="0.25">
      <c r="D27" s="422" t="s">
        <v>58</v>
      </c>
      <c r="E27" s="423"/>
      <c r="F27" s="423"/>
      <c r="G27" s="423"/>
      <c r="H27" s="423"/>
      <c r="I27" s="70" t="s">
        <v>59</v>
      </c>
      <c r="J27" s="70" t="s">
        <v>35</v>
      </c>
      <c r="K27" s="70" t="s">
        <v>60</v>
      </c>
      <c r="L27" s="70" t="s">
        <v>61</v>
      </c>
      <c r="M27" s="71" t="s">
        <v>39</v>
      </c>
    </row>
    <row r="28" spans="4:16" x14ac:dyDescent="0.25">
      <c r="D28" s="424" t="s">
        <v>72</v>
      </c>
      <c r="E28" s="425"/>
      <c r="F28" s="425"/>
      <c r="G28" s="425"/>
      <c r="H28" s="425"/>
      <c r="I28" s="72" t="s">
        <v>30</v>
      </c>
      <c r="J28" s="73">
        <v>0</v>
      </c>
      <c r="K28" s="72">
        <v>1</v>
      </c>
      <c r="L28" s="426">
        <f>+K21</f>
        <v>10144846.1555</v>
      </c>
      <c r="M28" s="74">
        <f>+L28*J28</f>
        <v>0</v>
      </c>
    </row>
    <row r="29" spans="4:16" ht="15.75" thickBot="1" x14ac:dyDescent="0.3">
      <c r="D29" s="428" t="s">
        <v>73</v>
      </c>
      <c r="E29" s="427"/>
      <c r="F29" s="427"/>
      <c r="G29" s="427"/>
      <c r="H29" s="427"/>
      <c r="I29" s="75" t="s">
        <v>30</v>
      </c>
      <c r="J29" s="76">
        <v>0.05</v>
      </c>
      <c r="K29" s="75">
        <v>1</v>
      </c>
      <c r="L29" s="427"/>
      <c r="M29" s="77">
        <f>+L28*J29</f>
        <v>507242.30777500005</v>
      </c>
    </row>
    <row r="30" spans="4:16" ht="15.75" thickBot="1" x14ac:dyDescent="0.3">
      <c r="D30" s="431" t="s">
        <v>74</v>
      </c>
      <c r="E30" s="432"/>
      <c r="F30" s="432"/>
      <c r="G30" s="432"/>
      <c r="H30" s="432"/>
      <c r="I30" s="432"/>
      <c r="J30" s="432"/>
      <c r="K30" s="433"/>
      <c r="L30" s="434">
        <f>+M29+M28</f>
        <v>507242.30777500005</v>
      </c>
      <c r="M30" s="435"/>
      <c r="N30" s="57"/>
    </row>
    <row r="31" spans="4:16" ht="15.75" thickBot="1" x14ac:dyDescent="0.3">
      <c r="D31" s="436"/>
      <c r="E31" s="437"/>
      <c r="F31" s="437"/>
      <c r="G31" s="437"/>
      <c r="H31" s="437"/>
      <c r="I31" s="437"/>
      <c r="J31" s="437"/>
      <c r="K31" s="437"/>
      <c r="L31" s="437"/>
      <c r="M31" s="438"/>
    </row>
    <row r="32" spans="4:16" ht="18.75" x14ac:dyDescent="0.25">
      <c r="D32" s="439" t="s">
        <v>75</v>
      </c>
      <c r="E32" s="440"/>
      <c r="F32" s="440"/>
      <c r="G32" s="440"/>
      <c r="H32" s="440"/>
      <c r="I32" s="440"/>
      <c r="J32" s="440"/>
      <c r="K32" s="440"/>
      <c r="L32" s="441">
        <f>+K21</f>
        <v>10144846.1555</v>
      </c>
      <c r="M32" s="442"/>
    </row>
    <row r="33" spans="4:16" x14ac:dyDescent="0.25">
      <c r="D33" s="424" t="s">
        <v>76</v>
      </c>
      <c r="E33" s="425"/>
      <c r="F33" s="425"/>
      <c r="G33" s="425"/>
      <c r="H33" s="425"/>
      <c r="I33" s="425"/>
      <c r="J33" s="425"/>
      <c r="K33" s="78">
        <v>0.19</v>
      </c>
      <c r="L33" s="443">
        <f>+M29*K33</f>
        <v>96376.038477250011</v>
      </c>
      <c r="M33" s="444"/>
    </row>
    <row r="34" spans="4:16" x14ac:dyDescent="0.25">
      <c r="D34" s="467" t="s">
        <v>77</v>
      </c>
      <c r="E34" s="468"/>
      <c r="F34" s="468"/>
      <c r="G34" s="468"/>
      <c r="H34" s="468"/>
      <c r="I34" s="468"/>
      <c r="J34" s="468"/>
      <c r="K34" s="79">
        <f>+L34/L32</f>
        <v>0.16919448335004866</v>
      </c>
      <c r="L34" s="469">
        <f>+L24+L17+L12</f>
        <v>1716452.00394555</v>
      </c>
      <c r="M34" s="470"/>
    </row>
    <row r="35" spans="4:16" ht="18.75" x14ac:dyDescent="0.25">
      <c r="D35" s="471" t="s">
        <v>78</v>
      </c>
      <c r="E35" s="472"/>
      <c r="F35" s="472"/>
      <c r="G35" s="472"/>
      <c r="H35" s="472"/>
      <c r="I35" s="472"/>
      <c r="J35" s="473"/>
      <c r="K35" s="98">
        <f>+K34+J29+(K33*J29)</f>
        <v>0.22869448335004866</v>
      </c>
      <c r="L35" s="474">
        <f>+L32*K35</f>
        <v>2320070.3501978</v>
      </c>
      <c r="M35" s="475"/>
    </row>
    <row r="36" spans="4:16" ht="19.5" thickBot="1" x14ac:dyDescent="0.3">
      <c r="D36" s="454" t="s">
        <v>78</v>
      </c>
      <c r="E36" s="455"/>
      <c r="F36" s="455"/>
      <c r="G36" s="455"/>
      <c r="H36" s="455"/>
      <c r="I36" s="455"/>
      <c r="J36" s="455"/>
      <c r="K36" s="455"/>
      <c r="L36" s="429">
        <f>+L35+L32</f>
        <v>12464916.5056978</v>
      </c>
      <c r="M36" s="430"/>
      <c r="P36" s="57"/>
    </row>
    <row r="37" spans="4:16" ht="19.5" hidden="1" thickBot="1" x14ac:dyDescent="0.3">
      <c r="D37" s="454" t="s">
        <v>79</v>
      </c>
      <c r="E37" s="455"/>
      <c r="F37" s="455"/>
      <c r="G37" s="455"/>
      <c r="H37" s="455"/>
      <c r="I37" s="455"/>
      <c r="J37" s="455"/>
      <c r="K37" s="455"/>
      <c r="L37" s="429">
        <v>0</v>
      </c>
      <c r="M37" s="430"/>
      <c r="P37" s="57"/>
    </row>
    <row r="38" spans="4:16" ht="19.5" thickBot="1" x14ac:dyDescent="0.3">
      <c r="D38" s="454" t="s">
        <v>80</v>
      </c>
      <c r="E38" s="455"/>
      <c r="F38" s="455"/>
      <c r="G38" s="455"/>
      <c r="H38" s="455"/>
      <c r="I38" s="455"/>
      <c r="J38" s="455"/>
      <c r="K38" s="455"/>
      <c r="L38" s="429">
        <f>+L37+L36</f>
        <v>12464916.5056978</v>
      </c>
      <c r="M38" s="430"/>
      <c r="P38" s="57"/>
    </row>
    <row r="39" spans="4:16" ht="16.5" thickBot="1" x14ac:dyDescent="0.3">
      <c r="D39" s="456"/>
      <c r="E39" s="457"/>
      <c r="F39" s="457"/>
      <c r="G39" s="457"/>
      <c r="H39" s="457"/>
      <c r="I39" s="457"/>
      <c r="J39" s="457"/>
      <c r="K39" s="457"/>
      <c r="L39" s="457"/>
      <c r="M39" s="458"/>
      <c r="P39" s="57"/>
    </row>
    <row r="40" spans="4:16" x14ac:dyDescent="0.25">
      <c r="D40" s="445" t="s">
        <v>81</v>
      </c>
      <c r="E40" s="459"/>
      <c r="F40" s="459"/>
      <c r="G40" s="459"/>
      <c r="H40" s="459"/>
      <c r="I40" s="459"/>
      <c r="J40" s="459"/>
      <c r="K40" s="459"/>
      <c r="L40" s="459"/>
      <c r="M40" s="460"/>
    </row>
    <row r="41" spans="4:16" ht="23.25" customHeight="1" x14ac:dyDescent="0.25">
      <c r="D41" s="461"/>
      <c r="E41" s="462"/>
      <c r="F41" s="462"/>
      <c r="G41" s="462"/>
      <c r="H41" s="462"/>
      <c r="I41" s="462"/>
      <c r="J41" s="462"/>
      <c r="K41" s="462"/>
      <c r="L41" s="462"/>
      <c r="M41" s="463"/>
    </row>
    <row r="42" spans="4:16" ht="20.25" customHeight="1" x14ac:dyDescent="0.25">
      <c r="D42" s="461"/>
      <c r="E42" s="462"/>
      <c r="F42" s="462"/>
      <c r="G42" s="462"/>
      <c r="H42" s="462"/>
      <c r="I42" s="462"/>
      <c r="J42" s="462"/>
      <c r="K42" s="462"/>
      <c r="L42" s="462"/>
      <c r="M42" s="463"/>
    </row>
    <row r="43" spans="4:16" ht="18" customHeight="1" thickBot="1" x14ac:dyDescent="0.3">
      <c r="D43" s="464"/>
      <c r="E43" s="465"/>
      <c r="F43" s="465"/>
      <c r="G43" s="465"/>
      <c r="H43" s="465"/>
      <c r="I43" s="465"/>
      <c r="J43" s="465"/>
      <c r="K43" s="465"/>
      <c r="L43" s="465"/>
      <c r="M43" s="466"/>
    </row>
    <row r="44" spans="4:16" x14ac:dyDescent="0.25">
      <c r="D44" s="445" t="s">
        <v>82</v>
      </c>
      <c r="E44" s="446"/>
      <c r="F44" s="446"/>
      <c r="G44" s="446"/>
      <c r="H44" s="446"/>
      <c r="I44" s="446"/>
      <c r="J44" s="446"/>
      <c r="K44" s="446"/>
      <c r="L44" s="446"/>
      <c r="M44" s="447"/>
    </row>
    <row r="45" spans="4:16" x14ac:dyDescent="0.25">
      <c r="D45" s="448"/>
      <c r="E45" s="449"/>
      <c r="F45" s="449"/>
      <c r="G45" s="449"/>
      <c r="H45" s="449"/>
      <c r="I45" s="449"/>
      <c r="J45" s="449"/>
      <c r="K45" s="449"/>
      <c r="L45" s="449"/>
      <c r="M45" s="450"/>
    </row>
    <row r="46" spans="4:16" ht="31.5" customHeight="1" x14ac:dyDescent="0.25">
      <c r="D46" s="448"/>
      <c r="E46" s="449"/>
      <c r="F46" s="449"/>
      <c r="G46" s="449"/>
      <c r="H46" s="449"/>
      <c r="I46" s="449"/>
      <c r="J46" s="449"/>
      <c r="K46" s="449"/>
      <c r="L46" s="449"/>
      <c r="M46" s="450"/>
    </row>
    <row r="47" spans="4:16" x14ac:dyDescent="0.25">
      <c r="D47" s="448"/>
      <c r="E47" s="449"/>
      <c r="F47" s="449"/>
      <c r="G47" s="449"/>
      <c r="H47" s="449"/>
      <c r="I47" s="449"/>
      <c r="J47" s="449"/>
      <c r="K47" s="449"/>
      <c r="L47" s="449"/>
      <c r="M47" s="450"/>
    </row>
    <row r="48" spans="4:16" ht="15.75" thickBot="1" x14ac:dyDescent="0.3">
      <c r="D48" s="451"/>
      <c r="E48" s="452"/>
      <c r="F48" s="452"/>
      <c r="G48" s="452"/>
      <c r="H48" s="452"/>
      <c r="I48" s="452"/>
      <c r="J48" s="452"/>
      <c r="K48" s="452"/>
      <c r="L48" s="452"/>
      <c r="M48" s="453"/>
    </row>
    <row r="49" spans="4:4" x14ac:dyDescent="0.25">
      <c r="D49" s="80"/>
    </row>
  </sheetData>
  <mergeCells count="56">
    <mergeCell ref="D44:M48"/>
    <mergeCell ref="E6:F6"/>
    <mergeCell ref="E8:F8"/>
    <mergeCell ref="E9:F9"/>
    <mergeCell ref="E11:F11"/>
    <mergeCell ref="D37:K37"/>
    <mergeCell ref="L37:M37"/>
    <mergeCell ref="D38:K38"/>
    <mergeCell ref="L38:M38"/>
    <mergeCell ref="D39:M39"/>
    <mergeCell ref="D40:M43"/>
    <mergeCell ref="D34:J34"/>
    <mergeCell ref="L34:M34"/>
    <mergeCell ref="D35:J35"/>
    <mergeCell ref="L35:M35"/>
    <mergeCell ref="D36:K36"/>
    <mergeCell ref="L36:M36"/>
    <mergeCell ref="D30:K30"/>
    <mergeCell ref="L30:M30"/>
    <mergeCell ref="D31:M31"/>
    <mergeCell ref="D32:K32"/>
    <mergeCell ref="L32:M32"/>
    <mergeCell ref="D33:J33"/>
    <mergeCell ref="L33:M33"/>
    <mergeCell ref="D25:M25"/>
    <mergeCell ref="D26:M26"/>
    <mergeCell ref="D27:H27"/>
    <mergeCell ref="D28:H28"/>
    <mergeCell ref="L28:L29"/>
    <mergeCell ref="D29:H29"/>
    <mergeCell ref="D21:H21"/>
    <mergeCell ref="K21:L23"/>
    <mergeCell ref="D22:H22"/>
    <mergeCell ref="D23:H23"/>
    <mergeCell ref="D24:K24"/>
    <mergeCell ref="L24:M24"/>
    <mergeCell ref="N11:R11"/>
    <mergeCell ref="D4:M4"/>
    <mergeCell ref="D5:M5"/>
    <mergeCell ref="N6:O6"/>
    <mergeCell ref="D7:J7"/>
    <mergeCell ref="E10:F10"/>
    <mergeCell ref="L8:L10"/>
    <mergeCell ref="D20:H20"/>
    <mergeCell ref="K20:L20"/>
    <mergeCell ref="D12:K12"/>
    <mergeCell ref="L12:M12"/>
    <mergeCell ref="N12:R12"/>
    <mergeCell ref="D13:M13"/>
    <mergeCell ref="D14:M14"/>
    <mergeCell ref="D15:H15"/>
    <mergeCell ref="D16:H16"/>
    <mergeCell ref="D17:K17"/>
    <mergeCell ref="L17:M17"/>
    <mergeCell ref="D18:M18"/>
    <mergeCell ref="D19:M1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9BCCB-2ABC-481B-90EA-43D540FB5FDB}">
  <sheetPr>
    <tabColor theme="9" tint="0.59999389629810485"/>
  </sheetPr>
  <dimension ref="A1:N148"/>
  <sheetViews>
    <sheetView showGridLines="0" topLeftCell="A20" zoomScale="130" zoomScaleNormal="130" zoomScaleSheetLayoutView="85" workbookViewId="0">
      <selection activeCell="B38" sqref="B38:G41"/>
    </sheetView>
  </sheetViews>
  <sheetFormatPr baseColWidth="10" defaultRowHeight="12.75" x14ac:dyDescent="0.25"/>
  <cols>
    <col min="1" max="1" width="9.28515625" style="278" customWidth="1"/>
    <col min="2" max="2" width="69.28515625" style="278" bestFit="1" customWidth="1"/>
    <col min="3" max="3" width="26.7109375" style="278" customWidth="1"/>
    <col min="4" max="4" width="17.28515625" style="278" customWidth="1"/>
    <col min="5" max="5" width="18.42578125" style="278" customWidth="1"/>
    <col min="6" max="6" width="20.7109375" style="278" customWidth="1"/>
    <col min="7" max="7" width="20.140625" style="278" customWidth="1"/>
    <col min="8" max="8" width="24.140625" style="278" customWidth="1"/>
    <col min="9" max="9" width="12.5703125" style="278" customWidth="1"/>
    <col min="10" max="10" width="48.5703125" style="278" customWidth="1"/>
    <col min="11" max="11" width="15.85546875" style="278" customWidth="1"/>
    <col min="12" max="12" width="21" style="278" hidden="1" customWidth="1"/>
    <col min="13" max="13" width="20.5703125" style="278" customWidth="1"/>
    <col min="14" max="14" width="11.42578125" style="278"/>
    <col min="15" max="15" width="60.85546875" style="278" customWidth="1"/>
    <col min="16" max="16" width="24" style="278" customWidth="1"/>
    <col min="17" max="17" width="14.42578125" style="278" bestFit="1" customWidth="1"/>
    <col min="18" max="18" width="15.42578125" style="278" bestFit="1" customWidth="1"/>
    <col min="19" max="20" width="12.85546875" style="278" bestFit="1" customWidth="1"/>
    <col min="21" max="21" width="11.85546875" style="278" bestFit="1" customWidth="1"/>
    <col min="22" max="22" width="12.85546875" style="278" bestFit="1" customWidth="1"/>
    <col min="23" max="256" width="11.42578125" style="278"/>
    <col min="257" max="257" width="9.28515625" style="278" customWidth="1"/>
    <col min="258" max="258" width="69.28515625" style="278" bestFit="1" customWidth="1"/>
    <col min="259" max="259" width="26.7109375" style="278" customWidth="1"/>
    <col min="260" max="261" width="0" style="278" hidden="1" customWidth="1"/>
    <col min="262" max="262" width="20.7109375" style="278" customWidth="1"/>
    <col min="263" max="263" width="20.140625" style="278" customWidth="1"/>
    <col min="264" max="264" width="24.140625" style="278" customWidth="1"/>
    <col min="265" max="265" width="30.7109375" style="278" bestFit="1" customWidth="1"/>
    <col min="266" max="266" width="31.5703125" style="278" bestFit="1" customWidth="1"/>
    <col min="267" max="270" width="11.42578125" style="278"/>
    <col min="271" max="271" width="60.85546875" style="278" customWidth="1"/>
    <col min="272" max="272" width="24" style="278" customWidth="1"/>
    <col min="273" max="273" width="14.42578125" style="278" bestFit="1" customWidth="1"/>
    <col min="274" max="274" width="15.42578125" style="278" bestFit="1" customWidth="1"/>
    <col min="275" max="276" width="12.85546875" style="278" bestFit="1" customWidth="1"/>
    <col min="277" max="277" width="11.85546875" style="278" bestFit="1" customWidth="1"/>
    <col min="278" max="278" width="12.85546875" style="278" bestFit="1" customWidth="1"/>
    <col min="279" max="512" width="11.42578125" style="278"/>
    <col min="513" max="513" width="9.28515625" style="278" customWidth="1"/>
    <col min="514" max="514" width="69.28515625" style="278" bestFit="1" customWidth="1"/>
    <col min="515" max="515" width="26.7109375" style="278" customWidth="1"/>
    <col min="516" max="517" width="0" style="278" hidden="1" customWidth="1"/>
    <col min="518" max="518" width="20.7109375" style="278" customWidth="1"/>
    <col min="519" max="519" width="20.140625" style="278" customWidth="1"/>
    <col min="520" max="520" width="24.140625" style="278" customWidth="1"/>
    <col min="521" max="521" width="30.7109375" style="278" bestFit="1" customWidth="1"/>
    <col min="522" max="522" width="31.5703125" style="278" bestFit="1" customWidth="1"/>
    <col min="523" max="526" width="11.42578125" style="278"/>
    <col min="527" max="527" width="60.85546875" style="278" customWidth="1"/>
    <col min="528" max="528" width="24" style="278" customWidth="1"/>
    <col min="529" max="529" width="14.42578125" style="278" bestFit="1" customWidth="1"/>
    <col min="530" max="530" width="15.42578125" style="278" bestFit="1" customWidth="1"/>
    <col min="531" max="532" width="12.85546875" style="278" bestFit="1" customWidth="1"/>
    <col min="533" max="533" width="11.85546875" style="278" bestFit="1" customWidth="1"/>
    <col min="534" max="534" width="12.85546875" style="278" bestFit="1" customWidth="1"/>
    <col min="535" max="768" width="11.42578125" style="278"/>
    <col min="769" max="769" width="9.28515625" style="278" customWidth="1"/>
    <col min="770" max="770" width="69.28515625" style="278" bestFit="1" customWidth="1"/>
    <col min="771" max="771" width="26.7109375" style="278" customWidth="1"/>
    <col min="772" max="773" width="0" style="278" hidden="1" customWidth="1"/>
    <col min="774" max="774" width="20.7109375" style="278" customWidth="1"/>
    <col min="775" max="775" width="20.140625" style="278" customWidth="1"/>
    <col min="776" max="776" width="24.140625" style="278" customWidth="1"/>
    <col min="777" max="777" width="30.7109375" style="278" bestFit="1" customWidth="1"/>
    <col min="778" max="778" width="31.5703125" style="278" bestFit="1" customWidth="1"/>
    <col min="779" max="782" width="11.42578125" style="278"/>
    <col min="783" max="783" width="60.85546875" style="278" customWidth="1"/>
    <col min="784" max="784" width="24" style="278" customWidth="1"/>
    <col min="785" max="785" width="14.42578125" style="278" bestFit="1" customWidth="1"/>
    <col min="786" max="786" width="15.42578125" style="278" bestFit="1" customWidth="1"/>
    <col min="787" max="788" width="12.85546875" style="278" bestFit="1" customWidth="1"/>
    <col min="789" max="789" width="11.85546875" style="278" bestFit="1" customWidth="1"/>
    <col min="790" max="790" width="12.85546875" style="278" bestFit="1" customWidth="1"/>
    <col min="791" max="1024" width="11.42578125" style="278"/>
    <col min="1025" max="1025" width="9.28515625" style="278" customWidth="1"/>
    <col min="1026" max="1026" width="69.28515625" style="278" bestFit="1" customWidth="1"/>
    <col min="1027" max="1027" width="26.7109375" style="278" customWidth="1"/>
    <col min="1028" max="1029" width="0" style="278" hidden="1" customWidth="1"/>
    <col min="1030" max="1030" width="20.7109375" style="278" customWidth="1"/>
    <col min="1031" max="1031" width="20.140625" style="278" customWidth="1"/>
    <col min="1032" max="1032" width="24.140625" style="278" customWidth="1"/>
    <col min="1033" max="1033" width="30.7109375" style="278" bestFit="1" customWidth="1"/>
    <col min="1034" max="1034" width="31.5703125" style="278" bestFit="1" customWidth="1"/>
    <col min="1035" max="1038" width="11.42578125" style="278"/>
    <col min="1039" max="1039" width="60.85546875" style="278" customWidth="1"/>
    <col min="1040" max="1040" width="24" style="278" customWidth="1"/>
    <col min="1041" max="1041" width="14.42578125" style="278" bestFit="1" customWidth="1"/>
    <col min="1042" max="1042" width="15.42578125" style="278" bestFit="1" customWidth="1"/>
    <col min="1043" max="1044" width="12.85546875" style="278" bestFit="1" customWidth="1"/>
    <col min="1045" max="1045" width="11.85546875" style="278" bestFit="1" customWidth="1"/>
    <col min="1046" max="1046" width="12.85546875" style="278" bestFit="1" customWidth="1"/>
    <col min="1047" max="1280" width="11.42578125" style="278"/>
    <col min="1281" max="1281" width="9.28515625" style="278" customWidth="1"/>
    <col min="1282" max="1282" width="69.28515625" style="278" bestFit="1" customWidth="1"/>
    <col min="1283" max="1283" width="26.7109375" style="278" customWidth="1"/>
    <col min="1284" max="1285" width="0" style="278" hidden="1" customWidth="1"/>
    <col min="1286" max="1286" width="20.7109375" style="278" customWidth="1"/>
    <col min="1287" max="1287" width="20.140625" style="278" customWidth="1"/>
    <col min="1288" max="1288" width="24.140625" style="278" customWidth="1"/>
    <col min="1289" max="1289" width="30.7109375" style="278" bestFit="1" customWidth="1"/>
    <col min="1290" max="1290" width="31.5703125" style="278" bestFit="1" customWidth="1"/>
    <col min="1291" max="1294" width="11.42578125" style="278"/>
    <col min="1295" max="1295" width="60.85546875" style="278" customWidth="1"/>
    <col min="1296" max="1296" width="24" style="278" customWidth="1"/>
    <col min="1297" max="1297" width="14.42578125" style="278" bestFit="1" customWidth="1"/>
    <col min="1298" max="1298" width="15.42578125" style="278" bestFit="1" customWidth="1"/>
    <col min="1299" max="1300" width="12.85546875" style="278" bestFit="1" customWidth="1"/>
    <col min="1301" max="1301" width="11.85546875" style="278" bestFit="1" customWidth="1"/>
    <col min="1302" max="1302" width="12.85546875" style="278" bestFit="1" customWidth="1"/>
    <col min="1303" max="1536" width="11.42578125" style="278"/>
    <col min="1537" max="1537" width="9.28515625" style="278" customWidth="1"/>
    <col min="1538" max="1538" width="69.28515625" style="278" bestFit="1" customWidth="1"/>
    <col min="1539" max="1539" width="26.7109375" style="278" customWidth="1"/>
    <col min="1540" max="1541" width="0" style="278" hidden="1" customWidth="1"/>
    <col min="1542" max="1542" width="20.7109375" style="278" customWidth="1"/>
    <col min="1543" max="1543" width="20.140625" style="278" customWidth="1"/>
    <col min="1544" max="1544" width="24.140625" style="278" customWidth="1"/>
    <col min="1545" max="1545" width="30.7109375" style="278" bestFit="1" customWidth="1"/>
    <col min="1546" max="1546" width="31.5703125" style="278" bestFit="1" customWidth="1"/>
    <col min="1547" max="1550" width="11.42578125" style="278"/>
    <col min="1551" max="1551" width="60.85546875" style="278" customWidth="1"/>
    <col min="1552" max="1552" width="24" style="278" customWidth="1"/>
    <col min="1553" max="1553" width="14.42578125" style="278" bestFit="1" customWidth="1"/>
    <col min="1554" max="1554" width="15.42578125" style="278" bestFit="1" customWidth="1"/>
    <col min="1555" max="1556" width="12.85546875" style="278" bestFit="1" customWidth="1"/>
    <col min="1557" max="1557" width="11.85546875" style="278" bestFit="1" customWidth="1"/>
    <col min="1558" max="1558" width="12.85546875" style="278" bestFit="1" customWidth="1"/>
    <col min="1559" max="1792" width="11.42578125" style="278"/>
    <col min="1793" max="1793" width="9.28515625" style="278" customWidth="1"/>
    <col min="1794" max="1794" width="69.28515625" style="278" bestFit="1" customWidth="1"/>
    <col min="1795" max="1795" width="26.7109375" style="278" customWidth="1"/>
    <col min="1796" max="1797" width="0" style="278" hidden="1" customWidth="1"/>
    <col min="1798" max="1798" width="20.7109375" style="278" customWidth="1"/>
    <col min="1799" max="1799" width="20.140625" style="278" customWidth="1"/>
    <col min="1800" max="1800" width="24.140625" style="278" customWidth="1"/>
    <col min="1801" max="1801" width="30.7109375" style="278" bestFit="1" customWidth="1"/>
    <col min="1802" max="1802" width="31.5703125" style="278" bestFit="1" customWidth="1"/>
    <col min="1803" max="1806" width="11.42578125" style="278"/>
    <col min="1807" max="1807" width="60.85546875" style="278" customWidth="1"/>
    <col min="1808" max="1808" width="24" style="278" customWidth="1"/>
    <col min="1809" max="1809" width="14.42578125" style="278" bestFit="1" customWidth="1"/>
    <col min="1810" max="1810" width="15.42578125" style="278" bestFit="1" customWidth="1"/>
    <col min="1811" max="1812" width="12.85546875" style="278" bestFit="1" customWidth="1"/>
    <col min="1813" max="1813" width="11.85546875" style="278" bestFit="1" customWidth="1"/>
    <col min="1814" max="1814" width="12.85546875" style="278" bestFit="1" customWidth="1"/>
    <col min="1815" max="2048" width="11.42578125" style="278"/>
    <col min="2049" max="2049" width="9.28515625" style="278" customWidth="1"/>
    <col min="2050" max="2050" width="69.28515625" style="278" bestFit="1" customWidth="1"/>
    <col min="2051" max="2051" width="26.7109375" style="278" customWidth="1"/>
    <col min="2052" max="2053" width="0" style="278" hidden="1" customWidth="1"/>
    <col min="2054" max="2054" width="20.7109375" style="278" customWidth="1"/>
    <col min="2055" max="2055" width="20.140625" style="278" customWidth="1"/>
    <col min="2056" max="2056" width="24.140625" style="278" customWidth="1"/>
    <col min="2057" max="2057" width="30.7109375" style="278" bestFit="1" customWidth="1"/>
    <col min="2058" max="2058" width="31.5703125" style="278" bestFit="1" customWidth="1"/>
    <col min="2059" max="2062" width="11.42578125" style="278"/>
    <col min="2063" max="2063" width="60.85546875" style="278" customWidth="1"/>
    <col min="2064" max="2064" width="24" style="278" customWidth="1"/>
    <col min="2065" max="2065" width="14.42578125" style="278" bestFit="1" customWidth="1"/>
    <col min="2066" max="2066" width="15.42578125" style="278" bestFit="1" customWidth="1"/>
    <col min="2067" max="2068" width="12.85546875" style="278" bestFit="1" customWidth="1"/>
    <col min="2069" max="2069" width="11.85546875" style="278" bestFit="1" customWidth="1"/>
    <col min="2070" max="2070" width="12.85546875" style="278" bestFit="1" customWidth="1"/>
    <col min="2071" max="2304" width="11.42578125" style="278"/>
    <col min="2305" max="2305" width="9.28515625" style="278" customWidth="1"/>
    <col min="2306" max="2306" width="69.28515625" style="278" bestFit="1" customWidth="1"/>
    <col min="2307" max="2307" width="26.7109375" style="278" customWidth="1"/>
    <col min="2308" max="2309" width="0" style="278" hidden="1" customWidth="1"/>
    <col min="2310" max="2310" width="20.7109375" style="278" customWidth="1"/>
    <col min="2311" max="2311" width="20.140625" style="278" customWidth="1"/>
    <col min="2312" max="2312" width="24.140625" style="278" customWidth="1"/>
    <col min="2313" max="2313" width="30.7109375" style="278" bestFit="1" customWidth="1"/>
    <col min="2314" max="2314" width="31.5703125" style="278" bestFit="1" customWidth="1"/>
    <col min="2315" max="2318" width="11.42578125" style="278"/>
    <col min="2319" max="2319" width="60.85546875" style="278" customWidth="1"/>
    <col min="2320" max="2320" width="24" style="278" customWidth="1"/>
    <col min="2321" max="2321" width="14.42578125" style="278" bestFit="1" customWidth="1"/>
    <col min="2322" max="2322" width="15.42578125" style="278" bestFit="1" customWidth="1"/>
    <col min="2323" max="2324" width="12.85546875" style="278" bestFit="1" customWidth="1"/>
    <col min="2325" max="2325" width="11.85546875" style="278" bestFit="1" customWidth="1"/>
    <col min="2326" max="2326" width="12.85546875" style="278" bestFit="1" customWidth="1"/>
    <col min="2327" max="2560" width="11.42578125" style="278"/>
    <col min="2561" max="2561" width="9.28515625" style="278" customWidth="1"/>
    <col min="2562" max="2562" width="69.28515625" style="278" bestFit="1" customWidth="1"/>
    <col min="2563" max="2563" width="26.7109375" style="278" customWidth="1"/>
    <col min="2564" max="2565" width="0" style="278" hidden="1" customWidth="1"/>
    <col min="2566" max="2566" width="20.7109375" style="278" customWidth="1"/>
    <col min="2567" max="2567" width="20.140625" style="278" customWidth="1"/>
    <col min="2568" max="2568" width="24.140625" style="278" customWidth="1"/>
    <col min="2569" max="2569" width="30.7109375" style="278" bestFit="1" customWidth="1"/>
    <col min="2570" max="2570" width="31.5703125" style="278" bestFit="1" customWidth="1"/>
    <col min="2571" max="2574" width="11.42578125" style="278"/>
    <col min="2575" max="2575" width="60.85546875" style="278" customWidth="1"/>
    <col min="2576" max="2576" width="24" style="278" customWidth="1"/>
    <col min="2577" max="2577" width="14.42578125" style="278" bestFit="1" customWidth="1"/>
    <col min="2578" max="2578" width="15.42578125" style="278" bestFit="1" customWidth="1"/>
    <col min="2579" max="2580" width="12.85546875" style="278" bestFit="1" customWidth="1"/>
    <col min="2581" max="2581" width="11.85546875" style="278" bestFit="1" customWidth="1"/>
    <col min="2582" max="2582" width="12.85546875" style="278" bestFit="1" customWidth="1"/>
    <col min="2583" max="2816" width="11.42578125" style="278"/>
    <col min="2817" max="2817" width="9.28515625" style="278" customWidth="1"/>
    <col min="2818" max="2818" width="69.28515625" style="278" bestFit="1" customWidth="1"/>
    <col min="2819" max="2819" width="26.7109375" style="278" customWidth="1"/>
    <col min="2820" max="2821" width="0" style="278" hidden="1" customWidth="1"/>
    <col min="2822" max="2822" width="20.7109375" style="278" customWidth="1"/>
    <col min="2823" max="2823" width="20.140625" style="278" customWidth="1"/>
    <col min="2824" max="2824" width="24.140625" style="278" customWidth="1"/>
    <col min="2825" max="2825" width="30.7109375" style="278" bestFit="1" customWidth="1"/>
    <col min="2826" max="2826" width="31.5703125" style="278" bestFit="1" customWidth="1"/>
    <col min="2827" max="2830" width="11.42578125" style="278"/>
    <col min="2831" max="2831" width="60.85546875" style="278" customWidth="1"/>
    <col min="2832" max="2832" width="24" style="278" customWidth="1"/>
    <col min="2833" max="2833" width="14.42578125" style="278" bestFit="1" customWidth="1"/>
    <col min="2834" max="2834" width="15.42578125" style="278" bestFit="1" customWidth="1"/>
    <col min="2835" max="2836" width="12.85546875" style="278" bestFit="1" customWidth="1"/>
    <col min="2837" max="2837" width="11.85546875" style="278" bestFit="1" customWidth="1"/>
    <col min="2838" max="2838" width="12.85546875" style="278" bestFit="1" customWidth="1"/>
    <col min="2839" max="3072" width="11.42578125" style="278"/>
    <col min="3073" max="3073" width="9.28515625" style="278" customWidth="1"/>
    <col min="3074" max="3074" width="69.28515625" style="278" bestFit="1" customWidth="1"/>
    <col min="3075" max="3075" width="26.7109375" style="278" customWidth="1"/>
    <col min="3076" max="3077" width="0" style="278" hidden="1" customWidth="1"/>
    <col min="3078" max="3078" width="20.7109375" style="278" customWidth="1"/>
    <col min="3079" max="3079" width="20.140625" style="278" customWidth="1"/>
    <col min="3080" max="3080" width="24.140625" style="278" customWidth="1"/>
    <col min="3081" max="3081" width="30.7109375" style="278" bestFit="1" customWidth="1"/>
    <col min="3082" max="3082" width="31.5703125" style="278" bestFit="1" customWidth="1"/>
    <col min="3083" max="3086" width="11.42578125" style="278"/>
    <col min="3087" max="3087" width="60.85546875" style="278" customWidth="1"/>
    <col min="3088" max="3088" width="24" style="278" customWidth="1"/>
    <col min="3089" max="3089" width="14.42578125" style="278" bestFit="1" customWidth="1"/>
    <col min="3090" max="3090" width="15.42578125" style="278" bestFit="1" customWidth="1"/>
    <col min="3091" max="3092" width="12.85546875" style="278" bestFit="1" customWidth="1"/>
    <col min="3093" max="3093" width="11.85546875" style="278" bestFit="1" customWidth="1"/>
    <col min="3094" max="3094" width="12.85546875" style="278" bestFit="1" customWidth="1"/>
    <col min="3095" max="3328" width="11.42578125" style="278"/>
    <col min="3329" max="3329" width="9.28515625" style="278" customWidth="1"/>
    <col min="3330" max="3330" width="69.28515625" style="278" bestFit="1" customWidth="1"/>
    <col min="3331" max="3331" width="26.7109375" style="278" customWidth="1"/>
    <col min="3332" max="3333" width="0" style="278" hidden="1" customWidth="1"/>
    <col min="3334" max="3334" width="20.7109375" style="278" customWidth="1"/>
    <col min="3335" max="3335" width="20.140625" style="278" customWidth="1"/>
    <col min="3336" max="3336" width="24.140625" style="278" customWidth="1"/>
    <col min="3337" max="3337" width="30.7109375" style="278" bestFit="1" customWidth="1"/>
    <col min="3338" max="3338" width="31.5703125" style="278" bestFit="1" customWidth="1"/>
    <col min="3339" max="3342" width="11.42578125" style="278"/>
    <col min="3343" max="3343" width="60.85546875" style="278" customWidth="1"/>
    <col min="3344" max="3344" width="24" style="278" customWidth="1"/>
    <col min="3345" max="3345" width="14.42578125" style="278" bestFit="1" customWidth="1"/>
    <col min="3346" max="3346" width="15.42578125" style="278" bestFit="1" customWidth="1"/>
    <col min="3347" max="3348" width="12.85546875" style="278" bestFit="1" customWidth="1"/>
    <col min="3349" max="3349" width="11.85546875" style="278" bestFit="1" customWidth="1"/>
    <col min="3350" max="3350" width="12.85546875" style="278" bestFit="1" customWidth="1"/>
    <col min="3351" max="3584" width="11.42578125" style="278"/>
    <col min="3585" max="3585" width="9.28515625" style="278" customWidth="1"/>
    <col min="3586" max="3586" width="69.28515625" style="278" bestFit="1" customWidth="1"/>
    <col min="3587" max="3587" width="26.7109375" style="278" customWidth="1"/>
    <col min="3588" max="3589" width="0" style="278" hidden="1" customWidth="1"/>
    <col min="3590" max="3590" width="20.7109375" style="278" customWidth="1"/>
    <col min="3591" max="3591" width="20.140625" style="278" customWidth="1"/>
    <col min="3592" max="3592" width="24.140625" style="278" customWidth="1"/>
    <col min="3593" max="3593" width="30.7109375" style="278" bestFit="1" customWidth="1"/>
    <col min="3594" max="3594" width="31.5703125" style="278" bestFit="1" customWidth="1"/>
    <col min="3595" max="3598" width="11.42578125" style="278"/>
    <col min="3599" max="3599" width="60.85546875" style="278" customWidth="1"/>
    <col min="3600" max="3600" width="24" style="278" customWidth="1"/>
    <col min="3601" max="3601" width="14.42578125" style="278" bestFit="1" customWidth="1"/>
    <col min="3602" max="3602" width="15.42578125" style="278" bestFit="1" customWidth="1"/>
    <col min="3603" max="3604" width="12.85546875" style="278" bestFit="1" customWidth="1"/>
    <col min="3605" max="3605" width="11.85546875" style="278" bestFit="1" customWidth="1"/>
    <col min="3606" max="3606" width="12.85546875" style="278" bestFit="1" customWidth="1"/>
    <col min="3607" max="3840" width="11.42578125" style="278"/>
    <col min="3841" max="3841" width="9.28515625" style="278" customWidth="1"/>
    <col min="3842" max="3842" width="69.28515625" style="278" bestFit="1" customWidth="1"/>
    <col min="3843" max="3843" width="26.7109375" style="278" customWidth="1"/>
    <col min="3844" max="3845" width="0" style="278" hidden="1" customWidth="1"/>
    <col min="3846" max="3846" width="20.7109375" style="278" customWidth="1"/>
    <col min="3847" max="3847" width="20.140625" style="278" customWidth="1"/>
    <col min="3848" max="3848" width="24.140625" style="278" customWidth="1"/>
    <col min="3849" max="3849" width="30.7109375" style="278" bestFit="1" customWidth="1"/>
    <col min="3850" max="3850" width="31.5703125" style="278" bestFit="1" customWidth="1"/>
    <col min="3851" max="3854" width="11.42578125" style="278"/>
    <col min="3855" max="3855" width="60.85546875" style="278" customWidth="1"/>
    <col min="3856" max="3856" width="24" style="278" customWidth="1"/>
    <col min="3857" max="3857" width="14.42578125" style="278" bestFit="1" customWidth="1"/>
    <col min="3858" max="3858" width="15.42578125" style="278" bestFit="1" customWidth="1"/>
    <col min="3859" max="3860" width="12.85546875" style="278" bestFit="1" customWidth="1"/>
    <col min="3861" max="3861" width="11.85546875" style="278" bestFit="1" customWidth="1"/>
    <col min="3862" max="3862" width="12.85546875" style="278" bestFit="1" customWidth="1"/>
    <col min="3863" max="4096" width="11.42578125" style="278"/>
    <col min="4097" max="4097" width="9.28515625" style="278" customWidth="1"/>
    <col min="4098" max="4098" width="69.28515625" style="278" bestFit="1" customWidth="1"/>
    <col min="4099" max="4099" width="26.7109375" style="278" customWidth="1"/>
    <col min="4100" max="4101" width="0" style="278" hidden="1" customWidth="1"/>
    <col min="4102" max="4102" width="20.7109375" style="278" customWidth="1"/>
    <col min="4103" max="4103" width="20.140625" style="278" customWidth="1"/>
    <col min="4104" max="4104" width="24.140625" style="278" customWidth="1"/>
    <col min="4105" max="4105" width="30.7109375" style="278" bestFit="1" customWidth="1"/>
    <col min="4106" max="4106" width="31.5703125" style="278" bestFit="1" customWidth="1"/>
    <col min="4107" max="4110" width="11.42578125" style="278"/>
    <col min="4111" max="4111" width="60.85546875" style="278" customWidth="1"/>
    <col min="4112" max="4112" width="24" style="278" customWidth="1"/>
    <col min="4113" max="4113" width="14.42578125" style="278" bestFit="1" customWidth="1"/>
    <col min="4114" max="4114" width="15.42578125" style="278" bestFit="1" customWidth="1"/>
    <col min="4115" max="4116" width="12.85546875" style="278" bestFit="1" customWidth="1"/>
    <col min="4117" max="4117" width="11.85546875" style="278" bestFit="1" customWidth="1"/>
    <col min="4118" max="4118" width="12.85546875" style="278" bestFit="1" customWidth="1"/>
    <col min="4119" max="4352" width="11.42578125" style="278"/>
    <col min="4353" max="4353" width="9.28515625" style="278" customWidth="1"/>
    <col min="4354" max="4354" width="69.28515625" style="278" bestFit="1" customWidth="1"/>
    <col min="4355" max="4355" width="26.7109375" style="278" customWidth="1"/>
    <col min="4356" max="4357" width="0" style="278" hidden="1" customWidth="1"/>
    <col min="4358" max="4358" width="20.7109375" style="278" customWidth="1"/>
    <col min="4359" max="4359" width="20.140625" style="278" customWidth="1"/>
    <col min="4360" max="4360" width="24.140625" style="278" customWidth="1"/>
    <col min="4361" max="4361" width="30.7109375" style="278" bestFit="1" customWidth="1"/>
    <col min="4362" max="4362" width="31.5703125" style="278" bestFit="1" customWidth="1"/>
    <col min="4363" max="4366" width="11.42578125" style="278"/>
    <col min="4367" max="4367" width="60.85546875" style="278" customWidth="1"/>
    <col min="4368" max="4368" width="24" style="278" customWidth="1"/>
    <col min="4369" max="4369" width="14.42578125" style="278" bestFit="1" customWidth="1"/>
    <col min="4370" max="4370" width="15.42578125" style="278" bestFit="1" customWidth="1"/>
    <col min="4371" max="4372" width="12.85546875" style="278" bestFit="1" customWidth="1"/>
    <col min="4373" max="4373" width="11.85546875" style="278" bestFit="1" customWidth="1"/>
    <col min="4374" max="4374" width="12.85546875" style="278" bestFit="1" customWidth="1"/>
    <col min="4375" max="4608" width="11.42578125" style="278"/>
    <col min="4609" max="4609" width="9.28515625" style="278" customWidth="1"/>
    <col min="4610" max="4610" width="69.28515625" style="278" bestFit="1" customWidth="1"/>
    <col min="4611" max="4611" width="26.7109375" style="278" customWidth="1"/>
    <col min="4612" max="4613" width="0" style="278" hidden="1" customWidth="1"/>
    <col min="4614" max="4614" width="20.7109375" style="278" customWidth="1"/>
    <col min="4615" max="4615" width="20.140625" style="278" customWidth="1"/>
    <col min="4616" max="4616" width="24.140625" style="278" customWidth="1"/>
    <col min="4617" max="4617" width="30.7109375" style="278" bestFit="1" customWidth="1"/>
    <col min="4618" max="4618" width="31.5703125" style="278" bestFit="1" customWidth="1"/>
    <col min="4619" max="4622" width="11.42578125" style="278"/>
    <col min="4623" max="4623" width="60.85546875" style="278" customWidth="1"/>
    <col min="4624" max="4624" width="24" style="278" customWidth="1"/>
    <col min="4625" max="4625" width="14.42578125" style="278" bestFit="1" customWidth="1"/>
    <col min="4626" max="4626" width="15.42578125" style="278" bestFit="1" customWidth="1"/>
    <col min="4627" max="4628" width="12.85546875" style="278" bestFit="1" customWidth="1"/>
    <col min="4629" max="4629" width="11.85546875" style="278" bestFit="1" customWidth="1"/>
    <col min="4630" max="4630" width="12.85546875" style="278" bestFit="1" customWidth="1"/>
    <col min="4631" max="4864" width="11.42578125" style="278"/>
    <col min="4865" max="4865" width="9.28515625" style="278" customWidth="1"/>
    <col min="4866" max="4866" width="69.28515625" style="278" bestFit="1" customWidth="1"/>
    <col min="4867" max="4867" width="26.7109375" style="278" customWidth="1"/>
    <col min="4868" max="4869" width="0" style="278" hidden="1" customWidth="1"/>
    <col min="4870" max="4870" width="20.7109375" style="278" customWidth="1"/>
    <col min="4871" max="4871" width="20.140625" style="278" customWidth="1"/>
    <col min="4872" max="4872" width="24.140625" style="278" customWidth="1"/>
    <col min="4873" max="4873" width="30.7109375" style="278" bestFit="1" customWidth="1"/>
    <col min="4874" max="4874" width="31.5703125" style="278" bestFit="1" customWidth="1"/>
    <col min="4875" max="4878" width="11.42578125" style="278"/>
    <col min="4879" max="4879" width="60.85546875" style="278" customWidth="1"/>
    <col min="4880" max="4880" width="24" style="278" customWidth="1"/>
    <col min="4881" max="4881" width="14.42578125" style="278" bestFit="1" customWidth="1"/>
    <col min="4882" max="4882" width="15.42578125" style="278" bestFit="1" customWidth="1"/>
    <col min="4883" max="4884" width="12.85546875" style="278" bestFit="1" customWidth="1"/>
    <col min="4885" max="4885" width="11.85546875" style="278" bestFit="1" customWidth="1"/>
    <col min="4886" max="4886" width="12.85546875" style="278" bestFit="1" customWidth="1"/>
    <col min="4887" max="5120" width="11.42578125" style="278"/>
    <col min="5121" max="5121" width="9.28515625" style="278" customWidth="1"/>
    <col min="5122" max="5122" width="69.28515625" style="278" bestFit="1" customWidth="1"/>
    <col min="5123" max="5123" width="26.7109375" style="278" customWidth="1"/>
    <col min="5124" max="5125" width="0" style="278" hidden="1" customWidth="1"/>
    <col min="5126" max="5126" width="20.7109375" style="278" customWidth="1"/>
    <col min="5127" max="5127" width="20.140625" style="278" customWidth="1"/>
    <col min="5128" max="5128" width="24.140625" style="278" customWidth="1"/>
    <col min="5129" max="5129" width="30.7109375" style="278" bestFit="1" customWidth="1"/>
    <col min="5130" max="5130" width="31.5703125" style="278" bestFit="1" customWidth="1"/>
    <col min="5131" max="5134" width="11.42578125" style="278"/>
    <col min="5135" max="5135" width="60.85546875" style="278" customWidth="1"/>
    <col min="5136" max="5136" width="24" style="278" customWidth="1"/>
    <col min="5137" max="5137" width="14.42578125" style="278" bestFit="1" customWidth="1"/>
    <col min="5138" max="5138" width="15.42578125" style="278" bestFit="1" customWidth="1"/>
    <col min="5139" max="5140" width="12.85546875" style="278" bestFit="1" customWidth="1"/>
    <col min="5141" max="5141" width="11.85546875" style="278" bestFit="1" customWidth="1"/>
    <col min="5142" max="5142" width="12.85546875" style="278" bestFit="1" customWidth="1"/>
    <col min="5143" max="5376" width="11.42578125" style="278"/>
    <col min="5377" max="5377" width="9.28515625" style="278" customWidth="1"/>
    <col min="5378" max="5378" width="69.28515625" style="278" bestFit="1" customWidth="1"/>
    <col min="5379" max="5379" width="26.7109375" style="278" customWidth="1"/>
    <col min="5380" max="5381" width="0" style="278" hidden="1" customWidth="1"/>
    <col min="5382" max="5382" width="20.7109375" style="278" customWidth="1"/>
    <col min="5383" max="5383" width="20.140625" style="278" customWidth="1"/>
    <col min="5384" max="5384" width="24.140625" style="278" customWidth="1"/>
    <col min="5385" max="5385" width="30.7109375" style="278" bestFit="1" customWidth="1"/>
    <col min="5386" max="5386" width="31.5703125" style="278" bestFit="1" customWidth="1"/>
    <col min="5387" max="5390" width="11.42578125" style="278"/>
    <col min="5391" max="5391" width="60.85546875" style="278" customWidth="1"/>
    <col min="5392" max="5392" width="24" style="278" customWidth="1"/>
    <col min="5393" max="5393" width="14.42578125" style="278" bestFit="1" customWidth="1"/>
    <col min="5394" max="5394" width="15.42578125" style="278" bestFit="1" customWidth="1"/>
    <col min="5395" max="5396" width="12.85546875" style="278" bestFit="1" customWidth="1"/>
    <col min="5397" max="5397" width="11.85546875" style="278" bestFit="1" customWidth="1"/>
    <col min="5398" max="5398" width="12.85546875" style="278" bestFit="1" customWidth="1"/>
    <col min="5399" max="5632" width="11.42578125" style="278"/>
    <col min="5633" max="5633" width="9.28515625" style="278" customWidth="1"/>
    <col min="5634" max="5634" width="69.28515625" style="278" bestFit="1" customWidth="1"/>
    <col min="5635" max="5635" width="26.7109375" style="278" customWidth="1"/>
    <col min="5636" max="5637" width="0" style="278" hidden="1" customWidth="1"/>
    <col min="5638" max="5638" width="20.7109375" style="278" customWidth="1"/>
    <col min="5639" max="5639" width="20.140625" style="278" customWidth="1"/>
    <col min="5640" max="5640" width="24.140625" style="278" customWidth="1"/>
    <col min="5641" max="5641" width="30.7109375" style="278" bestFit="1" customWidth="1"/>
    <col min="5642" max="5642" width="31.5703125" style="278" bestFit="1" customWidth="1"/>
    <col min="5643" max="5646" width="11.42578125" style="278"/>
    <col min="5647" max="5647" width="60.85546875" style="278" customWidth="1"/>
    <col min="5648" max="5648" width="24" style="278" customWidth="1"/>
    <col min="5649" max="5649" width="14.42578125" style="278" bestFit="1" customWidth="1"/>
    <col min="5650" max="5650" width="15.42578125" style="278" bestFit="1" customWidth="1"/>
    <col min="5651" max="5652" width="12.85546875" style="278" bestFit="1" customWidth="1"/>
    <col min="5653" max="5653" width="11.85546875" style="278" bestFit="1" customWidth="1"/>
    <col min="5654" max="5654" width="12.85546875" style="278" bestFit="1" customWidth="1"/>
    <col min="5655" max="5888" width="11.42578125" style="278"/>
    <col min="5889" max="5889" width="9.28515625" style="278" customWidth="1"/>
    <col min="5890" max="5890" width="69.28515625" style="278" bestFit="1" customWidth="1"/>
    <col min="5891" max="5891" width="26.7109375" style="278" customWidth="1"/>
    <col min="5892" max="5893" width="0" style="278" hidden="1" customWidth="1"/>
    <col min="5894" max="5894" width="20.7109375" style="278" customWidth="1"/>
    <col min="5895" max="5895" width="20.140625" style="278" customWidth="1"/>
    <col min="5896" max="5896" width="24.140625" style="278" customWidth="1"/>
    <col min="5897" max="5897" width="30.7109375" style="278" bestFit="1" customWidth="1"/>
    <col min="5898" max="5898" width="31.5703125" style="278" bestFit="1" customWidth="1"/>
    <col min="5899" max="5902" width="11.42578125" style="278"/>
    <col min="5903" max="5903" width="60.85546875" style="278" customWidth="1"/>
    <col min="5904" max="5904" width="24" style="278" customWidth="1"/>
    <col min="5905" max="5905" width="14.42578125" style="278" bestFit="1" customWidth="1"/>
    <col min="5906" max="5906" width="15.42578125" style="278" bestFit="1" customWidth="1"/>
    <col min="5907" max="5908" width="12.85546875" style="278" bestFit="1" customWidth="1"/>
    <col min="5909" max="5909" width="11.85546875" style="278" bestFit="1" customWidth="1"/>
    <col min="5910" max="5910" width="12.85546875" style="278" bestFit="1" customWidth="1"/>
    <col min="5911" max="6144" width="11.42578125" style="278"/>
    <col min="6145" max="6145" width="9.28515625" style="278" customWidth="1"/>
    <col min="6146" max="6146" width="69.28515625" style="278" bestFit="1" customWidth="1"/>
    <col min="6147" max="6147" width="26.7109375" style="278" customWidth="1"/>
    <col min="6148" max="6149" width="0" style="278" hidden="1" customWidth="1"/>
    <col min="6150" max="6150" width="20.7109375" style="278" customWidth="1"/>
    <col min="6151" max="6151" width="20.140625" style="278" customWidth="1"/>
    <col min="6152" max="6152" width="24.140625" style="278" customWidth="1"/>
    <col min="6153" max="6153" width="30.7109375" style="278" bestFit="1" customWidth="1"/>
    <col min="6154" max="6154" width="31.5703125" style="278" bestFit="1" customWidth="1"/>
    <col min="6155" max="6158" width="11.42578125" style="278"/>
    <col min="6159" max="6159" width="60.85546875" style="278" customWidth="1"/>
    <col min="6160" max="6160" width="24" style="278" customWidth="1"/>
    <col min="6161" max="6161" width="14.42578125" style="278" bestFit="1" customWidth="1"/>
    <col min="6162" max="6162" width="15.42578125" style="278" bestFit="1" customWidth="1"/>
    <col min="6163" max="6164" width="12.85546875" style="278" bestFit="1" customWidth="1"/>
    <col min="6165" max="6165" width="11.85546875" style="278" bestFit="1" customWidth="1"/>
    <col min="6166" max="6166" width="12.85546875" style="278" bestFit="1" customWidth="1"/>
    <col min="6167" max="6400" width="11.42578125" style="278"/>
    <col min="6401" max="6401" width="9.28515625" style="278" customWidth="1"/>
    <col min="6402" max="6402" width="69.28515625" style="278" bestFit="1" customWidth="1"/>
    <col min="6403" max="6403" width="26.7109375" style="278" customWidth="1"/>
    <col min="6404" max="6405" width="0" style="278" hidden="1" customWidth="1"/>
    <col min="6406" max="6406" width="20.7109375" style="278" customWidth="1"/>
    <col min="6407" max="6407" width="20.140625" style="278" customWidth="1"/>
    <col min="6408" max="6408" width="24.140625" style="278" customWidth="1"/>
    <col min="6409" max="6409" width="30.7109375" style="278" bestFit="1" customWidth="1"/>
    <col min="6410" max="6410" width="31.5703125" style="278" bestFit="1" customWidth="1"/>
    <col min="6411" max="6414" width="11.42578125" style="278"/>
    <col min="6415" max="6415" width="60.85546875" style="278" customWidth="1"/>
    <col min="6416" max="6416" width="24" style="278" customWidth="1"/>
    <col min="6417" max="6417" width="14.42578125" style="278" bestFit="1" customWidth="1"/>
    <col min="6418" max="6418" width="15.42578125" style="278" bestFit="1" customWidth="1"/>
    <col min="6419" max="6420" width="12.85546875" style="278" bestFit="1" customWidth="1"/>
    <col min="6421" max="6421" width="11.85546875" style="278" bestFit="1" customWidth="1"/>
    <col min="6422" max="6422" width="12.85546875" style="278" bestFit="1" customWidth="1"/>
    <col min="6423" max="6656" width="11.42578125" style="278"/>
    <col min="6657" max="6657" width="9.28515625" style="278" customWidth="1"/>
    <col min="6658" max="6658" width="69.28515625" style="278" bestFit="1" customWidth="1"/>
    <col min="6659" max="6659" width="26.7109375" style="278" customWidth="1"/>
    <col min="6660" max="6661" width="0" style="278" hidden="1" customWidth="1"/>
    <col min="6662" max="6662" width="20.7109375" style="278" customWidth="1"/>
    <col min="6663" max="6663" width="20.140625" style="278" customWidth="1"/>
    <col min="6664" max="6664" width="24.140625" style="278" customWidth="1"/>
    <col min="6665" max="6665" width="30.7109375" style="278" bestFit="1" customWidth="1"/>
    <col min="6666" max="6666" width="31.5703125" style="278" bestFit="1" customWidth="1"/>
    <col min="6667" max="6670" width="11.42578125" style="278"/>
    <col min="6671" max="6671" width="60.85546875" style="278" customWidth="1"/>
    <col min="6672" max="6672" width="24" style="278" customWidth="1"/>
    <col min="6673" max="6673" width="14.42578125" style="278" bestFit="1" customWidth="1"/>
    <col min="6674" max="6674" width="15.42578125" style="278" bestFit="1" customWidth="1"/>
    <col min="6675" max="6676" width="12.85546875" style="278" bestFit="1" customWidth="1"/>
    <col min="6677" max="6677" width="11.85546875" style="278" bestFit="1" customWidth="1"/>
    <col min="6678" max="6678" width="12.85546875" style="278" bestFit="1" customWidth="1"/>
    <col min="6679" max="6912" width="11.42578125" style="278"/>
    <col min="6913" max="6913" width="9.28515625" style="278" customWidth="1"/>
    <col min="6914" max="6914" width="69.28515625" style="278" bestFit="1" customWidth="1"/>
    <col min="6915" max="6915" width="26.7109375" style="278" customWidth="1"/>
    <col min="6916" max="6917" width="0" style="278" hidden="1" customWidth="1"/>
    <col min="6918" max="6918" width="20.7109375" style="278" customWidth="1"/>
    <col min="6919" max="6919" width="20.140625" style="278" customWidth="1"/>
    <col min="6920" max="6920" width="24.140625" style="278" customWidth="1"/>
    <col min="6921" max="6921" width="30.7109375" style="278" bestFit="1" customWidth="1"/>
    <col min="6922" max="6922" width="31.5703125" style="278" bestFit="1" customWidth="1"/>
    <col min="6923" max="6926" width="11.42578125" style="278"/>
    <col min="6927" max="6927" width="60.85546875" style="278" customWidth="1"/>
    <col min="6928" max="6928" width="24" style="278" customWidth="1"/>
    <col min="6929" max="6929" width="14.42578125" style="278" bestFit="1" customWidth="1"/>
    <col min="6930" max="6930" width="15.42578125" style="278" bestFit="1" customWidth="1"/>
    <col min="6931" max="6932" width="12.85546875" style="278" bestFit="1" customWidth="1"/>
    <col min="6933" max="6933" width="11.85546875" style="278" bestFit="1" customWidth="1"/>
    <col min="6934" max="6934" width="12.85546875" style="278" bestFit="1" customWidth="1"/>
    <col min="6935" max="7168" width="11.42578125" style="278"/>
    <col min="7169" max="7169" width="9.28515625" style="278" customWidth="1"/>
    <col min="7170" max="7170" width="69.28515625" style="278" bestFit="1" customWidth="1"/>
    <col min="7171" max="7171" width="26.7109375" style="278" customWidth="1"/>
    <col min="7172" max="7173" width="0" style="278" hidden="1" customWidth="1"/>
    <col min="7174" max="7174" width="20.7109375" style="278" customWidth="1"/>
    <col min="7175" max="7175" width="20.140625" style="278" customWidth="1"/>
    <col min="7176" max="7176" width="24.140625" style="278" customWidth="1"/>
    <col min="7177" max="7177" width="30.7109375" style="278" bestFit="1" customWidth="1"/>
    <col min="7178" max="7178" width="31.5703125" style="278" bestFit="1" customWidth="1"/>
    <col min="7179" max="7182" width="11.42578125" style="278"/>
    <col min="7183" max="7183" width="60.85546875" style="278" customWidth="1"/>
    <col min="7184" max="7184" width="24" style="278" customWidth="1"/>
    <col min="7185" max="7185" width="14.42578125" style="278" bestFit="1" customWidth="1"/>
    <col min="7186" max="7186" width="15.42578125" style="278" bestFit="1" customWidth="1"/>
    <col min="7187" max="7188" width="12.85546875" style="278" bestFit="1" customWidth="1"/>
    <col min="7189" max="7189" width="11.85546875" style="278" bestFit="1" customWidth="1"/>
    <col min="7190" max="7190" width="12.85546875" style="278" bestFit="1" customWidth="1"/>
    <col min="7191" max="7424" width="11.42578125" style="278"/>
    <col min="7425" max="7425" width="9.28515625" style="278" customWidth="1"/>
    <col min="7426" max="7426" width="69.28515625" style="278" bestFit="1" customWidth="1"/>
    <col min="7427" max="7427" width="26.7109375" style="278" customWidth="1"/>
    <col min="7428" max="7429" width="0" style="278" hidden="1" customWidth="1"/>
    <col min="7430" max="7430" width="20.7109375" style="278" customWidth="1"/>
    <col min="7431" max="7431" width="20.140625" style="278" customWidth="1"/>
    <col min="7432" max="7432" width="24.140625" style="278" customWidth="1"/>
    <col min="7433" max="7433" width="30.7109375" style="278" bestFit="1" customWidth="1"/>
    <col min="7434" max="7434" width="31.5703125" style="278" bestFit="1" customWidth="1"/>
    <col min="7435" max="7438" width="11.42578125" style="278"/>
    <col min="7439" max="7439" width="60.85546875" style="278" customWidth="1"/>
    <col min="7440" max="7440" width="24" style="278" customWidth="1"/>
    <col min="7441" max="7441" width="14.42578125" style="278" bestFit="1" customWidth="1"/>
    <col min="7442" max="7442" width="15.42578125" style="278" bestFit="1" customWidth="1"/>
    <col min="7443" max="7444" width="12.85546875" style="278" bestFit="1" customWidth="1"/>
    <col min="7445" max="7445" width="11.85546875" style="278" bestFit="1" customWidth="1"/>
    <col min="7446" max="7446" width="12.85546875" style="278" bestFit="1" customWidth="1"/>
    <col min="7447" max="7680" width="11.42578125" style="278"/>
    <col min="7681" max="7681" width="9.28515625" style="278" customWidth="1"/>
    <col min="7682" max="7682" width="69.28515625" style="278" bestFit="1" customWidth="1"/>
    <col min="7683" max="7683" width="26.7109375" style="278" customWidth="1"/>
    <col min="7684" max="7685" width="0" style="278" hidden="1" customWidth="1"/>
    <col min="7686" max="7686" width="20.7109375" style="278" customWidth="1"/>
    <col min="7687" max="7687" width="20.140625" style="278" customWidth="1"/>
    <col min="7688" max="7688" width="24.140625" style="278" customWidth="1"/>
    <col min="7689" max="7689" width="30.7109375" style="278" bestFit="1" customWidth="1"/>
    <col min="7690" max="7690" width="31.5703125" style="278" bestFit="1" customWidth="1"/>
    <col min="7691" max="7694" width="11.42578125" style="278"/>
    <col min="7695" max="7695" width="60.85546875" style="278" customWidth="1"/>
    <col min="7696" max="7696" width="24" style="278" customWidth="1"/>
    <col min="7697" max="7697" width="14.42578125" style="278" bestFit="1" customWidth="1"/>
    <col min="7698" max="7698" width="15.42578125" style="278" bestFit="1" customWidth="1"/>
    <col min="7699" max="7700" width="12.85546875" style="278" bestFit="1" customWidth="1"/>
    <col min="7701" max="7701" width="11.85546875" style="278" bestFit="1" customWidth="1"/>
    <col min="7702" max="7702" width="12.85546875" style="278" bestFit="1" customWidth="1"/>
    <col min="7703" max="7936" width="11.42578125" style="278"/>
    <col min="7937" max="7937" width="9.28515625" style="278" customWidth="1"/>
    <col min="7938" max="7938" width="69.28515625" style="278" bestFit="1" customWidth="1"/>
    <col min="7939" max="7939" width="26.7109375" style="278" customWidth="1"/>
    <col min="7940" max="7941" width="0" style="278" hidden="1" customWidth="1"/>
    <col min="7942" max="7942" width="20.7109375" style="278" customWidth="1"/>
    <col min="7943" max="7943" width="20.140625" style="278" customWidth="1"/>
    <col min="7944" max="7944" width="24.140625" style="278" customWidth="1"/>
    <col min="7945" max="7945" width="30.7109375" style="278" bestFit="1" customWidth="1"/>
    <col min="7946" max="7946" width="31.5703125" style="278" bestFit="1" customWidth="1"/>
    <col min="7947" max="7950" width="11.42578125" style="278"/>
    <col min="7951" max="7951" width="60.85546875" style="278" customWidth="1"/>
    <col min="7952" max="7952" width="24" style="278" customWidth="1"/>
    <col min="7953" max="7953" width="14.42578125" style="278" bestFit="1" customWidth="1"/>
    <col min="7954" max="7954" width="15.42578125" style="278" bestFit="1" customWidth="1"/>
    <col min="7955" max="7956" width="12.85546875" style="278" bestFit="1" customWidth="1"/>
    <col min="7957" max="7957" width="11.85546875" style="278" bestFit="1" customWidth="1"/>
    <col min="7958" max="7958" width="12.85546875" style="278" bestFit="1" customWidth="1"/>
    <col min="7959" max="8192" width="11.42578125" style="278"/>
    <col min="8193" max="8193" width="9.28515625" style="278" customWidth="1"/>
    <col min="8194" max="8194" width="69.28515625" style="278" bestFit="1" customWidth="1"/>
    <col min="8195" max="8195" width="26.7109375" style="278" customWidth="1"/>
    <col min="8196" max="8197" width="0" style="278" hidden="1" customWidth="1"/>
    <col min="8198" max="8198" width="20.7109375" style="278" customWidth="1"/>
    <col min="8199" max="8199" width="20.140625" style="278" customWidth="1"/>
    <col min="8200" max="8200" width="24.140625" style="278" customWidth="1"/>
    <col min="8201" max="8201" width="30.7109375" style="278" bestFit="1" customWidth="1"/>
    <col min="8202" max="8202" width="31.5703125" style="278" bestFit="1" customWidth="1"/>
    <col min="8203" max="8206" width="11.42578125" style="278"/>
    <col min="8207" max="8207" width="60.85546875" style="278" customWidth="1"/>
    <col min="8208" max="8208" width="24" style="278" customWidth="1"/>
    <col min="8209" max="8209" width="14.42578125" style="278" bestFit="1" customWidth="1"/>
    <col min="8210" max="8210" width="15.42578125" style="278" bestFit="1" customWidth="1"/>
    <col min="8211" max="8212" width="12.85546875" style="278" bestFit="1" customWidth="1"/>
    <col min="8213" max="8213" width="11.85546875" style="278" bestFit="1" customWidth="1"/>
    <col min="8214" max="8214" width="12.85546875" style="278" bestFit="1" customWidth="1"/>
    <col min="8215" max="8448" width="11.42578125" style="278"/>
    <col min="8449" max="8449" width="9.28515625" style="278" customWidth="1"/>
    <col min="8450" max="8450" width="69.28515625" style="278" bestFit="1" customWidth="1"/>
    <col min="8451" max="8451" width="26.7109375" style="278" customWidth="1"/>
    <col min="8452" max="8453" width="0" style="278" hidden="1" customWidth="1"/>
    <col min="8454" max="8454" width="20.7109375" style="278" customWidth="1"/>
    <col min="8455" max="8455" width="20.140625" style="278" customWidth="1"/>
    <col min="8456" max="8456" width="24.140625" style="278" customWidth="1"/>
    <col min="8457" max="8457" width="30.7109375" style="278" bestFit="1" customWidth="1"/>
    <col min="8458" max="8458" width="31.5703125" style="278" bestFit="1" customWidth="1"/>
    <col min="8459" max="8462" width="11.42578125" style="278"/>
    <col min="8463" max="8463" width="60.85546875" style="278" customWidth="1"/>
    <col min="8464" max="8464" width="24" style="278" customWidth="1"/>
    <col min="8465" max="8465" width="14.42578125" style="278" bestFit="1" customWidth="1"/>
    <col min="8466" max="8466" width="15.42578125" style="278" bestFit="1" customWidth="1"/>
    <col min="8467" max="8468" width="12.85546875" style="278" bestFit="1" customWidth="1"/>
    <col min="8469" max="8469" width="11.85546875" style="278" bestFit="1" customWidth="1"/>
    <col min="8470" max="8470" width="12.85546875" style="278" bestFit="1" customWidth="1"/>
    <col min="8471" max="8704" width="11.42578125" style="278"/>
    <col min="8705" max="8705" width="9.28515625" style="278" customWidth="1"/>
    <col min="8706" max="8706" width="69.28515625" style="278" bestFit="1" customWidth="1"/>
    <col min="8707" max="8707" width="26.7109375" style="278" customWidth="1"/>
    <col min="8708" max="8709" width="0" style="278" hidden="1" customWidth="1"/>
    <col min="8710" max="8710" width="20.7109375" style="278" customWidth="1"/>
    <col min="8711" max="8711" width="20.140625" style="278" customWidth="1"/>
    <col min="8712" max="8712" width="24.140625" style="278" customWidth="1"/>
    <col min="8713" max="8713" width="30.7109375" style="278" bestFit="1" customWidth="1"/>
    <col min="8714" max="8714" width="31.5703125" style="278" bestFit="1" customWidth="1"/>
    <col min="8715" max="8718" width="11.42578125" style="278"/>
    <col min="8719" max="8719" width="60.85546875" style="278" customWidth="1"/>
    <col min="8720" max="8720" width="24" style="278" customWidth="1"/>
    <col min="8721" max="8721" width="14.42578125" style="278" bestFit="1" customWidth="1"/>
    <col min="8722" max="8722" width="15.42578125" style="278" bestFit="1" customWidth="1"/>
    <col min="8723" max="8724" width="12.85546875" style="278" bestFit="1" customWidth="1"/>
    <col min="8725" max="8725" width="11.85546875" style="278" bestFit="1" customWidth="1"/>
    <col min="8726" max="8726" width="12.85546875" style="278" bestFit="1" customWidth="1"/>
    <col min="8727" max="8960" width="11.42578125" style="278"/>
    <col min="8961" max="8961" width="9.28515625" style="278" customWidth="1"/>
    <col min="8962" max="8962" width="69.28515625" style="278" bestFit="1" customWidth="1"/>
    <col min="8963" max="8963" width="26.7109375" style="278" customWidth="1"/>
    <col min="8964" max="8965" width="0" style="278" hidden="1" customWidth="1"/>
    <col min="8966" max="8966" width="20.7109375" style="278" customWidth="1"/>
    <col min="8967" max="8967" width="20.140625" style="278" customWidth="1"/>
    <col min="8968" max="8968" width="24.140625" style="278" customWidth="1"/>
    <col min="8969" max="8969" width="30.7109375" style="278" bestFit="1" customWidth="1"/>
    <col min="8970" max="8970" width="31.5703125" style="278" bestFit="1" customWidth="1"/>
    <col min="8971" max="8974" width="11.42578125" style="278"/>
    <col min="8975" max="8975" width="60.85546875" style="278" customWidth="1"/>
    <col min="8976" max="8976" width="24" style="278" customWidth="1"/>
    <col min="8977" max="8977" width="14.42578125" style="278" bestFit="1" customWidth="1"/>
    <col min="8978" max="8978" width="15.42578125" style="278" bestFit="1" customWidth="1"/>
    <col min="8979" max="8980" width="12.85546875" style="278" bestFit="1" customWidth="1"/>
    <col min="8981" max="8981" width="11.85546875" style="278" bestFit="1" customWidth="1"/>
    <col min="8982" max="8982" width="12.85546875" style="278" bestFit="1" customWidth="1"/>
    <col min="8983" max="9216" width="11.42578125" style="278"/>
    <col min="9217" max="9217" width="9.28515625" style="278" customWidth="1"/>
    <col min="9218" max="9218" width="69.28515625" style="278" bestFit="1" customWidth="1"/>
    <col min="9219" max="9219" width="26.7109375" style="278" customWidth="1"/>
    <col min="9220" max="9221" width="0" style="278" hidden="1" customWidth="1"/>
    <col min="9222" max="9222" width="20.7109375" style="278" customWidth="1"/>
    <col min="9223" max="9223" width="20.140625" style="278" customWidth="1"/>
    <col min="9224" max="9224" width="24.140625" style="278" customWidth="1"/>
    <col min="9225" max="9225" width="30.7109375" style="278" bestFit="1" customWidth="1"/>
    <col min="9226" max="9226" width="31.5703125" style="278" bestFit="1" customWidth="1"/>
    <col min="9227" max="9230" width="11.42578125" style="278"/>
    <col min="9231" max="9231" width="60.85546875" style="278" customWidth="1"/>
    <col min="9232" max="9232" width="24" style="278" customWidth="1"/>
    <col min="9233" max="9233" width="14.42578125" style="278" bestFit="1" customWidth="1"/>
    <col min="9234" max="9234" width="15.42578125" style="278" bestFit="1" customWidth="1"/>
    <col min="9235" max="9236" width="12.85546875" style="278" bestFit="1" customWidth="1"/>
    <col min="9237" max="9237" width="11.85546875" style="278" bestFit="1" customWidth="1"/>
    <col min="9238" max="9238" width="12.85546875" style="278" bestFit="1" customWidth="1"/>
    <col min="9239" max="9472" width="11.42578125" style="278"/>
    <col min="9473" max="9473" width="9.28515625" style="278" customWidth="1"/>
    <col min="9474" max="9474" width="69.28515625" style="278" bestFit="1" customWidth="1"/>
    <col min="9475" max="9475" width="26.7109375" style="278" customWidth="1"/>
    <col min="9476" max="9477" width="0" style="278" hidden="1" customWidth="1"/>
    <col min="9478" max="9478" width="20.7109375" style="278" customWidth="1"/>
    <col min="9479" max="9479" width="20.140625" style="278" customWidth="1"/>
    <col min="9480" max="9480" width="24.140625" style="278" customWidth="1"/>
    <col min="9481" max="9481" width="30.7109375" style="278" bestFit="1" customWidth="1"/>
    <col min="9482" max="9482" width="31.5703125" style="278" bestFit="1" customWidth="1"/>
    <col min="9483" max="9486" width="11.42578125" style="278"/>
    <col min="9487" max="9487" width="60.85546875" style="278" customWidth="1"/>
    <col min="9488" max="9488" width="24" style="278" customWidth="1"/>
    <col min="9489" max="9489" width="14.42578125" style="278" bestFit="1" customWidth="1"/>
    <col min="9490" max="9490" width="15.42578125" style="278" bestFit="1" customWidth="1"/>
    <col min="9491" max="9492" width="12.85546875" style="278" bestFit="1" customWidth="1"/>
    <col min="9493" max="9493" width="11.85546875" style="278" bestFit="1" customWidth="1"/>
    <col min="9494" max="9494" width="12.85546875" style="278" bestFit="1" customWidth="1"/>
    <col min="9495" max="9728" width="11.42578125" style="278"/>
    <col min="9729" max="9729" width="9.28515625" style="278" customWidth="1"/>
    <col min="9730" max="9730" width="69.28515625" style="278" bestFit="1" customWidth="1"/>
    <col min="9731" max="9731" width="26.7109375" style="278" customWidth="1"/>
    <col min="9732" max="9733" width="0" style="278" hidden="1" customWidth="1"/>
    <col min="9734" max="9734" width="20.7109375" style="278" customWidth="1"/>
    <col min="9735" max="9735" width="20.140625" style="278" customWidth="1"/>
    <col min="9736" max="9736" width="24.140625" style="278" customWidth="1"/>
    <col min="9737" max="9737" width="30.7109375" style="278" bestFit="1" customWidth="1"/>
    <col min="9738" max="9738" width="31.5703125" style="278" bestFit="1" customWidth="1"/>
    <col min="9739" max="9742" width="11.42578125" style="278"/>
    <col min="9743" max="9743" width="60.85546875" style="278" customWidth="1"/>
    <col min="9744" max="9744" width="24" style="278" customWidth="1"/>
    <col min="9745" max="9745" width="14.42578125" style="278" bestFit="1" customWidth="1"/>
    <col min="9746" max="9746" width="15.42578125" style="278" bestFit="1" customWidth="1"/>
    <col min="9747" max="9748" width="12.85546875" style="278" bestFit="1" customWidth="1"/>
    <col min="9749" max="9749" width="11.85546875" style="278" bestFit="1" customWidth="1"/>
    <col min="9750" max="9750" width="12.85546875" style="278" bestFit="1" customWidth="1"/>
    <col min="9751" max="9984" width="11.42578125" style="278"/>
    <col min="9985" max="9985" width="9.28515625" style="278" customWidth="1"/>
    <col min="9986" max="9986" width="69.28515625" style="278" bestFit="1" customWidth="1"/>
    <col min="9987" max="9987" width="26.7109375" style="278" customWidth="1"/>
    <col min="9988" max="9989" width="0" style="278" hidden="1" customWidth="1"/>
    <col min="9990" max="9990" width="20.7109375" style="278" customWidth="1"/>
    <col min="9991" max="9991" width="20.140625" style="278" customWidth="1"/>
    <col min="9992" max="9992" width="24.140625" style="278" customWidth="1"/>
    <col min="9993" max="9993" width="30.7109375" style="278" bestFit="1" customWidth="1"/>
    <col min="9994" max="9994" width="31.5703125" style="278" bestFit="1" customWidth="1"/>
    <col min="9995" max="9998" width="11.42578125" style="278"/>
    <col min="9999" max="9999" width="60.85546875" style="278" customWidth="1"/>
    <col min="10000" max="10000" width="24" style="278" customWidth="1"/>
    <col min="10001" max="10001" width="14.42578125" style="278" bestFit="1" customWidth="1"/>
    <col min="10002" max="10002" width="15.42578125" style="278" bestFit="1" customWidth="1"/>
    <col min="10003" max="10004" width="12.85546875" style="278" bestFit="1" customWidth="1"/>
    <col min="10005" max="10005" width="11.85546875" style="278" bestFit="1" customWidth="1"/>
    <col min="10006" max="10006" width="12.85546875" style="278" bestFit="1" customWidth="1"/>
    <col min="10007" max="10240" width="11.42578125" style="278"/>
    <col min="10241" max="10241" width="9.28515625" style="278" customWidth="1"/>
    <col min="10242" max="10242" width="69.28515625" style="278" bestFit="1" customWidth="1"/>
    <col min="10243" max="10243" width="26.7109375" style="278" customWidth="1"/>
    <col min="10244" max="10245" width="0" style="278" hidden="1" customWidth="1"/>
    <col min="10246" max="10246" width="20.7109375" style="278" customWidth="1"/>
    <col min="10247" max="10247" width="20.140625" style="278" customWidth="1"/>
    <col min="10248" max="10248" width="24.140625" style="278" customWidth="1"/>
    <col min="10249" max="10249" width="30.7109375" style="278" bestFit="1" customWidth="1"/>
    <col min="10250" max="10250" width="31.5703125" style="278" bestFit="1" customWidth="1"/>
    <col min="10251" max="10254" width="11.42578125" style="278"/>
    <col min="10255" max="10255" width="60.85546875" style="278" customWidth="1"/>
    <col min="10256" max="10256" width="24" style="278" customWidth="1"/>
    <col min="10257" max="10257" width="14.42578125" style="278" bestFit="1" customWidth="1"/>
    <col min="10258" max="10258" width="15.42578125" style="278" bestFit="1" customWidth="1"/>
    <col min="10259" max="10260" width="12.85546875" style="278" bestFit="1" customWidth="1"/>
    <col min="10261" max="10261" width="11.85546875" style="278" bestFit="1" customWidth="1"/>
    <col min="10262" max="10262" width="12.85546875" style="278" bestFit="1" customWidth="1"/>
    <col min="10263" max="10496" width="11.42578125" style="278"/>
    <col min="10497" max="10497" width="9.28515625" style="278" customWidth="1"/>
    <col min="10498" max="10498" width="69.28515625" style="278" bestFit="1" customWidth="1"/>
    <col min="10499" max="10499" width="26.7109375" style="278" customWidth="1"/>
    <col min="10500" max="10501" width="0" style="278" hidden="1" customWidth="1"/>
    <col min="10502" max="10502" width="20.7109375" style="278" customWidth="1"/>
    <col min="10503" max="10503" width="20.140625" style="278" customWidth="1"/>
    <col min="10504" max="10504" width="24.140625" style="278" customWidth="1"/>
    <col min="10505" max="10505" width="30.7109375" style="278" bestFit="1" customWidth="1"/>
    <col min="10506" max="10506" width="31.5703125" style="278" bestFit="1" customWidth="1"/>
    <col min="10507" max="10510" width="11.42578125" style="278"/>
    <col min="10511" max="10511" width="60.85546875" style="278" customWidth="1"/>
    <col min="10512" max="10512" width="24" style="278" customWidth="1"/>
    <col min="10513" max="10513" width="14.42578125" style="278" bestFit="1" customWidth="1"/>
    <col min="10514" max="10514" width="15.42578125" style="278" bestFit="1" customWidth="1"/>
    <col min="10515" max="10516" width="12.85546875" style="278" bestFit="1" customWidth="1"/>
    <col min="10517" max="10517" width="11.85546875" style="278" bestFit="1" customWidth="1"/>
    <col min="10518" max="10518" width="12.85546875" style="278" bestFit="1" customWidth="1"/>
    <col min="10519" max="10752" width="11.42578125" style="278"/>
    <col min="10753" max="10753" width="9.28515625" style="278" customWidth="1"/>
    <col min="10754" max="10754" width="69.28515625" style="278" bestFit="1" customWidth="1"/>
    <col min="10755" max="10755" width="26.7109375" style="278" customWidth="1"/>
    <col min="10756" max="10757" width="0" style="278" hidden="1" customWidth="1"/>
    <col min="10758" max="10758" width="20.7109375" style="278" customWidth="1"/>
    <col min="10759" max="10759" width="20.140625" style="278" customWidth="1"/>
    <col min="10760" max="10760" width="24.140625" style="278" customWidth="1"/>
    <col min="10761" max="10761" width="30.7109375" style="278" bestFit="1" customWidth="1"/>
    <col min="10762" max="10762" width="31.5703125" style="278" bestFit="1" customWidth="1"/>
    <col min="10763" max="10766" width="11.42578125" style="278"/>
    <col min="10767" max="10767" width="60.85546875" style="278" customWidth="1"/>
    <col min="10768" max="10768" width="24" style="278" customWidth="1"/>
    <col min="10769" max="10769" width="14.42578125" style="278" bestFit="1" customWidth="1"/>
    <col min="10770" max="10770" width="15.42578125" style="278" bestFit="1" customWidth="1"/>
    <col min="10771" max="10772" width="12.85546875" style="278" bestFit="1" customWidth="1"/>
    <col min="10773" max="10773" width="11.85546875" style="278" bestFit="1" customWidth="1"/>
    <col min="10774" max="10774" width="12.85546875" style="278" bestFit="1" customWidth="1"/>
    <col min="10775" max="11008" width="11.42578125" style="278"/>
    <col min="11009" max="11009" width="9.28515625" style="278" customWidth="1"/>
    <col min="11010" max="11010" width="69.28515625" style="278" bestFit="1" customWidth="1"/>
    <col min="11011" max="11011" width="26.7109375" style="278" customWidth="1"/>
    <col min="11012" max="11013" width="0" style="278" hidden="1" customWidth="1"/>
    <col min="11014" max="11014" width="20.7109375" style="278" customWidth="1"/>
    <col min="11015" max="11015" width="20.140625" style="278" customWidth="1"/>
    <col min="11016" max="11016" width="24.140625" style="278" customWidth="1"/>
    <col min="11017" max="11017" width="30.7109375" style="278" bestFit="1" customWidth="1"/>
    <col min="11018" max="11018" width="31.5703125" style="278" bestFit="1" customWidth="1"/>
    <col min="11019" max="11022" width="11.42578125" style="278"/>
    <col min="11023" max="11023" width="60.85546875" style="278" customWidth="1"/>
    <col min="11024" max="11024" width="24" style="278" customWidth="1"/>
    <col min="11025" max="11025" width="14.42578125" style="278" bestFit="1" customWidth="1"/>
    <col min="11026" max="11026" width="15.42578125" style="278" bestFit="1" customWidth="1"/>
    <col min="11027" max="11028" width="12.85546875" style="278" bestFit="1" customWidth="1"/>
    <col min="11029" max="11029" width="11.85546875" style="278" bestFit="1" customWidth="1"/>
    <col min="11030" max="11030" width="12.85546875" style="278" bestFit="1" customWidth="1"/>
    <col min="11031" max="11264" width="11.42578125" style="278"/>
    <col min="11265" max="11265" width="9.28515625" style="278" customWidth="1"/>
    <col min="11266" max="11266" width="69.28515625" style="278" bestFit="1" customWidth="1"/>
    <col min="11267" max="11267" width="26.7109375" style="278" customWidth="1"/>
    <col min="11268" max="11269" width="0" style="278" hidden="1" customWidth="1"/>
    <col min="11270" max="11270" width="20.7109375" style="278" customWidth="1"/>
    <col min="11271" max="11271" width="20.140625" style="278" customWidth="1"/>
    <col min="11272" max="11272" width="24.140625" style="278" customWidth="1"/>
    <col min="11273" max="11273" width="30.7109375" style="278" bestFit="1" customWidth="1"/>
    <col min="11274" max="11274" width="31.5703125" style="278" bestFit="1" customWidth="1"/>
    <col min="11275" max="11278" width="11.42578125" style="278"/>
    <col min="11279" max="11279" width="60.85546875" style="278" customWidth="1"/>
    <col min="11280" max="11280" width="24" style="278" customWidth="1"/>
    <col min="11281" max="11281" width="14.42578125" style="278" bestFit="1" customWidth="1"/>
    <col min="11282" max="11282" width="15.42578125" style="278" bestFit="1" customWidth="1"/>
    <col min="11283" max="11284" width="12.85546875" style="278" bestFit="1" customWidth="1"/>
    <col min="11285" max="11285" width="11.85546875" style="278" bestFit="1" customWidth="1"/>
    <col min="11286" max="11286" width="12.85546875" style="278" bestFit="1" customWidth="1"/>
    <col min="11287" max="11520" width="11.42578125" style="278"/>
    <col min="11521" max="11521" width="9.28515625" style="278" customWidth="1"/>
    <col min="11522" max="11522" width="69.28515625" style="278" bestFit="1" customWidth="1"/>
    <col min="11523" max="11523" width="26.7109375" style="278" customWidth="1"/>
    <col min="11524" max="11525" width="0" style="278" hidden="1" customWidth="1"/>
    <col min="11526" max="11526" width="20.7109375" style="278" customWidth="1"/>
    <col min="11527" max="11527" width="20.140625" style="278" customWidth="1"/>
    <col min="11528" max="11528" width="24.140625" style="278" customWidth="1"/>
    <col min="11529" max="11529" width="30.7109375" style="278" bestFit="1" customWidth="1"/>
    <col min="11530" max="11530" width="31.5703125" style="278" bestFit="1" customWidth="1"/>
    <col min="11531" max="11534" width="11.42578125" style="278"/>
    <col min="11535" max="11535" width="60.85546875" style="278" customWidth="1"/>
    <col min="11536" max="11536" width="24" style="278" customWidth="1"/>
    <col min="11537" max="11537" width="14.42578125" style="278" bestFit="1" customWidth="1"/>
    <col min="11538" max="11538" width="15.42578125" style="278" bestFit="1" customWidth="1"/>
    <col min="11539" max="11540" width="12.85546875" style="278" bestFit="1" customWidth="1"/>
    <col min="11541" max="11541" width="11.85546875" style="278" bestFit="1" customWidth="1"/>
    <col min="11542" max="11542" width="12.85546875" style="278" bestFit="1" customWidth="1"/>
    <col min="11543" max="11776" width="11.42578125" style="278"/>
    <col min="11777" max="11777" width="9.28515625" style="278" customWidth="1"/>
    <col min="11778" max="11778" width="69.28515625" style="278" bestFit="1" customWidth="1"/>
    <col min="11779" max="11779" width="26.7109375" style="278" customWidth="1"/>
    <col min="11780" max="11781" width="0" style="278" hidden="1" customWidth="1"/>
    <col min="11782" max="11782" width="20.7109375" style="278" customWidth="1"/>
    <col min="11783" max="11783" width="20.140625" style="278" customWidth="1"/>
    <col min="11784" max="11784" width="24.140625" style="278" customWidth="1"/>
    <col min="11785" max="11785" width="30.7109375" style="278" bestFit="1" customWidth="1"/>
    <col min="11786" max="11786" width="31.5703125" style="278" bestFit="1" customWidth="1"/>
    <col min="11787" max="11790" width="11.42578125" style="278"/>
    <col min="11791" max="11791" width="60.85546875" style="278" customWidth="1"/>
    <col min="11792" max="11792" width="24" style="278" customWidth="1"/>
    <col min="11793" max="11793" width="14.42578125" style="278" bestFit="1" customWidth="1"/>
    <col min="11794" max="11794" width="15.42578125" style="278" bestFit="1" customWidth="1"/>
    <col min="11795" max="11796" width="12.85546875" style="278" bestFit="1" customWidth="1"/>
    <col min="11797" max="11797" width="11.85546875" style="278" bestFit="1" customWidth="1"/>
    <col min="11798" max="11798" width="12.85546875" style="278" bestFit="1" customWidth="1"/>
    <col min="11799" max="12032" width="11.42578125" style="278"/>
    <col min="12033" max="12033" width="9.28515625" style="278" customWidth="1"/>
    <col min="12034" max="12034" width="69.28515625" style="278" bestFit="1" customWidth="1"/>
    <col min="12035" max="12035" width="26.7109375" style="278" customWidth="1"/>
    <col min="12036" max="12037" width="0" style="278" hidden="1" customWidth="1"/>
    <col min="12038" max="12038" width="20.7109375" style="278" customWidth="1"/>
    <col min="12039" max="12039" width="20.140625" style="278" customWidth="1"/>
    <col min="12040" max="12040" width="24.140625" style="278" customWidth="1"/>
    <col min="12041" max="12041" width="30.7109375" style="278" bestFit="1" customWidth="1"/>
    <col min="12042" max="12042" width="31.5703125" style="278" bestFit="1" customWidth="1"/>
    <col min="12043" max="12046" width="11.42578125" style="278"/>
    <col min="12047" max="12047" width="60.85546875" style="278" customWidth="1"/>
    <col min="12048" max="12048" width="24" style="278" customWidth="1"/>
    <col min="12049" max="12049" width="14.42578125" style="278" bestFit="1" customWidth="1"/>
    <col min="12050" max="12050" width="15.42578125" style="278" bestFit="1" customWidth="1"/>
    <col min="12051" max="12052" width="12.85546875" style="278" bestFit="1" customWidth="1"/>
    <col min="12053" max="12053" width="11.85546875" style="278" bestFit="1" customWidth="1"/>
    <col min="12054" max="12054" width="12.85546875" style="278" bestFit="1" customWidth="1"/>
    <col min="12055" max="12288" width="11.42578125" style="278"/>
    <col min="12289" max="12289" width="9.28515625" style="278" customWidth="1"/>
    <col min="12290" max="12290" width="69.28515625" style="278" bestFit="1" customWidth="1"/>
    <col min="12291" max="12291" width="26.7109375" style="278" customWidth="1"/>
    <col min="12292" max="12293" width="0" style="278" hidden="1" customWidth="1"/>
    <col min="12294" max="12294" width="20.7109375" style="278" customWidth="1"/>
    <col min="12295" max="12295" width="20.140625" style="278" customWidth="1"/>
    <col min="12296" max="12296" width="24.140625" style="278" customWidth="1"/>
    <col min="12297" max="12297" width="30.7109375" style="278" bestFit="1" customWidth="1"/>
    <col min="12298" max="12298" width="31.5703125" style="278" bestFit="1" customWidth="1"/>
    <col min="12299" max="12302" width="11.42578125" style="278"/>
    <col min="12303" max="12303" width="60.85546875" style="278" customWidth="1"/>
    <col min="12304" max="12304" width="24" style="278" customWidth="1"/>
    <col min="12305" max="12305" width="14.42578125" style="278" bestFit="1" customWidth="1"/>
    <col min="12306" max="12306" width="15.42578125" style="278" bestFit="1" customWidth="1"/>
    <col min="12307" max="12308" width="12.85546875" style="278" bestFit="1" customWidth="1"/>
    <col min="12309" max="12309" width="11.85546875" style="278" bestFit="1" customWidth="1"/>
    <col min="12310" max="12310" width="12.85546875" style="278" bestFit="1" customWidth="1"/>
    <col min="12311" max="12544" width="11.42578125" style="278"/>
    <col min="12545" max="12545" width="9.28515625" style="278" customWidth="1"/>
    <col min="12546" max="12546" width="69.28515625" style="278" bestFit="1" customWidth="1"/>
    <col min="12547" max="12547" width="26.7109375" style="278" customWidth="1"/>
    <col min="12548" max="12549" width="0" style="278" hidden="1" customWidth="1"/>
    <col min="12550" max="12550" width="20.7109375" style="278" customWidth="1"/>
    <col min="12551" max="12551" width="20.140625" style="278" customWidth="1"/>
    <col min="12552" max="12552" width="24.140625" style="278" customWidth="1"/>
    <col min="12553" max="12553" width="30.7109375" style="278" bestFit="1" customWidth="1"/>
    <col min="12554" max="12554" width="31.5703125" style="278" bestFit="1" customWidth="1"/>
    <col min="12555" max="12558" width="11.42578125" style="278"/>
    <col min="12559" max="12559" width="60.85546875" style="278" customWidth="1"/>
    <col min="12560" max="12560" width="24" style="278" customWidth="1"/>
    <col min="12561" max="12561" width="14.42578125" style="278" bestFit="1" customWidth="1"/>
    <col min="12562" max="12562" width="15.42578125" style="278" bestFit="1" customWidth="1"/>
    <col min="12563" max="12564" width="12.85546875" style="278" bestFit="1" customWidth="1"/>
    <col min="12565" max="12565" width="11.85546875" style="278" bestFit="1" customWidth="1"/>
    <col min="12566" max="12566" width="12.85546875" style="278" bestFit="1" customWidth="1"/>
    <col min="12567" max="12800" width="11.42578125" style="278"/>
    <col min="12801" max="12801" width="9.28515625" style="278" customWidth="1"/>
    <col min="12802" max="12802" width="69.28515625" style="278" bestFit="1" customWidth="1"/>
    <col min="12803" max="12803" width="26.7109375" style="278" customWidth="1"/>
    <col min="12804" max="12805" width="0" style="278" hidden="1" customWidth="1"/>
    <col min="12806" max="12806" width="20.7109375" style="278" customWidth="1"/>
    <col min="12807" max="12807" width="20.140625" style="278" customWidth="1"/>
    <col min="12808" max="12808" width="24.140625" style="278" customWidth="1"/>
    <col min="12809" max="12809" width="30.7109375" style="278" bestFit="1" customWidth="1"/>
    <col min="12810" max="12810" width="31.5703125" style="278" bestFit="1" customWidth="1"/>
    <col min="12811" max="12814" width="11.42578125" style="278"/>
    <col min="12815" max="12815" width="60.85546875" style="278" customWidth="1"/>
    <col min="12816" max="12816" width="24" style="278" customWidth="1"/>
    <col min="12817" max="12817" width="14.42578125" style="278" bestFit="1" customWidth="1"/>
    <col min="12818" max="12818" width="15.42578125" style="278" bestFit="1" customWidth="1"/>
    <col min="12819" max="12820" width="12.85546875" style="278" bestFit="1" customWidth="1"/>
    <col min="12821" max="12821" width="11.85546875" style="278" bestFit="1" customWidth="1"/>
    <col min="12822" max="12822" width="12.85546875" style="278" bestFit="1" customWidth="1"/>
    <col min="12823" max="13056" width="11.42578125" style="278"/>
    <col min="13057" max="13057" width="9.28515625" style="278" customWidth="1"/>
    <col min="13058" max="13058" width="69.28515625" style="278" bestFit="1" customWidth="1"/>
    <col min="13059" max="13059" width="26.7109375" style="278" customWidth="1"/>
    <col min="13060" max="13061" width="0" style="278" hidden="1" customWidth="1"/>
    <col min="13062" max="13062" width="20.7109375" style="278" customWidth="1"/>
    <col min="13063" max="13063" width="20.140625" style="278" customWidth="1"/>
    <col min="13064" max="13064" width="24.140625" style="278" customWidth="1"/>
    <col min="13065" max="13065" width="30.7109375" style="278" bestFit="1" customWidth="1"/>
    <col min="13066" max="13066" width="31.5703125" style="278" bestFit="1" customWidth="1"/>
    <col min="13067" max="13070" width="11.42578125" style="278"/>
    <col min="13071" max="13071" width="60.85546875" style="278" customWidth="1"/>
    <col min="13072" max="13072" width="24" style="278" customWidth="1"/>
    <col min="13073" max="13073" width="14.42578125" style="278" bestFit="1" customWidth="1"/>
    <col min="13074" max="13074" width="15.42578125" style="278" bestFit="1" customWidth="1"/>
    <col min="13075" max="13076" width="12.85546875" style="278" bestFit="1" customWidth="1"/>
    <col min="13077" max="13077" width="11.85546875" style="278" bestFit="1" customWidth="1"/>
    <col min="13078" max="13078" width="12.85546875" style="278" bestFit="1" customWidth="1"/>
    <col min="13079" max="13312" width="11.42578125" style="278"/>
    <col min="13313" max="13313" width="9.28515625" style="278" customWidth="1"/>
    <col min="13314" max="13314" width="69.28515625" style="278" bestFit="1" customWidth="1"/>
    <col min="13315" max="13315" width="26.7109375" style="278" customWidth="1"/>
    <col min="13316" max="13317" width="0" style="278" hidden="1" customWidth="1"/>
    <col min="13318" max="13318" width="20.7109375" style="278" customWidth="1"/>
    <col min="13319" max="13319" width="20.140625" style="278" customWidth="1"/>
    <col min="13320" max="13320" width="24.140625" style="278" customWidth="1"/>
    <col min="13321" max="13321" width="30.7109375" style="278" bestFit="1" customWidth="1"/>
    <col min="13322" max="13322" width="31.5703125" style="278" bestFit="1" customWidth="1"/>
    <col min="13323" max="13326" width="11.42578125" style="278"/>
    <col min="13327" max="13327" width="60.85546875" style="278" customWidth="1"/>
    <col min="13328" max="13328" width="24" style="278" customWidth="1"/>
    <col min="13329" max="13329" width="14.42578125" style="278" bestFit="1" customWidth="1"/>
    <col min="13330" max="13330" width="15.42578125" style="278" bestFit="1" customWidth="1"/>
    <col min="13331" max="13332" width="12.85546875" style="278" bestFit="1" customWidth="1"/>
    <col min="13333" max="13333" width="11.85546875" style="278" bestFit="1" customWidth="1"/>
    <col min="13334" max="13334" width="12.85546875" style="278" bestFit="1" customWidth="1"/>
    <col min="13335" max="13568" width="11.42578125" style="278"/>
    <col min="13569" max="13569" width="9.28515625" style="278" customWidth="1"/>
    <col min="13570" max="13570" width="69.28515625" style="278" bestFit="1" customWidth="1"/>
    <col min="13571" max="13571" width="26.7109375" style="278" customWidth="1"/>
    <col min="13572" max="13573" width="0" style="278" hidden="1" customWidth="1"/>
    <col min="13574" max="13574" width="20.7109375" style="278" customWidth="1"/>
    <col min="13575" max="13575" width="20.140625" style="278" customWidth="1"/>
    <col min="13576" max="13576" width="24.140625" style="278" customWidth="1"/>
    <col min="13577" max="13577" width="30.7109375" style="278" bestFit="1" customWidth="1"/>
    <col min="13578" max="13578" width="31.5703125" style="278" bestFit="1" customWidth="1"/>
    <col min="13579" max="13582" width="11.42578125" style="278"/>
    <col min="13583" max="13583" width="60.85546875" style="278" customWidth="1"/>
    <col min="13584" max="13584" width="24" style="278" customWidth="1"/>
    <col min="13585" max="13585" width="14.42578125" style="278" bestFit="1" customWidth="1"/>
    <col min="13586" max="13586" width="15.42578125" style="278" bestFit="1" customWidth="1"/>
    <col min="13587" max="13588" width="12.85546875" style="278" bestFit="1" customWidth="1"/>
    <col min="13589" max="13589" width="11.85546875" style="278" bestFit="1" customWidth="1"/>
    <col min="13590" max="13590" width="12.85546875" style="278" bestFit="1" customWidth="1"/>
    <col min="13591" max="13824" width="11.42578125" style="278"/>
    <col min="13825" max="13825" width="9.28515625" style="278" customWidth="1"/>
    <col min="13826" max="13826" width="69.28515625" style="278" bestFit="1" customWidth="1"/>
    <col min="13827" max="13827" width="26.7109375" style="278" customWidth="1"/>
    <col min="13828" max="13829" width="0" style="278" hidden="1" customWidth="1"/>
    <col min="13830" max="13830" width="20.7109375" style="278" customWidth="1"/>
    <col min="13831" max="13831" width="20.140625" style="278" customWidth="1"/>
    <col min="13832" max="13832" width="24.140625" style="278" customWidth="1"/>
    <col min="13833" max="13833" width="30.7109375" style="278" bestFit="1" customWidth="1"/>
    <col min="13834" max="13834" width="31.5703125" style="278" bestFit="1" customWidth="1"/>
    <col min="13835" max="13838" width="11.42578125" style="278"/>
    <col min="13839" max="13839" width="60.85546875" style="278" customWidth="1"/>
    <col min="13840" max="13840" width="24" style="278" customWidth="1"/>
    <col min="13841" max="13841" width="14.42578125" style="278" bestFit="1" customWidth="1"/>
    <col min="13842" max="13842" width="15.42578125" style="278" bestFit="1" customWidth="1"/>
    <col min="13843" max="13844" width="12.85546875" style="278" bestFit="1" customWidth="1"/>
    <col min="13845" max="13845" width="11.85546875" style="278" bestFit="1" customWidth="1"/>
    <col min="13846" max="13846" width="12.85546875" style="278" bestFit="1" customWidth="1"/>
    <col min="13847" max="14080" width="11.42578125" style="278"/>
    <col min="14081" max="14081" width="9.28515625" style="278" customWidth="1"/>
    <col min="14082" max="14082" width="69.28515625" style="278" bestFit="1" customWidth="1"/>
    <col min="14083" max="14083" width="26.7109375" style="278" customWidth="1"/>
    <col min="14084" max="14085" width="0" style="278" hidden="1" customWidth="1"/>
    <col min="14086" max="14086" width="20.7109375" style="278" customWidth="1"/>
    <col min="14087" max="14087" width="20.140625" style="278" customWidth="1"/>
    <col min="14088" max="14088" width="24.140625" style="278" customWidth="1"/>
    <col min="14089" max="14089" width="30.7109375" style="278" bestFit="1" customWidth="1"/>
    <col min="14090" max="14090" width="31.5703125" style="278" bestFit="1" customWidth="1"/>
    <col min="14091" max="14094" width="11.42578125" style="278"/>
    <col min="14095" max="14095" width="60.85546875" style="278" customWidth="1"/>
    <col min="14096" max="14096" width="24" style="278" customWidth="1"/>
    <col min="14097" max="14097" width="14.42578125" style="278" bestFit="1" customWidth="1"/>
    <col min="14098" max="14098" width="15.42578125" style="278" bestFit="1" customWidth="1"/>
    <col min="14099" max="14100" width="12.85546875" style="278" bestFit="1" customWidth="1"/>
    <col min="14101" max="14101" width="11.85546875" style="278" bestFit="1" customWidth="1"/>
    <col min="14102" max="14102" width="12.85546875" style="278" bestFit="1" customWidth="1"/>
    <col min="14103" max="14336" width="11.42578125" style="278"/>
    <col min="14337" max="14337" width="9.28515625" style="278" customWidth="1"/>
    <col min="14338" max="14338" width="69.28515625" style="278" bestFit="1" customWidth="1"/>
    <col min="14339" max="14339" width="26.7109375" style="278" customWidth="1"/>
    <col min="14340" max="14341" width="0" style="278" hidden="1" customWidth="1"/>
    <col min="14342" max="14342" width="20.7109375" style="278" customWidth="1"/>
    <col min="14343" max="14343" width="20.140625" style="278" customWidth="1"/>
    <col min="14344" max="14344" width="24.140625" style="278" customWidth="1"/>
    <col min="14345" max="14345" width="30.7109375" style="278" bestFit="1" customWidth="1"/>
    <col min="14346" max="14346" width="31.5703125" style="278" bestFit="1" customWidth="1"/>
    <col min="14347" max="14350" width="11.42578125" style="278"/>
    <col min="14351" max="14351" width="60.85546875" style="278" customWidth="1"/>
    <col min="14352" max="14352" width="24" style="278" customWidth="1"/>
    <col min="14353" max="14353" width="14.42578125" style="278" bestFit="1" customWidth="1"/>
    <col min="14354" max="14354" width="15.42578125" style="278" bestFit="1" customWidth="1"/>
    <col min="14355" max="14356" width="12.85546875" style="278" bestFit="1" customWidth="1"/>
    <col min="14357" max="14357" width="11.85546875" style="278" bestFit="1" customWidth="1"/>
    <col min="14358" max="14358" width="12.85546875" style="278" bestFit="1" customWidth="1"/>
    <col min="14359" max="14592" width="11.42578125" style="278"/>
    <col min="14593" max="14593" width="9.28515625" style="278" customWidth="1"/>
    <col min="14594" max="14594" width="69.28515625" style="278" bestFit="1" customWidth="1"/>
    <col min="14595" max="14595" width="26.7109375" style="278" customWidth="1"/>
    <col min="14596" max="14597" width="0" style="278" hidden="1" customWidth="1"/>
    <col min="14598" max="14598" width="20.7109375" style="278" customWidth="1"/>
    <col min="14599" max="14599" width="20.140625" style="278" customWidth="1"/>
    <col min="14600" max="14600" width="24.140625" style="278" customWidth="1"/>
    <col min="14601" max="14601" width="30.7109375" style="278" bestFit="1" customWidth="1"/>
    <col min="14602" max="14602" width="31.5703125" style="278" bestFit="1" customWidth="1"/>
    <col min="14603" max="14606" width="11.42578125" style="278"/>
    <col min="14607" max="14607" width="60.85546875" style="278" customWidth="1"/>
    <col min="14608" max="14608" width="24" style="278" customWidth="1"/>
    <col min="14609" max="14609" width="14.42578125" style="278" bestFit="1" customWidth="1"/>
    <col min="14610" max="14610" width="15.42578125" style="278" bestFit="1" customWidth="1"/>
    <col min="14611" max="14612" width="12.85546875" style="278" bestFit="1" customWidth="1"/>
    <col min="14613" max="14613" width="11.85546875" style="278" bestFit="1" customWidth="1"/>
    <col min="14614" max="14614" width="12.85546875" style="278" bestFit="1" customWidth="1"/>
    <col min="14615" max="14848" width="11.42578125" style="278"/>
    <col min="14849" max="14849" width="9.28515625" style="278" customWidth="1"/>
    <col min="14850" max="14850" width="69.28515625" style="278" bestFit="1" customWidth="1"/>
    <col min="14851" max="14851" width="26.7109375" style="278" customWidth="1"/>
    <col min="14852" max="14853" width="0" style="278" hidden="1" customWidth="1"/>
    <col min="14854" max="14854" width="20.7109375" style="278" customWidth="1"/>
    <col min="14855" max="14855" width="20.140625" style="278" customWidth="1"/>
    <col min="14856" max="14856" width="24.140625" style="278" customWidth="1"/>
    <col min="14857" max="14857" width="30.7109375" style="278" bestFit="1" customWidth="1"/>
    <col min="14858" max="14858" width="31.5703125" style="278" bestFit="1" customWidth="1"/>
    <col min="14859" max="14862" width="11.42578125" style="278"/>
    <col min="14863" max="14863" width="60.85546875" style="278" customWidth="1"/>
    <col min="14864" max="14864" width="24" style="278" customWidth="1"/>
    <col min="14865" max="14865" width="14.42578125" style="278" bestFit="1" customWidth="1"/>
    <col min="14866" max="14866" width="15.42578125" style="278" bestFit="1" customWidth="1"/>
    <col min="14867" max="14868" width="12.85546875" style="278" bestFit="1" customWidth="1"/>
    <col min="14869" max="14869" width="11.85546875" style="278" bestFit="1" customWidth="1"/>
    <col min="14870" max="14870" width="12.85546875" style="278" bestFit="1" customWidth="1"/>
    <col min="14871" max="15104" width="11.42578125" style="278"/>
    <col min="15105" max="15105" width="9.28515625" style="278" customWidth="1"/>
    <col min="15106" max="15106" width="69.28515625" style="278" bestFit="1" customWidth="1"/>
    <col min="15107" max="15107" width="26.7109375" style="278" customWidth="1"/>
    <col min="15108" max="15109" width="0" style="278" hidden="1" customWidth="1"/>
    <col min="15110" max="15110" width="20.7109375" style="278" customWidth="1"/>
    <col min="15111" max="15111" width="20.140625" style="278" customWidth="1"/>
    <col min="15112" max="15112" width="24.140625" style="278" customWidth="1"/>
    <col min="15113" max="15113" width="30.7109375" style="278" bestFit="1" customWidth="1"/>
    <col min="15114" max="15114" width="31.5703125" style="278" bestFit="1" customWidth="1"/>
    <col min="15115" max="15118" width="11.42578125" style="278"/>
    <col min="15119" max="15119" width="60.85546875" style="278" customWidth="1"/>
    <col min="15120" max="15120" width="24" style="278" customWidth="1"/>
    <col min="15121" max="15121" width="14.42578125" style="278" bestFit="1" customWidth="1"/>
    <col min="15122" max="15122" width="15.42578125" style="278" bestFit="1" customWidth="1"/>
    <col min="15123" max="15124" width="12.85546875" style="278" bestFit="1" customWidth="1"/>
    <col min="15125" max="15125" width="11.85546875" style="278" bestFit="1" customWidth="1"/>
    <col min="15126" max="15126" width="12.85546875" style="278" bestFit="1" customWidth="1"/>
    <col min="15127" max="15360" width="11.42578125" style="278"/>
    <col min="15361" max="15361" width="9.28515625" style="278" customWidth="1"/>
    <col min="15362" max="15362" width="69.28515625" style="278" bestFit="1" customWidth="1"/>
    <col min="15363" max="15363" width="26.7109375" style="278" customWidth="1"/>
    <col min="15364" max="15365" width="0" style="278" hidden="1" customWidth="1"/>
    <col min="15366" max="15366" width="20.7109375" style="278" customWidth="1"/>
    <col min="15367" max="15367" width="20.140625" style="278" customWidth="1"/>
    <col min="15368" max="15368" width="24.140625" style="278" customWidth="1"/>
    <col min="15369" max="15369" width="30.7109375" style="278" bestFit="1" customWidth="1"/>
    <col min="15370" max="15370" width="31.5703125" style="278" bestFit="1" customWidth="1"/>
    <col min="15371" max="15374" width="11.42578125" style="278"/>
    <col min="15375" max="15375" width="60.85546875" style="278" customWidth="1"/>
    <col min="15376" max="15376" width="24" style="278" customWidth="1"/>
    <col min="15377" max="15377" width="14.42578125" style="278" bestFit="1" customWidth="1"/>
    <col min="15378" max="15378" width="15.42578125" style="278" bestFit="1" customWidth="1"/>
    <col min="15379" max="15380" width="12.85546875" style="278" bestFit="1" customWidth="1"/>
    <col min="15381" max="15381" width="11.85546875" style="278" bestFit="1" customWidth="1"/>
    <col min="15382" max="15382" width="12.85546875" style="278" bestFit="1" customWidth="1"/>
    <col min="15383" max="15616" width="11.42578125" style="278"/>
    <col min="15617" max="15617" width="9.28515625" style="278" customWidth="1"/>
    <col min="15618" max="15618" width="69.28515625" style="278" bestFit="1" customWidth="1"/>
    <col min="15619" max="15619" width="26.7109375" style="278" customWidth="1"/>
    <col min="15620" max="15621" width="0" style="278" hidden="1" customWidth="1"/>
    <col min="15622" max="15622" width="20.7109375" style="278" customWidth="1"/>
    <col min="15623" max="15623" width="20.140625" style="278" customWidth="1"/>
    <col min="15624" max="15624" width="24.140625" style="278" customWidth="1"/>
    <col min="15625" max="15625" width="30.7109375" style="278" bestFit="1" customWidth="1"/>
    <col min="15626" max="15626" width="31.5703125" style="278" bestFit="1" customWidth="1"/>
    <col min="15627" max="15630" width="11.42578125" style="278"/>
    <col min="15631" max="15631" width="60.85546875" style="278" customWidth="1"/>
    <col min="15632" max="15632" width="24" style="278" customWidth="1"/>
    <col min="15633" max="15633" width="14.42578125" style="278" bestFit="1" customWidth="1"/>
    <col min="15634" max="15634" width="15.42578125" style="278" bestFit="1" customWidth="1"/>
    <col min="15635" max="15636" width="12.85546875" style="278" bestFit="1" customWidth="1"/>
    <col min="15637" max="15637" width="11.85546875" style="278" bestFit="1" customWidth="1"/>
    <col min="15638" max="15638" width="12.85546875" style="278" bestFit="1" customWidth="1"/>
    <col min="15639" max="15872" width="11.42578125" style="278"/>
    <col min="15873" max="15873" width="9.28515625" style="278" customWidth="1"/>
    <col min="15874" max="15874" width="69.28515625" style="278" bestFit="1" customWidth="1"/>
    <col min="15875" max="15875" width="26.7109375" style="278" customWidth="1"/>
    <col min="15876" max="15877" width="0" style="278" hidden="1" customWidth="1"/>
    <col min="15878" max="15878" width="20.7109375" style="278" customWidth="1"/>
    <col min="15879" max="15879" width="20.140625" style="278" customWidth="1"/>
    <col min="15880" max="15880" width="24.140625" style="278" customWidth="1"/>
    <col min="15881" max="15881" width="30.7109375" style="278" bestFit="1" customWidth="1"/>
    <col min="15882" max="15882" width="31.5703125" style="278" bestFit="1" customWidth="1"/>
    <col min="15883" max="15886" width="11.42578125" style="278"/>
    <col min="15887" max="15887" width="60.85546875" style="278" customWidth="1"/>
    <col min="15888" max="15888" width="24" style="278" customWidth="1"/>
    <col min="15889" max="15889" width="14.42578125" style="278" bestFit="1" customWidth="1"/>
    <col min="15890" max="15890" width="15.42578125" style="278" bestFit="1" customWidth="1"/>
    <col min="15891" max="15892" width="12.85546875" style="278" bestFit="1" customWidth="1"/>
    <col min="15893" max="15893" width="11.85546875" style="278" bestFit="1" customWidth="1"/>
    <col min="15894" max="15894" width="12.85546875" style="278" bestFit="1" customWidth="1"/>
    <col min="15895" max="16128" width="11.42578125" style="278"/>
    <col min="16129" max="16129" width="9.28515625" style="278" customWidth="1"/>
    <col min="16130" max="16130" width="69.28515625" style="278" bestFit="1" customWidth="1"/>
    <col min="16131" max="16131" width="26.7109375" style="278" customWidth="1"/>
    <col min="16132" max="16133" width="0" style="278" hidden="1" customWidth="1"/>
    <col min="16134" max="16134" width="20.7109375" style="278" customWidth="1"/>
    <col min="16135" max="16135" width="20.140625" style="278" customWidth="1"/>
    <col min="16136" max="16136" width="24.140625" style="278" customWidth="1"/>
    <col min="16137" max="16137" width="30.7109375" style="278" bestFit="1" customWidth="1"/>
    <col min="16138" max="16138" width="31.5703125" style="278" bestFit="1" customWidth="1"/>
    <col min="16139" max="16142" width="11.42578125" style="278"/>
    <col min="16143" max="16143" width="60.85546875" style="278" customWidth="1"/>
    <col min="16144" max="16144" width="24" style="278" customWidth="1"/>
    <col min="16145" max="16145" width="14.42578125" style="278" bestFit="1" customWidth="1"/>
    <col min="16146" max="16146" width="15.42578125" style="278" bestFit="1" customWidth="1"/>
    <col min="16147" max="16148" width="12.85546875" style="278" bestFit="1" customWidth="1"/>
    <col min="16149" max="16149" width="11.85546875" style="278" bestFit="1" customWidth="1"/>
    <col min="16150" max="16150" width="12.85546875" style="278" bestFit="1" customWidth="1"/>
    <col min="16151" max="16384" width="11.42578125" style="278"/>
  </cols>
  <sheetData>
    <row r="1" spans="2:10" ht="15.75" x14ac:dyDescent="0.25">
      <c r="B1" s="476" t="s">
        <v>275</v>
      </c>
      <c r="C1" s="476"/>
      <c r="D1" s="476"/>
      <c r="E1" s="476"/>
      <c r="F1" s="476"/>
      <c r="G1" s="476"/>
    </row>
    <row r="2" spans="2:10" x14ac:dyDescent="0.2">
      <c r="B2" s="279"/>
      <c r="C2" s="279"/>
      <c r="D2" s="279"/>
      <c r="E2" s="279"/>
      <c r="F2" s="279"/>
      <c r="G2" s="279"/>
      <c r="H2" s="280"/>
      <c r="I2" s="280"/>
    </row>
    <row r="3" spans="2:10" x14ac:dyDescent="0.2">
      <c r="B3" s="281" t="s">
        <v>276</v>
      </c>
      <c r="C3" s="282" t="s">
        <v>277</v>
      </c>
      <c r="D3" s="283">
        <v>365</v>
      </c>
      <c r="E3" s="284"/>
      <c r="F3" s="283" t="s">
        <v>278</v>
      </c>
      <c r="G3" s="279"/>
      <c r="H3" s="285"/>
      <c r="I3" s="285"/>
    </row>
    <row r="4" spans="2:10" x14ac:dyDescent="0.2">
      <c r="B4" s="281"/>
      <c r="C4" s="282" t="s">
        <v>279</v>
      </c>
      <c r="D4" s="286">
        <v>249095</v>
      </c>
      <c r="E4" s="287"/>
      <c r="F4" s="288">
        <v>5.0999999999999997E-2</v>
      </c>
      <c r="G4" s="279"/>
      <c r="H4" s="285"/>
      <c r="I4" s="285"/>
    </row>
    <row r="5" spans="2:10" x14ac:dyDescent="0.2">
      <c r="B5" s="281"/>
      <c r="C5" s="282" t="s">
        <v>280</v>
      </c>
      <c r="D5" s="286">
        <v>1750905</v>
      </c>
      <c r="E5" s="287"/>
      <c r="F5" s="287"/>
      <c r="G5" s="289"/>
      <c r="H5" s="285"/>
      <c r="I5" s="285"/>
    </row>
    <row r="6" spans="2:10" x14ac:dyDescent="0.2">
      <c r="B6" s="290"/>
      <c r="C6" s="290"/>
      <c r="D6" s="290"/>
      <c r="E6" s="290"/>
      <c r="F6" s="290"/>
      <c r="G6" s="290"/>
      <c r="H6" s="285"/>
      <c r="I6" s="285"/>
    </row>
    <row r="7" spans="2:10" x14ac:dyDescent="0.2">
      <c r="B7" s="291" t="s">
        <v>281</v>
      </c>
      <c r="C7" s="290"/>
      <c r="D7" s="290"/>
      <c r="E7" s="290"/>
      <c r="F7" s="290"/>
      <c r="G7" s="290"/>
      <c r="H7" s="285"/>
      <c r="I7" s="285"/>
    </row>
    <row r="8" spans="2:10" ht="28.5" customHeight="1" x14ac:dyDescent="0.2">
      <c r="B8" s="292" t="s">
        <v>282</v>
      </c>
      <c r="C8" s="293" t="s">
        <v>283</v>
      </c>
      <c r="D8" s="293" t="s">
        <v>284</v>
      </c>
      <c r="E8" s="293" t="s">
        <v>285</v>
      </c>
      <c r="F8" s="293" t="s">
        <v>286</v>
      </c>
      <c r="G8" s="293" t="s">
        <v>287</v>
      </c>
      <c r="H8" s="285"/>
      <c r="I8" s="285"/>
    </row>
    <row r="9" spans="2:10" x14ac:dyDescent="0.2">
      <c r="B9" s="294" t="s">
        <v>288</v>
      </c>
      <c r="C9" s="295">
        <f>+(D5+D4)*F9</f>
        <v>3395800</v>
      </c>
      <c r="D9" s="295">
        <f>+C9/30</f>
        <v>113193.33333333333</v>
      </c>
      <c r="E9" s="296">
        <f>+D9/8</f>
        <v>14149.166666666666</v>
      </c>
      <c r="F9" s="477">
        <v>1.6979</v>
      </c>
      <c r="G9" s="297">
        <f>+F9*E9</f>
        <v>24023.870083333331</v>
      </c>
      <c r="H9" s="298"/>
      <c r="I9" s="285"/>
      <c r="J9" s="299"/>
    </row>
    <row r="10" spans="2:10" x14ac:dyDescent="0.2">
      <c r="B10" s="294" t="s">
        <v>289</v>
      </c>
      <c r="C10" s="295">
        <f>+(D4+D5)*1.1</f>
        <v>2200000</v>
      </c>
      <c r="D10" s="295">
        <f>+C10/30</f>
        <v>73333.333333333328</v>
      </c>
      <c r="E10" s="296">
        <f>+D10/8</f>
        <v>9166.6666666666661</v>
      </c>
      <c r="F10" s="478"/>
      <c r="G10" s="297">
        <f>+F9*E10</f>
        <v>15564.083333333332</v>
      </c>
      <c r="H10" s="285"/>
      <c r="I10" s="285"/>
      <c r="J10" s="300"/>
    </row>
    <row r="11" spans="2:10" x14ac:dyDescent="0.2">
      <c r="B11" s="301" t="s">
        <v>290</v>
      </c>
      <c r="C11" s="302">
        <f>SUM(C9:C10)</f>
        <v>5595800</v>
      </c>
      <c r="D11" s="302">
        <f>SUM(D9:D10)</f>
        <v>186526.66666666666</v>
      </c>
      <c r="E11" s="302">
        <f>SUM(E9:E10)</f>
        <v>23315.833333333332</v>
      </c>
      <c r="G11" s="302">
        <f>ROUND(SUM(G9:G10),0)</f>
        <v>39588</v>
      </c>
      <c r="H11" s="285"/>
      <c r="I11" s="285"/>
    </row>
    <row r="12" spans="2:10" x14ac:dyDescent="0.2">
      <c r="B12" s="290"/>
      <c r="C12" s="290"/>
      <c r="D12" s="290"/>
      <c r="E12" s="290"/>
      <c r="F12" s="290"/>
      <c r="G12" s="303"/>
      <c r="H12" s="285"/>
      <c r="I12" s="285"/>
    </row>
    <row r="13" spans="2:10" x14ac:dyDescent="0.2">
      <c r="B13" s="291" t="s">
        <v>291</v>
      </c>
      <c r="C13" s="290"/>
      <c r="D13" s="290"/>
      <c r="E13" s="290"/>
      <c r="F13" s="290"/>
      <c r="G13" s="290"/>
      <c r="H13" s="285"/>
      <c r="I13" s="285"/>
    </row>
    <row r="14" spans="2:10" ht="28.5" customHeight="1" x14ac:dyDescent="0.2">
      <c r="B14" s="292" t="s">
        <v>282</v>
      </c>
      <c r="C14" s="293" t="s">
        <v>283</v>
      </c>
      <c r="D14" s="293" t="s">
        <v>284</v>
      </c>
      <c r="E14" s="293" t="s">
        <v>285</v>
      </c>
      <c r="F14" s="293" t="s">
        <v>286</v>
      </c>
      <c r="G14" s="293" t="s">
        <v>287</v>
      </c>
      <c r="H14" s="285"/>
      <c r="I14" s="285"/>
    </row>
    <row r="15" spans="2:10" x14ac:dyDescent="0.2">
      <c r="B15" s="294" t="s">
        <v>288</v>
      </c>
      <c r="C15" s="295">
        <f>+C9</f>
        <v>3395800</v>
      </c>
      <c r="D15" s="295">
        <f>+C15/30</f>
        <v>113193.33333333333</v>
      </c>
      <c r="E15" s="296">
        <f>+D15/8</f>
        <v>14149.166666666666</v>
      </c>
      <c r="F15" s="304">
        <f>+F9</f>
        <v>1.6979</v>
      </c>
      <c r="G15" s="297">
        <f>+F15*E15</f>
        <v>24023.870083333331</v>
      </c>
      <c r="H15" s="285"/>
      <c r="I15" s="285"/>
      <c r="J15" s="299"/>
    </row>
    <row r="16" spans="2:10" x14ac:dyDescent="0.2">
      <c r="B16" s="294" t="s">
        <v>289</v>
      </c>
      <c r="C16" s="295">
        <f>+C15</f>
        <v>3395800</v>
      </c>
      <c r="D16" s="295">
        <f>+C16/30</f>
        <v>113193.33333333333</v>
      </c>
      <c r="E16" s="296">
        <f>+D16/8</f>
        <v>14149.166666666666</v>
      </c>
      <c r="F16" s="304">
        <f>+F15</f>
        <v>1.6979</v>
      </c>
      <c r="G16" s="297">
        <f>+F16*E16</f>
        <v>24023.870083333331</v>
      </c>
      <c r="H16" s="285"/>
      <c r="I16" s="285"/>
      <c r="J16" s="300"/>
    </row>
    <row r="17" spans="2:13" x14ac:dyDescent="0.2">
      <c r="B17" s="301" t="s">
        <v>290</v>
      </c>
      <c r="C17" s="302">
        <f>SUM(C15:C16)</f>
        <v>6791600</v>
      </c>
      <c r="D17" s="302">
        <f>SUM(D15:D16)</f>
        <v>226386.66666666666</v>
      </c>
      <c r="E17" s="302">
        <f>SUM(E15:E16)</f>
        <v>28298.333333333332</v>
      </c>
      <c r="G17" s="302">
        <f>ROUND(SUM(G15:G16),0)</f>
        <v>48048</v>
      </c>
      <c r="H17" s="285"/>
      <c r="I17" s="285"/>
    </row>
    <row r="18" spans="2:13" x14ac:dyDescent="0.2">
      <c r="B18" s="290"/>
      <c r="C18" s="290"/>
      <c r="D18" s="290"/>
      <c r="E18" s="290"/>
      <c r="F18" s="290"/>
      <c r="G18" s="303"/>
      <c r="H18" s="285"/>
      <c r="I18" s="285"/>
    </row>
    <row r="19" spans="2:13" x14ac:dyDescent="0.2">
      <c r="B19" s="291" t="s">
        <v>292</v>
      </c>
      <c r="C19" s="290"/>
      <c r="D19" s="290"/>
      <c r="E19" s="290"/>
      <c r="F19" s="290"/>
      <c r="G19" s="290"/>
      <c r="H19" s="285"/>
      <c r="I19" s="285"/>
    </row>
    <row r="20" spans="2:13" ht="28.5" customHeight="1" x14ac:dyDescent="0.2">
      <c r="B20" s="292" t="s">
        <v>282</v>
      </c>
      <c r="C20" s="293" t="s">
        <v>283</v>
      </c>
      <c r="D20" s="293" t="s">
        <v>284</v>
      </c>
      <c r="E20" s="293" t="s">
        <v>285</v>
      </c>
      <c r="F20" s="293" t="s">
        <v>286</v>
      </c>
      <c r="G20" s="293" t="s">
        <v>287</v>
      </c>
      <c r="H20" s="285"/>
      <c r="I20" s="285"/>
    </row>
    <row r="21" spans="2:13" x14ac:dyDescent="0.2">
      <c r="B21" s="294" t="s">
        <v>288</v>
      </c>
      <c r="C21" s="295">
        <f>+C15</f>
        <v>3395800</v>
      </c>
      <c r="D21" s="295">
        <f>+C21/30</f>
        <v>113193.33333333333</v>
      </c>
      <c r="E21" s="296">
        <f>+D21/8</f>
        <v>14149.166666666666</v>
      </c>
      <c r="F21" s="304">
        <f>+F16</f>
        <v>1.6979</v>
      </c>
      <c r="G21" s="295">
        <f>+'[1]A.P.U TERRAZA A'!X15</f>
        <v>21856</v>
      </c>
      <c r="H21" s="285"/>
      <c r="I21" s="285"/>
      <c r="J21" s="299"/>
    </row>
    <row r="22" spans="2:13" x14ac:dyDescent="0.2">
      <c r="B22" s="294" t="s">
        <v>289</v>
      </c>
      <c r="C22" s="295">
        <f>+C21</f>
        <v>3395800</v>
      </c>
      <c r="D22" s="295">
        <f>+C22/30</f>
        <v>113193.33333333333</v>
      </c>
      <c r="E22" s="295">
        <f>+D22/8</f>
        <v>14149.166666666666</v>
      </c>
      <c r="F22" s="304">
        <f>+IF(C22&gt;2*$D$5,'[1]Analisis Factor Prestacional'!$D$26+1,'[1]Analisis Factor Prestacional'!$C$26+1)</f>
        <v>1.6979000000000002</v>
      </c>
      <c r="G22" s="295">
        <f>+G16</f>
        <v>24023.870083333331</v>
      </c>
      <c r="H22" s="285"/>
      <c r="I22" s="285"/>
      <c r="J22" s="300"/>
    </row>
    <row r="23" spans="2:13" x14ac:dyDescent="0.2">
      <c r="B23" s="301" t="s">
        <v>290</v>
      </c>
      <c r="C23" s="302">
        <f>SUM(C21:C22)</f>
        <v>6791600</v>
      </c>
      <c r="D23" s="302">
        <f>SUM(D21:D22)</f>
        <v>226386.66666666666</v>
      </c>
      <c r="E23" s="302">
        <f>SUM(E21:E22)</f>
        <v>28298.333333333332</v>
      </c>
      <c r="G23" s="302">
        <f>ROUND(SUM(G21:G22),0)</f>
        <v>45880</v>
      </c>
      <c r="H23" s="285"/>
      <c r="I23" s="285"/>
    </row>
    <row r="24" spans="2:13" x14ac:dyDescent="0.2">
      <c r="B24" s="290"/>
      <c r="C24" s="290"/>
      <c r="D24" s="290"/>
      <c r="E24" s="290"/>
      <c r="F24" s="290"/>
      <c r="G24" s="303"/>
      <c r="H24" s="285"/>
      <c r="I24" s="285"/>
    </row>
    <row r="25" spans="2:13" x14ac:dyDescent="0.2">
      <c r="B25" s="291" t="s">
        <v>293</v>
      </c>
      <c r="C25" s="290"/>
      <c r="D25" s="290"/>
      <c r="E25" s="290"/>
      <c r="F25" s="290"/>
      <c r="G25" s="290"/>
      <c r="H25" s="285"/>
      <c r="I25" s="285"/>
    </row>
    <row r="26" spans="2:13" ht="28.5" customHeight="1" x14ac:dyDescent="0.2">
      <c r="B26" s="292" t="s">
        <v>282</v>
      </c>
      <c r="C26" s="293" t="s">
        <v>283</v>
      </c>
      <c r="D26" s="293" t="s">
        <v>284</v>
      </c>
      <c r="E26" s="293" t="s">
        <v>285</v>
      </c>
      <c r="F26" s="293" t="s">
        <v>286</v>
      </c>
      <c r="G26" s="293" t="s">
        <v>287</v>
      </c>
      <c r="H26" s="285"/>
      <c r="I26" s="305" t="s">
        <v>294</v>
      </c>
      <c r="J26" s="305" t="s">
        <v>295</v>
      </c>
      <c r="K26" s="305" t="s">
        <v>296</v>
      </c>
      <c r="L26" s="306" t="s">
        <v>297</v>
      </c>
      <c r="M26" s="307" t="s">
        <v>298</v>
      </c>
    </row>
    <row r="27" spans="2:13" x14ac:dyDescent="0.2">
      <c r="B27" s="294" t="s">
        <v>288</v>
      </c>
      <c r="C27" s="295">
        <f>+C21</f>
        <v>3395800</v>
      </c>
      <c r="D27" s="295">
        <f>+C27/30</f>
        <v>113193.33333333333</v>
      </c>
      <c r="E27" s="296">
        <f>+D27/8</f>
        <v>14149.166666666666</v>
      </c>
      <c r="F27" s="304">
        <f>+IF(C27&gt;2*$D$5,'[1]Analisis Factor Prestacional'!$D$26+1,'[1]Analisis Factor Prestacional'!$C$26+1)</f>
        <v>1.6979000000000002</v>
      </c>
      <c r="G27" s="295">
        <f>+'[1]A.P.U TERRAZA A'!X15</f>
        <v>21856</v>
      </c>
      <c r="H27" s="285"/>
      <c r="I27" s="308">
        <v>1</v>
      </c>
      <c r="J27" s="308" t="str">
        <f>+B7</f>
        <v>Mano de Obra AA - Albañileria</v>
      </c>
      <c r="K27" s="308" t="s">
        <v>299</v>
      </c>
      <c r="L27" s="308" t="s">
        <v>300</v>
      </c>
      <c r="M27" s="309">
        <f>+G11</f>
        <v>39588</v>
      </c>
    </row>
    <row r="28" spans="2:13" x14ac:dyDescent="0.2">
      <c r="B28" s="294" t="s">
        <v>289</v>
      </c>
      <c r="C28" s="295">
        <f>+C27</f>
        <v>3395800</v>
      </c>
      <c r="D28" s="295">
        <f>+C28/30</f>
        <v>113193.33333333333</v>
      </c>
      <c r="E28" s="296">
        <f>+D28/8</f>
        <v>14149.166666666666</v>
      </c>
      <c r="F28" s="304">
        <f>+IF(C28&gt;2*$D$5,'[1]Analisis Factor Prestacional'!$D$26+1,'[1]Analisis Factor Prestacional'!$C$26+1)</f>
        <v>1.6979000000000002</v>
      </c>
      <c r="G28" s="295">
        <f>+'[1]A.P.U TERRAZA A'!X14</f>
        <v>18552</v>
      </c>
      <c r="H28" s="285"/>
      <c r="I28" s="308">
        <v>2</v>
      </c>
      <c r="J28" s="308" t="str">
        <f>+B13</f>
        <v>Mano de Obra BB - Instalaciones</v>
      </c>
      <c r="K28" s="308" t="s">
        <v>299</v>
      </c>
      <c r="L28" s="308"/>
      <c r="M28" s="309">
        <f>+G17</f>
        <v>48048</v>
      </c>
    </row>
    <row r="29" spans="2:13" x14ac:dyDescent="0.2">
      <c r="B29" s="301" t="s">
        <v>290</v>
      </c>
      <c r="C29" s="302">
        <f>SUM(C27:C28)</f>
        <v>6791600</v>
      </c>
      <c r="D29" s="302">
        <f>SUM(D27:D28)</f>
        <v>226386.66666666666</v>
      </c>
      <c r="E29" s="302">
        <f>SUM(E27:E28)</f>
        <v>28298.333333333332</v>
      </c>
      <c r="G29" s="302">
        <f>ROUND(SUM(G27:G28),0)</f>
        <v>40408</v>
      </c>
      <c r="H29" s="285"/>
      <c r="I29" s="308">
        <v>3</v>
      </c>
      <c r="J29" s="308" t="str">
        <f>+B19</f>
        <v>Mano de Obra CC - Pintura</v>
      </c>
      <c r="K29" s="308" t="s">
        <v>299</v>
      </c>
      <c r="L29" s="308"/>
      <c r="M29" s="309">
        <f>+G23</f>
        <v>45880</v>
      </c>
    </row>
    <row r="30" spans="2:13" x14ac:dyDescent="0.2">
      <c r="B30" s="290"/>
      <c r="C30" s="290"/>
      <c r="D30" s="290"/>
      <c r="E30" s="290"/>
      <c r="F30" s="290"/>
      <c r="G30" s="303"/>
      <c r="H30" s="285"/>
      <c r="I30" s="308">
        <v>4</v>
      </c>
      <c r="J30" s="308" t="str">
        <f>+B25</f>
        <v>Mano de Obra DD - Carpinteria</v>
      </c>
      <c r="K30" s="308" t="s">
        <v>299</v>
      </c>
      <c r="L30" s="308"/>
      <c r="M30" s="309">
        <f>+G29</f>
        <v>40408</v>
      </c>
    </row>
    <row r="31" spans="2:13" x14ac:dyDescent="0.2">
      <c r="B31" s="291" t="s">
        <v>301</v>
      </c>
      <c r="C31" s="290"/>
      <c r="D31" s="290"/>
      <c r="E31" s="290"/>
      <c r="F31" s="290"/>
      <c r="G31" s="290"/>
      <c r="H31" s="285"/>
      <c r="I31" s="308">
        <v>5</v>
      </c>
      <c r="J31" s="308" t="str">
        <f>+B31</f>
        <v>Mano de Obra EE - Muros Secos</v>
      </c>
      <c r="K31" s="308" t="s">
        <v>299</v>
      </c>
      <c r="L31" s="308"/>
      <c r="M31" s="309">
        <f>+G35</f>
        <v>39588</v>
      </c>
    </row>
    <row r="32" spans="2:13" ht="28.5" customHeight="1" x14ac:dyDescent="0.2">
      <c r="B32" s="292" t="s">
        <v>282</v>
      </c>
      <c r="C32" s="293" t="s">
        <v>283</v>
      </c>
      <c r="D32" s="293" t="s">
        <v>284</v>
      </c>
      <c r="E32" s="293" t="s">
        <v>285</v>
      </c>
      <c r="F32" s="293" t="s">
        <v>286</v>
      </c>
      <c r="G32" s="293" t="s">
        <v>287</v>
      </c>
      <c r="H32" s="285"/>
      <c r="I32" s="308">
        <v>6</v>
      </c>
      <c r="J32" s="308" t="str">
        <f>+B37</f>
        <v>Mano de Obra FF - Instalaciones Electricas Internas</v>
      </c>
      <c r="K32" s="308" t="s">
        <v>299</v>
      </c>
      <c r="L32" s="308"/>
      <c r="M32" s="309">
        <f>+G41</f>
        <v>44793</v>
      </c>
    </row>
    <row r="33" spans="2:13" x14ac:dyDescent="0.2">
      <c r="B33" s="294" t="s">
        <v>288</v>
      </c>
      <c r="C33" s="295">
        <f>+C27</f>
        <v>3395800</v>
      </c>
      <c r="D33" s="295">
        <f>+C33/30</f>
        <v>113193.33333333333</v>
      </c>
      <c r="E33" s="296">
        <f>+D33/8</f>
        <v>14149.166666666666</v>
      </c>
      <c r="F33" s="304">
        <f>+IF(C33&gt;2*$D$5,'[1]Analisis Factor Prestacional'!$D$26+1,'[1]Analisis Factor Prestacional'!$C$26+1)</f>
        <v>1.6979000000000002</v>
      </c>
      <c r="G33" s="295">
        <f>+G9</f>
        <v>24023.870083333331</v>
      </c>
      <c r="H33" s="285"/>
      <c r="I33" s="308">
        <v>7</v>
      </c>
      <c r="J33" s="308" t="str">
        <f>+B43</f>
        <v>Mano de Obra GG - Instalaciones Alumbrado Publico</v>
      </c>
      <c r="K33" s="308" t="s">
        <v>299</v>
      </c>
      <c r="L33" s="308"/>
      <c r="M33" s="309">
        <f>+G47</f>
        <v>48048</v>
      </c>
    </row>
    <row r="34" spans="2:13" x14ac:dyDescent="0.2">
      <c r="B34" s="294" t="s">
        <v>289</v>
      </c>
      <c r="C34" s="295">
        <f>+C33</f>
        <v>3395800</v>
      </c>
      <c r="D34" s="295">
        <f>+C34/30</f>
        <v>113193.33333333333</v>
      </c>
      <c r="E34" s="296">
        <f>+D34/8</f>
        <v>14149.166666666666</v>
      </c>
      <c r="F34" s="304">
        <f>+IF(C34&gt;2*$D$5,'[1]Analisis Factor Prestacional'!$D$26+1,'[1]Analisis Factor Prestacional'!$C$26+1)</f>
        <v>1.6979000000000002</v>
      </c>
      <c r="G34" s="295">
        <f>+G10</f>
        <v>15564.083333333332</v>
      </c>
      <c r="H34" s="285"/>
      <c r="I34" s="308">
        <v>8</v>
      </c>
      <c r="J34" s="308" t="s">
        <v>302</v>
      </c>
      <c r="K34" s="308" t="s">
        <v>299</v>
      </c>
      <c r="L34" s="308" t="s">
        <v>300</v>
      </c>
      <c r="M34" s="309">
        <f>+G11+G10+G10</f>
        <v>70716.166666666657</v>
      </c>
    </row>
    <row r="35" spans="2:13" x14ac:dyDescent="0.2">
      <c r="B35" s="301" t="s">
        <v>290</v>
      </c>
      <c r="C35" s="302">
        <f>SUM(C33:C34)</f>
        <v>6791600</v>
      </c>
      <c r="D35" s="302">
        <f>SUM(D33:D34)</f>
        <v>226386.66666666666</v>
      </c>
      <c r="E35" s="302">
        <f>SUM(E33:E34)</f>
        <v>28298.333333333332</v>
      </c>
      <c r="G35" s="302">
        <f>ROUND(SUM(G33:G34),0)</f>
        <v>39588</v>
      </c>
      <c r="H35" s="285"/>
      <c r="I35" s="285"/>
      <c r="J35" s="285"/>
      <c r="K35" s="285"/>
      <c r="L35" s="285"/>
      <c r="M35" s="310"/>
    </row>
    <row r="36" spans="2:13" x14ac:dyDescent="0.2">
      <c r="B36" s="290"/>
      <c r="C36" s="290"/>
      <c r="D36" s="290"/>
      <c r="E36" s="290"/>
      <c r="F36" s="290"/>
      <c r="G36" s="303"/>
      <c r="H36" s="285"/>
      <c r="I36" s="285"/>
      <c r="J36" s="285"/>
      <c r="K36" s="285"/>
      <c r="L36" s="285"/>
      <c r="M36" s="310"/>
    </row>
    <row r="37" spans="2:13" x14ac:dyDescent="0.2">
      <c r="B37" s="291" t="s">
        <v>303</v>
      </c>
      <c r="C37" s="290"/>
      <c r="D37" s="290"/>
      <c r="E37" s="290"/>
      <c r="F37" s="290"/>
      <c r="G37" s="290"/>
      <c r="H37" s="285"/>
      <c r="I37" s="285"/>
    </row>
    <row r="38" spans="2:13" ht="28.5" customHeight="1" x14ac:dyDescent="0.2">
      <c r="B38" s="292" t="s">
        <v>282</v>
      </c>
      <c r="C38" s="293" t="s">
        <v>283</v>
      </c>
      <c r="D38" s="293" t="s">
        <v>284</v>
      </c>
      <c r="E38" s="293" t="s">
        <v>285</v>
      </c>
      <c r="F38" s="293" t="s">
        <v>286</v>
      </c>
      <c r="G38" s="293" t="s">
        <v>287</v>
      </c>
      <c r="H38" s="285"/>
      <c r="I38" s="285"/>
      <c r="J38" s="339" t="s">
        <v>448</v>
      </c>
      <c r="K38" s="339" t="s">
        <v>449</v>
      </c>
    </row>
    <row r="39" spans="2:13" x14ac:dyDescent="0.2">
      <c r="B39" s="294" t="s">
        <v>288</v>
      </c>
      <c r="C39" s="295">
        <f>+C33</f>
        <v>3395800</v>
      </c>
      <c r="D39" s="295">
        <f>+C39/30</f>
        <v>113193.33333333333</v>
      </c>
      <c r="E39" s="296">
        <f>+D39/8</f>
        <v>14149.166666666666</v>
      </c>
      <c r="F39" s="304">
        <f>+IF(C39&gt;2*$D$5,'[1]Analisis Factor Prestacional'!$D$26+1,'[1]Analisis Factor Prestacional'!$C$26+1)</f>
        <v>1.6979000000000002</v>
      </c>
      <c r="G39" s="295">
        <f>+'[1]A.P.U TERRAZA A'!X16</f>
        <v>25499</v>
      </c>
      <c r="H39" s="285"/>
      <c r="I39" s="285"/>
      <c r="J39" s="339" t="s">
        <v>450</v>
      </c>
      <c r="K39" s="340">
        <v>21127</v>
      </c>
    </row>
    <row r="40" spans="2:13" x14ac:dyDescent="0.2">
      <c r="B40" s="294" t="s">
        <v>289</v>
      </c>
      <c r="C40" s="295">
        <f>+C39</f>
        <v>3395800</v>
      </c>
      <c r="D40" s="295">
        <f>+C40/30</f>
        <v>113193.33333333333</v>
      </c>
      <c r="E40" s="296">
        <f>+D40/8</f>
        <v>14149.166666666666</v>
      </c>
      <c r="F40" s="304">
        <f>+IF(C40&gt;2*$D$5,'[1]Analisis Factor Prestacional'!$D$26+1,'[1]Analisis Factor Prestacional'!$C$26+1)</f>
        <v>1.6979000000000002</v>
      </c>
      <c r="G40" s="295">
        <f>+'[1]A.P.U TERRAZA A'!X12</f>
        <v>19294</v>
      </c>
      <c r="H40" s="285"/>
      <c r="I40" s="285"/>
      <c r="J40" s="339" t="s">
        <v>451</v>
      </c>
      <c r="K40" s="340">
        <v>25921</v>
      </c>
    </row>
    <row r="41" spans="2:13" x14ac:dyDescent="0.2">
      <c r="B41" s="301" t="s">
        <v>290</v>
      </c>
      <c r="C41" s="302">
        <f>SUM(C39:C40)</f>
        <v>6791600</v>
      </c>
      <c r="D41" s="302">
        <f>SUM(D39:D40)</f>
        <v>226386.66666666666</v>
      </c>
      <c r="E41" s="302">
        <f>SUM(E39:E40)</f>
        <v>28298.333333333332</v>
      </c>
      <c r="G41" s="302">
        <f>ROUND(SUM(G39:G40),0)</f>
        <v>44793</v>
      </c>
      <c r="H41" s="285"/>
      <c r="I41" s="285"/>
      <c r="J41" s="339" t="s">
        <v>452</v>
      </c>
      <c r="K41" s="340">
        <f>+K40+K39</f>
        <v>47048</v>
      </c>
    </row>
    <row r="42" spans="2:13" x14ac:dyDescent="0.2">
      <c r="B42" s="290"/>
      <c r="C42" s="290"/>
      <c r="D42" s="290"/>
      <c r="E42" s="290"/>
      <c r="F42" s="290"/>
      <c r="G42" s="303"/>
      <c r="H42" s="285"/>
      <c r="I42" s="285"/>
    </row>
    <row r="43" spans="2:13" x14ac:dyDescent="0.2">
      <c r="B43" s="291" t="s">
        <v>304</v>
      </c>
      <c r="C43" s="290"/>
      <c r="D43" s="290"/>
      <c r="E43" s="290"/>
      <c r="F43" s="290"/>
      <c r="G43" s="290"/>
      <c r="H43" s="285"/>
      <c r="I43" s="285"/>
    </row>
    <row r="44" spans="2:13" ht="28.5" customHeight="1" x14ac:dyDescent="0.2">
      <c r="B44" s="292" t="s">
        <v>282</v>
      </c>
      <c r="C44" s="293" t="s">
        <v>283</v>
      </c>
      <c r="D44" s="293" t="s">
        <v>284</v>
      </c>
      <c r="E44" s="293" t="s">
        <v>285</v>
      </c>
      <c r="F44" s="293" t="s">
        <v>286</v>
      </c>
      <c r="G44" s="293" t="s">
        <v>287</v>
      </c>
      <c r="H44" s="285"/>
      <c r="I44" s="285"/>
    </row>
    <row r="45" spans="2:13" x14ac:dyDescent="0.2">
      <c r="B45" s="294" t="s">
        <v>288</v>
      </c>
      <c r="C45" s="295">
        <f>+C39</f>
        <v>3395800</v>
      </c>
      <c r="D45" s="295">
        <f>+C45/30</f>
        <v>113193.33333333333</v>
      </c>
      <c r="E45" s="296">
        <f>+D45/8</f>
        <v>14149.166666666666</v>
      </c>
      <c r="F45" s="304">
        <f>+IF(C45&gt;2*$D$5,'[1]Analisis Factor Prestacional'!$D$26+1,'[1]Analisis Factor Prestacional'!$C$26+1)</f>
        <v>1.6979000000000002</v>
      </c>
      <c r="G45" s="295">
        <f>+F45*E45</f>
        <v>24023.870083333335</v>
      </c>
      <c r="H45" s="285"/>
      <c r="I45" s="285"/>
      <c r="J45" s="299"/>
    </row>
    <row r="46" spans="2:13" x14ac:dyDescent="0.2">
      <c r="B46" s="294" t="s">
        <v>289</v>
      </c>
      <c r="C46" s="295">
        <f>+C45</f>
        <v>3395800</v>
      </c>
      <c r="D46" s="295">
        <f>+C46/30</f>
        <v>113193.33333333333</v>
      </c>
      <c r="E46" s="295">
        <f>+D46/8</f>
        <v>14149.166666666666</v>
      </c>
      <c r="F46" s="304">
        <f>+IF(C46&gt;2*$D$5,'[1]Analisis Factor Prestacional'!$D$26+1,'[1]Analisis Factor Prestacional'!$C$26+1)</f>
        <v>1.6979000000000002</v>
      </c>
      <c r="G46" s="295">
        <f>+F46*E46</f>
        <v>24023.870083333335</v>
      </c>
      <c r="H46" s="285"/>
      <c r="I46" s="285"/>
      <c r="J46" s="300"/>
    </row>
    <row r="47" spans="2:13" x14ac:dyDescent="0.2">
      <c r="B47" s="301" t="s">
        <v>290</v>
      </c>
      <c r="C47" s="302">
        <f>SUM(C45:C46)</f>
        <v>6791600</v>
      </c>
      <c r="D47" s="302">
        <f>SUM(D45:D46)</f>
        <v>226386.66666666666</v>
      </c>
      <c r="E47" s="302">
        <f>SUM(E45:E46)</f>
        <v>28298.333333333332</v>
      </c>
      <c r="G47" s="302">
        <f>ROUND(SUM(G45:G46),0)</f>
        <v>48048</v>
      </c>
      <c r="H47" s="285"/>
      <c r="I47" s="285"/>
    </row>
    <row r="48" spans="2:13" x14ac:dyDescent="0.2">
      <c r="B48" s="290"/>
      <c r="C48" s="290"/>
      <c r="D48" s="290"/>
      <c r="E48" s="290"/>
      <c r="F48" s="290"/>
      <c r="G48" s="303"/>
      <c r="H48" s="285"/>
      <c r="I48" s="285"/>
    </row>
    <row r="49" spans="1:14" ht="25.5" x14ac:dyDescent="0.2">
      <c r="B49" s="311"/>
      <c r="C49" s="312" t="s">
        <v>305</v>
      </c>
      <c r="D49" s="312" t="s">
        <v>306</v>
      </c>
      <c r="E49" s="312" t="s">
        <v>307</v>
      </c>
      <c r="F49" s="290"/>
      <c r="G49" s="293" t="s">
        <v>283</v>
      </c>
      <c r="H49" s="285">
        <v>1.5483</v>
      </c>
      <c r="I49" s="313" t="s">
        <v>39</v>
      </c>
    </row>
    <row r="50" spans="1:14" x14ac:dyDescent="0.2">
      <c r="B50" s="314" t="s">
        <v>308</v>
      </c>
      <c r="C50" s="315">
        <v>3835995.0922929202</v>
      </c>
      <c r="D50" s="315">
        <f>+C50/30</f>
        <v>127866.50307643067</v>
      </c>
      <c r="E50" s="316">
        <f>+D50/8</f>
        <v>15983.312884553834</v>
      </c>
      <c r="F50" s="317">
        <v>3.3068923209421706</v>
      </c>
      <c r="G50" s="318">
        <f>+F50*$D$5</f>
        <v>5790054.2991992515</v>
      </c>
      <c r="H50" s="319">
        <f>+E50/$H$49</f>
        <v>10323.136914392453</v>
      </c>
      <c r="I50" s="320">
        <f>H50*$H$49</f>
        <v>15983.312884553836</v>
      </c>
    </row>
    <row r="51" spans="1:14" x14ac:dyDescent="0.2">
      <c r="B51" s="314" t="s">
        <v>309</v>
      </c>
      <c r="C51" s="315">
        <v>3549643.3710069344</v>
      </c>
      <c r="D51" s="316">
        <f>+C51/30</f>
        <v>118321.44570023115</v>
      </c>
      <c r="E51" s="315">
        <f>+D51/8</f>
        <v>14790.180712528894</v>
      </c>
      <c r="F51" s="317">
        <v>3.0600373887990813</v>
      </c>
      <c r="G51" s="318">
        <f>+F51*$D$5</f>
        <v>5357834.7642352553</v>
      </c>
      <c r="H51" s="319" t="s">
        <v>310</v>
      </c>
      <c r="I51" s="320"/>
    </row>
    <row r="52" spans="1:14" x14ac:dyDescent="0.2">
      <c r="B52" s="314" t="s">
        <v>311</v>
      </c>
      <c r="C52" s="315"/>
      <c r="D52" s="315"/>
      <c r="E52" s="315"/>
      <c r="F52" s="321"/>
      <c r="G52" s="318"/>
      <c r="H52" s="322"/>
      <c r="I52" s="320"/>
    </row>
    <row r="53" spans="1:14" x14ac:dyDescent="0.2">
      <c r="B53" s="314" t="s">
        <v>312</v>
      </c>
      <c r="C53" s="315">
        <v>2692491.1398115521</v>
      </c>
      <c r="D53" s="316">
        <f>+C53/30</f>
        <v>89749.704660385076</v>
      </c>
      <c r="E53" s="315">
        <f>+D53/8</f>
        <v>11218.713082548134</v>
      </c>
      <c r="F53" s="317">
        <v>2.3211130515616829</v>
      </c>
      <c r="G53" s="318">
        <f>+F53*$D$5</f>
        <v>4064048.4475446083</v>
      </c>
      <c r="H53" s="319" t="s">
        <v>310</v>
      </c>
      <c r="I53" s="320"/>
    </row>
    <row r="54" spans="1:14" x14ac:dyDescent="0.2">
      <c r="B54" s="314" t="s">
        <v>313</v>
      </c>
      <c r="C54" s="315">
        <v>2692491.1398115521</v>
      </c>
      <c r="D54" s="316">
        <f>+C54/30</f>
        <v>89749.704660385076</v>
      </c>
      <c r="E54" s="315">
        <f>+D54/8</f>
        <v>11218.713082548134</v>
      </c>
      <c r="F54" s="317">
        <v>2.3211130515616829</v>
      </c>
      <c r="G54" s="318">
        <f>+F54*$D$5</f>
        <v>4064048.4475446083</v>
      </c>
      <c r="H54" s="319" t="s">
        <v>310</v>
      </c>
      <c r="I54" s="320"/>
    </row>
    <row r="55" spans="1:14" x14ac:dyDescent="0.2">
      <c r="B55" s="314" t="s">
        <v>314</v>
      </c>
      <c r="C55" s="315">
        <v>984767.65287883498</v>
      </c>
      <c r="D55" s="316">
        <f>+C55/30</f>
        <v>32825.588429294497</v>
      </c>
      <c r="E55" s="315">
        <f>+D55/8</f>
        <v>4103.1985536618122</v>
      </c>
      <c r="F55" s="323">
        <v>0.84893763179209913</v>
      </c>
      <c r="G55" s="318">
        <f>+F55*$D$5</f>
        <v>1486409.1441929454</v>
      </c>
      <c r="H55" s="319" t="s">
        <v>310</v>
      </c>
      <c r="I55" s="320"/>
    </row>
    <row r="56" spans="1:14" x14ac:dyDescent="0.2">
      <c r="B56" s="314" t="s">
        <v>315</v>
      </c>
      <c r="C56" s="315">
        <v>984767.65287883498</v>
      </c>
      <c r="D56" s="316">
        <f>+C56/30</f>
        <v>32825.588429294497</v>
      </c>
      <c r="E56" s="315">
        <f>+D56/8</f>
        <v>4103.1985536618122</v>
      </c>
      <c r="F56" s="323">
        <v>0.84893763179209913</v>
      </c>
      <c r="G56" s="318">
        <f>+F56*$D$5</f>
        <v>1486409.1441929454</v>
      </c>
      <c r="H56" s="319">
        <f>+D56/19</f>
        <v>1727.6625489102366</v>
      </c>
      <c r="I56" s="320">
        <f>H56*$H$49</f>
        <v>2674.9399244777196</v>
      </c>
    </row>
    <row r="57" spans="1:14" x14ac:dyDescent="0.2">
      <c r="B57" s="290"/>
      <c r="C57" s="290"/>
      <c r="D57" s="290"/>
      <c r="E57" s="290"/>
      <c r="F57" s="290"/>
      <c r="G57" s="303"/>
      <c r="H57" s="285"/>
      <c r="I57" s="285"/>
    </row>
    <row r="58" spans="1:14" x14ac:dyDescent="0.2">
      <c r="B58" s="290"/>
      <c r="C58" s="290"/>
      <c r="D58" s="290"/>
      <c r="E58" s="290"/>
      <c r="F58" s="290"/>
      <c r="G58" s="303"/>
      <c r="H58" s="285"/>
      <c r="I58" s="285"/>
    </row>
    <row r="59" spans="1:14" ht="28.5" customHeight="1" x14ac:dyDescent="0.25">
      <c r="A59" s="324" t="s">
        <v>316</v>
      </c>
      <c r="B59" s="313" t="s">
        <v>317</v>
      </c>
      <c r="C59" s="325"/>
      <c r="D59" s="324" t="s">
        <v>318</v>
      </c>
      <c r="E59" s="313" t="s">
        <v>59</v>
      </c>
      <c r="F59" s="313" t="s">
        <v>39</v>
      </c>
      <c r="G59" s="324" t="s">
        <v>319</v>
      </c>
      <c r="H59" s="324" t="s">
        <v>320</v>
      </c>
      <c r="I59" s="324" t="s">
        <v>321</v>
      </c>
      <c r="J59" s="324" t="s">
        <v>322</v>
      </c>
    </row>
    <row r="60" spans="1:14" x14ac:dyDescent="0.2">
      <c r="A60" s="326" t="s">
        <v>323</v>
      </c>
      <c r="B60" s="327" t="s">
        <v>324</v>
      </c>
      <c r="D60" s="328"/>
      <c r="E60" s="329" t="s">
        <v>325</v>
      </c>
      <c r="F60" s="330">
        <f>+ROUND(G60*H60,0)</f>
        <v>24024</v>
      </c>
      <c r="G60" s="299">
        <f>+ROUND(E9,0)</f>
        <v>14149</v>
      </c>
      <c r="H60" s="331">
        <f>+IF(G60*8*30&gt;2*$D$5,'[1]Analisis Factor Prestacional'!$D$26+1,'[1]Analisis Factor Prestacional'!$C$26+1)</f>
        <v>1.6979000000000002</v>
      </c>
      <c r="I60" s="332" t="s">
        <v>326</v>
      </c>
      <c r="J60" s="333">
        <v>45782</v>
      </c>
      <c r="K60" s="334"/>
      <c r="L60" s="334"/>
      <c r="M60" s="334"/>
      <c r="N60" s="334"/>
    </row>
    <row r="61" spans="1:14" x14ac:dyDescent="0.2">
      <c r="A61" s="326" t="s">
        <v>327</v>
      </c>
      <c r="B61" s="327" t="s">
        <v>328</v>
      </c>
      <c r="D61" s="328"/>
      <c r="E61" s="329" t="s">
        <v>325</v>
      </c>
      <c r="F61" s="330">
        <f t="shared" ref="F61:F73" si="0">+ROUND(G61*H61,0)</f>
        <v>24024</v>
      </c>
      <c r="G61" s="299">
        <f>+ROUND(E15,0)</f>
        <v>14149</v>
      </c>
      <c r="H61" s="331">
        <f>+IF(G61*8*30&gt;2*$D$5,'[1]Analisis Factor Prestacional'!$D$26+1,'[1]Analisis Factor Prestacional'!$C$26+1)</f>
        <v>1.6979000000000002</v>
      </c>
      <c r="I61" s="332" t="s">
        <v>326</v>
      </c>
      <c r="J61" s="333">
        <f>+J60</f>
        <v>45782</v>
      </c>
      <c r="K61" s="334"/>
      <c r="L61" s="334"/>
      <c r="M61" s="334"/>
      <c r="N61" s="334"/>
    </row>
    <row r="62" spans="1:14" x14ac:dyDescent="0.2">
      <c r="A62" s="326" t="s">
        <v>329</v>
      </c>
      <c r="B62" s="327" t="s">
        <v>330</v>
      </c>
      <c r="D62" s="328"/>
      <c r="E62" s="329" t="s">
        <v>325</v>
      </c>
      <c r="F62" s="330">
        <f t="shared" si="0"/>
        <v>24024</v>
      </c>
      <c r="G62" s="299">
        <f>+ROUND(E21,0)</f>
        <v>14149</v>
      </c>
      <c r="H62" s="331">
        <f>+IF(G62*8*30&gt;2*$D$5,'[1]Analisis Factor Prestacional'!$D$26+1,'[1]Analisis Factor Prestacional'!$C$26+1)</f>
        <v>1.6979000000000002</v>
      </c>
      <c r="I62" s="332" t="s">
        <v>326</v>
      </c>
      <c r="J62" s="333">
        <f>+J61</f>
        <v>45782</v>
      </c>
      <c r="K62" s="334"/>
      <c r="L62" s="334"/>
      <c r="M62" s="334"/>
      <c r="N62" s="334"/>
    </row>
    <row r="63" spans="1:14" x14ac:dyDescent="0.2">
      <c r="A63" s="326" t="s">
        <v>331</v>
      </c>
      <c r="B63" s="327" t="s">
        <v>332</v>
      </c>
      <c r="D63" s="328"/>
      <c r="E63" s="329" t="s">
        <v>325</v>
      </c>
      <c r="F63" s="330">
        <f t="shared" si="0"/>
        <v>24024</v>
      </c>
      <c r="G63" s="299">
        <f>+ROUND(E27,0)</f>
        <v>14149</v>
      </c>
      <c r="H63" s="331">
        <f>+IF(G63*8*30&gt;2*$D$5,'[1]Analisis Factor Prestacional'!$D$26+1,'[1]Analisis Factor Prestacional'!$C$26+1)</f>
        <v>1.6979000000000002</v>
      </c>
      <c r="I63" s="332" t="s">
        <v>326</v>
      </c>
      <c r="J63" s="333">
        <f>+J62</f>
        <v>45782</v>
      </c>
      <c r="K63" s="334"/>
      <c r="L63" s="335"/>
      <c r="M63" s="334"/>
      <c r="N63" s="334"/>
    </row>
    <row r="64" spans="1:14" x14ac:dyDescent="0.2">
      <c r="A64" s="326" t="s">
        <v>333</v>
      </c>
      <c r="B64" s="327" t="s">
        <v>334</v>
      </c>
      <c r="D64" s="328"/>
      <c r="E64" s="329" t="s">
        <v>325</v>
      </c>
      <c r="F64" s="330">
        <f t="shared" si="0"/>
        <v>24024</v>
      </c>
      <c r="G64" s="299">
        <f>+ROUND(E33,0)</f>
        <v>14149</v>
      </c>
      <c r="H64" s="331">
        <f>+IF(G64*8*30&gt;2*$D$5,'[1]Analisis Factor Prestacional'!$D$26+1,'[1]Analisis Factor Prestacional'!$C$26+1)</f>
        <v>1.6979000000000002</v>
      </c>
      <c r="I64" s="332" t="s">
        <v>326</v>
      </c>
      <c r="J64" s="333">
        <f t="shared" ref="J64:J115" si="1">+J63</f>
        <v>45782</v>
      </c>
      <c r="K64" s="334"/>
      <c r="L64" s="334"/>
      <c r="M64" s="334"/>
      <c r="N64" s="334"/>
    </row>
    <row r="65" spans="1:14" x14ac:dyDescent="0.2">
      <c r="A65" s="326" t="s">
        <v>335</v>
      </c>
      <c r="B65" s="327" t="s">
        <v>336</v>
      </c>
      <c r="D65" s="328"/>
      <c r="E65" s="329" t="s">
        <v>325</v>
      </c>
      <c r="F65" s="330">
        <f>+ROUND(G65*H65,0)</f>
        <v>24024</v>
      </c>
      <c r="G65" s="299">
        <f>+ROUND(E39,0)</f>
        <v>14149</v>
      </c>
      <c r="H65" s="331">
        <f>+IF(G65*8*30&gt;2*$D$5,'[1]Analisis Factor Prestacional'!$D$26+1,'[1]Analisis Factor Prestacional'!$C$26+1)</f>
        <v>1.6979000000000002</v>
      </c>
      <c r="I65" s="332" t="s">
        <v>326</v>
      </c>
      <c r="J65" s="333">
        <f t="shared" si="1"/>
        <v>45782</v>
      </c>
      <c r="K65" s="334"/>
      <c r="L65" s="334"/>
      <c r="M65" s="334"/>
      <c r="N65" s="334"/>
    </row>
    <row r="66" spans="1:14" x14ac:dyDescent="0.2">
      <c r="A66" s="326" t="s">
        <v>337</v>
      </c>
      <c r="B66" s="327" t="s">
        <v>338</v>
      </c>
      <c r="D66" s="328"/>
      <c r="E66" s="329" t="s">
        <v>325</v>
      </c>
      <c r="F66" s="330">
        <f t="shared" si="0"/>
        <v>24024</v>
      </c>
      <c r="G66" s="299">
        <f>+ROUND(E45,0)</f>
        <v>14149</v>
      </c>
      <c r="H66" s="331">
        <f>+IF(G66*8*30&gt;2*$D$5,'[1]Analisis Factor Prestacional'!$D$26+1,'[1]Analisis Factor Prestacional'!$C$26+1)</f>
        <v>1.6979000000000002</v>
      </c>
      <c r="I66" s="332" t="s">
        <v>326</v>
      </c>
      <c r="J66" s="333">
        <f t="shared" si="1"/>
        <v>45782</v>
      </c>
      <c r="K66" s="334"/>
      <c r="L66" s="334"/>
      <c r="M66" s="334"/>
      <c r="N66" s="334"/>
    </row>
    <row r="67" spans="1:14" x14ac:dyDescent="0.2">
      <c r="A67" s="326" t="s">
        <v>339</v>
      </c>
      <c r="B67" s="327" t="s">
        <v>340</v>
      </c>
      <c r="E67" s="329" t="s">
        <v>325</v>
      </c>
      <c r="F67" s="330">
        <f t="shared" si="0"/>
        <v>15565</v>
      </c>
      <c r="G67" s="335">
        <f>+ROUND(E10,0)</f>
        <v>9167</v>
      </c>
      <c r="H67" s="331">
        <f>+IF(G67*8*30&gt;2*$D$5,'[1]Analisis Factor Prestacional'!$D$26+1,'[1]Analisis Factor Prestacional'!$C$26+1)</f>
        <v>1.6979000000000002</v>
      </c>
      <c r="I67" s="332" t="s">
        <v>326</v>
      </c>
      <c r="J67" s="333">
        <f t="shared" si="1"/>
        <v>45782</v>
      </c>
      <c r="K67" s="334"/>
      <c r="L67" s="334"/>
      <c r="M67" s="334"/>
      <c r="N67" s="334"/>
    </row>
    <row r="68" spans="1:14" x14ac:dyDescent="0.2">
      <c r="A68" s="326" t="s">
        <v>341</v>
      </c>
      <c r="B68" s="327" t="s">
        <v>342</v>
      </c>
      <c r="E68" s="329" t="s">
        <v>325</v>
      </c>
      <c r="F68" s="330">
        <f t="shared" si="0"/>
        <v>24024</v>
      </c>
      <c r="G68" s="335">
        <f>+ROUND(E16,0)</f>
        <v>14149</v>
      </c>
      <c r="H68" s="331">
        <f>+IF(G68*8*30&gt;2*$D$5,'[1]Analisis Factor Prestacional'!$D$26+1,'[1]Analisis Factor Prestacional'!$C$26+1)</f>
        <v>1.6979000000000002</v>
      </c>
      <c r="I68" s="332" t="s">
        <v>326</v>
      </c>
      <c r="J68" s="333">
        <f t="shared" si="1"/>
        <v>45782</v>
      </c>
      <c r="K68" s="334"/>
      <c r="L68" s="334"/>
      <c r="M68" s="334"/>
      <c r="N68" s="334"/>
    </row>
    <row r="69" spans="1:14" x14ac:dyDescent="0.2">
      <c r="A69" s="326" t="s">
        <v>343</v>
      </c>
      <c r="B69" s="327" t="s">
        <v>344</v>
      </c>
      <c r="E69" s="329" t="s">
        <v>325</v>
      </c>
      <c r="F69" s="330">
        <f t="shared" si="0"/>
        <v>24024</v>
      </c>
      <c r="G69" s="335">
        <f>+ROUND(E22,0)</f>
        <v>14149</v>
      </c>
      <c r="H69" s="331">
        <f>+IF(G69*8*30&gt;2*$D$5,'[1]Analisis Factor Prestacional'!$D$26+1,'[1]Analisis Factor Prestacional'!$C$26+1)</f>
        <v>1.6979000000000002</v>
      </c>
      <c r="I69" s="332" t="s">
        <v>326</v>
      </c>
      <c r="J69" s="333">
        <f t="shared" si="1"/>
        <v>45782</v>
      </c>
      <c r="K69" s="334"/>
      <c r="L69" s="334"/>
      <c r="M69" s="334"/>
      <c r="N69" s="334"/>
    </row>
    <row r="70" spans="1:14" x14ac:dyDescent="0.2">
      <c r="A70" s="326" t="s">
        <v>345</v>
      </c>
      <c r="B70" s="327" t="s">
        <v>346</v>
      </c>
      <c r="E70" s="329" t="s">
        <v>325</v>
      </c>
      <c r="F70" s="330">
        <f t="shared" si="0"/>
        <v>24024</v>
      </c>
      <c r="G70" s="335">
        <f>+ROUND(E28,0)</f>
        <v>14149</v>
      </c>
      <c r="H70" s="331">
        <f>+IF(G70*8*30&gt;2*$D$5,'[1]Analisis Factor Prestacional'!$D$26+1,'[1]Analisis Factor Prestacional'!$C$26+1)</f>
        <v>1.6979000000000002</v>
      </c>
      <c r="I70" s="332" t="s">
        <v>326</v>
      </c>
      <c r="J70" s="333">
        <f t="shared" si="1"/>
        <v>45782</v>
      </c>
      <c r="K70" s="334"/>
      <c r="L70" s="334"/>
      <c r="M70" s="334"/>
      <c r="N70" s="334"/>
    </row>
    <row r="71" spans="1:14" x14ac:dyDescent="0.2">
      <c r="A71" s="326" t="s">
        <v>347</v>
      </c>
      <c r="B71" s="327" t="s">
        <v>348</v>
      </c>
      <c r="E71" s="329" t="s">
        <v>325</v>
      </c>
      <c r="F71" s="330">
        <f t="shared" si="0"/>
        <v>24024</v>
      </c>
      <c r="G71" s="335">
        <f>+ROUND(E34,0)</f>
        <v>14149</v>
      </c>
      <c r="H71" s="331">
        <f>+IF(G71*8*30&gt;2*$D$5,'[1]Analisis Factor Prestacional'!$D$26+1,'[1]Analisis Factor Prestacional'!$C$26+1)</f>
        <v>1.6979000000000002</v>
      </c>
      <c r="I71" s="332" t="s">
        <v>326</v>
      </c>
      <c r="J71" s="333">
        <f t="shared" si="1"/>
        <v>45782</v>
      </c>
      <c r="K71" s="334"/>
      <c r="L71" s="334"/>
      <c r="M71" s="334"/>
      <c r="N71" s="334"/>
    </row>
    <row r="72" spans="1:14" x14ac:dyDescent="0.2">
      <c r="A72" s="326" t="s">
        <v>349</v>
      </c>
      <c r="B72" s="327" t="s">
        <v>350</v>
      </c>
      <c r="E72" s="329" t="s">
        <v>325</v>
      </c>
      <c r="F72" s="330">
        <f t="shared" si="0"/>
        <v>24024</v>
      </c>
      <c r="G72" s="335">
        <f>+ROUND(E40,0)</f>
        <v>14149</v>
      </c>
      <c r="H72" s="331">
        <f>+IF(G72*8*30&gt;2*$D$5,'[1]Analisis Factor Prestacional'!$D$26+1,'[1]Analisis Factor Prestacional'!$C$26+1)</f>
        <v>1.6979000000000002</v>
      </c>
      <c r="I72" s="332" t="s">
        <v>326</v>
      </c>
      <c r="J72" s="333">
        <f t="shared" si="1"/>
        <v>45782</v>
      </c>
      <c r="K72" s="334"/>
      <c r="L72" s="334"/>
      <c r="M72" s="334"/>
      <c r="N72" s="334"/>
    </row>
    <row r="73" spans="1:14" x14ac:dyDescent="0.2">
      <c r="A73" s="326" t="s">
        <v>351</v>
      </c>
      <c r="B73" s="327" t="s">
        <v>352</v>
      </c>
      <c r="E73" s="329" t="s">
        <v>325</v>
      </c>
      <c r="F73" s="330">
        <f t="shared" si="0"/>
        <v>24024</v>
      </c>
      <c r="G73" s="335">
        <f>+ROUND(E46,0)</f>
        <v>14149</v>
      </c>
      <c r="H73" s="331">
        <f>+IF(G73*8*30&gt;2.1*$D$5,'[1]Analisis Factor Prestacional'!$D$26+1,'[1]Analisis Factor Prestacional'!$C$26+1)</f>
        <v>1.6979000000000002</v>
      </c>
      <c r="I73" s="332" t="s">
        <v>326</v>
      </c>
      <c r="J73" s="333">
        <f t="shared" si="1"/>
        <v>45782</v>
      </c>
      <c r="K73" s="334"/>
      <c r="L73" s="334"/>
      <c r="M73" s="334"/>
      <c r="N73" s="334"/>
    </row>
    <row r="74" spans="1:14" x14ac:dyDescent="0.2">
      <c r="A74" s="326" t="s">
        <v>353</v>
      </c>
      <c r="B74" s="327" t="s">
        <v>354</v>
      </c>
      <c r="D74" s="278">
        <v>1</v>
      </c>
      <c r="E74" s="329" t="s">
        <v>325</v>
      </c>
      <c r="F74" s="330">
        <f>+ROUND($F$60+$F$67*D74,0)</f>
        <v>39589</v>
      </c>
      <c r="H74" s="285"/>
      <c r="I74" s="285"/>
      <c r="J74" s="333">
        <f t="shared" si="1"/>
        <v>45782</v>
      </c>
    </row>
    <row r="75" spans="1:14" x14ac:dyDescent="0.2">
      <c r="A75" s="326" t="s">
        <v>355</v>
      </c>
      <c r="B75" s="327" t="s">
        <v>356</v>
      </c>
      <c r="D75" s="278">
        <v>1</v>
      </c>
      <c r="E75" s="329" t="s">
        <v>325</v>
      </c>
      <c r="F75" s="330">
        <f>+ROUND($F$61+$F$68*D75,0)</f>
        <v>48048</v>
      </c>
      <c r="H75" s="336"/>
      <c r="I75" s="285"/>
      <c r="J75" s="333">
        <f t="shared" si="1"/>
        <v>45782</v>
      </c>
    </row>
    <row r="76" spans="1:14" x14ac:dyDescent="0.2">
      <c r="A76" s="326" t="s">
        <v>357</v>
      </c>
      <c r="B76" s="327" t="s">
        <v>358</v>
      </c>
      <c r="D76" s="278">
        <v>1</v>
      </c>
      <c r="E76" s="329" t="s">
        <v>325</v>
      </c>
      <c r="F76" s="330">
        <f>+ROUND($F$62+$F$69*D76,0)</f>
        <v>48048</v>
      </c>
      <c r="H76" s="336"/>
      <c r="I76" s="285"/>
      <c r="J76" s="333">
        <f t="shared" si="1"/>
        <v>45782</v>
      </c>
    </row>
    <row r="77" spans="1:14" x14ac:dyDescent="0.2">
      <c r="A77" s="326" t="s">
        <v>359</v>
      </c>
      <c r="B77" s="327" t="s">
        <v>360</v>
      </c>
      <c r="D77" s="278">
        <v>1</v>
      </c>
      <c r="E77" s="329" t="s">
        <v>325</v>
      </c>
      <c r="F77" s="330">
        <f>+ROUND($F$63+$F$70*D77,0)</f>
        <v>48048</v>
      </c>
      <c r="H77" s="285"/>
      <c r="I77" s="285"/>
      <c r="J77" s="333">
        <f t="shared" si="1"/>
        <v>45782</v>
      </c>
    </row>
    <row r="78" spans="1:14" x14ac:dyDescent="0.2">
      <c r="A78" s="326" t="s">
        <v>361</v>
      </c>
      <c r="B78" s="327" t="s">
        <v>362</v>
      </c>
      <c r="D78" s="278">
        <v>1</v>
      </c>
      <c r="E78" s="329" t="s">
        <v>325</v>
      </c>
      <c r="F78" s="330">
        <f>+ROUND($F$64+$F$71*D78,0)</f>
        <v>48048</v>
      </c>
      <c r="H78" s="285"/>
      <c r="I78" s="285"/>
      <c r="J78" s="333">
        <f t="shared" si="1"/>
        <v>45782</v>
      </c>
    </row>
    <row r="79" spans="1:14" x14ac:dyDescent="0.2">
      <c r="A79" s="326" t="s">
        <v>363</v>
      </c>
      <c r="B79" s="327" t="s">
        <v>364</v>
      </c>
      <c r="D79" s="278">
        <v>1</v>
      </c>
      <c r="E79" s="329" t="s">
        <v>325</v>
      </c>
      <c r="F79" s="330">
        <f>+ROUND($F$65+$F$72*D79,0)</f>
        <v>48048</v>
      </c>
      <c r="H79" s="285"/>
      <c r="I79" s="285"/>
      <c r="J79" s="333">
        <f t="shared" si="1"/>
        <v>45782</v>
      </c>
    </row>
    <row r="80" spans="1:14" x14ac:dyDescent="0.2">
      <c r="A80" s="326" t="s">
        <v>365</v>
      </c>
      <c r="B80" s="327" t="s">
        <v>366</v>
      </c>
      <c r="D80" s="278">
        <v>1</v>
      </c>
      <c r="E80" s="329" t="s">
        <v>325</v>
      </c>
      <c r="F80" s="330">
        <f>+ROUND($F$66+$F$73*D80,0)</f>
        <v>48048</v>
      </c>
      <c r="H80" s="285"/>
      <c r="I80" s="285"/>
      <c r="J80" s="333">
        <f t="shared" si="1"/>
        <v>45782</v>
      </c>
    </row>
    <row r="81" spans="1:10" x14ac:dyDescent="0.2">
      <c r="A81" s="326" t="s">
        <v>367</v>
      </c>
      <c r="B81" s="327" t="s">
        <v>368</v>
      </c>
      <c r="D81" s="278">
        <v>2</v>
      </c>
      <c r="E81" s="329" t="s">
        <v>325</v>
      </c>
      <c r="F81" s="330">
        <f>+ROUND($F$60+$F$67*D81,0)</f>
        <v>55154</v>
      </c>
      <c r="H81" s="285"/>
      <c r="I81" s="285"/>
      <c r="J81" s="333">
        <f t="shared" si="1"/>
        <v>45782</v>
      </c>
    </row>
    <row r="82" spans="1:10" s="334" customFormat="1" x14ac:dyDescent="0.2">
      <c r="A82" s="326" t="s">
        <v>369</v>
      </c>
      <c r="B82" s="327" t="s">
        <v>370</v>
      </c>
      <c r="D82" s="278">
        <v>2</v>
      </c>
      <c r="E82" s="329" t="s">
        <v>325</v>
      </c>
      <c r="F82" s="330">
        <f>+ROUND($F$61+$F$68*D82,0)</f>
        <v>72072</v>
      </c>
      <c r="H82" s="285"/>
      <c r="I82" s="285"/>
      <c r="J82" s="333">
        <f t="shared" si="1"/>
        <v>45782</v>
      </c>
    </row>
    <row r="83" spans="1:10" x14ac:dyDescent="0.2">
      <c r="A83" s="326" t="s">
        <v>371</v>
      </c>
      <c r="B83" s="327" t="s">
        <v>372</v>
      </c>
      <c r="D83" s="278">
        <v>2</v>
      </c>
      <c r="E83" s="329" t="s">
        <v>325</v>
      </c>
      <c r="F83" s="330">
        <f>+ROUND($F$62+$F$69*D83,0)</f>
        <v>72072</v>
      </c>
      <c r="H83" s="285"/>
      <c r="I83" s="285"/>
      <c r="J83" s="333">
        <f t="shared" si="1"/>
        <v>45782</v>
      </c>
    </row>
    <row r="84" spans="1:10" x14ac:dyDescent="0.2">
      <c r="A84" s="326" t="s">
        <v>373</v>
      </c>
      <c r="B84" s="327" t="s">
        <v>374</v>
      </c>
      <c r="D84" s="278">
        <v>2</v>
      </c>
      <c r="E84" s="329" t="s">
        <v>325</v>
      </c>
      <c r="F84" s="330">
        <f>+ROUND($F$63+$F$70*D84,0)</f>
        <v>72072</v>
      </c>
      <c r="H84" s="285"/>
      <c r="I84" s="285"/>
      <c r="J84" s="333">
        <f t="shared" si="1"/>
        <v>45782</v>
      </c>
    </row>
    <row r="85" spans="1:10" x14ac:dyDescent="0.2">
      <c r="A85" s="326" t="s">
        <v>375</v>
      </c>
      <c r="B85" s="327" t="s">
        <v>376</v>
      </c>
      <c r="D85" s="278">
        <v>2</v>
      </c>
      <c r="E85" s="329" t="s">
        <v>325</v>
      </c>
      <c r="F85" s="330">
        <f>+ROUND($F$64+$F$71*D85,0)</f>
        <v>72072</v>
      </c>
      <c r="H85" s="285"/>
      <c r="I85" s="285"/>
      <c r="J85" s="333">
        <f t="shared" si="1"/>
        <v>45782</v>
      </c>
    </row>
    <row r="86" spans="1:10" x14ac:dyDescent="0.2">
      <c r="A86" s="326" t="s">
        <v>377</v>
      </c>
      <c r="B86" s="327" t="s">
        <v>378</v>
      </c>
      <c r="D86" s="278">
        <v>2</v>
      </c>
      <c r="E86" s="329" t="s">
        <v>325</v>
      </c>
      <c r="F86" s="330">
        <f>+ROUND($F$65+$F$72*D86,0)</f>
        <v>72072</v>
      </c>
      <c r="H86" s="285"/>
      <c r="I86" s="285"/>
      <c r="J86" s="333">
        <f t="shared" si="1"/>
        <v>45782</v>
      </c>
    </row>
    <row r="87" spans="1:10" x14ac:dyDescent="0.2">
      <c r="A87" s="326" t="s">
        <v>379</v>
      </c>
      <c r="B87" s="327" t="s">
        <v>380</v>
      </c>
      <c r="D87" s="278">
        <v>2</v>
      </c>
      <c r="E87" s="329" t="s">
        <v>325</v>
      </c>
      <c r="F87" s="330">
        <f>+ROUND($F$66+$F$73*D87,0)</f>
        <v>72072</v>
      </c>
      <c r="H87" s="285"/>
      <c r="I87" s="285"/>
      <c r="J87" s="333">
        <f t="shared" si="1"/>
        <v>45782</v>
      </c>
    </row>
    <row r="88" spans="1:10" x14ac:dyDescent="0.2">
      <c r="A88" s="326" t="s">
        <v>381</v>
      </c>
      <c r="B88" s="327" t="s">
        <v>382</v>
      </c>
      <c r="D88" s="328">
        <v>3</v>
      </c>
      <c r="E88" s="329" t="s">
        <v>325</v>
      </c>
      <c r="F88" s="330">
        <f>+ROUND($F$60+$F$67*D88,0)</f>
        <v>70719</v>
      </c>
      <c r="H88" s="285"/>
      <c r="I88" s="285"/>
      <c r="J88" s="333">
        <f t="shared" si="1"/>
        <v>45782</v>
      </c>
    </row>
    <row r="89" spans="1:10" x14ac:dyDescent="0.2">
      <c r="A89" s="326" t="s">
        <v>383</v>
      </c>
      <c r="B89" s="327" t="s">
        <v>384</v>
      </c>
      <c r="D89" s="328">
        <v>3</v>
      </c>
      <c r="E89" s="329" t="s">
        <v>325</v>
      </c>
      <c r="F89" s="330">
        <f>+ROUND($F$61+$F$68*D89,0)</f>
        <v>96096</v>
      </c>
      <c r="H89" s="285"/>
      <c r="I89" s="285"/>
      <c r="J89" s="333">
        <f t="shared" si="1"/>
        <v>45782</v>
      </c>
    </row>
    <row r="90" spans="1:10" x14ac:dyDescent="0.2">
      <c r="A90" s="326" t="s">
        <v>385</v>
      </c>
      <c r="B90" s="327" t="s">
        <v>386</v>
      </c>
      <c r="D90" s="328">
        <v>3</v>
      </c>
      <c r="E90" s="329" t="s">
        <v>325</v>
      </c>
      <c r="F90" s="330">
        <f>+ROUND($F$62+$F$69*D90,0)</f>
        <v>96096</v>
      </c>
      <c r="H90" s="285"/>
      <c r="I90" s="285"/>
      <c r="J90" s="333">
        <f t="shared" si="1"/>
        <v>45782</v>
      </c>
    </row>
    <row r="91" spans="1:10" x14ac:dyDescent="0.2">
      <c r="A91" s="326" t="s">
        <v>387</v>
      </c>
      <c r="B91" s="327" t="s">
        <v>388</v>
      </c>
      <c r="D91" s="328">
        <v>3</v>
      </c>
      <c r="E91" s="329" t="s">
        <v>325</v>
      </c>
      <c r="F91" s="330">
        <f>+ROUND($F$63+$F$70*D91,0)</f>
        <v>96096</v>
      </c>
      <c r="H91" s="285"/>
      <c r="I91" s="285"/>
      <c r="J91" s="333">
        <f t="shared" si="1"/>
        <v>45782</v>
      </c>
    </row>
    <row r="92" spans="1:10" x14ac:dyDescent="0.2">
      <c r="A92" s="326" t="s">
        <v>389</v>
      </c>
      <c r="B92" s="327" t="s">
        <v>390</v>
      </c>
      <c r="D92" s="328">
        <v>3</v>
      </c>
      <c r="E92" s="329" t="s">
        <v>325</v>
      </c>
      <c r="F92" s="330">
        <f>+ROUND($F$64+$F$71*D92,0)</f>
        <v>96096</v>
      </c>
      <c r="H92" s="285"/>
      <c r="I92" s="285"/>
      <c r="J92" s="333">
        <f t="shared" si="1"/>
        <v>45782</v>
      </c>
    </row>
    <row r="93" spans="1:10" x14ac:dyDescent="0.2">
      <c r="A93" s="326" t="s">
        <v>391</v>
      </c>
      <c r="B93" s="327" t="s">
        <v>392</v>
      </c>
      <c r="D93" s="328">
        <v>3</v>
      </c>
      <c r="E93" s="329" t="s">
        <v>325</v>
      </c>
      <c r="F93" s="330">
        <f>+ROUND($F$65+$F$72*D93,0)</f>
        <v>96096</v>
      </c>
      <c r="H93" s="285"/>
      <c r="I93" s="285"/>
      <c r="J93" s="333">
        <f t="shared" si="1"/>
        <v>45782</v>
      </c>
    </row>
    <row r="94" spans="1:10" x14ac:dyDescent="0.2">
      <c r="A94" s="326" t="s">
        <v>393</v>
      </c>
      <c r="B94" s="327" t="s">
        <v>394</v>
      </c>
      <c r="D94" s="328">
        <v>3</v>
      </c>
      <c r="E94" s="329" t="s">
        <v>325</v>
      </c>
      <c r="F94" s="330">
        <f>+ROUND($F$66+$F$73*D94,0)</f>
        <v>96096</v>
      </c>
      <c r="H94" s="285"/>
      <c r="I94" s="285"/>
      <c r="J94" s="333">
        <f t="shared" si="1"/>
        <v>45782</v>
      </c>
    </row>
    <row r="95" spans="1:10" x14ac:dyDescent="0.2">
      <c r="A95" s="326" t="s">
        <v>395</v>
      </c>
      <c r="B95" s="327" t="s">
        <v>396</v>
      </c>
      <c r="D95" s="278">
        <v>4</v>
      </c>
      <c r="E95" s="329" t="s">
        <v>325</v>
      </c>
      <c r="F95" s="330">
        <f>+ROUND($F$60+$F$67*D95,0)</f>
        <v>86284</v>
      </c>
      <c r="H95" s="285"/>
      <c r="I95" s="285"/>
      <c r="J95" s="333">
        <f t="shared" si="1"/>
        <v>45782</v>
      </c>
    </row>
    <row r="96" spans="1:10" x14ac:dyDescent="0.2">
      <c r="A96" s="326" t="s">
        <v>397</v>
      </c>
      <c r="B96" s="327" t="s">
        <v>398</v>
      </c>
      <c r="D96" s="328">
        <v>4</v>
      </c>
      <c r="E96" s="329" t="s">
        <v>325</v>
      </c>
      <c r="F96" s="330">
        <f>+ROUND($F$61+$F$68*D96,0)</f>
        <v>120120</v>
      </c>
      <c r="H96" s="285"/>
      <c r="I96" s="285"/>
      <c r="J96" s="333">
        <f t="shared" si="1"/>
        <v>45782</v>
      </c>
    </row>
    <row r="97" spans="1:14" x14ac:dyDescent="0.2">
      <c r="A97" s="326" t="s">
        <v>399</v>
      </c>
      <c r="B97" s="327" t="s">
        <v>400</v>
      </c>
      <c r="D97" s="328">
        <v>4</v>
      </c>
      <c r="E97" s="329" t="s">
        <v>325</v>
      </c>
      <c r="F97" s="330">
        <f>+ROUND($F$62+$F$69*D97,0)</f>
        <v>120120</v>
      </c>
      <c r="H97" s="332"/>
      <c r="I97" s="332"/>
      <c r="J97" s="333">
        <f t="shared" si="1"/>
        <v>45782</v>
      </c>
      <c r="K97" s="334"/>
      <c r="L97" s="334"/>
      <c r="M97" s="334"/>
      <c r="N97" s="334"/>
    </row>
    <row r="98" spans="1:14" x14ac:dyDescent="0.2">
      <c r="A98" s="326" t="s">
        <v>401</v>
      </c>
      <c r="B98" s="327" t="s">
        <v>402</v>
      </c>
      <c r="D98" s="328">
        <v>4</v>
      </c>
      <c r="E98" s="329" t="s">
        <v>325</v>
      </c>
      <c r="F98" s="330">
        <f>+ROUND($F$63+$F$70*D98,0)</f>
        <v>120120</v>
      </c>
      <c r="H98" s="332"/>
      <c r="I98" s="332"/>
      <c r="J98" s="333">
        <f t="shared" si="1"/>
        <v>45782</v>
      </c>
      <c r="K98" s="334"/>
      <c r="L98" s="334"/>
      <c r="M98" s="334"/>
      <c r="N98" s="334"/>
    </row>
    <row r="99" spans="1:14" x14ac:dyDescent="0.2">
      <c r="A99" s="326" t="s">
        <v>403</v>
      </c>
      <c r="B99" s="327" t="s">
        <v>404</v>
      </c>
      <c r="D99" s="328">
        <v>4</v>
      </c>
      <c r="E99" s="329" t="s">
        <v>325</v>
      </c>
      <c r="F99" s="330">
        <f>+ROUND($F$64+$F$71*D99,0)</f>
        <v>120120</v>
      </c>
      <c r="H99" s="332"/>
      <c r="I99" s="332"/>
      <c r="J99" s="333">
        <f t="shared" si="1"/>
        <v>45782</v>
      </c>
      <c r="K99" s="334"/>
      <c r="L99" s="334"/>
      <c r="M99" s="334"/>
      <c r="N99" s="334"/>
    </row>
    <row r="100" spans="1:14" x14ac:dyDescent="0.2">
      <c r="A100" s="326" t="s">
        <v>405</v>
      </c>
      <c r="B100" s="327" t="s">
        <v>406</v>
      </c>
      <c r="D100" s="328">
        <v>4</v>
      </c>
      <c r="E100" s="329" t="s">
        <v>325</v>
      </c>
      <c r="F100" s="330">
        <f>+ROUND($F$65+$F$72*D100,0)</f>
        <v>120120</v>
      </c>
      <c r="H100" s="337"/>
      <c r="I100" s="337"/>
      <c r="J100" s="333">
        <f t="shared" si="1"/>
        <v>45782</v>
      </c>
      <c r="K100" s="334"/>
      <c r="L100" s="334"/>
      <c r="M100" s="334"/>
      <c r="N100" s="334"/>
    </row>
    <row r="101" spans="1:14" x14ac:dyDescent="0.2">
      <c r="A101" s="326" t="s">
        <v>407</v>
      </c>
      <c r="B101" s="327" t="s">
        <v>408</v>
      </c>
      <c r="D101" s="328">
        <v>4</v>
      </c>
      <c r="E101" s="329" t="s">
        <v>325</v>
      </c>
      <c r="F101" s="330">
        <f>+ROUND($F$66+$F$73*D101,0)</f>
        <v>120120</v>
      </c>
      <c r="H101" s="479"/>
      <c r="I101" s="479"/>
      <c r="J101" s="333">
        <f t="shared" si="1"/>
        <v>45782</v>
      </c>
      <c r="K101" s="334"/>
      <c r="L101" s="334"/>
      <c r="M101" s="334"/>
      <c r="N101" s="334"/>
    </row>
    <row r="102" spans="1:14" x14ac:dyDescent="0.2">
      <c r="A102" s="326" t="s">
        <v>409</v>
      </c>
      <c r="B102" s="327" t="s">
        <v>410</v>
      </c>
      <c r="D102" s="328">
        <v>5</v>
      </c>
      <c r="E102" s="329" t="s">
        <v>325</v>
      </c>
      <c r="F102" s="330">
        <f>+ROUND($F$60+$F$67*D102,0)</f>
        <v>101849</v>
      </c>
      <c r="H102" s="332"/>
      <c r="I102" s="332"/>
      <c r="J102" s="333">
        <f t="shared" si="1"/>
        <v>45782</v>
      </c>
      <c r="K102" s="334"/>
      <c r="L102" s="334"/>
      <c r="M102" s="334"/>
      <c r="N102" s="334"/>
    </row>
    <row r="103" spans="1:14" x14ac:dyDescent="0.2">
      <c r="A103" s="326" t="s">
        <v>411</v>
      </c>
      <c r="B103" s="327" t="s">
        <v>412</v>
      </c>
      <c r="D103" s="328">
        <v>5</v>
      </c>
      <c r="E103" s="329" t="s">
        <v>325</v>
      </c>
      <c r="F103" s="330">
        <f>+ROUND($F$61+$F$68*D103,0)</f>
        <v>144144</v>
      </c>
      <c r="H103" s="332"/>
      <c r="I103" s="332"/>
      <c r="J103" s="333">
        <f t="shared" si="1"/>
        <v>45782</v>
      </c>
      <c r="K103" s="334"/>
      <c r="L103" s="334"/>
      <c r="M103" s="334"/>
      <c r="N103" s="334"/>
    </row>
    <row r="104" spans="1:14" x14ac:dyDescent="0.2">
      <c r="A104" s="326" t="s">
        <v>413</v>
      </c>
      <c r="B104" s="327" t="s">
        <v>414</v>
      </c>
      <c r="D104" s="328">
        <v>5</v>
      </c>
      <c r="E104" s="329" t="s">
        <v>325</v>
      </c>
      <c r="F104" s="330">
        <f>+ROUND($F$62+$F$69*D104,0)</f>
        <v>144144</v>
      </c>
      <c r="H104" s="332"/>
      <c r="I104" s="332"/>
      <c r="J104" s="333">
        <f t="shared" si="1"/>
        <v>45782</v>
      </c>
      <c r="K104" s="334"/>
      <c r="L104" s="334"/>
      <c r="M104" s="334"/>
      <c r="N104" s="334"/>
    </row>
    <row r="105" spans="1:14" x14ac:dyDescent="0.2">
      <c r="A105" s="326" t="s">
        <v>415</v>
      </c>
      <c r="B105" s="327" t="s">
        <v>416</v>
      </c>
      <c r="D105" s="328">
        <v>5</v>
      </c>
      <c r="E105" s="329" t="s">
        <v>325</v>
      </c>
      <c r="F105" s="330">
        <f>+ROUND($F$63+$F$70*D105,0)</f>
        <v>144144</v>
      </c>
      <c r="H105" s="332"/>
      <c r="I105" s="332"/>
      <c r="J105" s="333">
        <f t="shared" si="1"/>
        <v>45782</v>
      </c>
      <c r="K105" s="334"/>
      <c r="L105" s="334"/>
      <c r="M105" s="334"/>
      <c r="N105" s="334"/>
    </row>
    <row r="106" spans="1:14" x14ac:dyDescent="0.2">
      <c r="A106" s="326" t="s">
        <v>417</v>
      </c>
      <c r="B106" s="327" t="s">
        <v>418</v>
      </c>
      <c r="D106" s="328">
        <v>5</v>
      </c>
      <c r="E106" s="329" t="s">
        <v>325</v>
      </c>
      <c r="F106" s="330">
        <f>+ROUND($F$64+$F$71*D106,0)</f>
        <v>144144</v>
      </c>
      <c r="H106" s="332"/>
      <c r="I106" s="332"/>
      <c r="J106" s="333">
        <f t="shared" si="1"/>
        <v>45782</v>
      </c>
      <c r="K106" s="334"/>
      <c r="L106" s="334"/>
      <c r="M106" s="334"/>
      <c r="N106" s="334"/>
    </row>
    <row r="107" spans="1:14" x14ac:dyDescent="0.2">
      <c r="A107" s="326" t="s">
        <v>419</v>
      </c>
      <c r="B107" s="327" t="s">
        <v>420</v>
      </c>
      <c r="D107" s="328">
        <v>5</v>
      </c>
      <c r="E107" s="329" t="s">
        <v>325</v>
      </c>
      <c r="F107" s="330">
        <f>+ROUND($F$65+$F$72*D107,0)</f>
        <v>144144</v>
      </c>
      <c r="H107" s="332"/>
      <c r="I107" s="332"/>
      <c r="J107" s="333">
        <f t="shared" si="1"/>
        <v>45782</v>
      </c>
      <c r="K107" s="334"/>
      <c r="L107" s="334"/>
      <c r="M107" s="334"/>
      <c r="N107" s="334"/>
    </row>
    <row r="108" spans="1:14" x14ac:dyDescent="0.2">
      <c r="A108" s="326" t="s">
        <v>421</v>
      </c>
      <c r="B108" s="327" t="s">
        <v>422</v>
      </c>
      <c r="D108" s="328">
        <v>5</v>
      </c>
      <c r="E108" s="329" t="s">
        <v>325</v>
      </c>
      <c r="F108" s="330">
        <f>+ROUND($F$66+$F$73*D108,0)</f>
        <v>144144</v>
      </c>
      <c r="H108" s="332"/>
      <c r="I108" s="332"/>
      <c r="J108" s="333">
        <f t="shared" si="1"/>
        <v>45782</v>
      </c>
      <c r="K108" s="334"/>
      <c r="L108" s="334"/>
      <c r="M108" s="334"/>
      <c r="N108" s="334"/>
    </row>
    <row r="109" spans="1:14" x14ac:dyDescent="0.2">
      <c r="A109" s="326" t="s">
        <v>423</v>
      </c>
      <c r="B109" s="327" t="s">
        <v>424</v>
      </c>
      <c r="D109" s="328">
        <v>6</v>
      </c>
      <c r="E109" s="329" t="s">
        <v>325</v>
      </c>
      <c r="F109" s="330">
        <f>+ROUND($F$60+$F$67*D109,0)</f>
        <v>117414</v>
      </c>
      <c r="H109" s="479"/>
      <c r="I109" s="479"/>
      <c r="J109" s="333">
        <f t="shared" si="1"/>
        <v>45782</v>
      </c>
      <c r="K109" s="334"/>
      <c r="L109" s="334"/>
      <c r="M109" s="334"/>
      <c r="N109" s="334"/>
    </row>
    <row r="110" spans="1:14" x14ac:dyDescent="0.2">
      <c r="A110" s="326" t="s">
        <v>425</v>
      </c>
      <c r="B110" s="327" t="s">
        <v>426</v>
      </c>
      <c r="D110" s="328">
        <v>6</v>
      </c>
      <c r="E110" s="329" t="s">
        <v>325</v>
      </c>
      <c r="F110" s="330">
        <f>+ROUND($F$61+$F$68*D110,0)</f>
        <v>168168</v>
      </c>
      <c r="H110" s="332"/>
      <c r="I110" s="332"/>
      <c r="J110" s="333">
        <f t="shared" si="1"/>
        <v>45782</v>
      </c>
      <c r="K110" s="334"/>
      <c r="L110" s="334"/>
      <c r="M110" s="334"/>
      <c r="N110" s="334"/>
    </row>
    <row r="111" spans="1:14" x14ac:dyDescent="0.2">
      <c r="A111" s="326" t="s">
        <v>427</v>
      </c>
      <c r="B111" s="327" t="s">
        <v>428</v>
      </c>
      <c r="D111" s="328">
        <v>6</v>
      </c>
      <c r="E111" s="329" t="s">
        <v>325</v>
      </c>
      <c r="F111" s="330">
        <f>+ROUND($F$62+$F$69*D111,0)</f>
        <v>168168</v>
      </c>
      <c r="H111" s="332"/>
      <c r="I111" s="332"/>
      <c r="J111" s="333">
        <f t="shared" si="1"/>
        <v>45782</v>
      </c>
      <c r="K111" s="334"/>
      <c r="L111" s="334"/>
      <c r="M111" s="334"/>
      <c r="N111" s="334"/>
    </row>
    <row r="112" spans="1:14" x14ac:dyDescent="0.2">
      <c r="A112" s="326" t="s">
        <v>429</v>
      </c>
      <c r="B112" s="327" t="s">
        <v>430</v>
      </c>
      <c r="D112" s="328">
        <v>6</v>
      </c>
      <c r="E112" s="329" t="s">
        <v>325</v>
      </c>
      <c r="F112" s="330">
        <f>+ROUND($F$63+$F$70*D112,0)</f>
        <v>168168</v>
      </c>
      <c r="H112" s="332"/>
      <c r="I112" s="332"/>
      <c r="J112" s="333">
        <f t="shared" si="1"/>
        <v>45782</v>
      </c>
      <c r="K112" s="334"/>
      <c r="L112" s="334"/>
      <c r="M112" s="334"/>
      <c r="N112" s="334"/>
    </row>
    <row r="113" spans="1:14" x14ac:dyDescent="0.2">
      <c r="A113" s="326" t="s">
        <v>431</v>
      </c>
      <c r="B113" s="327" t="s">
        <v>432</v>
      </c>
      <c r="D113" s="328">
        <v>6</v>
      </c>
      <c r="E113" s="329" t="s">
        <v>325</v>
      </c>
      <c r="F113" s="330">
        <f>+ROUND($F$64+$F$71*D113,0)</f>
        <v>168168</v>
      </c>
      <c r="H113" s="332"/>
      <c r="I113" s="332"/>
      <c r="J113" s="333">
        <f t="shared" si="1"/>
        <v>45782</v>
      </c>
      <c r="K113" s="334"/>
      <c r="L113" s="334"/>
      <c r="M113" s="334"/>
      <c r="N113" s="334"/>
    </row>
    <row r="114" spans="1:14" x14ac:dyDescent="0.2">
      <c r="A114" s="326" t="s">
        <v>433</v>
      </c>
      <c r="B114" s="327" t="s">
        <v>434</v>
      </c>
      <c r="D114" s="328">
        <v>6</v>
      </c>
      <c r="E114" s="329" t="s">
        <v>325</v>
      </c>
      <c r="F114" s="330">
        <f>+ROUND($F$65+$F$72*D114,0)</f>
        <v>168168</v>
      </c>
      <c r="H114" s="332"/>
      <c r="I114" s="332"/>
      <c r="J114" s="333">
        <f t="shared" si="1"/>
        <v>45782</v>
      </c>
      <c r="K114" s="334"/>
      <c r="L114" s="334"/>
      <c r="M114" s="334"/>
      <c r="N114" s="334"/>
    </row>
    <row r="115" spans="1:14" x14ac:dyDescent="0.2">
      <c r="A115" s="326" t="s">
        <v>435</v>
      </c>
      <c r="B115" s="327" t="s">
        <v>436</v>
      </c>
      <c r="D115" s="328">
        <v>6</v>
      </c>
      <c r="E115" s="329" t="s">
        <v>325</v>
      </c>
      <c r="F115" s="330">
        <f>+ROUND($F$66+$F$73*D115,0)</f>
        <v>168168</v>
      </c>
      <c r="H115" s="332"/>
      <c r="I115" s="332"/>
      <c r="J115" s="333">
        <f t="shared" si="1"/>
        <v>45782</v>
      </c>
      <c r="K115" s="334"/>
      <c r="L115" s="334"/>
      <c r="M115" s="334"/>
      <c r="N115" s="334"/>
    </row>
    <row r="116" spans="1:14" x14ac:dyDescent="0.25">
      <c r="G116" s="334"/>
      <c r="H116" s="334"/>
      <c r="I116" s="334"/>
      <c r="J116" s="334"/>
      <c r="K116" s="334"/>
      <c r="L116" s="334"/>
      <c r="M116" s="334"/>
      <c r="N116" s="334"/>
    </row>
    <row r="117" spans="1:14" x14ac:dyDescent="0.25">
      <c r="G117" s="334"/>
      <c r="H117" s="334"/>
      <c r="I117" s="334"/>
      <c r="J117" s="334"/>
      <c r="K117" s="334"/>
      <c r="L117" s="334"/>
      <c r="M117" s="334"/>
      <c r="N117" s="334"/>
    </row>
    <row r="118" spans="1:14" x14ac:dyDescent="0.25">
      <c r="G118" s="334"/>
      <c r="H118" s="334"/>
      <c r="I118" s="334"/>
      <c r="J118" s="334"/>
      <c r="K118" s="334"/>
      <c r="L118" s="334"/>
      <c r="M118" s="334"/>
      <c r="N118" s="334"/>
    </row>
    <row r="119" spans="1:14" x14ac:dyDescent="0.25">
      <c r="G119" s="334"/>
      <c r="H119" s="334"/>
      <c r="I119" s="334"/>
      <c r="J119" s="334"/>
      <c r="K119" s="334"/>
      <c r="L119" s="334"/>
      <c r="M119" s="334"/>
      <c r="N119" s="334"/>
    </row>
    <row r="120" spans="1:14" x14ac:dyDescent="0.25">
      <c r="G120" s="334"/>
      <c r="H120" s="334"/>
      <c r="I120" s="334"/>
      <c r="J120" s="334"/>
      <c r="K120" s="334"/>
      <c r="L120" s="334"/>
      <c r="M120" s="334"/>
      <c r="N120" s="334"/>
    </row>
    <row r="121" spans="1:14" x14ac:dyDescent="0.25">
      <c r="G121" s="334"/>
      <c r="H121" s="334"/>
      <c r="I121" s="334"/>
      <c r="J121" s="334"/>
      <c r="K121" s="334"/>
      <c r="L121" s="334"/>
      <c r="M121" s="334"/>
      <c r="N121" s="334"/>
    </row>
    <row r="122" spans="1:14" x14ac:dyDescent="0.25">
      <c r="G122" s="334"/>
      <c r="H122" s="334"/>
      <c r="I122" s="334"/>
      <c r="J122" s="334"/>
      <c r="K122" s="334"/>
      <c r="L122" s="334"/>
      <c r="M122" s="334"/>
      <c r="N122" s="334"/>
    </row>
    <row r="123" spans="1:14" x14ac:dyDescent="0.25">
      <c r="G123" s="334"/>
      <c r="H123" s="334"/>
      <c r="I123" s="334"/>
      <c r="J123" s="334"/>
      <c r="K123" s="334"/>
      <c r="L123" s="334"/>
      <c r="M123" s="334"/>
      <c r="N123" s="334"/>
    </row>
    <row r="124" spans="1:14" x14ac:dyDescent="0.25">
      <c r="G124" s="334"/>
      <c r="H124" s="334"/>
      <c r="I124" s="334"/>
      <c r="J124" s="334"/>
      <c r="K124" s="334"/>
      <c r="L124" s="334"/>
      <c r="M124" s="334"/>
      <c r="N124" s="334"/>
    </row>
    <row r="125" spans="1:14" x14ac:dyDescent="0.25">
      <c r="G125" s="334"/>
      <c r="H125" s="334"/>
      <c r="I125" s="334"/>
      <c r="J125" s="334"/>
      <c r="K125" s="334"/>
      <c r="L125" s="334"/>
      <c r="M125" s="334"/>
      <c r="N125" s="334"/>
    </row>
    <row r="126" spans="1:14" x14ac:dyDescent="0.25">
      <c r="G126" s="334"/>
      <c r="H126" s="334"/>
      <c r="I126" s="334"/>
      <c r="J126" s="334"/>
      <c r="K126" s="334"/>
      <c r="L126" s="334"/>
      <c r="M126" s="334"/>
      <c r="N126" s="334"/>
    </row>
    <row r="127" spans="1:14" x14ac:dyDescent="0.25">
      <c r="G127" s="334"/>
      <c r="H127" s="334"/>
      <c r="I127" s="334"/>
      <c r="J127" s="334"/>
      <c r="K127" s="334"/>
      <c r="L127" s="334"/>
      <c r="M127" s="334"/>
      <c r="N127" s="334"/>
    </row>
    <row r="128" spans="1:14" x14ac:dyDescent="0.25">
      <c r="G128" s="334"/>
      <c r="H128" s="334"/>
      <c r="I128" s="334"/>
      <c r="J128" s="334"/>
      <c r="K128" s="334"/>
      <c r="L128" s="334"/>
      <c r="M128" s="334"/>
      <c r="N128" s="334"/>
    </row>
    <row r="129" spans="7:14" x14ac:dyDescent="0.25">
      <c r="G129" s="334"/>
      <c r="H129" s="334"/>
      <c r="I129" s="334"/>
      <c r="J129" s="334"/>
      <c r="K129" s="334"/>
      <c r="L129" s="334"/>
      <c r="M129" s="334"/>
      <c r="N129" s="334"/>
    </row>
    <row r="130" spans="7:14" x14ac:dyDescent="0.25">
      <c r="G130" s="334"/>
      <c r="H130" s="334"/>
      <c r="I130" s="334"/>
      <c r="J130" s="334"/>
      <c r="K130" s="334"/>
      <c r="L130" s="334"/>
      <c r="M130" s="334"/>
      <c r="N130" s="334"/>
    </row>
    <row r="131" spans="7:14" x14ac:dyDescent="0.25">
      <c r="G131" s="334"/>
      <c r="H131" s="334"/>
      <c r="I131" s="334"/>
      <c r="J131" s="334"/>
      <c r="K131" s="334"/>
      <c r="L131" s="334"/>
      <c r="M131" s="334"/>
      <c r="N131" s="334"/>
    </row>
    <row r="132" spans="7:14" x14ac:dyDescent="0.25">
      <c r="G132" s="334"/>
      <c r="H132" s="334"/>
      <c r="I132" s="334"/>
      <c r="J132" s="334"/>
      <c r="K132" s="334"/>
      <c r="L132" s="334"/>
      <c r="M132" s="334"/>
      <c r="N132" s="334"/>
    </row>
    <row r="133" spans="7:14" x14ac:dyDescent="0.25">
      <c r="G133" s="334"/>
      <c r="H133" s="334"/>
      <c r="I133" s="334"/>
      <c r="J133" s="334"/>
      <c r="K133" s="334"/>
      <c r="L133" s="334"/>
      <c r="M133" s="334"/>
      <c r="N133" s="334"/>
    </row>
    <row r="134" spans="7:14" x14ac:dyDescent="0.25">
      <c r="G134" s="334"/>
      <c r="H134" s="334"/>
      <c r="I134" s="334"/>
      <c r="J134" s="334"/>
      <c r="K134" s="334"/>
      <c r="L134" s="334"/>
      <c r="M134" s="334"/>
      <c r="N134" s="334"/>
    </row>
    <row r="135" spans="7:14" x14ac:dyDescent="0.25">
      <c r="G135" s="334"/>
      <c r="H135" s="334"/>
      <c r="I135" s="334"/>
      <c r="J135" s="334"/>
      <c r="K135" s="334"/>
      <c r="L135" s="334"/>
      <c r="M135" s="334"/>
      <c r="N135" s="334"/>
    </row>
    <row r="136" spans="7:14" x14ac:dyDescent="0.25">
      <c r="G136" s="334"/>
      <c r="H136" s="334"/>
      <c r="I136" s="334"/>
      <c r="J136" s="334"/>
      <c r="K136" s="334"/>
      <c r="L136" s="334"/>
      <c r="M136" s="334"/>
      <c r="N136" s="334"/>
    </row>
    <row r="137" spans="7:14" x14ac:dyDescent="0.25">
      <c r="G137" s="334"/>
      <c r="H137" s="334"/>
      <c r="I137" s="334"/>
      <c r="J137" s="334"/>
      <c r="K137" s="334"/>
      <c r="L137" s="334"/>
      <c r="M137" s="334"/>
      <c r="N137" s="334"/>
    </row>
    <row r="138" spans="7:14" x14ac:dyDescent="0.25">
      <c r="G138" s="334"/>
      <c r="H138" s="334"/>
      <c r="I138" s="334"/>
      <c r="J138" s="334"/>
      <c r="K138" s="334"/>
      <c r="L138" s="334"/>
      <c r="M138" s="334"/>
      <c r="N138" s="334"/>
    </row>
    <row r="139" spans="7:14" x14ac:dyDescent="0.25">
      <c r="G139" s="334"/>
      <c r="H139" s="334"/>
      <c r="I139" s="334"/>
      <c r="J139" s="334"/>
      <c r="K139" s="334"/>
      <c r="L139" s="334"/>
      <c r="M139" s="334"/>
      <c r="N139" s="334"/>
    </row>
    <row r="140" spans="7:14" x14ac:dyDescent="0.25">
      <c r="G140" s="334"/>
      <c r="H140" s="334"/>
      <c r="I140" s="334"/>
      <c r="J140" s="334"/>
      <c r="K140" s="334"/>
      <c r="L140" s="334"/>
      <c r="M140" s="334"/>
      <c r="N140" s="334"/>
    </row>
    <row r="141" spans="7:14" x14ac:dyDescent="0.25">
      <c r="G141" s="334"/>
      <c r="H141" s="334"/>
      <c r="I141" s="334"/>
      <c r="J141" s="334"/>
      <c r="K141" s="334"/>
      <c r="L141" s="334"/>
      <c r="M141" s="334"/>
      <c r="N141" s="334"/>
    </row>
    <row r="142" spans="7:14" x14ac:dyDescent="0.25">
      <c r="G142" s="334"/>
      <c r="H142" s="334"/>
      <c r="I142" s="334"/>
      <c r="J142" s="334"/>
      <c r="K142" s="334"/>
      <c r="L142" s="334"/>
      <c r="M142" s="334"/>
      <c r="N142" s="334"/>
    </row>
    <row r="143" spans="7:14" x14ac:dyDescent="0.25">
      <c r="G143" s="334"/>
      <c r="H143" s="334"/>
      <c r="I143" s="334"/>
      <c r="J143" s="334"/>
      <c r="K143" s="334"/>
      <c r="L143" s="334"/>
      <c r="M143" s="334"/>
      <c r="N143" s="334"/>
    </row>
    <row r="144" spans="7:14" x14ac:dyDescent="0.25">
      <c r="G144" s="334"/>
      <c r="H144" s="334"/>
      <c r="I144" s="334"/>
      <c r="J144" s="334"/>
      <c r="K144" s="334"/>
      <c r="L144" s="334"/>
      <c r="M144" s="334"/>
      <c r="N144" s="334"/>
    </row>
    <row r="145" spans="7:14" x14ac:dyDescent="0.25">
      <c r="G145" s="334"/>
      <c r="H145" s="334"/>
      <c r="I145" s="334"/>
      <c r="J145" s="334"/>
      <c r="K145" s="334"/>
      <c r="L145" s="334"/>
      <c r="M145" s="334"/>
      <c r="N145" s="334"/>
    </row>
    <row r="146" spans="7:14" x14ac:dyDescent="0.25">
      <c r="G146" s="334"/>
      <c r="H146" s="334"/>
      <c r="I146" s="334"/>
      <c r="J146" s="334"/>
      <c r="K146" s="334"/>
      <c r="L146" s="334"/>
      <c r="M146" s="334"/>
      <c r="N146" s="334"/>
    </row>
    <row r="147" spans="7:14" x14ac:dyDescent="0.25">
      <c r="G147" s="334"/>
      <c r="H147" s="334"/>
      <c r="I147" s="334"/>
      <c r="J147" s="334"/>
      <c r="K147" s="334"/>
      <c r="L147" s="334"/>
      <c r="M147" s="334"/>
      <c r="N147" s="334"/>
    </row>
    <row r="148" spans="7:14" x14ac:dyDescent="0.25">
      <c r="G148" s="334"/>
      <c r="H148" s="334"/>
      <c r="I148" s="334"/>
      <c r="J148" s="334"/>
      <c r="K148" s="334"/>
      <c r="L148" s="334"/>
      <c r="M148" s="334"/>
      <c r="N148" s="334"/>
    </row>
  </sheetData>
  <autoFilter ref="A59:J115" xr:uid="{CA6CF23A-F682-469A-8322-BDE4639650AE}"/>
  <mergeCells count="4">
    <mergeCell ref="B1:G1"/>
    <mergeCell ref="F9:F10"/>
    <mergeCell ref="H101:I101"/>
    <mergeCell ref="H109:I109"/>
  </mergeCells>
  <printOptions horizontalCentered="1"/>
  <pageMargins left="0.55118110236220474" right="0.55118110236220474" top="0.39370078740157483" bottom="0.39370078740157483" header="0" footer="0"/>
  <pageSetup paperSize="119" scale="48" orientation="landscape" r:id="rId1"/>
  <headerFooter alignWithMargins="0"/>
  <rowBreaks count="2" manualBreakCount="2">
    <brk id="58" max="34" man="1"/>
    <brk id="115" max="9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E530C4-5086-4EA1-99EB-56E07900ADCC}">
  <dimension ref="A2:V80"/>
  <sheetViews>
    <sheetView showGridLines="0" topLeftCell="D70" zoomScale="70" zoomScaleNormal="70" workbookViewId="0">
      <selection activeCell="C58" sqref="C58:V77"/>
    </sheetView>
  </sheetViews>
  <sheetFormatPr baseColWidth="10" defaultRowHeight="15" x14ac:dyDescent="0.25"/>
  <cols>
    <col min="2" max="2" width="31.140625" customWidth="1"/>
    <col min="3" max="3" width="40" customWidth="1"/>
    <col min="4" max="4" width="23.5703125" customWidth="1"/>
    <col min="5" max="5" width="20.85546875" customWidth="1"/>
    <col min="6" max="6" width="25.7109375" customWidth="1"/>
    <col min="7" max="7" width="20.140625" customWidth="1"/>
    <col min="8" max="8" width="24.7109375" customWidth="1"/>
    <col min="10" max="10" width="38.140625" bestFit="1" customWidth="1"/>
    <col min="11" max="11" width="17.85546875" bestFit="1" customWidth="1"/>
    <col min="12" max="12" width="21.42578125" bestFit="1" customWidth="1"/>
    <col min="13" max="13" width="22.85546875" bestFit="1" customWidth="1"/>
    <col min="14" max="14" width="15.5703125" bestFit="1" customWidth="1"/>
  </cols>
  <sheetData>
    <row r="2" spans="2:16" x14ac:dyDescent="0.25">
      <c r="C2" s="93" t="s">
        <v>150</v>
      </c>
      <c r="D2" s="127">
        <f>+'Analisis Mano de Obra'!M32</f>
        <v>44793</v>
      </c>
    </row>
    <row r="4" spans="2:16" ht="35.25" customHeight="1" x14ac:dyDescent="0.25">
      <c r="B4" s="488" t="s">
        <v>446</v>
      </c>
      <c r="C4" s="489"/>
      <c r="D4" s="489"/>
      <c r="E4" s="489"/>
      <c r="F4" s="489"/>
      <c r="G4" s="489"/>
      <c r="H4" s="489"/>
      <c r="I4" s="489"/>
      <c r="J4" s="489"/>
      <c r="K4" s="489"/>
      <c r="L4" s="489"/>
      <c r="M4" s="489"/>
      <c r="N4" s="489"/>
      <c r="O4" s="489"/>
      <c r="P4" s="490"/>
    </row>
    <row r="5" spans="2:16" ht="35.25" customHeight="1" x14ac:dyDescent="0.25">
      <c r="B5" s="491"/>
      <c r="C5" s="492"/>
      <c r="D5" s="492"/>
      <c r="E5" s="492"/>
      <c r="F5" s="492"/>
      <c r="G5" s="492"/>
      <c r="H5" s="492"/>
      <c r="I5" s="492"/>
      <c r="J5" s="492"/>
      <c r="K5" s="492"/>
      <c r="L5" s="492"/>
      <c r="M5" s="492"/>
      <c r="N5" s="492"/>
      <c r="O5" s="492"/>
      <c r="P5" s="493"/>
    </row>
    <row r="6" spans="2:16" ht="35.25" customHeight="1" x14ac:dyDescent="0.25">
      <c r="C6" s="129"/>
      <c r="D6" s="130"/>
      <c r="E6" s="138"/>
      <c r="F6" s="131"/>
      <c r="G6" s="143"/>
    </row>
    <row r="7" spans="2:16" ht="64.5" customHeight="1" x14ac:dyDescent="0.25">
      <c r="B7" s="102">
        <v>1</v>
      </c>
      <c r="C7" s="136" t="s">
        <v>157</v>
      </c>
      <c r="D7" s="128" t="s">
        <v>3</v>
      </c>
      <c r="E7" s="137">
        <v>57</v>
      </c>
      <c r="F7" s="145" t="s">
        <v>38</v>
      </c>
      <c r="G7" s="132">
        <f>SUM(G8:G14)</f>
        <v>38716.912333333334</v>
      </c>
      <c r="H7" s="104">
        <f>+G7*E7</f>
        <v>2206864.003</v>
      </c>
      <c r="J7" s="101" t="s">
        <v>154</v>
      </c>
      <c r="K7" s="101" t="s">
        <v>153</v>
      </c>
      <c r="L7" s="147" t="s">
        <v>161</v>
      </c>
      <c r="M7" s="147" t="s">
        <v>162</v>
      </c>
    </row>
    <row r="8" spans="2:16" ht="27.75" customHeight="1" x14ac:dyDescent="0.25">
      <c r="C8" s="133" t="str">
        <f>+C61</f>
        <v>CABLE NO.8 AWG</v>
      </c>
      <c r="D8" s="130" t="s">
        <v>3</v>
      </c>
      <c r="E8" s="138">
        <v>3.1</v>
      </c>
      <c r="F8" s="131">
        <f>+G61</f>
        <v>7185.333333333333</v>
      </c>
      <c r="G8" s="139">
        <f t="shared" ref="G8:G14" si="0">+F8*E8</f>
        <v>22274.533333333333</v>
      </c>
      <c r="H8" s="166"/>
      <c r="J8" s="100">
        <f>+B7</f>
        <v>1</v>
      </c>
      <c r="K8" s="167">
        <f>+G13*E7</f>
        <v>485108.19</v>
      </c>
      <c r="L8" s="167">
        <f>+(G14*E7)+(G12*E7)</f>
        <v>165421.63800000001</v>
      </c>
      <c r="M8" s="168">
        <f>+H7-K8-K9-L8</f>
        <v>1556334.175</v>
      </c>
    </row>
    <row r="9" spans="2:16" ht="21.75" customHeight="1" x14ac:dyDescent="0.25">
      <c r="C9" s="165" t="str">
        <f>+C62</f>
        <v>TUBO CONDUIT SCH 40  DIAMETRO 3/4PULG}</v>
      </c>
      <c r="D9" s="130" t="s">
        <v>3</v>
      </c>
      <c r="E9" s="138">
        <v>1.05</v>
      </c>
      <c r="F9" s="131">
        <f>+G62/3</f>
        <v>3833.5</v>
      </c>
      <c r="G9" s="139">
        <f>+F9*E9</f>
        <v>4025.1750000000002</v>
      </c>
      <c r="H9" s="166"/>
    </row>
    <row r="10" spans="2:16" ht="16.5" customHeight="1" x14ac:dyDescent="0.25">
      <c r="C10" s="165" t="str">
        <f>+C64</f>
        <v>Caja De Paso Plástica 10x10 Blanca hermetica</v>
      </c>
      <c r="D10" s="130" t="s">
        <v>249</v>
      </c>
      <c r="E10" s="138">
        <v>0.06</v>
      </c>
      <c r="F10" s="131">
        <f>+G64</f>
        <v>11450</v>
      </c>
      <c r="G10" s="139">
        <f>+F10*E10</f>
        <v>687</v>
      </c>
      <c r="H10" s="166"/>
    </row>
    <row r="11" spans="2:16" ht="12.75" customHeight="1" x14ac:dyDescent="0.25">
      <c r="C11" s="134" t="str">
        <f>+C71</f>
        <v>CONECTORES RESORTES DE CABLES</v>
      </c>
      <c r="D11" s="130" t="str">
        <f>+D9</f>
        <v>ML</v>
      </c>
      <c r="E11" s="138">
        <v>0.3</v>
      </c>
      <c r="F11" s="131">
        <f>+G71</f>
        <v>1058</v>
      </c>
      <c r="G11" s="139">
        <f t="shared" si="0"/>
        <v>317.39999999999998</v>
      </c>
      <c r="H11" s="166"/>
      <c r="K11" s="158"/>
    </row>
    <row r="12" spans="2:16" ht="24.75" customHeight="1" x14ac:dyDescent="0.25">
      <c r="C12" s="134" t="s">
        <v>156</v>
      </c>
      <c r="D12" s="130" t="s">
        <v>27</v>
      </c>
      <c r="E12" s="138">
        <v>0.4</v>
      </c>
      <c r="F12" s="131">
        <v>3000</v>
      </c>
      <c r="G12" s="139">
        <f t="shared" si="0"/>
        <v>1200</v>
      </c>
      <c r="H12" s="166"/>
    </row>
    <row r="13" spans="2:16" ht="25.5" customHeight="1" x14ac:dyDescent="0.25">
      <c r="C13" s="133" t="str">
        <f>+C2</f>
        <v>CUADRILLA EE ELECTRICA (HR)</v>
      </c>
      <c r="D13" s="130" t="s">
        <v>10</v>
      </c>
      <c r="E13" s="138">
        <v>0.19</v>
      </c>
      <c r="F13" s="131">
        <f>+D2</f>
        <v>44793</v>
      </c>
      <c r="G13" s="139">
        <f>+F13*E13</f>
        <v>8510.67</v>
      </c>
      <c r="H13" s="166"/>
    </row>
    <row r="14" spans="2:16" ht="12" customHeight="1" x14ac:dyDescent="0.25">
      <c r="C14" s="140" t="s">
        <v>151</v>
      </c>
      <c r="D14" s="135" t="s">
        <v>152</v>
      </c>
      <c r="E14" s="141">
        <v>0.2</v>
      </c>
      <c r="F14" s="142">
        <f>+G13</f>
        <v>8510.67</v>
      </c>
      <c r="G14" s="144">
        <f t="shared" si="0"/>
        <v>1702.134</v>
      </c>
      <c r="H14" s="166"/>
    </row>
    <row r="15" spans="2:16" ht="35.25" customHeight="1" x14ac:dyDescent="0.25">
      <c r="C15" s="129"/>
      <c r="D15" s="130"/>
      <c r="E15" s="138"/>
      <c r="F15" s="131"/>
      <c r="G15" s="143"/>
    </row>
    <row r="16" spans="2:16" ht="35.25" customHeight="1" x14ac:dyDescent="0.25">
      <c r="B16" s="102">
        <v>2</v>
      </c>
      <c r="C16" s="136" t="s">
        <v>158</v>
      </c>
      <c r="D16" s="128" t="s">
        <v>27</v>
      </c>
      <c r="E16" s="137">
        <v>3</v>
      </c>
      <c r="F16" s="145" t="s">
        <v>38</v>
      </c>
      <c r="G16" s="132">
        <f>SUM(G17:G19)</f>
        <v>95777.987500000003</v>
      </c>
      <c r="H16" s="104">
        <f>+G16*E16</f>
        <v>287333.96250000002</v>
      </c>
      <c r="J16" s="101" t="s">
        <v>154</v>
      </c>
      <c r="K16" s="101" t="s">
        <v>153</v>
      </c>
      <c r="L16" s="147" t="s">
        <v>161</v>
      </c>
      <c r="M16" s="147" t="s">
        <v>162</v>
      </c>
    </row>
    <row r="17" spans="2:13" ht="35.25" customHeight="1" x14ac:dyDescent="0.25">
      <c r="C17" s="133" t="str">
        <f>+C70</f>
        <v>BREAKS 2X40AMP</v>
      </c>
      <c r="D17" s="130" t="s">
        <v>27</v>
      </c>
      <c r="E17" s="138">
        <v>2</v>
      </c>
      <c r="F17" s="131">
        <f>+G70</f>
        <v>41450</v>
      </c>
      <c r="G17" s="139">
        <f>+F17*E17</f>
        <v>82900</v>
      </c>
      <c r="H17" s="84"/>
      <c r="J17" s="100">
        <f>+B16</f>
        <v>2</v>
      </c>
      <c r="K17" s="104">
        <f>+G18*E16</f>
        <v>33594.75</v>
      </c>
      <c r="L17" s="94">
        <f>+G19*E16</f>
        <v>5039.2124999999996</v>
      </c>
      <c r="M17" s="92">
        <f>+H16-K17-K18-L17</f>
        <v>248700.00000000003</v>
      </c>
    </row>
    <row r="18" spans="2:13" ht="35.25" customHeight="1" x14ac:dyDescent="0.25">
      <c r="C18" s="133" t="str">
        <f>+C13</f>
        <v>CUADRILLA EE ELECTRICA (HR)</v>
      </c>
      <c r="D18" s="130" t="s">
        <v>10</v>
      </c>
      <c r="E18" s="138">
        <v>0.25</v>
      </c>
      <c r="F18" s="131">
        <f>+F13</f>
        <v>44793</v>
      </c>
      <c r="G18" s="139">
        <f>+F18*E18</f>
        <v>11198.25</v>
      </c>
      <c r="K18" s="158"/>
    </row>
    <row r="19" spans="2:13" ht="35.25" customHeight="1" x14ac:dyDescent="0.25">
      <c r="C19" s="140" t="s">
        <v>151</v>
      </c>
      <c r="D19" s="135" t="s">
        <v>152</v>
      </c>
      <c r="E19" s="141">
        <v>0.15</v>
      </c>
      <c r="F19" s="142">
        <f>+G18</f>
        <v>11198.25</v>
      </c>
      <c r="G19" s="144">
        <f>+F19*E19</f>
        <v>1679.7375</v>
      </c>
    </row>
    <row r="20" spans="2:13" x14ac:dyDescent="0.25">
      <c r="C20" s="129"/>
      <c r="D20" s="130"/>
      <c r="E20" s="138"/>
      <c r="F20" s="131"/>
      <c r="G20" s="143"/>
      <c r="H20" s="146"/>
    </row>
    <row r="21" spans="2:13" x14ac:dyDescent="0.25">
      <c r="C21" s="129"/>
      <c r="D21" s="130"/>
      <c r="E21" s="138"/>
      <c r="F21" s="131"/>
      <c r="G21" s="143"/>
    </row>
    <row r="22" spans="2:13" x14ac:dyDescent="0.25">
      <c r="C22" s="129"/>
      <c r="D22" s="130"/>
      <c r="E22" s="138"/>
      <c r="F22" s="131"/>
      <c r="G22" s="143"/>
    </row>
    <row r="23" spans="2:13" ht="75.75" customHeight="1" x14ac:dyDescent="0.25">
      <c r="B23" s="154">
        <v>3</v>
      </c>
      <c r="C23" s="136" t="s">
        <v>175</v>
      </c>
      <c r="D23" s="128" t="s">
        <v>27</v>
      </c>
      <c r="E23" s="137">
        <v>3</v>
      </c>
      <c r="F23" s="145" t="s">
        <v>38</v>
      </c>
      <c r="G23" s="132">
        <f>SUM(G24:G31)</f>
        <v>212842.05777777781</v>
      </c>
      <c r="H23" s="104">
        <f>+G23*E23</f>
        <v>638526.17333333346</v>
      </c>
      <c r="J23" s="153" t="s">
        <v>154</v>
      </c>
      <c r="K23" s="153" t="s">
        <v>153</v>
      </c>
      <c r="L23" s="147" t="s">
        <v>161</v>
      </c>
      <c r="M23" s="147" t="s">
        <v>162</v>
      </c>
    </row>
    <row r="24" spans="2:13" ht="21" x14ac:dyDescent="0.25">
      <c r="C24" s="134" t="str">
        <f>+C65</f>
        <v>Coraza Galvanizada 3/4 Pg 5 Mt - Metal Coraza</v>
      </c>
      <c r="D24" s="130" t="s">
        <v>3</v>
      </c>
      <c r="E24" s="138">
        <v>3.1</v>
      </c>
      <c r="F24" s="131">
        <f>+G65/5</f>
        <v>6203.3333333333339</v>
      </c>
      <c r="G24" s="139">
        <f t="shared" ref="G24" si="1">+F24*E24</f>
        <v>19230.333333333336</v>
      </c>
      <c r="H24" s="84"/>
      <c r="J24" s="155">
        <f>+B23</f>
        <v>3</v>
      </c>
      <c r="K24" s="104">
        <f>+G29*E23</f>
        <v>107503.20000000001</v>
      </c>
      <c r="L24" s="94">
        <f>+(G31*E23)+(G30*E23)</f>
        <v>39500.639999999999</v>
      </c>
      <c r="M24" s="92">
        <f>+H23-K24-K25-L24</f>
        <v>491522.33333333337</v>
      </c>
    </row>
    <row r="25" spans="2:13" x14ac:dyDescent="0.25">
      <c r="C25" s="133" t="s">
        <v>176</v>
      </c>
      <c r="D25" s="130" t="s">
        <v>3</v>
      </c>
      <c r="E25" s="138">
        <v>30</v>
      </c>
      <c r="F25" s="131">
        <f>+G60/100</f>
        <v>2907.4</v>
      </c>
      <c r="G25" s="139">
        <f>+F25*E25</f>
        <v>87222</v>
      </c>
      <c r="H25" s="84"/>
      <c r="J25" s="23"/>
      <c r="K25" s="127"/>
      <c r="L25" s="159"/>
      <c r="M25" s="160"/>
    </row>
    <row r="26" spans="2:13" ht="21" x14ac:dyDescent="0.25">
      <c r="C26" s="165" t="str">
        <f>+C63</f>
        <v>Caja RADWELL Fundicion Aluminio 2400 con salida 1 Pulgada 4-5 Huecos TGB1005X</v>
      </c>
      <c r="D26" s="130" t="s">
        <v>27</v>
      </c>
      <c r="E26" s="138">
        <v>1</v>
      </c>
      <c r="F26" s="131">
        <f>+G63</f>
        <v>21056.666666666668</v>
      </c>
      <c r="G26" s="139">
        <f>+F26*E26</f>
        <v>21056.666666666668</v>
      </c>
      <c r="H26" s="84"/>
    </row>
    <row r="27" spans="2:13" x14ac:dyDescent="0.25">
      <c r="C27" s="165" t="str">
        <f>+C66</f>
        <v>Tubo EMT UL 3/4-pulg -  x 3 metros</v>
      </c>
      <c r="D27" s="130" t="s">
        <v>3</v>
      </c>
      <c r="E27" s="138">
        <v>2</v>
      </c>
      <c r="F27" s="131">
        <f>+G66/3</f>
        <v>9984.2222222222226</v>
      </c>
      <c r="G27" s="139">
        <f>+F27*E27</f>
        <v>19968.444444444445</v>
      </c>
      <c r="H27" s="84"/>
    </row>
    <row r="28" spans="2:13" x14ac:dyDescent="0.25">
      <c r="C28" s="165" t="s">
        <v>274</v>
      </c>
      <c r="D28" s="130" t="s">
        <v>249</v>
      </c>
      <c r="E28" s="138">
        <v>5</v>
      </c>
      <c r="F28" s="131">
        <f>+(G67+G68+G69)</f>
        <v>3272.666666666667</v>
      </c>
      <c r="G28" s="139">
        <f>+F28*E28</f>
        <v>16363.333333333336</v>
      </c>
      <c r="H28" s="84"/>
    </row>
    <row r="29" spans="2:13" x14ac:dyDescent="0.25">
      <c r="C29" s="134" t="str">
        <f>+C13</f>
        <v>CUADRILLA EE ELECTRICA (HR)</v>
      </c>
      <c r="D29" s="130" t="s">
        <v>10</v>
      </c>
      <c r="E29" s="138">
        <v>0.8</v>
      </c>
      <c r="F29" s="131">
        <f>+F13</f>
        <v>44793</v>
      </c>
      <c r="G29" s="139">
        <f t="shared" ref="G29:G30" si="2">+F29*E29</f>
        <v>35834.400000000001</v>
      </c>
      <c r="H29" s="84"/>
      <c r="K29" s="158"/>
    </row>
    <row r="30" spans="2:13" ht="21" x14ac:dyDescent="0.25">
      <c r="C30" s="134" t="s">
        <v>156</v>
      </c>
      <c r="D30" s="130" t="s">
        <v>54</v>
      </c>
      <c r="E30" s="138">
        <v>2</v>
      </c>
      <c r="F30" s="131">
        <v>3000</v>
      </c>
      <c r="G30" s="139">
        <f t="shared" si="2"/>
        <v>6000</v>
      </c>
      <c r="H30" s="84"/>
    </row>
    <row r="31" spans="2:13" x14ac:dyDescent="0.25">
      <c r="C31" s="140" t="s">
        <v>151</v>
      </c>
      <c r="D31" s="135" t="s">
        <v>152</v>
      </c>
      <c r="E31" s="141">
        <v>0.2</v>
      </c>
      <c r="F31" s="142">
        <f>+G29</f>
        <v>35834.400000000001</v>
      </c>
      <c r="G31" s="144">
        <f t="shared" ref="G31" si="3">+F31*E31</f>
        <v>7166.880000000001</v>
      </c>
      <c r="H31" s="84"/>
    </row>
    <row r="32" spans="2:13" x14ac:dyDescent="0.25">
      <c r="C32" s="129"/>
      <c r="D32" s="130"/>
      <c r="E32" s="138"/>
      <c r="F32" s="131"/>
      <c r="G32" s="143"/>
    </row>
    <row r="33" spans="2:13" x14ac:dyDescent="0.25">
      <c r="C33" s="129"/>
      <c r="D33" s="130"/>
      <c r="E33" s="138"/>
      <c r="F33" s="131"/>
      <c r="G33" s="143"/>
    </row>
    <row r="34" spans="2:13" ht="33.75" x14ac:dyDescent="0.25">
      <c r="B34" s="154">
        <v>4</v>
      </c>
      <c r="C34" s="136" t="s">
        <v>440</v>
      </c>
      <c r="D34" s="128" t="s">
        <v>27</v>
      </c>
      <c r="E34" s="137">
        <v>2</v>
      </c>
      <c r="F34" s="145" t="s">
        <v>38</v>
      </c>
      <c r="G34" s="132">
        <f>+G35+G37+G38+G36</f>
        <v>2477459.75</v>
      </c>
      <c r="H34" s="104">
        <f>+G34*E34</f>
        <v>4954919.5</v>
      </c>
      <c r="J34" s="153" t="s">
        <v>154</v>
      </c>
      <c r="K34" s="153" t="s">
        <v>153</v>
      </c>
      <c r="L34" s="147" t="s">
        <v>161</v>
      </c>
      <c r="M34" s="147" t="s">
        <v>162</v>
      </c>
    </row>
    <row r="35" spans="2:13" x14ac:dyDescent="0.25">
      <c r="C35" s="133" t="str">
        <f>+C72</f>
        <v>Aire Acondicionado Minisplit On/Off 24000 BTU 220v Blanco con unidad de refrigeracion externa incluye iva%</v>
      </c>
      <c r="D35" s="130" t="s">
        <v>3</v>
      </c>
      <c r="E35" s="138">
        <v>1</v>
      </c>
      <c r="F35" s="131">
        <f>+G72-B72</f>
        <v>2174900</v>
      </c>
      <c r="G35" s="139">
        <f>+F35*E35</f>
        <v>2174900</v>
      </c>
      <c r="H35" s="84"/>
      <c r="J35" s="155">
        <f>+B34</f>
        <v>4</v>
      </c>
      <c r="K35" s="104">
        <f>+G37*E34</f>
        <v>447930</v>
      </c>
      <c r="L35" s="94">
        <f>+(G38*E34)</f>
        <v>67189.5</v>
      </c>
      <c r="M35" s="92">
        <f>+H34-K35-K37-L35</f>
        <v>4439800</v>
      </c>
    </row>
    <row r="36" spans="2:13" x14ac:dyDescent="0.25">
      <c r="C36" s="133" t="s">
        <v>447</v>
      </c>
      <c r="D36" s="130" t="s">
        <v>249</v>
      </c>
      <c r="E36" s="138">
        <v>1</v>
      </c>
      <c r="F36" s="131">
        <v>45000</v>
      </c>
      <c r="G36" s="139">
        <f>+F36*E36</f>
        <v>45000</v>
      </c>
      <c r="H36" s="84"/>
      <c r="J36" s="23"/>
      <c r="K36" s="104"/>
      <c r="L36" s="159"/>
      <c r="M36" s="160"/>
    </row>
    <row r="37" spans="2:13" x14ac:dyDescent="0.25">
      <c r="C37" s="134" t="s">
        <v>150</v>
      </c>
      <c r="D37" s="130" t="s">
        <v>10</v>
      </c>
      <c r="E37" s="138">
        <v>5</v>
      </c>
      <c r="F37" s="131">
        <f>+F29</f>
        <v>44793</v>
      </c>
      <c r="G37" s="139">
        <f>+F37*E37</f>
        <v>223965</v>
      </c>
      <c r="J37" s="23"/>
      <c r="K37" s="127"/>
      <c r="L37" s="159"/>
      <c r="M37" s="160"/>
    </row>
    <row r="38" spans="2:13" x14ac:dyDescent="0.25">
      <c r="C38" s="140" t="s">
        <v>151</v>
      </c>
      <c r="D38" s="135" t="s">
        <v>152</v>
      </c>
      <c r="E38" s="141">
        <v>0.15</v>
      </c>
      <c r="F38" s="142">
        <f>+G37</f>
        <v>223965</v>
      </c>
      <c r="G38" s="144">
        <f>+F38*E38</f>
        <v>33594.75</v>
      </c>
    </row>
    <row r="39" spans="2:13" x14ac:dyDescent="0.25">
      <c r="C39" s="129"/>
      <c r="D39" s="130"/>
      <c r="E39" s="138"/>
      <c r="F39" s="131"/>
      <c r="G39" s="143"/>
    </row>
    <row r="40" spans="2:13" x14ac:dyDescent="0.25">
      <c r="C40" s="129"/>
      <c r="D40" s="130"/>
      <c r="E40" s="138"/>
      <c r="F40" s="131"/>
      <c r="G40" s="143"/>
    </row>
    <row r="41" spans="2:13" ht="33.75" x14ac:dyDescent="0.25">
      <c r="B41" s="154">
        <v>5</v>
      </c>
      <c r="C41" s="136" t="s">
        <v>439</v>
      </c>
      <c r="D41" s="128" t="s">
        <v>27</v>
      </c>
      <c r="E41" s="137">
        <v>1</v>
      </c>
      <c r="F41" s="145" t="s">
        <v>38</v>
      </c>
      <c r="G41" s="132">
        <f>+G42+G44+G45+G43</f>
        <v>2057202.5166666668</v>
      </c>
      <c r="H41" s="104">
        <f>+G41*E41</f>
        <v>2057202.5166666668</v>
      </c>
      <c r="J41" s="153" t="s">
        <v>154</v>
      </c>
      <c r="K41" s="153" t="s">
        <v>153</v>
      </c>
      <c r="L41" s="147" t="s">
        <v>161</v>
      </c>
      <c r="M41" s="147" t="s">
        <v>162</v>
      </c>
    </row>
    <row r="42" spans="2:13" x14ac:dyDescent="0.25">
      <c r="C42" s="133" t="str">
        <f>+C73</f>
        <v>Aire Acondicionado Minisplit On/Off 18000 BTU 220v Blanco con unidad de refrigeracion externa incluye iva%</v>
      </c>
      <c r="D42" s="130" t="s">
        <v>3</v>
      </c>
      <c r="E42" s="138">
        <v>1</v>
      </c>
      <c r="F42" s="131">
        <f>+G73-B73</f>
        <v>1857666.6666666667</v>
      </c>
      <c r="G42" s="139">
        <f>+F42*E42</f>
        <v>1857666.6666666667</v>
      </c>
      <c r="H42" s="84"/>
      <c r="J42" s="155">
        <f>+B41</f>
        <v>5</v>
      </c>
      <c r="K42" s="104">
        <f>+G44*E41</f>
        <v>134379</v>
      </c>
      <c r="L42" s="94">
        <f>+(G45*E41)</f>
        <v>20156.849999999999</v>
      </c>
      <c r="M42" s="92">
        <f>+H41-K42-K44-L42</f>
        <v>1902666.6666666667</v>
      </c>
    </row>
    <row r="43" spans="2:13" x14ac:dyDescent="0.25">
      <c r="C43" s="133" t="s">
        <v>447</v>
      </c>
      <c r="D43" s="130" t="s">
        <v>249</v>
      </c>
      <c r="E43" s="138">
        <v>1</v>
      </c>
      <c r="F43" s="131">
        <v>45000</v>
      </c>
      <c r="G43" s="139">
        <f>+F43*E43</f>
        <v>45000</v>
      </c>
      <c r="H43" s="84"/>
      <c r="J43" s="23"/>
      <c r="K43" s="104"/>
      <c r="L43" s="159"/>
      <c r="M43" s="160"/>
    </row>
    <row r="44" spans="2:13" x14ac:dyDescent="0.25">
      <c r="C44" s="134" t="s">
        <v>150</v>
      </c>
      <c r="D44" s="130" t="s">
        <v>10</v>
      </c>
      <c r="E44" s="138">
        <v>3</v>
      </c>
      <c r="F44" s="131">
        <f>+F37</f>
        <v>44793</v>
      </c>
      <c r="G44" s="139">
        <f>+F44*E44</f>
        <v>134379</v>
      </c>
      <c r="J44" s="23"/>
      <c r="K44" s="127"/>
      <c r="L44" s="159"/>
      <c r="M44" s="160"/>
    </row>
    <row r="45" spans="2:13" x14ac:dyDescent="0.25">
      <c r="C45" s="140" t="s">
        <v>151</v>
      </c>
      <c r="D45" s="135" t="s">
        <v>152</v>
      </c>
      <c r="E45" s="141">
        <v>0.15</v>
      </c>
      <c r="F45" s="142">
        <f>+G44</f>
        <v>134379</v>
      </c>
      <c r="G45" s="144">
        <f>+F45*E45</f>
        <v>20156.849999999999</v>
      </c>
    </row>
    <row r="46" spans="2:13" x14ac:dyDescent="0.25">
      <c r="C46" s="129"/>
      <c r="D46" s="130"/>
      <c r="E46" s="138"/>
      <c r="F46" s="131"/>
      <c r="G46" s="143"/>
    </row>
    <row r="47" spans="2:13" x14ac:dyDescent="0.25">
      <c r="C47" s="129"/>
      <c r="D47" s="130"/>
      <c r="E47" s="138"/>
      <c r="F47" s="131"/>
      <c r="G47" s="143"/>
    </row>
    <row r="48" spans="2:13" x14ac:dyDescent="0.25">
      <c r="C48" s="129"/>
      <c r="D48" s="130"/>
      <c r="E48" s="138"/>
      <c r="F48" s="131"/>
      <c r="G48" s="143"/>
    </row>
    <row r="49" spans="3:22" x14ac:dyDescent="0.25">
      <c r="C49" s="129"/>
      <c r="D49" s="130"/>
      <c r="E49" s="138"/>
      <c r="F49" s="131"/>
      <c r="G49" s="143"/>
    </row>
    <row r="50" spans="3:22" x14ac:dyDescent="0.25">
      <c r="C50" s="129"/>
      <c r="D50" s="130"/>
      <c r="E50" s="138"/>
      <c r="F50" s="131"/>
      <c r="G50" s="143"/>
    </row>
    <row r="51" spans="3:22" ht="43.5" customHeight="1" x14ac:dyDescent="0.25">
      <c r="C51" s="494" t="s">
        <v>177</v>
      </c>
      <c r="D51" s="494"/>
      <c r="E51" s="494"/>
      <c r="F51" s="494"/>
      <c r="G51" s="494"/>
      <c r="H51" s="150">
        <f>+H23+H16+H7+H34+H41</f>
        <v>10144846.1555</v>
      </c>
      <c r="J51" s="148" t="s">
        <v>154</v>
      </c>
      <c r="K51" s="148" t="s">
        <v>153</v>
      </c>
      <c r="L51" s="149" t="s">
        <v>161</v>
      </c>
      <c r="M51" s="149" t="s">
        <v>162</v>
      </c>
    </row>
    <row r="52" spans="3:22" x14ac:dyDescent="0.25">
      <c r="C52" s="129"/>
      <c r="D52" s="130"/>
      <c r="E52" s="138"/>
      <c r="F52" s="131"/>
      <c r="G52" s="143"/>
      <c r="J52" s="271" t="s">
        <v>251</v>
      </c>
      <c r="K52" s="97">
        <f>+K24+K17+K8+K35</f>
        <v>1074136.1400000001</v>
      </c>
      <c r="L52" s="97">
        <f>+L24+L17+L8+L35</f>
        <v>277150.99050000001</v>
      </c>
      <c r="M52" s="97">
        <f>+M24+M17+M8+M35</f>
        <v>6736356.5083333328</v>
      </c>
      <c r="N52" s="83"/>
    </row>
    <row r="53" spans="3:22" x14ac:dyDescent="0.25">
      <c r="C53" s="129"/>
      <c r="D53" s="130"/>
      <c r="E53" s="138"/>
      <c r="F53" s="131"/>
      <c r="G53" s="143"/>
      <c r="K53" s="164">
        <f>+K52/$H$51</f>
        <v>0.10587998314963704</v>
      </c>
      <c r="L53" s="164">
        <f t="shared" ref="L53:M53" si="4">+L52/$H$51</f>
        <v>2.73193882146496E-2</v>
      </c>
      <c r="M53" s="164">
        <f t="shared" si="4"/>
        <v>0.66401761101928936</v>
      </c>
    </row>
    <row r="54" spans="3:22" x14ac:dyDescent="0.25">
      <c r="C54" s="129"/>
      <c r="D54" s="130"/>
      <c r="E54" s="138"/>
      <c r="F54" s="131"/>
      <c r="G54" s="143"/>
    </row>
    <row r="55" spans="3:22" x14ac:dyDescent="0.25">
      <c r="C55" s="129"/>
      <c r="D55" s="130"/>
      <c r="E55" s="138"/>
      <c r="F55" s="131"/>
      <c r="G55" s="143"/>
    </row>
    <row r="58" spans="3:22" ht="15.75" x14ac:dyDescent="0.25">
      <c r="C58" s="272" t="s">
        <v>145</v>
      </c>
      <c r="D58" s="272" t="s">
        <v>90</v>
      </c>
      <c r="E58" s="272" t="s">
        <v>91</v>
      </c>
      <c r="F58" s="272" t="s">
        <v>262</v>
      </c>
      <c r="G58" s="272" t="s">
        <v>92</v>
      </c>
      <c r="H58" s="485" t="s">
        <v>170</v>
      </c>
      <c r="I58" s="486"/>
      <c r="J58" s="486"/>
      <c r="K58" s="486"/>
      <c r="L58" s="487"/>
      <c r="M58" s="485" t="s">
        <v>171</v>
      </c>
      <c r="N58" s="486"/>
      <c r="O58" s="486"/>
      <c r="P58" s="486"/>
      <c r="Q58" s="487"/>
      <c r="R58" s="485" t="s">
        <v>260</v>
      </c>
      <c r="S58" s="486"/>
      <c r="T58" s="486"/>
      <c r="U58" s="486"/>
      <c r="V58" s="487"/>
    </row>
    <row r="59" spans="3:22" ht="129.75" customHeight="1" x14ac:dyDescent="0.25">
      <c r="C59" s="99" t="s">
        <v>147</v>
      </c>
      <c r="D59" s="126">
        <v>25200</v>
      </c>
      <c r="E59" s="126">
        <v>25795</v>
      </c>
      <c r="F59" s="126">
        <v>28318</v>
      </c>
      <c r="G59" s="96">
        <f>+(D59+F59+E59)/3</f>
        <v>26437.666666666668</v>
      </c>
      <c r="H59" s="505"/>
      <c r="I59" s="506"/>
      <c r="J59" s="506"/>
      <c r="K59" s="506"/>
      <c r="L59" s="506"/>
      <c r="M59" s="506"/>
      <c r="N59" s="506"/>
      <c r="O59" s="506"/>
      <c r="P59" s="506"/>
      <c r="Q59" s="507"/>
      <c r="R59" s="508" t="s">
        <v>261</v>
      </c>
      <c r="S59" s="509"/>
      <c r="T59" s="509"/>
      <c r="U59" s="509"/>
      <c r="V59" s="510"/>
    </row>
    <row r="60" spans="3:22" ht="146.25" customHeight="1" x14ac:dyDescent="0.25">
      <c r="C60" s="95" t="s">
        <v>263</v>
      </c>
      <c r="D60" s="96">
        <v>194900</v>
      </c>
      <c r="E60" s="96">
        <v>359000</v>
      </c>
      <c r="F60" s="96">
        <v>318320</v>
      </c>
      <c r="G60" s="96">
        <f>+(D60+F60+E60)/3</f>
        <v>290740</v>
      </c>
      <c r="H60" s="505"/>
      <c r="I60" s="506"/>
      <c r="J60" s="506"/>
      <c r="K60" s="506"/>
      <c r="L60" s="506"/>
      <c r="M60" s="506"/>
      <c r="N60" s="506"/>
      <c r="O60" s="506"/>
      <c r="P60" s="506"/>
      <c r="Q60" s="507"/>
      <c r="R60" s="511" t="s">
        <v>264</v>
      </c>
      <c r="S60" s="512"/>
      <c r="T60" s="512"/>
      <c r="U60" s="512"/>
      <c r="V60" s="513"/>
    </row>
    <row r="61" spans="3:22" ht="128.25" customHeight="1" x14ac:dyDescent="0.25">
      <c r="C61" s="95" t="s">
        <v>146</v>
      </c>
      <c r="D61" s="96">
        <v>6650</v>
      </c>
      <c r="E61" s="96">
        <v>7506</v>
      </c>
      <c r="F61" s="96">
        <v>7400</v>
      </c>
      <c r="G61" s="96">
        <f>+(D61+F61+E61)/3</f>
        <v>7185.333333333333</v>
      </c>
      <c r="H61" s="505"/>
      <c r="I61" s="506"/>
      <c r="J61" s="506"/>
      <c r="K61" s="506"/>
      <c r="L61" s="506"/>
      <c r="M61" s="506"/>
      <c r="N61" s="506"/>
      <c r="O61" s="506"/>
      <c r="P61" s="506"/>
      <c r="Q61" s="507"/>
      <c r="R61" s="511" t="s">
        <v>172</v>
      </c>
      <c r="S61" s="512"/>
      <c r="T61" s="512"/>
      <c r="U61" s="512"/>
      <c r="V61" s="513"/>
    </row>
    <row r="62" spans="3:22" ht="125.25" customHeight="1" x14ac:dyDescent="0.25">
      <c r="C62" s="125" t="s">
        <v>155</v>
      </c>
      <c r="D62" s="96">
        <v>10800</v>
      </c>
      <c r="E62" s="96"/>
      <c r="F62" s="96">
        <v>12201</v>
      </c>
      <c r="G62" s="96">
        <f>+(D62+F62)/2</f>
        <v>11500.5</v>
      </c>
      <c r="H62" s="480"/>
      <c r="I62" s="480"/>
      <c r="J62" s="480"/>
      <c r="K62" s="480"/>
      <c r="L62" s="480"/>
      <c r="M62" s="480"/>
      <c r="N62" s="480"/>
      <c r="O62" s="480"/>
      <c r="P62" s="480"/>
      <c r="Q62" s="480"/>
      <c r="R62" s="511" t="s">
        <v>172</v>
      </c>
      <c r="S62" s="512"/>
      <c r="T62" s="512"/>
      <c r="U62" s="512"/>
      <c r="V62" s="513"/>
    </row>
    <row r="63" spans="3:22" ht="135.75" customHeight="1" x14ac:dyDescent="0.25">
      <c r="C63" s="125" t="s">
        <v>167</v>
      </c>
      <c r="D63" s="96">
        <v>21350</v>
      </c>
      <c r="E63" s="96">
        <v>21600</v>
      </c>
      <c r="F63" s="96">
        <v>20220</v>
      </c>
      <c r="G63" s="96">
        <f>+(D63+F63+E63)/3</f>
        <v>21056.666666666668</v>
      </c>
      <c r="H63" s="480"/>
      <c r="I63" s="480"/>
      <c r="J63" s="480"/>
      <c r="K63" s="480"/>
      <c r="L63" s="480"/>
      <c r="M63" s="480"/>
      <c r="N63" s="480"/>
      <c r="O63" s="480"/>
      <c r="P63" s="480"/>
      <c r="Q63" s="480"/>
      <c r="R63" s="514" t="s">
        <v>265</v>
      </c>
      <c r="S63" s="515"/>
      <c r="T63" s="515"/>
      <c r="U63" s="515"/>
      <c r="V63" s="516"/>
    </row>
    <row r="64" spans="3:22" ht="162.75" customHeight="1" x14ac:dyDescent="0.25">
      <c r="C64" s="273" t="s">
        <v>166</v>
      </c>
      <c r="D64" s="96">
        <v>10000</v>
      </c>
      <c r="E64" s="96"/>
      <c r="F64" s="96">
        <v>12900</v>
      </c>
      <c r="G64" s="96">
        <f>+(D64+F64)/2</f>
        <v>11450</v>
      </c>
      <c r="H64" s="505"/>
      <c r="I64" s="506"/>
      <c r="J64" s="506"/>
      <c r="K64" s="506"/>
      <c r="L64" s="507"/>
      <c r="M64" s="505"/>
      <c r="N64" s="506"/>
      <c r="O64" s="506"/>
      <c r="P64" s="506"/>
      <c r="Q64" s="507"/>
      <c r="R64" s="511" t="s">
        <v>172</v>
      </c>
      <c r="S64" s="512"/>
      <c r="T64" s="512"/>
      <c r="U64" s="512"/>
      <c r="V64" s="513"/>
    </row>
    <row r="65" spans="1:22" ht="163.5" customHeight="1" x14ac:dyDescent="0.25">
      <c r="C65" s="99" t="s">
        <v>168</v>
      </c>
      <c r="D65" s="126">
        <v>24900</v>
      </c>
      <c r="E65" s="126">
        <v>24900</v>
      </c>
      <c r="F65" s="126">
        <f>8650*5</f>
        <v>43250</v>
      </c>
      <c r="G65" s="96">
        <f>+(D65+F65+E65)/3</f>
        <v>31016.666666666668</v>
      </c>
      <c r="H65" s="505"/>
      <c r="I65" s="506"/>
      <c r="J65" s="506"/>
      <c r="K65" s="506"/>
      <c r="L65" s="506"/>
      <c r="M65" s="506"/>
      <c r="N65" s="506"/>
      <c r="O65" s="506"/>
      <c r="P65" s="506"/>
      <c r="Q65" s="507"/>
      <c r="R65" s="511" t="s">
        <v>266</v>
      </c>
      <c r="S65" s="512"/>
      <c r="T65" s="512"/>
      <c r="U65" s="512"/>
      <c r="V65" s="513"/>
    </row>
    <row r="66" spans="1:22" ht="147.75" customHeight="1" x14ac:dyDescent="0.25">
      <c r="C66" s="125" t="s">
        <v>169</v>
      </c>
      <c r="D66" s="126">
        <v>39508</v>
      </c>
      <c r="E66" s="126">
        <v>27450</v>
      </c>
      <c r="F66" s="126">
        <v>22900</v>
      </c>
      <c r="G66" s="96">
        <f>+(D66+F66+E66)/3</f>
        <v>29952.666666666668</v>
      </c>
      <c r="H66" s="505"/>
      <c r="I66" s="506"/>
      <c r="J66" s="506"/>
      <c r="K66" s="506"/>
      <c r="L66" s="506"/>
      <c r="M66" s="506"/>
      <c r="N66" s="506"/>
      <c r="O66" s="506"/>
      <c r="P66" s="506"/>
      <c r="Q66" s="507"/>
      <c r="R66" s="517" t="s">
        <v>270</v>
      </c>
      <c r="S66" s="518"/>
      <c r="T66" s="518"/>
      <c r="U66" s="518"/>
      <c r="V66" s="519"/>
    </row>
    <row r="67" spans="1:22" ht="147.75" customHeight="1" x14ac:dyDescent="0.25">
      <c r="C67" s="125" t="s">
        <v>267</v>
      </c>
      <c r="D67" s="96">
        <v>800</v>
      </c>
      <c r="E67" s="96">
        <v>700</v>
      </c>
      <c r="F67" s="96">
        <v>2300</v>
      </c>
      <c r="G67" s="96">
        <f>+(D67+F67+E67)/3</f>
        <v>1266.6666666666667</v>
      </c>
      <c r="H67" s="505"/>
      <c r="I67" s="506"/>
      <c r="J67" s="506"/>
      <c r="K67" s="506"/>
      <c r="L67" s="506"/>
      <c r="M67" s="506"/>
      <c r="N67" s="506"/>
      <c r="O67" s="506"/>
      <c r="P67" s="506"/>
      <c r="Q67" s="507"/>
      <c r="R67" s="517" t="s">
        <v>271</v>
      </c>
      <c r="S67" s="518"/>
      <c r="T67" s="518"/>
      <c r="U67" s="518"/>
      <c r="V67" s="519"/>
    </row>
    <row r="68" spans="1:22" ht="147.75" customHeight="1" x14ac:dyDescent="0.25">
      <c r="C68" s="125" t="s">
        <v>268</v>
      </c>
      <c r="D68" s="96">
        <v>2300</v>
      </c>
      <c r="E68" s="96">
        <v>850</v>
      </c>
      <c r="F68" s="96">
        <v>1488</v>
      </c>
      <c r="G68" s="96">
        <f t="shared" ref="G68:G69" si="5">+(D68+F68+E68)/3</f>
        <v>1546</v>
      </c>
      <c r="H68" s="505"/>
      <c r="I68" s="506"/>
      <c r="J68" s="506"/>
      <c r="K68" s="506"/>
      <c r="L68" s="506"/>
      <c r="M68" s="506"/>
      <c r="N68" s="506"/>
      <c r="O68" s="506"/>
      <c r="P68" s="506"/>
      <c r="Q68" s="507"/>
      <c r="R68" s="517" t="s">
        <v>272</v>
      </c>
      <c r="S68" s="518"/>
      <c r="T68" s="518"/>
      <c r="U68" s="518"/>
      <c r="V68" s="519"/>
    </row>
    <row r="69" spans="1:22" ht="147.75" customHeight="1" x14ac:dyDescent="0.25">
      <c r="C69" s="125" t="s">
        <v>269</v>
      </c>
      <c r="D69" s="96">
        <v>380</v>
      </c>
      <c r="E69" s="96">
        <v>450</v>
      </c>
      <c r="F69" s="96">
        <v>550</v>
      </c>
      <c r="G69" s="96">
        <f t="shared" si="5"/>
        <v>460</v>
      </c>
      <c r="H69" s="505"/>
      <c r="I69" s="506"/>
      <c r="J69" s="506"/>
      <c r="K69" s="506"/>
      <c r="L69" s="506"/>
      <c r="M69" s="506"/>
      <c r="N69" s="506"/>
      <c r="O69" s="506"/>
      <c r="P69" s="506"/>
      <c r="Q69" s="507"/>
      <c r="R69" s="517" t="s">
        <v>273</v>
      </c>
      <c r="S69" s="518"/>
      <c r="T69" s="518"/>
      <c r="U69" s="518"/>
      <c r="V69" s="519"/>
    </row>
    <row r="70" spans="1:22" ht="125.1" customHeight="1" x14ac:dyDescent="0.25">
      <c r="C70" s="125" t="s">
        <v>149</v>
      </c>
      <c r="D70" s="96">
        <v>55000</v>
      </c>
      <c r="E70" s="96"/>
      <c r="F70" s="96">
        <v>27900</v>
      </c>
      <c r="G70" s="126">
        <f>+(D70+F70)/2</f>
        <v>41450</v>
      </c>
      <c r="H70" s="502"/>
      <c r="I70" s="503"/>
      <c r="J70" s="503"/>
      <c r="K70" s="503"/>
      <c r="L70" s="504"/>
      <c r="M70" s="502"/>
      <c r="N70" s="503"/>
      <c r="O70" s="503"/>
      <c r="P70" s="503"/>
      <c r="Q70" s="504"/>
      <c r="R70" s="511" t="s">
        <v>172</v>
      </c>
      <c r="S70" s="512"/>
      <c r="T70" s="512"/>
      <c r="U70" s="512"/>
      <c r="V70" s="513"/>
    </row>
    <row r="71" spans="1:22" ht="125.1" customHeight="1" x14ac:dyDescent="0.25">
      <c r="C71" s="125" t="s">
        <v>148</v>
      </c>
      <c r="D71" s="96">
        <v>1016</v>
      </c>
      <c r="E71" s="96"/>
      <c r="F71" s="96">
        <v>1100</v>
      </c>
      <c r="G71" s="126">
        <f>+(D71+F71)/2</f>
        <v>1058</v>
      </c>
      <c r="H71" s="501"/>
      <c r="I71" s="501"/>
      <c r="J71" s="501"/>
      <c r="K71" s="501"/>
      <c r="L71" s="501"/>
      <c r="M71" s="501"/>
      <c r="N71" s="501"/>
      <c r="O71" s="501"/>
      <c r="P71" s="501"/>
      <c r="Q71" s="501"/>
      <c r="R71" s="520" t="s">
        <v>173</v>
      </c>
      <c r="S71" s="521"/>
      <c r="T71" s="521"/>
      <c r="U71" s="521"/>
      <c r="V71" s="522"/>
    </row>
    <row r="72" spans="1:22" ht="228.75" customHeight="1" x14ac:dyDescent="0.25">
      <c r="A72" t="s">
        <v>444</v>
      </c>
      <c r="B72" s="84">
        <f>(1999900*19%+(2024900*19%)+(2499900*19%))/3</f>
        <v>413231</v>
      </c>
      <c r="C72" s="125" t="s">
        <v>442</v>
      </c>
      <c r="D72" s="96">
        <f>1999900+(1999900*19%)</f>
        <v>2379881</v>
      </c>
      <c r="E72" s="96">
        <f>2024900+(2024900*19%)</f>
        <v>2409631</v>
      </c>
      <c r="F72" s="96">
        <f>2499900+(2499900*19%)</f>
        <v>2974881</v>
      </c>
      <c r="G72" s="126">
        <f>+(D72+F72+E72)/3</f>
        <v>2588131</v>
      </c>
      <c r="H72" s="502"/>
      <c r="I72" s="503"/>
      <c r="J72" s="503"/>
      <c r="K72" s="503"/>
      <c r="L72" s="503"/>
      <c r="M72" s="503"/>
      <c r="N72" s="503"/>
      <c r="O72" s="503"/>
      <c r="P72" s="503"/>
      <c r="Q72" s="504"/>
      <c r="R72" s="520" t="s">
        <v>441</v>
      </c>
      <c r="S72" s="521"/>
      <c r="T72" s="521"/>
      <c r="U72" s="521"/>
      <c r="V72" s="522"/>
    </row>
    <row r="73" spans="1:22" ht="207" customHeight="1" x14ac:dyDescent="0.25">
      <c r="A73" t="s">
        <v>444</v>
      </c>
      <c r="B73" s="84">
        <f>+((1694900*19%)+(1979050*19%)+(1899050*19%))/3</f>
        <v>352956.66666666669</v>
      </c>
      <c r="C73" s="125" t="s">
        <v>443</v>
      </c>
      <c r="D73" s="96">
        <f>1694900+(1694900*19%)</f>
        <v>2016931</v>
      </c>
      <c r="E73" s="96">
        <f>1979050+(1979050*19%)</f>
        <v>2355069.5</v>
      </c>
      <c r="F73" s="96">
        <f>1899050+(1899050*19%)</f>
        <v>2259869.5</v>
      </c>
      <c r="G73" s="126">
        <f>+(D73+F73+E73)/3</f>
        <v>2210623.3333333335</v>
      </c>
      <c r="H73" s="501"/>
      <c r="I73" s="501"/>
      <c r="J73" s="501"/>
      <c r="K73" s="501"/>
      <c r="L73" s="501"/>
      <c r="M73" s="501"/>
      <c r="N73" s="501"/>
      <c r="O73" s="501"/>
      <c r="P73" s="501"/>
      <c r="Q73" s="501"/>
      <c r="R73" s="517" t="s">
        <v>438</v>
      </c>
      <c r="S73" s="523"/>
      <c r="T73" s="523"/>
      <c r="U73" s="523"/>
      <c r="V73" s="524"/>
    </row>
    <row r="74" spans="1:22" ht="15.75" x14ac:dyDescent="0.25">
      <c r="C74" s="274"/>
      <c r="D74" s="274"/>
      <c r="E74" s="274"/>
      <c r="F74" s="274"/>
      <c r="G74" s="274"/>
      <c r="H74" s="274"/>
      <c r="I74" s="274"/>
      <c r="J74" s="274"/>
      <c r="K74" s="274"/>
      <c r="L74" s="274"/>
      <c r="M74" s="274"/>
      <c r="N74" s="274"/>
      <c r="O74" s="274"/>
      <c r="P74" s="274"/>
    </row>
    <row r="75" spans="1:22" ht="16.5" thickBot="1" x14ac:dyDescent="0.3">
      <c r="C75" s="274"/>
      <c r="D75" s="274"/>
      <c r="E75" s="274"/>
      <c r="F75" s="274"/>
      <c r="G75" s="274"/>
      <c r="H75" s="274"/>
      <c r="I75" s="274"/>
      <c r="J75" s="274"/>
      <c r="K75" s="274"/>
      <c r="L75" s="274"/>
      <c r="M75" s="274"/>
      <c r="N75" s="274"/>
      <c r="O75" s="274"/>
      <c r="P75" s="274"/>
    </row>
    <row r="76" spans="1:22" ht="18" customHeight="1" x14ac:dyDescent="0.25">
      <c r="C76" s="274"/>
      <c r="D76" s="274"/>
      <c r="E76" s="274"/>
      <c r="F76" s="275" t="s">
        <v>174</v>
      </c>
      <c r="G76" s="495" t="s">
        <v>172</v>
      </c>
      <c r="H76" s="496"/>
      <c r="I76" s="496"/>
      <c r="J76" s="496"/>
      <c r="K76" s="497"/>
      <c r="L76" s="274"/>
      <c r="M76" s="274"/>
      <c r="N76" s="274"/>
      <c r="O76" s="274"/>
      <c r="P76" s="274"/>
    </row>
    <row r="77" spans="1:22" ht="16.5" thickBot="1" x14ac:dyDescent="0.3">
      <c r="C77" s="274"/>
      <c r="D77" s="274"/>
      <c r="E77" s="274"/>
      <c r="F77" s="276" t="s">
        <v>174</v>
      </c>
      <c r="G77" s="498" t="s">
        <v>173</v>
      </c>
      <c r="H77" s="499"/>
      <c r="I77" s="499"/>
      <c r="J77" s="499"/>
      <c r="K77" s="500"/>
      <c r="L77" s="274"/>
      <c r="M77" s="274"/>
      <c r="N77" s="274"/>
      <c r="O77" s="274"/>
      <c r="P77" s="274"/>
    </row>
    <row r="78" spans="1:22" x14ac:dyDescent="0.25">
      <c r="F78" s="482"/>
      <c r="G78" s="481"/>
      <c r="H78" s="482"/>
      <c r="I78" s="482"/>
      <c r="J78" s="482"/>
      <c r="K78" s="482"/>
    </row>
    <row r="79" spans="1:22" x14ac:dyDescent="0.25">
      <c r="F79" s="484"/>
      <c r="G79" s="483"/>
      <c r="H79" s="483"/>
      <c r="I79" s="483"/>
      <c r="J79" s="483"/>
      <c r="K79" s="483"/>
    </row>
    <row r="80" spans="1:22" x14ac:dyDescent="0.25">
      <c r="F80" s="484"/>
      <c r="G80" s="483"/>
      <c r="H80" s="483"/>
      <c r="I80" s="483"/>
      <c r="J80" s="483"/>
      <c r="K80" s="483"/>
    </row>
  </sheetData>
  <mergeCells count="44">
    <mergeCell ref="R73:V73"/>
    <mergeCell ref="H72:Q72"/>
    <mergeCell ref="R72:V72"/>
    <mergeCell ref="R58:V58"/>
    <mergeCell ref="H59:Q59"/>
    <mergeCell ref="H60:Q60"/>
    <mergeCell ref="H61:Q61"/>
    <mergeCell ref="H65:Q65"/>
    <mergeCell ref="H66:Q66"/>
    <mergeCell ref="H67:Q67"/>
    <mergeCell ref="H68:Q68"/>
    <mergeCell ref="H69:Q69"/>
    <mergeCell ref="R67:V67"/>
    <mergeCell ref="R68:V68"/>
    <mergeCell ref="R69:V69"/>
    <mergeCell ref="R64:V64"/>
    <mergeCell ref="R65:V65"/>
    <mergeCell ref="R66:V66"/>
    <mergeCell ref="R70:V70"/>
    <mergeCell ref="R71:V71"/>
    <mergeCell ref="R59:V59"/>
    <mergeCell ref="R60:V60"/>
    <mergeCell ref="R61:V61"/>
    <mergeCell ref="R62:V62"/>
    <mergeCell ref="R63:V63"/>
    <mergeCell ref="B4:P5"/>
    <mergeCell ref="C51:G51"/>
    <mergeCell ref="H58:L58"/>
    <mergeCell ref="G76:K76"/>
    <mergeCell ref="G77:K77"/>
    <mergeCell ref="H71:L71"/>
    <mergeCell ref="M71:Q71"/>
    <mergeCell ref="H70:L70"/>
    <mergeCell ref="M70:Q70"/>
    <mergeCell ref="H63:L63"/>
    <mergeCell ref="M63:Q63"/>
    <mergeCell ref="H64:L64"/>
    <mergeCell ref="M64:Q64"/>
    <mergeCell ref="H73:Q73"/>
    <mergeCell ref="H62:L62"/>
    <mergeCell ref="M62:Q62"/>
    <mergeCell ref="G78:K80"/>
    <mergeCell ref="F78:F80"/>
    <mergeCell ref="M58:Q58"/>
  </mergeCells>
  <hyperlinks>
    <hyperlink ref="G76" r:id="rId1" xr:uid="{D54E6C58-B404-4246-85D0-685C64137560}"/>
    <hyperlink ref="G77" r:id="rId2" xr:uid="{E2F13363-4B88-4694-AA84-E77134B245D9}"/>
    <hyperlink ref="R71" r:id="rId3" xr:uid="{D9E61EBB-9539-4F35-8EE7-7B12F784D6F0}"/>
    <hyperlink ref="R59" r:id="rId4" display="https://www.google.com/search?sca_esv=55e9f3c856495c1e&amp;rlz=1C1CHBD_esCO965CO965&amp;sxsrf=ANbL-n5wEFGUrXUWdVvXcuVQ2IUFf7tMrg:1776283611422&amp;udm=28&amp;fbs=ADc_l-bpk8W4E-qsVlOvbGJcDwpn60DczFdcvPnuv8WQohHLTcTH442KskDyC74HpRHrYUo8DVh0t739Lf9lSmmVxEUO1C2ltbN4C6Q9LHD8THkgoerCV6C3-v3mXqfV2rMHFfFJ-QF2I9M3LO-QOpj3OEYFUgRKLyPyZv1KzHYc7I6cavBWamNzmSUZ0NEVxB9QxBELckizIYJPA-pihQNd-CQEV21h4pi7Id2pBZN33gXdE5u5goM&amp;q=CABLE+ENCAUCHETADO+DE+3X8+AWG&amp;ved=1t:220175&amp;ictx=111&amp;biw=1920&amp;bih=919&amp;dpr=1" xr:uid="{3E722321-86B8-47C5-AB2C-E7A401ECDA17}"/>
    <hyperlink ref="R60" r:id="rId5" display="https://www.google.com/search?q=Cable+Aislado+%23+12+7+Hilos+Negro+X+100+Mts+color+blanco&amp;sca_esv=76a18ee69d7f7d9a&amp;rlz=1C1CHBD_esCO965CO965&amp;biw=1920&amp;bih=919&amp;udm=28&amp;sxsrf=ANbL-n4SH7NtKCkJM-t3Epqy9yBqwnOSRw%3A1773225141296&amp;ei=tUSxafLsEb2GwbkPi8XkqAQ&amp;ved=0ahUKEwiym5210peTAxU9QzABHYsiGUUQ4dUDCCQ&amp;uact=5&amp;oq=Cable+Aislado+%23+12+7+Hilos+Negro+X+100" xr:uid="{20342C98-2591-4E37-BBEA-9F189490559A}"/>
    <hyperlink ref="R63" r:id="rId6" display="https://www.google.com/search?q=Caja+RADWELL+Fundicion+Aluminio+2400+con+salida+1+Pulgada+5+Huecos+TGB1005X&amp;sca_esv=76a18ee69d7f7d9a&amp;rlz=1C1CHBD_esCO965CO965&amp;biw=1920&amp;bih=919&amp;udm=28&amp;sxsrf=ANbL-n7yITPCcmx-qc1nwBdHxCO0dZoVUA%3A1773224425688&amp;ei=6UGxaeHiKbaawbkPysyrkQY&amp;ved=0ahUKEwih-__fz5eTAxU2TTABHUrmKmIQ4dUDCCQ&amp;uact=5&amp;oq=Caja+RADWELL+Fundicion+Aluminio+2400+con+salida+1+Pulgada+5" xr:uid="{F2FD2AC6-3977-4F86-997A-BCEA36C40445}"/>
    <hyperlink ref="R65" r:id="rId7" display="https://www.google.com/search?q=Coraza+Galvanizada+3%2F4+Pg+5+Mt+-+Metal+Coraza&amp;sca_esv=55e9f3c856495c1e&amp;rlz=1C1CHBD_esCO965CO965&amp;biw=1920&amp;bih=919&amp;udm=28&amp;sxsrf=ANbL-n5FOuQE-fmdQxeqhDSZUg4sMw53Mg%3A1776284822997&amp;ei=lvTfaeTCPLKFwbkPn6Xx6Qw&amp;ved=0ahUKEwjk5ZPP2PCTAxWyQjABHZ9SPM0Q4dUDCCQ&amp;oq=Coraza+Galvanizada+3%2F4+Pg+5+Mt+-+Metal+Coraza&amp;gs_lp=Ehlnd3Mtd2l6LW1vZGVsZXNzLXNob3BwaW5nIi1Db3JhemEgR2FsdmFuaXphZGEgMy80IFBnIDUgTXQgLSBNZXRhbCBDb3JhemFI9yFQAFgAcAB4AZABAJgBgAGgAYABqgEDMC4xuAEMyAEA-AEC-AEBmAIAoAIAmAMAkgcAoAesAbIHALgHAMIHAMgHAIAIAQ&amp;sclient=gws-wiz-modeless-shopping" xr:uid="{49E57CB7-8602-4A2D-A55C-C25A0FB72477}"/>
    <hyperlink ref="R66" r:id="rId8" display="https://www.google.com/search?sca_esv=76a18ee69d7f7d9a&amp;rlz=1C1CHBD_esCO965CO965&amp;sxsrf=ANbL-n7Fky1zKQF0o60TgDrkINyCtXiuYw:1773224368969&amp;udm=28&amp;fbs=ADc_l-bpk8W4E-qsVlOvbGJcDwpn60DczFdcvPnuv8WQohHLTcTH442KskDyC74HpRHrYUquKPmtPp4IEQPDuCAuszg_f6lrMfx1yzeTgwnfyamc0O_AALoSLgmfLP2Zg7W_2YBA2UbNXu7k2LaJ5Gv_v_7hvi9_206zFwHmMEIljTYZ18OB8zZ-CzrA5tXSxBNH9UJRhlhTYr_ewUAbso6K52J-e92O5w&amp;q=TUBO+EMT+COLMENA+3/4%27%27+X+3+METROS&amp;ved=1t:220175&amp;ictx=111&amp;biw=1920&amp;bih=919&amp;dpr=1" xr:uid="{DE5B0AFF-2DF9-4594-AAA8-1552E5203BA4}"/>
    <hyperlink ref="R67" r:id="rId9" display="https://www.google.com/search?sca_esv=bb692e0fdf80bd80&amp;rlz=1C1CHBD_esCO965CO965&amp;sxsrf=ANbL-n6E6Ln_QADV8mYCdGqN0pVbQIYmjw:1773252250705&amp;udm=28&amp;fbs=ADc_l-bpk8W4E-qsVlOvbGJcDwpn60DczFdcvPnuv8WQohHLTcTH442KskDyC74HpRHrYUquKPmtPp4IEQPDuCAuszg_f6lrMfx1yzeTgwnfyamc0IC-bBJqJ4JzBROsH8fbxyTwPRmsuyxtLkJwKUi0vdh_MrPZ0WOXG0ZrPkJcSaDkTFwWlN9x7F71IslzL2chTfxN91ZwMEHEFzl7SE1wGE7Uoe6_6AEYzz183H45J_R_xTrs5DU&amp;q=Union+EMT+Acero+C-H+3-4+Pulgadas&amp;ved=1t:220175&amp;ictx=111&amp;biw=2400&amp;bih=1148&amp;dpr=0.8" xr:uid="{CB75B2D3-D3D1-4C2A-9BB4-E665347B14E6}"/>
    <hyperlink ref="R68" r:id="rId10" display="https://www.google.com/search?q=Terminal-Conector+EMT+de+3-4+Pulgadas+Acero+C-H&amp;sca_esv=bb692e0fdf80bd80&amp;rlz=1C1CHBD_esCO965CO965&amp;biw=2400&amp;bih=1148&amp;udm=28&amp;sxsrf=ANbL-n61vxS8bqAU67YvtWI-7Xd8z9fIRQ%3A1773252253549&amp;ei=na6xabChIbqCwbkP0p_JkQs&amp;ved=0ahUKEwjw4621t5iTAxU6QTABHdJPMrIQ4dUDCCQ&amp;uact=5&amp;oq=Terminal-Conector+EMT+de+3-4+Pulgadas+Acero+C-H&amp;gs_lp=Ehlnd3Mtd2l6LW1vZGVsZXNzLXNob3BwaW5nIi9UZXJtaW5hbC1Db25lY3RvciBFTVQgZGUgMy00IFB1bGdhZGFzIEFjZXJvIEMtSEjpBVAAWABwAHgBkAEAmAGUAaABlAGqAQMwLjG4AQPIAQD4AQL4AQGYAgCgAgCYAwCSBwCgBy2yBwC4BwDCBwDIBwCACAA&amp;sclient=gws-wiz-modeless-shopping" xr:uid="{D4655BB5-CD20-43DE-BD62-7DB00BDDABCD}"/>
    <hyperlink ref="R69" r:id="rId11" display="https://www.google.com/search?q=Grapa+Tuber%C3%ADa+Cal.+20+EMT+Doble+Galvanizada+3%2F4%22&amp;sca_esv=bb692e0fdf80bd80&amp;rlz=1C1CHBD_esCO965CO965&amp;biw=2400&amp;bih=1148&amp;udm=28&amp;sxsrf=ANbL-n4lxuNhwruZDxCzavP8vKm3H5-qIw%3A1773252349199&amp;ei=_a6xaafqC4mQwbkP0ZGKwAQ&amp;ved=0ahUKEwjn3Pvit5iTAxUJSDABHdGIAkgQ4dUDCCQ&amp;uact=5&amp;oq=Grapa+Tuber%C3%ADa+Cal.+20+EMT+Doble+Galvanizada+3%2F4%22&amp;gs_lp=Ehlnd3Mtd2l6LW1vZGVsZXNzLXNob3BwaW5nIjFHcmFwYSBUdWJlcsOtYSBDYWwuIDIwIEVNVCBEb2JsZSBHYWx2YW5pemFkYSAzLzQiSJUMUABYAHAAeAGQAQCYAZYBoAGWAaoBAzAuMbgBA8gBAPgBAvgBAZgCAKACAJgDAJIHAKAHLbIHALgHAMIHAMgHAIAIAA&amp;sclient=gws-wiz-modeless-shopping" xr:uid="{7DF5D6AE-9DC8-417A-8931-B07851016B61}"/>
    <hyperlink ref="R61" r:id="rId12" xr:uid="{9BB233FA-5F67-45B2-A1D0-B273BFCB438B}"/>
    <hyperlink ref="R62" r:id="rId13" xr:uid="{333EF929-7B31-427E-9992-118C6E571423}"/>
    <hyperlink ref="R70" r:id="rId14" xr:uid="{0093AE2E-DA56-406C-9B09-20DF311AD5AC}"/>
    <hyperlink ref="R64" r:id="rId15" xr:uid="{584F4660-0326-41C7-9B49-630DF2769CD2}"/>
    <hyperlink ref="R73" r:id="rId16" display="https://www.google.com/search?q=aire+acondicionado+18000+btu+110v&amp;sca_esv=09e795cc6b8f4569&amp;rlz=1C1CHBD_esCO965CO965&amp;udm=28&amp;sxsrf=ANbL-n602WvKYWEFY7dLixH00QumgMvJjQ%3A1776286432434&amp;ei=4PrfacuZGriKwbkPuJGTqAY&amp;biw=1920&amp;bih=919&amp;oq=aire+acondicionado++btu+110v&amp;gs_lp=Ehlnd3Mtd2l6LW1vZGVsZXNzLXNob3BwaW5nIhxhaXJlIGFjb25kaWNpb25hZG8gIGJ0dSAxMTB2KgIIAjIGEAAYBxgeMgYQABgHGB4yBhAAGAcYHjIGEAAYBxgeMgYQABgHGB4yBhAAGAcYHjIGEAAYBxgeMgYQABgHGB4yBhAAGAcYHjIGEAAYBxgeSLQVUNsFWNsFcAF4AZABAJgBeaABeaoBAzAuMbgBAcgBAPgBAZgCAqACjwHCAgoQABhHGNYEGLADmAMAiAYBkAYIkgcDMS4xoAfuBrIHAzAuMbgHiQHCBwM5LTLIB63dAoAIAQ&amp;sclient=gws-wiz-modeless-shopping" xr:uid="{0BA70173-3C4B-4904-9172-33F70E7E0F3B}"/>
    <hyperlink ref="R72" r:id="rId17" display="https://www.google.com/search?q=aire+acondicionado+24000+btu+220v&amp;sca_esv=09e795cc6b8f4569&amp;rlz=1C1CHBD_esCO965CO965&amp;biw=1097&amp;bih=525&amp;udm=28&amp;sxsrf=ANbL-n7TlTG1enz88At1On1NdJWkumTJwg%3A1776286744151&amp;ei=GPzfaajnCJKOwbkPmp_s4Qw&amp;ved=0ahUKEwio053j3_CTAxUSRzABHZoPO8wQ4dUDCCQ&amp;uact=5&amp;oq=aire+acondicionado+24000+btu+220v&amp;gs_lp=Ehlnd3Mtd2l6LW1vZGVsZXNzLXNob3BwaW5nIiFhaXJlIGFjb25kaWNpb25hZG8gMjQwMDAgYnR1IDIyMHYyBRAAGIAEMgUQABiABEj1DFDQBFj9CXABeAGQAQCYAZoEoAG9CaoBCzAuMS4xLjEuMC4xuAEDyAEA-AEBmAICoAKRAcICChAAGEcY1gQYsAOYAwCIBgGQBgiSBwMxLjGgB9QFsgcDMC4xuAeKAcIHAzktMsgH8ZkTgAgB&amp;sclient=gws-wiz-modeless-shopping" xr:uid="{741184FA-73AA-43A1-B793-6CE487ACC3BB}"/>
  </hyperlinks>
  <pageMargins left="0.7" right="0.7" top="0.75" bottom="0.75" header="0.3" footer="0.3"/>
  <pageSetup orientation="portrait" r:id="rId18"/>
  <ignoredErrors>
    <ignoredError sqref="G62" formula="1"/>
  </ignoredErrors>
  <drawing r:id="rId19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6539F-8107-4193-9181-A1EB102D8A0F}">
  <dimension ref="C1:AF75"/>
  <sheetViews>
    <sheetView showGridLines="0" topLeftCell="G10" zoomScale="235" zoomScaleNormal="235" workbookViewId="0">
      <selection activeCell="D30" sqref="D30"/>
    </sheetView>
  </sheetViews>
  <sheetFormatPr baseColWidth="10" defaultRowHeight="15" x14ac:dyDescent="0.25"/>
  <cols>
    <col min="3" max="3" width="41.140625" customWidth="1"/>
    <col min="4" max="4" width="40" customWidth="1"/>
    <col min="5" max="5" width="23.5703125" customWidth="1"/>
    <col min="6" max="6" width="20.85546875" customWidth="1"/>
    <col min="7" max="7" width="38" customWidth="1"/>
    <col min="8" max="8" width="35.85546875" customWidth="1"/>
    <col min="9" max="9" width="25.85546875" customWidth="1"/>
  </cols>
  <sheetData>
    <row r="1" spans="3:32" ht="15.75" thickBot="1" x14ac:dyDescent="0.3"/>
    <row r="2" spans="3:32" x14ac:dyDescent="0.25">
      <c r="G2" s="527"/>
      <c r="H2" s="528"/>
    </row>
    <row r="3" spans="3:32" x14ac:dyDescent="0.25">
      <c r="G3" s="529"/>
      <c r="H3" s="530"/>
    </row>
    <row r="4" spans="3:32" x14ac:dyDescent="0.25">
      <c r="G4" s="529"/>
      <c r="H4" s="530"/>
      <c r="Q4" t="s">
        <v>97</v>
      </c>
    </row>
    <row r="5" spans="3:32" x14ac:dyDescent="0.25">
      <c r="G5" s="529"/>
      <c r="H5" s="530"/>
    </row>
    <row r="6" spans="3:32" x14ac:dyDescent="0.25">
      <c r="G6" s="529"/>
      <c r="H6" s="530"/>
      <c r="I6" s="342"/>
      <c r="J6" s="342"/>
      <c r="K6" s="342"/>
      <c r="L6" s="342"/>
      <c r="M6" s="342"/>
      <c r="N6" s="342"/>
      <c r="O6" s="342"/>
      <c r="P6" s="342"/>
      <c r="Q6" s="342"/>
      <c r="R6" s="342"/>
      <c r="S6" s="342"/>
      <c r="T6" s="342"/>
      <c r="U6" s="342"/>
      <c r="V6" s="342"/>
      <c r="W6" s="342"/>
      <c r="X6" s="342"/>
      <c r="Y6" s="342"/>
      <c r="Z6" s="342"/>
      <c r="AA6" s="342"/>
      <c r="AB6" s="342"/>
      <c r="AC6" s="342"/>
      <c r="AD6" s="342"/>
      <c r="AE6" s="342"/>
      <c r="AF6" s="342"/>
    </row>
    <row r="7" spans="3:32" x14ac:dyDescent="0.25">
      <c r="G7" s="529"/>
      <c r="H7" s="530"/>
      <c r="I7" s="342"/>
      <c r="J7" s="342"/>
      <c r="K7" s="342"/>
      <c r="L7" s="342"/>
      <c r="M7" s="342"/>
      <c r="N7" s="342"/>
      <c r="O7" s="342"/>
      <c r="P7" s="342"/>
      <c r="Q7" s="342"/>
      <c r="R7" s="342"/>
      <c r="S7" s="342"/>
      <c r="T7" s="342"/>
      <c r="U7" s="342"/>
      <c r="V7" s="342"/>
      <c r="W7" s="342"/>
      <c r="X7" s="342"/>
      <c r="Y7" s="342"/>
      <c r="Z7" s="342"/>
      <c r="AA7" s="342"/>
      <c r="AB7" s="342"/>
      <c r="AC7" s="342"/>
      <c r="AD7" s="342"/>
      <c r="AE7" s="342"/>
      <c r="AF7" s="342"/>
    </row>
    <row r="8" spans="3:32" x14ac:dyDescent="0.25">
      <c r="G8" s="529"/>
      <c r="H8" s="530"/>
      <c r="I8" s="342"/>
      <c r="J8" s="342"/>
      <c r="K8" s="342"/>
      <c r="L8" s="342"/>
      <c r="M8" s="342"/>
      <c r="N8" s="342"/>
      <c r="O8" s="342"/>
      <c r="P8" s="342"/>
      <c r="Q8" s="342"/>
      <c r="R8" s="342"/>
      <c r="S8" s="342"/>
      <c r="T8" s="342"/>
      <c r="U8" s="342"/>
      <c r="V8" s="342"/>
      <c r="W8" s="342"/>
      <c r="X8" s="342"/>
      <c r="Y8" s="342"/>
      <c r="Z8" s="342"/>
      <c r="AA8" s="342"/>
      <c r="AB8" s="342"/>
      <c r="AC8" s="342"/>
      <c r="AD8" s="342"/>
      <c r="AE8" s="342"/>
      <c r="AF8" s="342"/>
    </row>
    <row r="9" spans="3:32" ht="15.75" x14ac:dyDescent="0.25">
      <c r="C9" s="525" t="s">
        <v>160</v>
      </c>
      <c r="D9" s="525"/>
      <c r="E9" s="525"/>
      <c r="F9" s="526"/>
      <c r="G9" s="529"/>
      <c r="H9" s="530"/>
      <c r="I9" s="342"/>
      <c r="J9" s="342"/>
      <c r="K9" s="342"/>
      <c r="L9" s="342"/>
      <c r="M9" s="342"/>
      <c r="N9" s="342"/>
      <c r="O9" s="342"/>
      <c r="P9" s="342"/>
      <c r="Q9" s="342"/>
      <c r="R9" s="342"/>
      <c r="S9" s="342"/>
      <c r="T9" s="342"/>
      <c r="U9" s="342"/>
      <c r="V9" s="342"/>
      <c r="W9" s="342"/>
      <c r="X9" s="342"/>
      <c r="Y9" s="342"/>
      <c r="Z9" s="342"/>
      <c r="AA9" s="342"/>
      <c r="AB9" s="342"/>
      <c r="AC9" s="342"/>
      <c r="AD9" s="342"/>
      <c r="AE9" s="342"/>
      <c r="AF9" s="342"/>
    </row>
    <row r="10" spans="3:32" x14ac:dyDescent="0.25">
      <c r="C10" s="123" t="s">
        <v>93</v>
      </c>
      <c r="D10" s="123" t="s">
        <v>59</v>
      </c>
      <c r="E10" s="123" t="s">
        <v>35</v>
      </c>
      <c r="F10" s="157" t="s">
        <v>95</v>
      </c>
      <c r="G10" s="529"/>
      <c r="H10" s="530"/>
      <c r="I10" s="342"/>
      <c r="J10" s="342"/>
      <c r="K10" s="342"/>
      <c r="L10" s="342"/>
      <c r="M10" s="342"/>
      <c r="N10" s="342"/>
      <c r="O10" s="342"/>
      <c r="P10" s="342"/>
      <c r="Q10" s="342"/>
      <c r="R10" s="342"/>
      <c r="S10" s="342"/>
      <c r="T10" s="342"/>
      <c r="U10" s="342"/>
      <c r="V10" s="342"/>
      <c r="W10" s="342"/>
      <c r="X10" s="342"/>
      <c r="Y10" s="342"/>
      <c r="Z10" s="342"/>
      <c r="AA10" s="342"/>
      <c r="AB10" s="342"/>
      <c r="AC10" s="342"/>
      <c r="AD10" s="342"/>
      <c r="AE10" s="342"/>
      <c r="AF10" s="342"/>
    </row>
    <row r="11" spans="3:32" x14ac:dyDescent="0.25">
      <c r="C11" s="93" t="s">
        <v>94</v>
      </c>
      <c r="D11" s="124" t="s">
        <v>3</v>
      </c>
      <c r="E11" s="124">
        <v>300</v>
      </c>
      <c r="F11" s="156" t="s">
        <v>98</v>
      </c>
      <c r="G11" s="529"/>
      <c r="H11" s="530"/>
      <c r="I11" s="342"/>
      <c r="J11" s="342"/>
      <c r="K11" s="342"/>
      <c r="L11" s="342"/>
      <c r="M11" s="342"/>
      <c r="N11" s="342"/>
      <c r="O11" s="342"/>
      <c r="P11" s="342"/>
      <c r="Q11" s="342"/>
      <c r="R11" s="342"/>
      <c r="S11" s="342"/>
      <c r="T11" s="342"/>
      <c r="U11" s="342"/>
      <c r="V11" s="342"/>
      <c r="W11" s="342"/>
      <c r="X11" s="342"/>
      <c r="Y11" s="342"/>
      <c r="Z11" s="342"/>
      <c r="AA11" s="342"/>
      <c r="AB11" s="342"/>
      <c r="AC11" s="342"/>
      <c r="AD11" s="342"/>
      <c r="AE11" s="342"/>
      <c r="AF11" s="342"/>
    </row>
    <row r="12" spans="3:32" x14ac:dyDescent="0.25">
      <c r="C12" s="93" t="s">
        <v>250</v>
      </c>
      <c r="D12" s="151" t="s">
        <v>3</v>
      </c>
      <c r="E12" s="151">
        <v>100</v>
      </c>
      <c r="F12" s="156" t="str">
        <f>+F11</f>
        <v>1F+1N+1T</v>
      </c>
      <c r="G12" s="529"/>
      <c r="H12" s="530"/>
      <c r="I12" s="342"/>
      <c r="J12" s="342"/>
      <c r="K12" s="342"/>
      <c r="L12" s="342"/>
      <c r="M12" s="342"/>
      <c r="N12" s="342"/>
      <c r="O12" s="342"/>
      <c r="P12" s="342"/>
      <c r="Q12" s="342"/>
      <c r="R12" s="342"/>
      <c r="S12" s="342"/>
      <c r="T12" s="342"/>
      <c r="U12" s="342"/>
      <c r="V12" s="342"/>
      <c r="W12" s="342"/>
      <c r="X12" s="342"/>
      <c r="Y12" s="342"/>
      <c r="Z12" s="342"/>
      <c r="AA12" s="342"/>
      <c r="AB12" s="342"/>
      <c r="AC12" s="342"/>
      <c r="AD12" s="342"/>
      <c r="AE12" s="342"/>
      <c r="AF12" s="342"/>
    </row>
    <row r="13" spans="3:32" x14ac:dyDescent="0.25">
      <c r="C13" s="93" t="s">
        <v>141</v>
      </c>
      <c r="D13" s="124" t="s">
        <v>27</v>
      </c>
      <c r="E13" s="124">
        <v>3</v>
      </c>
      <c r="F13" s="156"/>
      <c r="G13" s="529"/>
      <c r="H13" s="530"/>
      <c r="I13" s="342"/>
      <c r="J13" s="342"/>
      <c r="K13" s="342"/>
      <c r="L13" s="342"/>
      <c r="M13" s="342"/>
      <c r="N13" s="342"/>
      <c r="O13" s="342"/>
      <c r="P13" s="342"/>
      <c r="Q13" s="342"/>
      <c r="R13" s="342"/>
      <c r="S13" s="342"/>
      <c r="T13" s="342"/>
      <c r="U13" s="342"/>
      <c r="V13" s="342"/>
      <c r="W13" s="342"/>
      <c r="X13" s="342"/>
      <c r="Y13" s="342"/>
      <c r="Z13" s="342"/>
      <c r="AA13" s="342"/>
      <c r="AB13" s="342"/>
      <c r="AC13" s="342"/>
      <c r="AD13" s="342"/>
      <c r="AE13" s="342"/>
      <c r="AF13" s="342"/>
    </row>
    <row r="14" spans="3:32" x14ac:dyDescent="0.25">
      <c r="C14" s="93" t="s">
        <v>100</v>
      </c>
      <c r="D14" s="124" t="s">
        <v>99</v>
      </c>
      <c r="E14" s="122">
        <f>+E11/9</f>
        <v>33.333333333333336</v>
      </c>
      <c r="F14" s="156" t="s">
        <v>96</v>
      </c>
      <c r="G14" s="529"/>
      <c r="H14" s="530"/>
      <c r="I14" s="342"/>
      <c r="J14" s="342"/>
      <c r="K14" s="342"/>
      <c r="L14" s="342"/>
      <c r="M14" s="342"/>
      <c r="N14" s="342"/>
      <c r="O14" s="342"/>
      <c r="P14" s="342"/>
      <c r="Q14" s="342"/>
      <c r="R14" s="342"/>
      <c r="S14" s="342"/>
      <c r="T14" s="342"/>
      <c r="U14" s="342"/>
      <c r="V14" s="342"/>
      <c r="W14" s="342"/>
      <c r="X14" s="342"/>
      <c r="Y14" s="342"/>
      <c r="Z14" s="342"/>
      <c r="AA14" s="342"/>
      <c r="AB14" s="342"/>
      <c r="AC14" s="342"/>
      <c r="AD14" s="342"/>
      <c r="AE14" s="342"/>
      <c r="AF14" s="342"/>
    </row>
    <row r="15" spans="3:32" x14ac:dyDescent="0.25">
      <c r="C15" s="93" t="s">
        <v>143</v>
      </c>
      <c r="D15" s="124" t="s">
        <v>27</v>
      </c>
      <c r="E15" s="124">
        <v>10</v>
      </c>
      <c r="F15" s="156"/>
      <c r="G15" s="529"/>
      <c r="H15" s="530"/>
      <c r="I15" s="342"/>
      <c r="J15" s="342"/>
      <c r="K15" s="342"/>
      <c r="L15" s="342"/>
      <c r="M15" s="342"/>
      <c r="N15" s="342"/>
      <c r="O15" s="342"/>
      <c r="P15" s="342"/>
      <c r="Q15" s="342"/>
      <c r="R15" s="342"/>
      <c r="S15" s="342"/>
      <c r="T15" s="342"/>
      <c r="U15" s="342"/>
      <c r="V15" s="342"/>
      <c r="W15" s="342"/>
      <c r="X15" s="342"/>
      <c r="Y15" s="342"/>
      <c r="Z15" s="342"/>
      <c r="AA15" s="342"/>
      <c r="AB15" s="342"/>
      <c r="AC15" s="342"/>
      <c r="AD15" s="342"/>
      <c r="AE15" s="342"/>
      <c r="AF15" s="342"/>
    </row>
    <row r="16" spans="3:32" x14ac:dyDescent="0.25">
      <c r="C16" s="93" t="s">
        <v>164</v>
      </c>
      <c r="D16" s="151" t="s">
        <v>27</v>
      </c>
      <c r="E16" s="151">
        <v>3</v>
      </c>
      <c r="F16" s="156" t="s">
        <v>165</v>
      </c>
      <c r="G16" s="529"/>
      <c r="H16" s="530"/>
      <c r="I16" s="342"/>
      <c r="J16" s="342"/>
      <c r="K16" s="342"/>
      <c r="L16" s="342"/>
      <c r="M16" s="342"/>
      <c r="N16" s="342"/>
      <c r="O16" s="342"/>
      <c r="P16" s="342"/>
      <c r="Q16" s="342"/>
      <c r="R16" s="342"/>
      <c r="S16" s="342"/>
      <c r="T16" s="342"/>
      <c r="U16" s="342"/>
      <c r="V16" s="342"/>
      <c r="W16" s="342"/>
      <c r="X16" s="342"/>
      <c r="Y16" s="342"/>
      <c r="Z16" s="342"/>
      <c r="AA16" s="342"/>
      <c r="AB16" s="342"/>
      <c r="AC16" s="342"/>
      <c r="AD16" s="342"/>
      <c r="AE16" s="342"/>
      <c r="AF16" s="342"/>
    </row>
    <row r="17" spans="3:32" x14ac:dyDescent="0.25">
      <c r="C17" s="93" t="s">
        <v>139</v>
      </c>
      <c r="D17" s="124" t="s">
        <v>27</v>
      </c>
      <c r="E17" s="124">
        <v>50</v>
      </c>
      <c r="F17" s="156" t="s">
        <v>140</v>
      </c>
      <c r="G17" s="529"/>
      <c r="H17" s="530"/>
      <c r="I17" s="342"/>
      <c r="J17" s="342"/>
      <c r="K17" s="342"/>
      <c r="L17" s="342"/>
      <c r="M17" s="342"/>
      <c r="N17" s="342"/>
      <c r="O17" s="342"/>
      <c r="P17" s="342"/>
      <c r="Q17" s="342"/>
      <c r="R17" s="342"/>
      <c r="S17" s="342"/>
      <c r="T17" s="342"/>
      <c r="U17" s="342"/>
      <c r="V17" s="342"/>
      <c r="W17" s="342"/>
      <c r="X17" s="342"/>
      <c r="Y17" s="342"/>
      <c r="Z17" s="342"/>
      <c r="AA17" s="342"/>
      <c r="AB17" s="342"/>
      <c r="AC17" s="342"/>
      <c r="AD17" s="342"/>
      <c r="AE17" s="342"/>
      <c r="AF17" s="342"/>
    </row>
    <row r="18" spans="3:32" x14ac:dyDescent="0.25">
      <c r="C18" s="269" t="s">
        <v>142</v>
      </c>
      <c r="D18" s="124" t="s">
        <v>27</v>
      </c>
      <c r="E18" s="124">
        <v>4</v>
      </c>
      <c r="F18" s="156"/>
      <c r="G18" s="529"/>
      <c r="H18" s="530"/>
      <c r="I18" s="342"/>
      <c r="J18" s="342"/>
      <c r="K18" s="342"/>
      <c r="L18" s="342"/>
      <c r="M18" s="342"/>
      <c r="N18" s="342"/>
      <c r="O18" s="342"/>
      <c r="P18" s="342"/>
      <c r="Q18" s="342"/>
      <c r="R18" s="342"/>
      <c r="S18" s="342"/>
      <c r="T18" s="342"/>
      <c r="U18" s="342"/>
      <c r="V18" s="342"/>
      <c r="W18" s="342"/>
      <c r="X18" s="342"/>
      <c r="Y18" s="342"/>
      <c r="Z18" s="342"/>
      <c r="AA18" s="342"/>
      <c r="AB18" s="342"/>
      <c r="AC18" s="342"/>
      <c r="AD18" s="342"/>
      <c r="AE18" s="342"/>
      <c r="AF18" s="342"/>
    </row>
    <row r="19" spans="3:32" x14ac:dyDescent="0.25">
      <c r="G19" s="529"/>
      <c r="H19" s="530"/>
      <c r="I19" s="342"/>
      <c r="J19" s="342"/>
      <c r="K19" s="342"/>
      <c r="L19" s="342"/>
      <c r="M19" s="342"/>
      <c r="N19" s="342"/>
      <c r="O19" s="342"/>
      <c r="P19" s="342"/>
      <c r="Q19" s="342"/>
      <c r="R19" s="342"/>
      <c r="S19" s="342"/>
      <c r="T19" s="342"/>
      <c r="U19" s="342"/>
      <c r="V19" s="342"/>
      <c r="W19" s="342"/>
      <c r="X19" s="342"/>
      <c r="Y19" s="342"/>
      <c r="Z19" s="342"/>
      <c r="AA19" s="342"/>
      <c r="AB19" s="342"/>
      <c r="AC19" s="342"/>
      <c r="AD19" s="342"/>
      <c r="AE19" s="342"/>
      <c r="AF19" s="342"/>
    </row>
    <row r="20" spans="3:32" x14ac:dyDescent="0.25">
      <c r="G20" s="529"/>
      <c r="H20" s="530"/>
      <c r="I20" s="342"/>
      <c r="J20" s="342"/>
      <c r="K20" s="342"/>
      <c r="L20" s="342"/>
      <c r="M20" s="342"/>
      <c r="N20" s="342"/>
      <c r="O20" s="342"/>
      <c r="P20" s="342"/>
      <c r="Q20" s="342"/>
      <c r="R20" s="342"/>
      <c r="S20" s="342"/>
      <c r="T20" s="342"/>
      <c r="U20" s="342"/>
      <c r="V20" s="342"/>
      <c r="W20" s="342"/>
      <c r="X20" s="342"/>
      <c r="Y20" s="342"/>
      <c r="Z20" s="342"/>
      <c r="AA20" s="342"/>
      <c r="AB20" s="342"/>
      <c r="AC20" s="342"/>
      <c r="AD20" s="342"/>
      <c r="AE20" s="342"/>
      <c r="AF20" s="342"/>
    </row>
    <row r="21" spans="3:32" x14ac:dyDescent="0.25">
      <c r="G21" s="529"/>
      <c r="H21" s="530"/>
      <c r="I21" s="342"/>
      <c r="J21" s="342"/>
      <c r="K21" s="342"/>
      <c r="L21" s="342"/>
      <c r="M21" s="342"/>
      <c r="N21" s="342"/>
      <c r="O21" s="342"/>
      <c r="P21" s="342"/>
      <c r="Q21" s="342"/>
      <c r="R21" s="342"/>
      <c r="S21" s="342"/>
      <c r="T21" s="342"/>
      <c r="U21" s="342"/>
      <c r="V21" s="342"/>
      <c r="W21" s="342"/>
      <c r="X21" s="342"/>
      <c r="Y21" s="342"/>
      <c r="Z21" s="342"/>
      <c r="AA21" s="342"/>
      <c r="AB21" s="342"/>
      <c r="AC21" s="342"/>
      <c r="AD21" s="342"/>
      <c r="AE21" s="342"/>
      <c r="AF21" s="342"/>
    </row>
    <row r="22" spans="3:32" x14ac:dyDescent="0.25">
      <c r="C22" t="s">
        <v>252</v>
      </c>
      <c r="D22" t="s">
        <v>258</v>
      </c>
      <c r="E22" t="s">
        <v>253</v>
      </c>
      <c r="F22">
        <f>25*3</f>
        <v>75</v>
      </c>
      <c r="G22" s="529"/>
      <c r="H22" s="530"/>
      <c r="I22" s="342"/>
      <c r="J22" s="342"/>
      <c r="K22" s="342"/>
      <c r="L22" s="342"/>
      <c r="M22" s="342"/>
      <c r="N22" s="342"/>
      <c r="O22" s="342"/>
      <c r="P22" s="342"/>
      <c r="Q22" s="342"/>
      <c r="R22" s="342"/>
      <c r="S22" s="342"/>
      <c r="T22" s="342"/>
      <c r="U22" s="342"/>
      <c r="V22" s="342"/>
      <c r="W22" s="342"/>
      <c r="X22" s="342"/>
      <c r="Y22" s="342"/>
      <c r="Z22" s="342"/>
      <c r="AA22" s="342"/>
      <c r="AB22" s="342"/>
      <c r="AC22" s="342"/>
      <c r="AD22" s="342"/>
      <c r="AE22" s="342"/>
      <c r="AF22" s="342"/>
    </row>
    <row r="23" spans="3:32" x14ac:dyDescent="0.25">
      <c r="C23" t="s">
        <v>254</v>
      </c>
      <c r="D23" t="s">
        <v>258</v>
      </c>
      <c r="E23" t="s">
        <v>256</v>
      </c>
      <c r="F23">
        <f>25*3</f>
        <v>75</v>
      </c>
      <c r="G23" s="529"/>
      <c r="H23" s="530"/>
      <c r="I23" s="342"/>
      <c r="J23" s="342"/>
      <c r="K23" s="342"/>
      <c r="L23" s="342"/>
      <c r="M23" s="342"/>
      <c r="N23" s="342"/>
      <c r="O23" s="342"/>
      <c r="P23" s="342"/>
      <c r="Q23" s="342"/>
      <c r="R23" s="342"/>
      <c r="S23" s="342"/>
      <c r="T23" s="342"/>
      <c r="U23" s="342"/>
      <c r="V23" s="342"/>
      <c r="W23" s="342"/>
      <c r="X23" s="342"/>
      <c r="Y23" s="342"/>
      <c r="Z23" s="342"/>
      <c r="AA23" s="342"/>
      <c r="AB23" s="342"/>
      <c r="AC23" s="342"/>
      <c r="AD23" s="342"/>
      <c r="AE23" s="342"/>
      <c r="AF23" s="342"/>
    </row>
    <row r="24" spans="3:32" x14ac:dyDescent="0.25">
      <c r="C24" t="s">
        <v>255</v>
      </c>
      <c r="D24" t="s">
        <v>259</v>
      </c>
      <c r="E24" t="s">
        <v>257</v>
      </c>
      <c r="F24">
        <f>50*3</f>
        <v>150</v>
      </c>
      <c r="G24" s="529"/>
      <c r="H24" s="530"/>
      <c r="I24" s="342"/>
      <c r="J24" s="342"/>
      <c r="K24" s="342"/>
      <c r="L24" s="342"/>
      <c r="M24" s="342"/>
      <c r="N24" s="342"/>
      <c r="O24" s="342"/>
      <c r="P24" s="342"/>
      <c r="Q24" s="342"/>
      <c r="R24" s="342"/>
      <c r="S24" s="342"/>
      <c r="T24" s="342"/>
      <c r="U24" s="342"/>
      <c r="V24" s="342"/>
      <c r="W24" s="342"/>
      <c r="X24" s="342"/>
      <c r="Y24" s="342"/>
      <c r="Z24" s="342"/>
      <c r="AA24" s="342"/>
      <c r="AB24" s="342"/>
      <c r="AC24" s="342"/>
      <c r="AD24" s="342"/>
      <c r="AE24" s="342"/>
      <c r="AF24" s="342"/>
    </row>
    <row r="25" spans="3:32" ht="15.75" thickBot="1" x14ac:dyDescent="0.3">
      <c r="F25">
        <f>+F24+F23+F22</f>
        <v>300</v>
      </c>
      <c r="G25" s="531"/>
      <c r="H25" s="532"/>
      <c r="I25" s="342"/>
      <c r="J25" s="342"/>
      <c r="K25" s="342"/>
      <c r="L25" s="342"/>
      <c r="M25" s="342"/>
      <c r="N25" s="342"/>
      <c r="O25" s="342"/>
      <c r="P25" s="342"/>
      <c r="Q25" s="342"/>
      <c r="R25" s="342"/>
      <c r="S25" s="342"/>
      <c r="T25" s="342"/>
      <c r="U25" s="342"/>
      <c r="V25" s="342"/>
      <c r="W25" s="342"/>
      <c r="X25" s="342"/>
      <c r="Y25" s="342"/>
      <c r="Z25" s="342"/>
      <c r="AA25" s="342"/>
      <c r="AB25" s="342"/>
      <c r="AC25" s="342"/>
      <c r="AD25" s="342"/>
      <c r="AE25" s="342"/>
      <c r="AF25" s="342"/>
    </row>
    <row r="26" spans="3:32" x14ac:dyDescent="0.25">
      <c r="I26" s="342"/>
      <c r="J26" s="342"/>
      <c r="K26" s="342"/>
      <c r="L26" s="342"/>
      <c r="M26" s="342"/>
      <c r="N26" s="342"/>
      <c r="O26" s="342"/>
      <c r="P26" s="342"/>
      <c r="Q26" s="342"/>
      <c r="R26" s="342"/>
      <c r="S26" s="342"/>
      <c r="T26" s="342"/>
      <c r="U26" s="342"/>
      <c r="V26" s="342"/>
      <c r="W26" s="342"/>
      <c r="X26" s="342"/>
      <c r="Y26" s="342"/>
      <c r="Z26" s="342"/>
      <c r="AA26" s="342"/>
      <c r="AB26" s="342"/>
      <c r="AC26" s="342"/>
      <c r="AD26" s="342"/>
      <c r="AE26" s="342"/>
      <c r="AF26" s="342"/>
    </row>
    <row r="27" spans="3:32" x14ac:dyDescent="0.25">
      <c r="G27" s="83"/>
      <c r="I27" s="342"/>
      <c r="J27" s="342"/>
      <c r="K27" s="342"/>
      <c r="L27" s="342"/>
      <c r="M27" s="342"/>
      <c r="N27" s="342"/>
      <c r="O27" s="342"/>
      <c r="P27" s="342"/>
      <c r="Q27" s="342"/>
      <c r="R27" s="342"/>
      <c r="S27" s="342"/>
      <c r="T27" s="342"/>
      <c r="U27" s="342"/>
      <c r="V27" s="342"/>
      <c r="W27" s="342"/>
      <c r="X27" s="342"/>
      <c r="Y27" s="342"/>
      <c r="Z27" s="342"/>
      <c r="AA27" s="342"/>
      <c r="AB27" s="342"/>
      <c r="AC27" s="342"/>
      <c r="AD27" s="342"/>
      <c r="AE27" s="342"/>
      <c r="AF27" s="342"/>
    </row>
    <row r="28" spans="3:32" x14ac:dyDescent="0.25">
      <c r="G28" s="83"/>
      <c r="I28" s="342"/>
      <c r="J28" s="342"/>
      <c r="K28" s="342"/>
      <c r="L28" s="342"/>
      <c r="M28" s="342"/>
      <c r="N28" s="342"/>
      <c r="O28" s="342"/>
      <c r="P28" s="342"/>
      <c r="Q28" s="342"/>
      <c r="R28" s="342"/>
      <c r="S28" s="342"/>
      <c r="T28" s="342"/>
      <c r="U28" s="342"/>
      <c r="V28" s="342"/>
      <c r="W28" s="342"/>
      <c r="X28" s="342"/>
      <c r="Y28" s="342"/>
      <c r="Z28" s="342"/>
      <c r="AA28" s="342"/>
      <c r="AB28" s="342"/>
      <c r="AC28" s="342"/>
      <c r="AD28" s="342"/>
      <c r="AE28" s="342"/>
      <c r="AF28" s="342"/>
    </row>
    <row r="29" spans="3:32" x14ac:dyDescent="0.25">
      <c r="I29" s="342"/>
      <c r="J29" s="342"/>
      <c r="K29" s="342"/>
      <c r="L29" s="342"/>
      <c r="M29" s="342"/>
      <c r="N29" s="342"/>
      <c r="O29" s="342"/>
      <c r="P29" s="342"/>
      <c r="Q29" s="342"/>
      <c r="R29" s="342"/>
      <c r="S29" s="342"/>
      <c r="T29" s="342"/>
      <c r="U29" s="342"/>
      <c r="V29" s="342"/>
      <c r="W29" s="342"/>
      <c r="X29" s="342"/>
      <c r="Y29" s="342"/>
      <c r="Z29" s="342"/>
      <c r="AA29" s="342"/>
      <c r="AB29" s="342"/>
      <c r="AC29" s="342"/>
      <c r="AD29" s="342"/>
      <c r="AE29" s="342"/>
      <c r="AF29" s="342"/>
    </row>
    <row r="30" spans="3:32" x14ac:dyDescent="0.25">
      <c r="I30" s="342"/>
      <c r="J30" s="342"/>
      <c r="K30" s="342"/>
      <c r="L30" s="342"/>
      <c r="M30" s="342"/>
      <c r="N30" s="342"/>
      <c r="O30" s="342"/>
      <c r="P30" s="342"/>
      <c r="Q30" s="342"/>
      <c r="R30" s="342"/>
      <c r="S30" s="342"/>
      <c r="T30" s="342"/>
      <c r="U30" s="342"/>
      <c r="V30" s="342"/>
      <c r="W30" s="342"/>
      <c r="X30" s="342"/>
      <c r="Y30" s="342"/>
      <c r="Z30" s="342"/>
      <c r="AA30" s="342"/>
      <c r="AB30" s="342"/>
      <c r="AC30" s="342"/>
      <c r="AD30" s="342"/>
      <c r="AE30" s="342"/>
      <c r="AF30" s="342"/>
    </row>
    <row r="31" spans="3:32" x14ac:dyDescent="0.25">
      <c r="I31" s="342"/>
      <c r="J31" s="342"/>
      <c r="K31" s="342"/>
      <c r="L31" s="342"/>
      <c r="M31" s="342"/>
      <c r="N31" s="342"/>
      <c r="O31" s="342"/>
      <c r="P31" s="342"/>
      <c r="Q31" s="342"/>
      <c r="R31" s="342"/>
      <c r="S31" s="342"/>
      <c r="T31" s="342"/>
      <c r="U31" s="342"/>
      <c r="V31" s="342"/>
      <c r="W31" s="342"/>
      <c r="X31" s="342"/>
      <c r="Y31" s="342"/>
      <c r="Z31" s="342"/>
      <c r="AA31" s="342"/>
      <c r="AB31" s="342"/>
      <c r="AC31" s="342"/>
      <c r="AD31" s="342"/>
      <c r="AE31" s="342"/>
      <c r="AF31" s="342"/>
    </row>
    <row r="32" spans="3:32" x14ac:dyDescent="0.25">
      <c r="I32" s="342"/>
      <c r="J32" s="342"/>
      <c r="K32" s="342"/>
      <c r="L32" s="342"/>
      <c r="M32" s="342"/>
      <c r="N32" s="342"/>
      <c r="O32" s="342"/>
      <c r="P32" s="342"/>
      <c r="Q32" s="342"/>
      <c r="R32" s="342"/>
      <c r="S32" s="342"/>
      <c r="T32" s="342"/>
      <c r="U32" s="342"/>
      <c r="V32" s="342"/>
      <c r="W32" s="342"/>
      <c r="X32" s="342"/>
      <c r="Y32" s="342"/>
      <c r="Z32" s="342"/>
      <c r="AA32" s="342"/>
      <c r="AB32" s="342"/>
      <c r="AC32" s="342"/>
      <c r="AD32" s="342"/>
      <c r="AE32" s="342"/>
      <c r="AF32" s="342"/>
    </row>
    <row r="33" spans="9:32" x14ac:dyDescent="0.25">
      <c r="I33" s="342"/>
      <c r="J33" s="342"/>
      <c r="K33" s="342"/>
      <c r="L33" s="342"/>
      <c r="M33" s="342"/>
      <c r="N33" s="342"/>
      <c r="O33" s="342"/>
      <c r="P33" s="342"/>
      <c r="Q33" s="342"/>
      <c r="R33" s="342"/>
      <c r="S33" s="342"/>
      <c r="T33" s="342"/>
      <c r="U33" s="342"/>
      <c r="V33" s="342"/>
      <c r="W33" s="342"/>
      <c r="X33" s="342"/>
      <c r="Y33" s="342"/>
      <c r="Z33" s="342"/>
      <c r="AA33" s="342"/>
      <c r="AB33" s="342"/>
      <c r="AC33" s="342"/>
      <c r="AD33" s="342"/>
      <c r="AE33" s="342"/>
      <c r="AF33" s="342"/>
    </row>
    <row r="34" spans="9:32" x14ac:dyDescent="0.25">
      <c r="I34" s="342"/>
      <c r="J34" s="342"/>
      <c r="K34" s="342"/>
      <c r="L34" s="342"/>
      <c r="M34" s="342"/>
      <c r="N34" s="342"/>
      <c r="O34" s="342"/>
      <c r="P34" s="342"/>
      <c r="Q34" s="342"/>
      <c r="R34" s="342"/>
      <c r="S34" s="342"/>
      <c r="T34" s="342"/>
      <c r="U34" s="342"/>
      <c r="V34" s="342"/>
      <c r="W34" s="342"/>
      <c r="X34" s="342"/>
      <c r="Y34" s="342"/>
      <c r="Z34" s="342"/>
      <c r="AA34" s="342"/>
      <c r="AB34" s="342"/>
      <c r="AC34" s="342"/>
      <c r="AD34" s="342"/>
      <c r="AE34" s="342"/>
      <c r="AF34" s="342"/>
    </row>
    <row r="35" spans="9:32" x14ac:dyDescent="0.25">
      <c r="I35" s="342"/>
      <c r="J35" s="342"/>
      <c r="K35" s="342"/>
      <c r="L35" s="342"/>
      <c r="M35" s="342"/>
      <c r="N35" s="342"/>
      <c r="O35" s="342"/>
      <c r="P35" s="342"/>
      <c r="Q35" s="342"/>
      <c r="R35" s="342"/>
      <c r="S35" s="342"/>
      <c r="T35" s="342"/>
      <c r="U35" s="342"/>
      <c r="V35" s="342"/>
      <c r="W35" s="342"/>
      <c r="X35" s="342"/>
      <c r="Y35" s="342"/>
      <c r="Z35" s="342"/>
      <c r="AA35" s="342"/>
      <c r="AB35" s="342"/>
      <c r="AC35" s="342"/>
      <c r="AD35" s="342"/>
      <c r="AE35" s="342"/>
      <c r="AF35" s="342"/>
    </row>
    <row r="36" spans="9:32" x14ac:dyDescent="0.25">
      <c r="I36" s="342"/>
      <c r="J36" s="342"/>
      <c r="K36" s="342"/>
      <c r="L36" s="342"/>
      <c r="M36" s="342"/>
      <c r="N36" s="342"/>
      <c r="O36" s="342"/>
      <c r="P36" s="342"/>
      <c r="Q36" s="342"/>
      <c r="R36" s="342"/>
      <c r="S36" s="342"/>
      <c r="T36" s="342"/>
      <c r="U36" s="342"/>
      <c r="V36" s="342"/>
      <c r="W36" s="342"/>
      <c r="X36" s="342"/>
      <c r="Y36" s="342"/>
      <c r="Z36" s="342"/>
      <c r="AA36" s="342"/>
      <c r="AB36" s="342"/>
      <c r="AC36" s="342"/>
      <c r="AD36" s="342"/>
      <c r="AE36" s="342"/>
      <c r="AF36" s="342"/>
    </row>
    <row r="37" spans="9:32" x14ac:dyDescent="0.25">
      <c r="I37" s="342"/>
      <c r="J37" s="342"/>
      <c r="K37" s="342"/>
      <c r="L37" s="342"/>
      <c r="M37" s="342"/>
      <c r="N37" s="342"/>
      <c r="O37" s="342"/>
      <c r="P37" s="342"/>
      <c r="Q37" s="342"/>
      <c r="R37" s="342"/>
      <c r="S37" s="342"/>
      <c r="T37" s="342"/>
      <c r="U37" s="342"/>
      <c r="V37" s="342"/>
      <c r="W37" s="342"/>
      <c r="X37" s="342"/>
      <c r="Y37" s="342"/>
      <c r="Z37" s="342"/>
      <c r="AA37" s="342"/>
      <c r="AB37" s="342"/>
      <c r="AC37" s="342"/>
      <c r="AD37" s="342"/>
      <c r="AE37" s="342"/>
      <c r="AF37" s="342"/>
    </row>
    <row r="38" spans="9:32" x14ac:dyDescent="0.25">
      <c r="I38" s="342"/>
      <c r="J38" s="342"/>
      <c r="K38" s="342"/>
      <c r="L38" s="342"/>
      <c r="M38" s="342"/>
      <c r="N38" s="342"/>
      <c r="O38" s="342"/>
      <c r="P38" s="342"/>
      <c r="Q38" s="342"/>
      <c r="R38" s="342"/>
      <c r="S38" s="342"/>
      <c r="T38" s="342"/>
      <c r="U38" s="342"/>
      <c r="V38" s="342"/>
      <c r="W38" s="342"/>
      <c r="X38" s="342"/>
      <c r="Y38" s="342"/>
      <c r="Z38" s="342"/>
      <c r="AA38" s="342"/>
      <c r="AB38" s="342"/>
      <c r="AC38" s="342"/>
      <c r="AD38" s="342"/>
      <c r="AE38" s="342"/>
      <c r="AF38" s="342"/>
    </row>
    <row r="39" spans="9:32" x14ac:dyDescent="0.25">
      <c r="I39" s="342"/>
      <c r="J39" s="342"/>
      <c r="K39" s="342"/>
      <c r="L39" s="342"/>
      <c r="M39" s="342"/>
      <c r="N39" s="342"/>
      <c r="O39" s="342"/>
      <c r="P39" s="342"/>
      <c r="Q39" s="342"/>
      <c r="R39" s="342"/>
      <c r="S39" s="342"/>
      <c r="T39" s="342"/>
      <c r="U39" s="342"/>
      <c r="V39" s="342"/>
      <c r="W39" s="342"/>
      <c r="X39" s="342"/>
      <c r="Y39" s="342"/>
      <c r="Z39" s="342"/>
      <c r="AA39" s="342"/>
      <c r="AB39" s="342"/>
      <c r="AC39" s="342"/>
      <c r="AD39" s="342"/>
      <c r="AE39" s="342"/>
      <c r="AF39" s="342"/>
    </row>
    <row r="40" spans="9:32" x14ac:dyDescent="0.25">
      <c r="I40" s="342"/>
      <c r="J40" s="342"/>
      <c r="K40" s="342"/>
      <c r="L40" s="342"/>
      <c r="M40" s="342"/>
      <c r="N40" s="342"/>
      <c r="O40" s="342"/>
      <c r="P40" s="342"/>
      <c r="Q40" s="342"/>
      <c r="R40" s="342"/>
      <c r="S40" s="342"/>
      <c r="T40" s="342"/>
      <c r="U40" s="342"/>
      <c r="V40" s="342"/>
      <c r="W40" s="342"/>
      <c r="X40" s="342"/>
      <c r="Y40" s="342"/>
      <c r="Z40" s="342"/>
      <c r="AA40" s="342"/>
      <c r="AB40" s="342"/>
      <c r="AC40" s="342"/>
      <c r="AD40" s="342"/>
      <c r="AE40" s="342"/>
      <c r="AF40" s="342"/>
    </row>
    <row r="41" spans="9:32" x14ac:dyDescent="0.25">
      <c r="I41" s="342"/>
      <c r="J41" s="342"/>
      <c r="K41" s="342"/>
      <c r="L41" s="342"/>
      <c r="M41" s="342"/>
      <c r="N41" s="342"/>
      <c r="O41" s="342"/>
      <c r="P41" s="342"/>
      <c r="Q41" s="342"/>
      <c r="R41" s="342"/>
      <c r="S41" s="342"/>
      <c r="T41" s="342"/>
      <c r="U41" s="342"/>
      <c r="V41" s="342"/>
      <c r="W41" s="342"/>
      <c r="X41" s="342"/>
      <c r="Y41" s="342"/>
      <c r="Z41" s="342"/>
      <c r="AA41" s="342"/>
      <c r="AB41" s="342"/>
      <c r="AC41" s="342"/>
      <c r="AD41" s="342"/>
      <c r="AE41" s="342"/>
      <c r="AF41" s="342"/>
    </row>
    <row r="42" spans="9:32" x14ac:dyDescent="0.25">
      <c r="I42" s="342"/>
      <c r="J42" s="342"/>
      <c r="K42" s="342"/>
      <c r="L42" s="342"/>
      <c r="M42" s="342"/>
      <c r="N42" s="342"/>
      <c r="O42" s="342"/>
      <c r="P42" s="342"/>
      <c r="Q42" s="342"/>
      <c r="R42" s="342"/>
      <c r="S42" s="342"/>
      <c r="T42" s="342"/>
      <c r="U42" s="342"/>
      <c r="V42" s="342"/>
      <c r="W42" s="342"/>
      <c r="X42" s="342"/>
      <c r="Y42" s="342"/>
      <c r="Z42" s="342"/>
      <c r="AA42" s="342"/>
      <c r="AB42" s="342"/>
      <c r="AC42" s="342"/>
      <c r="AD42" s="342"/>
      <c r="AE42" s="342"/>
      <c r="AF42" s="342"/>
    </row>
    <row r="43" spans="9:32" x14ac:dyDescent="0.25">
      <c r="I43" s="342"/>
      <c r="J43" s="342"/>
      <c r="K43" s="342"/>
      <c r="L43" s="342"/>
      <c r="M43" s="342"/>
      <c r="N43" s="342"/>
      <c r="O43" s="342"/>
      <c r="P43" s="342"/>
      <c r="Q43" s="342"/>
      <c r="R43" s="342"/>
      <c r="S43" s="342"/>
      <c r="T43" s="342"/>
      <c r="U43" s="342"/>
      <c r="V43" s="342"/>
      <c r="W43" s="342"/>
      <c r="X43" s="342"/>
      <c r="Y43" s="342"/>
      <c r="Z43" s="342"/>
      <c r="AA43" s="342"/>
      <c r="AB43" s="342"/>
      <c r="AC43" s="342"/>
      <c r="AD43" s="342"/>
      <c r="AE43" s="342"/>
      <c r="AF43" s="342"/>
    </row>
    <row r="44" spans="9:32" x14ac:dyDescent="0.25">
      <c r="I44" s="342"/>
      <c r="J44" s="342"/>
      <c r="K44" s="342"/>
      <c r="L44" s="342"/>
      <c r="M44" s="342"/>
      <c r="N44" s="342"/>
      <c r="O44" s="342"/>
      <c r="P44" s="342"/>
      <c r="Q44" s="342"/>
      <c r="R44" s="342"/>
      <c r="S44" s="342"/>
      <c r="T44" s="342"/>
      <c r="U44" s="342"/>
      <c r="V44" s="342"/>
      <c r="W44" s="342"/>
      <c r="X44" s="342"/>
      <c r="Y44" s="342"/>
      <c r="Z44" s="342"/>
      <c r="AA44" s="342"/>
      <c r="AB44" s="342"/>
      <c r="AC44" s="342"/>
      <c r="AD44" s="342"/>
      <c r="AE44" s="342"/>
      <c r="AF44" s="342"/>
    </row>
    <row r="45" spans="9:32" x14ac:dyDescent="0.25">
      <c r="I45" s="342"/>
      <c r="J45" s="342"/>
      <c r="K45" s="342"/>
      <c r="L45" s="342"/>
      <c r="M45" s="342"/>
      <c r="N45" s="342"/>
      <c r="O45" s="342"/>
      <c r="P45" s="342"/>
      <c r="Q45" s="342"/>
      <c r="R45" s="342"/>
      <c r="S45" s="342"/>
      <c r="T45" s="342"/>
      <c r="U45" s="342"/>
      <c r="V45" s="342"/>
      <c r="W45" s="342"/>
      <c r="X45" s="342"/>
      <c r="Y45" s="342"/>
      <c r="Z45" s="342"/>
      <c r="AA45" s="342"/>
      <c r="AB45" s="342"/>
      <c r="AC45" s="342"/>
      <c r="AD45" s="342"/>
      <c r="AE45" s="342"/>
      <c r="AF45" s="342"/>
    </row>
    <row r="46" spans="9:32" x14ac:dyDescent="0.25">
      <c r="I46" s="342"/>
      <c r="J46" s="342"/>
      <c r="K46" s="342"/>
      <c r="L46" s="342"/>
      <c r="M46" s="342"/>
      <c r="N46" s="342"/>
      <c r="O46" s="342"/>
      <c r="P46" s="342"/>
      <c r="Q46" s="342"/>
      <c r="R46" s="342"/>
      <c r="S46" s="342"/>
      <c r="T46" s="342"/>
      <c r="U46" s="342"/>
      <c r="V46" s="342"/>
      <c r="W46" s="342"/>
      <c r="X46" s="342"/>
      <c r="Y46" s="342"/>
      <c r="Z46" s="342"/>
      <c r="AA46" s="342"/>
      <c r="AB46" s="342"/>
      <c r="AC46" s="342"/>
      <c r="AD46" s="342"/>
      <c r="AE46" s="342"/>
      <c r="AF46" s="342"/>
    </row>
    <row r="47" spans="9:32" x14ac:dyDescent="0.25">
      <c r="I47" s="342"/>
      <c r="J47" s="342"/>
      <c r="K47" s="342"/>
      <c r="L47" s="342"/>
      <c r="M47" s="342"/>
      <c r="N47" s="342"/>
      <c r="O47" s="342"/>
      <c r="P47" s="342"/>
      <c r="Q47" s="342"/>
      <c r="R47" s="342"/>
      <c r="S47" s="342"/>
      <c r="T47" s="342"/>
      <c r="U47" s="342"/>
      <c r="V47" s="342"/>
      <c r="W47" s="342"/>
      <c r="X47" s="342"/>
      <c r="Y47" s="342"/>
      <c r="Z47" s="342"/>
      <c r="AA47" s="342"/>
      <c r="AB47" s="342"/>
      <c r="AC47" s="342"/>
      <c r="AD47" s="342"/>
      <c r="AE47" s="342"/>
      <c r="AF47" s="342"/>
    </row>
    <row r="48" spans="9:32" x14ac:dyDescent="0.25">
      <c r="I48" s="342"/>
      <c r="J48" s="342"/>
      <c r="K48" s="342"/>
      <c r="L48" s="342"/>
      <c r="M48" s="342"/>
      <c r="N48" s="342"/>
      <c r="O48" s="342"/>
      <c r="P48" s="342"/>
      <c r="Q48" s="342"/>
      <c r="R48" s="342"/>
      <c r="S48" s="342"/>
      <c r="T48" s="342"/>
      <c r="U48" s="342"/>
      <c r="V48" s="342"/>
      <c r="W48" s="342"/>
      <c r="X48" s="342"/>
      <c r="Y48" s="342"/>
      <c r="Z48" s="342"/>
      <c r="AA48" s="342"/>
      <c r="AB48" s="342"/>
      <c r="AC48" s="342"/>
      <c r="AD48" s="342"/>
      <c r="AE48" s="342"/>
      <c r="AF48" s="342"/>
    </row>
    <row r="49" spans="9:32" x14ac:dyDescent="0.25">
      <c r="I49" s="342"/>
      <c r="J49" s="342"/>
      <c r="K49" s="342"/>
      <c r="L49" s="342"/>
      <c r="M49" s="342"/>
      <c r="N49" s="342"/>
      <c r="O49" s="342"/>
      <c r="P49" s="342"/>
      <c r="Q49" s="342"/>
      <c r="R49" s="342"/>
      <c r="S49" s="342"/>
      <c r="T49" s="342"/>
      <c r="U49" s="342"/>
      <c r="V49" s="342"/>
      <c r="W49" s="342"/>
      <c r="X49" s="342"/>
      <c r="Y49" s="342"/>
      <c r="Z49" s="342"/>
      <c r="AA49" s="342"/>
      <c r="AB49" s="342"/>
      <c r="AC49" s="342"/>
      <c r="AD49" s="342"/>
      <c r="AE49" s="342"/>
      <c r="AF49" s="342"/>
    </row>
    <row r="50" spans="9:32" x14ac:dyDescent="0.25">
      <c r="I50" s="342"/>
      <c r="J50" s="342"/>
      <c r="K50" s="342"/>
      <c r="L50" s="342"/>
      <c r="M50" s="342"/>
      <c r="N50" s="342"/>
      <c r="O50" s="342"/>
      <c r="P50" s="342"/>
      <c r="Q50" s="342"/>
      <c r="R50" s="342"/>
      <c r="S50" s="342"/>
      <c r="T50" s="342"/>
      <c r="U50" s="342"/>
      <c r="V50" s="342"/>
      <c r="W50" s="342"/>
      <c r="X50" s="342"/>
      <c r="Y50" s="342"/>
      <c r="Z50" s="342"/>
      <c r="AA50" s="342"/>
      <c r="AB50" s="342"/>
      <c r="AC50" s="342"/>
      <c r="AD50" s="342"/>
      <c r="AE50" s="342"/>
      <c r="AF50" s="342"/>
    </row>
    <row r="51" spans="9:32" x14ac:dyDescent="0.25">
      <c r="I51" s="342"/>
      <c r="J51" s="342"/>
      <c r="K51" s="342"/>
      <c r="L51" s="342"/>
      <c r="M51" s="342"/>
      <c r="N51" s="342"/>
      <c r="O51" s="342"/>
      <c r="P51" s="342"/>
      <c r="Q51" s="342"/>
      <c r="R51" s="342"/>
      <c r="S51" s="342"/>
      <c r="T51" s="342"/>
      <c r="U51" s="342"/>
      <c r="V51" s="342"/>
      <c r="W51" s="342"/>
      <c r="X51" s="342"/>
      <c r="Y51" s="342"/>
      <c r="Z51" s="342"/>
      <c r="AA51" s="342"/>
      <c r="AB51" s="342"/>
      <c r="AC51" s="342"/>
      <c r="AD51" s="342"/>
      <c r="AE51" s="342"/>
      <c r="AF51" s="342"/>
    </row>
    <row r="52" spans="9:32" x14ac:dyDescent="0.25">
      <c r="I52" s="342"/>
      <c r="J52" s="342"/>
      <c r="K52" s="342"/>
      <c r="L52" s="342"/>
      <c r="M52" s="342"/>
      <c r="N52" s="342"/>
      <c r="O52" s="342"/>
      <c r="P52" s="342"/>
      <c r="Q52" s="342"/>
      <c r="R52" s="342"/>
      <c r="S52" s="342"/>
      <c r="T52" s="342"/>
      <c r="U52" s="342"/>
      <c r="V52" s="342"/>
      <c r="W52" s="342"/>
      <c r="X52" s="342"/>
      <c r="Y52" s="342"/>
      <c r="Z52" s="342"/>
      <c r="AA52" s="342"/>
      <c r="AB52" s="342"/>
      <c r="AC52" s="342"/>
      <c r="AD52" s="342"/>
      <c r="AE52" s="342"/>
      <c r="AF52" s="342"/>
    </row>
    <row r="53" spans="9:32" x14ac:dyDescent="0.25">
      <c r="I53" s="342"/>
      <c r="J53" s="342"/>
      <c r="K53" s="342"/>
      <c r="L53" s="342"/>
      <c r="M53" s="342"/>
      <c r="N53" s="342"/>
      <c r="O53" s="342"/>
      <c r="P53" s="342"/>
      <c r="Q53" s="342"/>
      <c r="R53" s="342"/>
      <c r="S53" s="342"/>
      <c r="T53" s="342"/>
      <c r="U53" s="342"/>
      <c r="V53" s="342"/>
      <c r="W53" s="342"/>
      <c r="X53" s="342"/>
      <c r="Y53" s="342"/>
      <c r="Z53" s="342"/>
      <c r="AA53" s="342"/>
      <c r="AB53" s="342"/>
      <c r="AC53" s="342"/>
      <c r="AD53" s="342"/>
      <c r="AE53" s="342"/>
      <c r="AF53" s="342"/>
    </row>
    <row r="54" spans="9:32" x14ac:dyDescent="0.25">
      <c r="I54" s="342"/>
      <c r="J54" s="342"/>
      <c r="K54" s="342"/>
      <c r="L54" s="342"/>
      <c r="M54" s="342"/>
      <c r="N54" s="342"/>
      <c r="O54" s="342"/>
      <c r="P54" s="342"/>
      <c r="Q54" s="342"/>
      <c r="R54" s="342"/>
      <c r="S54" s="342"/>
      <c r="T54" s="342"/>
      <c r="U54" s="342"/>
      <c r="V54" s="342"/>
      <c r="W54" s="342"/>
      <c r="X54" s="342"/>
      <c r="Y54" s="342"/>
      <c r="Z54" s="342"/>
      <c r="AA54" s="342"/>
      <c r="AB54" s="342"/>
      <c r="AC54" s="342"/>
      <c r="AD54" s="342"/>
      <c r="AE54" s="342"/>
      <c r="AF54" s="342"/>
    </row>
    <row r="55" spans="9:32" x14ac:dyDescent="0.25">
      <c r="I55" s="342"/>
      <c r="J55" s="342"/>
      <c r="K55" s="342"/>
      <c r="L55" s="342"/>
      <c r="M55" s="342"/>
      <c r="N55" s="342"/>
      <c r="O55" s="342"/>
      <c r="P55" s="342"/>
      <c r="Q55" s="342"/>
      <c r="R55" s="342"/>
      <c r="S55" s="342"/>
      <c r="T55" s="342"/>
      <c r="U55" s="342"/>
      <c r="V55" s="342"/>
      <c r="W55" s="342"/>
      <c r="X55" s="342"/>
      <c r="Y55" s="342"/>
      <c r="Z55" s="342"/>
      <c r="AA55" s="342"/>
      <c r="AB55" s="342"/>
      <c r="AC55" s="342"/>
      <c r="AD55" s="342"/>
      <c r="AE55" s="342"/>
      <c r="AF55" s="342"/>
    </row>
    <row r="56" spans="9:32" x14ac:dyDescent="0.25"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2"/>
      <c r="AE56" s="342"/>
      <c r="AF56" s="342"/>
    </row>
    <row r="57" spans="9:32" x14ac:dyDescent="0.25">
      <c r="I57" s="342"/>
      <c r="J57" s="342"/>
      <c r="K57" s="342"/>
      <c r="L57" s="342"/>
      <c r="M57" s="342"/>
      <c r="N57" s="342"/>
      <c r="O57" s="342"/>
      <c r="P57" s="342"/>
      <c r="Q57" s="342"/>
      <c r="R57" s="342"/>
      <c r="S57" s="342"/>
      <c r="T57" s="342"/>
      <c r="U57" s="342"/>
      <c r="V57" s="342"/>
      <c r="W57" s="342"/>
      <c r="X57" s="342"/>
      <c r="Y57" s="342"/>
      <c r="Z57" s="342"/>
      <c r="AA57" s="342"/>
      <c r="AB57" s="342"/>
      <c r="AC57" s="342"/>
      <c r="AD57" s="342"/>
      <c r="AE57" s="342"/>
      <c r="AF57" s="342"/>
    </row>
    <row r="58" spans="9:32" x14ac:dyDescent="0.25">
      <c r="I58" s="342"/>
      <c r="J58" s="342"/>
      <c r="K58" s="342"/>
      <c r="L58" s="342"/>
      <c r="M58" s="342"/>
      <c r="N58" s="342"/>
      <c r="O58" s="342"/>
      <c r="P58" s="342"/>
      <c r="Q58" s="342"/>
      <c r="R58" s="342"/>
      <c r="S58" s="342"/>
      <c r="T58" s="342"/>
      <c r="U58" s="342"/>
      <c r="V58" s="342"/>
      <c r="W58" s="342"/>
      <c r="X58" s="342"/>
      <c r="Y58" s="342"/>
      <c r="Z58" s="342"/>
      <c r="AA58" s="342"/>
      <c r="AB58" s="342"/>
      <c r="AC58" s="342"/>
      <c r="AD58" s="342"/>
      <c r="AE58" s="342"/>
      <c r="AF58" s="342"/>
    </row>
    <row r="59" spans="9:32" x14ac:dyDescent="0.25">
      <c r="I59" s="342"/>
      <c r="J59" s="342"/>
      <c r="K59" s="342"/>
      <c r="L59" s="342"/>
      <c r="M59" s="342"/>
      <c r="N59" s="342"/>
      <c r="O59" s="342"/>
      <c r="P59" s="342"/>
      <c r="Q59" s="342"/>
      <c r="R59" s="342"/>
      <c r="S59" s="342"/>
      <c r="T59" s="342"/>
      <c r="U59" s="342"/>
      <c r="V59" s="342"/>
      <c r="W59" s="342"/>
      <c r="X59" s="342"/>
      <c r="Y59" s="342"/>
      <c r="Z59" s="342"/>
      <c r="AA59" s="342"/>
      <c r="AB59" s="342"/>
      <c r="AC59" s="342"/>
      <c r="AD59" s="342"/>
      <c r="AE59" s="342"/>
      <c r="AF59" s="342"/>
    </row>
    <row r="60" spans="9:32" x14ac:dyDescent="0.25">
      <c r="I60" s="342"/>
      <c r="J60" s="342"/>
      <c r="K60" s="342"/>
      <c r="L60" s="342"/>
      <c r="M60" s="342"/>
      <c r="N60" s="342"/>
      <c r="O60" s="342"/>
      <c r="P60" s="342"/>
      <c r="Q60" s="342"/>
      <c r="R60" s="342"/>
      <c r="S60" s="342"/>
      <c r="T60" s="342"/>
      <c r="U60" s="342"/>
      <c r="V60" s="342"/>
      <c r="W60" s="342"/>
      <c r="X60" s="342"/>
      <c r="Y60" s="342"/>
      <c r="Z60" s="342"/>
      <c r="AA60" s="342"/>
      <c r="AB60" s="342"/>
      <c r="AC60" s="342"/>
      <c r="AD60" s="342"/>
      <c r="AE60" s="342"/>
      <c r="AF60" s="342"/>
    </row>
    <row r="61" spans="9:32" x14ac:dyDescent="0.25">
      <c r="I61" s="342"/>
      <c r="J61" s="342"/>
      <c r="K61" s="342"/>
      <c r="L61" s="342"/>
      <c r="M61" s="342"/>
      <c r="N61" s="342"/>
      <c r="O61" s="342"/>
      <c r="P61" s="342"/>
      <c r="Q61" s="342"/>
      <c r="R61" s="342"/>
      <c r="S61" s="342"/>
      <c r="T61" s="342"/>
      <c r="U61" s="342"/>
      <c r="V61" s="342"/>
      <c r="W61" s="342"/>
      <c r="X61" s="342"/>
      <c r="Y61" s="342"/>
      <c r="Z61" s="342"/>
      <c r="AA61" s="342"/>
      <c r="AB61" s="342"/>
      <c r="AC61" s="342"/>
      <c r="AD61" s="342"/>
      <c r="AE61" s="342"/>
      <c r="AF61" s="342"/>
    </row>
    <row r="62" spans="9:32" x14ac:dyDescent="0.25">
      <c r="I62" s="342"/>
      <c r="J62" s="342"/>
      <c r="K62" s="342"/>
      <c r="L62" s="342"/>
      <c r="M62" s="342"/>
      <c r="N62" s="342"/>
      <c r="O62" s="342"/>
      <c r="P62" s="342"/>
      <c r="Q62" s="342"/>
      <c r="R62" s="342"/>
      <c r="S62" s="342"/>
      <c r="T62" s="342"/>
      <c r="U62" s="342"/>
      <c r="V62" s="342"/>
      <c r="W62" s="342"/>
      <c r="X62" s="342"/>
      <c r="Y62" s="342"/>
      <c r="Z62" s="342"/>
      <c r="AA62" s="342"/>
      <c r="AB62" s="342"/>
      <c r="AC62" s="342"/>
      <c r="AD62" s="342"/>
      <c r="AE62" s="342"/>
      <c r="AF62" s="342"/>
    </row>
    <row r="63" spans="9:32" x14ac:dyDescent="0.25">
      <c r="I63" s="342"/>
      <c r="J63" s="342"/>
      <c r="K63" s="342"/>
      <c r="L63" s="342"/>
      <c r="M63" s="342"/>
      <c r="N63" s="342"/>
      <c r="O63" s="342"/>
      <c r="P63" s="342"/>
      <c r="Q63" s="342"/>
      <c r="R63" s="342"/>
      <c r="S63" s="342"/>
      <c r="T63" s="342"/>
      <c r="U63" s="342"/>
      <c r="V63" s="342"/>
      <c r="W63" s="342"/>
      <c r="X63" s="342"/>
      <c r="Y63" s="342"/>
      <c r="Z63" s="342"/>
      <c r="AA63" s="342"/>
      <c r="AB63" s="342"/>
      <c r="AC63" s="342"/>
      <c r="AD63" s="342"/>
      <c r="AE63" s="342"/>
      <c r="AF63" s="342"/>
    </row>
    <row r="64" spans="9:32" x14ac:dyDescent="0.25">
      <c r="I64" s="342"/>
      <c r="J64" s="342"/>
      <c r="K64" s="342"/>
      <c r="L64" s="342"/>
      <c r="M64" s="342"/>
      <c r="N64" s="342"/>
      <c r="O64" s="342"/>
      <c r="P64" s="342"/>
      <c r="Q64" s="342"/>
      <c r="R64" s="342"/>
      <c r="S64" s="342"/>
      <c r="T64" s="342"/>
      <c r="U64" s="342"/>
      <c r="V64" s="342"/>
      <c r="W64" s="342"/>
      <c r="X64" s="342"/>
      <c r="Y64" s="342"/>
      <c r="Z64" s="342"/>
      <c r="AA64" s="342"/>
      <c r="AB64" s="342"/>
      <c r="AC64" s="342"/>
      <c r="AD64" s="342"/>
      <c r="AE64" s="342"/>
      <c r="AF64" s="342"/>
    </row>
    <row r="65" spans="9:32" x14ac:dyDescent="0.25">
      <c r="I65" s="342"/>
      <c r="J65" s="342"/>
      <c r="K65" s="342"/>
      <c r="L65" s="342"/>
      <c r="M65" s="342"/>
      <c r="N65" s="342"/>
      <c r="O65" s="342"/>
      <c r="P65" s="342"/>
      <c r="Q65" s="342"/>
      <c r="R65" s="342"/>
      <c r="S65" s="342"/>
      <c r="T65" s="342"/>
      <c r="U65" s="342"/>
      <c r="V65" s="342"/>
      <c r="W65" s="342"/>
      <c r="X65" s="342"/>
      <c r="Y65" s="342"/>
      <c r="Z65" s="342"/>
      <c r="AA65" s="342"/>
      <c r="AB65" s="342"/>
      <c r="AC65" s="342"/>
      <c r="AD65" s="342"/>
      <c r="AE65" s="342"/>
      <c r="AF65" s="342"/>
    </row>
    <row r="66" spans="9:32" x14ac:dyDescent="0.25">
      <c r="I66" s="342"/>
      <c r="J66" s="342"/>
      <c r="K66" s="342"/>
      <c r="L66" s="342"/>
      <c r="M66" s="342"/>
      <c r="N66" s="342"/>
      <c r="O66" s="342"/>
      <c r="P66" s="342"/>
      <c r="Q66" s="342"/>
      <c r="R66" s="342"/>
      <c r="S66" s="342"/>
      <c r="T66" s="342"/>
      <c r="U66" s="342"/>
      <c r="V66" s="342"/>
      <c r="W66" s="342"/>
      <c r="X66" s="342"/>
      <c r="Y66" s="342"/>
      <c r="Z66" s="342"/>
      <c r="AA66" s="342"/>
      <c r="AB66" s="342"/>
      <c r="AC66" s="342"/>
      <c r="AD66" s="342"/>
      <c r="AE66" s="342"/>
      <c r="AF66" s="342"/>
    </row>
    <row r="67" spans="9:32" x14ac:dyDescent="0.25">
      <c r="I67" s="342"/>
      <c r="J67" s="342"/>
      <c r="K67" s="342"/>
      <c r="L67" s="342"/>
      <c r="M67" s="342"/>
      <c r="N67" s="342"/>
      <c r="O67" s="342"/>
      <c r="P67" s="342"/>
      <c r="Q67" s="342"/>
      <c r="R67" s="342"/>
      <c r="S67" s="342"/>
      <c r="T67" s="342"/>
      <c r="U67" s="342"/>
      <c r="V67" s="342"/>
      <c r="W67" s="342"/>
      <c r="X67" s="342"/>
      <c r="Y67" s="342"/>
      <c r="Z67" s="342"/>
      <c r="AA67" s="342"/>
      <c r="AB67" s="342"/>
      <c r="AC67" s="342"/>
      <c r="AD67" s="342"/>
      <c r="AE67" s="342"/>
      <c r="AF67" s="342"/>
    </row>
    <row r="68" spans="9:32" x14ac:dyDescent="0.25">
      <c r="I68" s="342"/>
      <c r="J68" s="342"/>
      <c r="K68" s="342"/>
      <c r="L68" s="342"/>
      <c r="M68" s="342"/>
      <c r="N68" s="342"/>
      <c r="O68" s="342"/>
      <c r="P68" s="342"/>
      <c r="Q68" s="342"/>
      <c r="R68" s="342"/>
      <c r="S68" s="342"/>
      <c r="T68" s="342"/>
      <c r="U68" s="342"/>
      <c r="V68" s="342"/>
      <c r="W68" s="342"/>
      <c r="X68" s="342"/>
      <c r="Y68" s="342"/>
      <c r="Z68" s="342"/>
      <c r="AA68" s="342"/>
      <c r="AB68" s="342"/>
      <c r="AC68" s="342"/>
      <c r="AD68" s="342"/>
      <c r="AE68" s="342"/>
      <c r="AF68" s="342"/>
    </row>
    <row r="69" spans="9:32" x14ac:dyDescent="0.25">
      <c r="I69" s="342"/>
      <c r="J69" s="342"/>
      <c r="K69" s="342"/>
      <c r="L69" s="342"/>
      <c r="M69" s="342"/>
      <c r="N69" s="342"/>
      <c r="O69" s="342"/>
      <c r="P69" s="342"/>
      <c r="Q69" s="342"/>
      <c r="R69" s="342"/>
      <c r="S69" s="342"/>
      <c r="T69" s="342"/>
      <c r="U69" s="342"/>
      <c r="V69" s="342"/>
      <c r="W69" s="342"/>
      <c r="X69" s="342"/>
      <c r="Y69" s="342"/>
      <c r="Z69" s="342"/>
      <c r="AA69" s="342"/>
      <c r="AB69" s="342"/>
      <c r="AC69" s="342"/>
      <c r="AD69" s="342"/>
      <c r="AE69" s="342"/>
      <c r="AF69" s="342"/>
    </row>
    <row r="70" spans="9:32" x14ac:dyDescent="0.25">
      <c r="I70" s="342"/>
      <c r="J70" s="342"/>
      <c r="K70" s="342"/>
      <c r="L70" s="342"/>
      <c r="M70" s="342"/>
      <c r="N70" s="342"/>
      <c r="O70" s="342"/>
      <c r="P70" s="342"/>
      <c r="Q70" s="342"/>
      <c r="R70" s="342"/>
      <c r="S70" s="342"/>
      <c r="T70" s="342"/>
      <c r="U70" s="342"/>
      <c r="V70" s="342"/>
      <c r="W70" s="342"/>
      <c r="X70" s="342"/>
      <c r="Y70" s="342"/>
      <c r="Z70" s="342"/>
      <c r="AA70" s="342"/>
      <c r="AB70" s="342"/>
      <c r="AC70" s="342"/>
      <c r="AD70" s="342"/>
      <c r="AE70" s="342"/>
      <c r="AF70" s="342"/>
    </row>
    <row r="71" spans="9:32" x14ac:dyDescent="0.25">
      <c r="I71" s="342"/>
      <c r="J71" s="342"/>
      <c r="K71" s="342"/>
      <c r="L71" s="342"/>
      <c r="M71" s="342"/>
      <c r="N71" s="342"/>
      <c r="O71" s="342"/>
      <c r="P71" s="342"/>
      <c r="Q71" s="342"/>
      <c r="R71" s="342"/>
      <c r="S71" s="342"/>
      <c r="T71" s="342"/>
      <c r="U71" s="342"/>
      <c r="V71" s="342"/>
      <c r="W71" s="342"/>
      <c r="X71" s="342"/>
      <c r="Y71" s="342"/>
      <c r="Z71" s="342"/>
      <c r="AA71" s="342"/>
      <c r="AB71" s="342"/>
      <c r="AC71" s="342"/>
      <c r="AD71" s="342"/>
      <c r="AE71" s="342"/>
      <c r="AF71" s="342"/>
    </row>
    <row r="72" spans="9:32" x14ac:dyDescent="0.25">
      <c r="I72" s="342"/>
      <c r="J72" s="342"/>
      <c r="K72" s="342"/>
      <c r="L72" s="342"/>
      <c r="M72" s="342"/>
      <c r="N72" s="342"/>
      <c r="O72" s="342"/>
      <c r="P72" s="342"/>
      <c r="Q72" s="342"/>
      <c r="R72" s="342"/>
      <c r="S72" s="342"/>
      <c r="T72" s="342"/>
      <c r="U72" s="342"/>
      <c r="V72" s="342"/>
      <c r="W72" s="342"/>
      <c r="X72" s="342"/>
      <c r="Y72" s="342"/>
      <c r="Z72" s="342"/>
      <c r="AA72" s="342"/>
      <c r="AB72" s="342"/>
      <c r="AC72" s="342"/>
      <c r="AD72" s="342"/>
      <c r="AE72" s="342"/>
      <c r="AF72" s="342"/>
    </row>
    <row r="73" spans="9:32" x14ac:dyDescent="0.25">
      <c r="I73" s="342"/>
      <c r="J73" s="342"/>
      <c r="K73" s="342"/>
      <c r="L73" s="342"/>
      <c r="M73" s="342"/>
      <c r="N73" s="342"/>
      <c r="O73" s="342"/>
      <c r="P73" s="342"/>
      <c r="Q73" s="342"/>
      <c r="R73" s="342"/>
      <c r="S73" s="342"/>
      <c r="T73" s="342"/>
      <c r="U73" s="342"/>
      <c r="V73" s="342"/>
      <c r="W73" s="342"/>
      <c r="X73" s="342"/>
      <c r="Y73" s="342"/>
      <c r="Z73" s="342"/>
      <c r="AA73" s="342"/>
      <c r="AB73" s="342"/>
      <c r="AC73" s="342"/>
      <c r="AD73" s="342"/>
      <c r="AE73" s="342"/>
      <c r="AF73" s="342"/>
    </row>
    <row r="74" spans="9:32" x14ac:dyDescent="0.25">
      <c r="I74" s="342"/>
      <c r="J74" s="342"/>
      <c r="K74" s="342"/>
      <c r="L74" s="342"/>
      <c r="M74" s="342"/>
      <c r="N74" s="342"/>
      <c r="O74" s="342"/>
      <c r="P74" s="342"/>
      <c r="Q74" s="342"/>
      <c r="R74" s="342"/>
      <c r="S74" s="342"/>
      <c r="T74" s="342"/>
      <c r="U74" s="342"/>
      <c r="V74" s="342"/>
      <c r="W74" s="342"/>
      <c r="X74" s="342"/>
      <c r="Y74" s="342"/>
      <c r="Z74" s="342"/>
      <c r="AA74" s="342"/>
      <c r="AB74" s="342"/>
      <c r="AC74" s="342"/>
      <c r="AD74" s="342"/>
      <c r="AE74" s="342"/>
      <c r="AF74" s="342"/>
    </row>
    <row r="75" spans="9:32" x14ac:dyDescent="0.25">
      <c r="I75" s="342"/>
      <c r="J75" s="342"/>
      <c r="K75" s="342"/>
      <c r="L75" s="342"/>
      <c r="M75" s="342"/>
      <c r="N75" s="342"/>
      <c r="O75" s="342"/>
      <c r="P75" s="342"/>
      <c r="Q75" s="342"/>
      <c r="R75" s="342"/>
      <c r="S75" s="342"/>
      <c r="T75" s="342"/>
      <c r="U75" s="342"/>
      <c r="V75" s="342"/>
      <c r="W75" s="342"/>
      <c r="X75" s="342"/>
      <c r="Y75" s="342"/>
      <c r="Z75" s="342"/>
      <c r="AA75" s="342"/>
      <c r="AB75" s="342"/>
      <c r="AC75" s="342"/>
      <c r="AD75" s="342"/>
      <c r="AE75" s="342"/>
      <c r="AF75" s="342"/>
    </row>
  </sheetData>
  <mergeCells count="3">
    <mergeCell ref="C9:F9"/>
    <mergeCell ref="I6:AF75"/>
    <mergeCell ref="G2:H25"/>
  </mergeCells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091E9-A222-469B-BFCB-F46FE881BB2E}">
  <dimension ref="A1:G38"/>
  <sheetViews>
    <sheetView showGridLines="0" topLeftCell="A7" zoomScale="80" zoomScaleNormal="80" workbookViewId="0">
      <selection activeCell="I9" sqref="I9"/>
    </sheetView>
  </sheetViews>
  <sheetFormatPr baseColWidth="10" defaultRowHeight="15" x14ac:dyDescent="0.25"/>
  <cols>
    <col min="1" max="1" width="36.42578125" customWidth="1"/>
    <col min="2" max="2" width="77.140625" customWidth="1"/>
    <col min="3" max="3" width="11.7109375" customWidth="1"/>
    <col min="4" max="4" width="17" customWidth="1"/>
    <col min="5" max="5" width="17.42578125" customWidth="1"/>
    <col min="6" max="6" width="25" customWidth="1"/>
  </cols>
  <sheetData>
    <row r="1" spans="1:7" ht="27" customHeight="1" x14ac:dyDescent="0.25">
      <c r="A1" s="533" t="s">
        <v>101</v>
      </c>
      <c r="B1" s="533"/>
      <c r="C1" s="533"/>
      <c r="D1" s="533"/>
      <c r="E1" s="533"/>
      <c r="F1" s="533"/>
    </row>
    <row r="2" spans="1:7" s="103" customFormat="1" ht="49.5" customHeight="1" x14ac:dyDescent="0.25">
      <c r="A2" s="105" t="s">
        <v>102</v>
      </c>
      <c r="B2" s="105" t="s">
        <v>103</v>
      </c>
      <c r="C2" s="105" t="s">
        <v>35</v>
      </c>
      <c r="D2" s="106" t="s">
        <v>104</v>
      </c>
      <c r="E2" s="105" t="s">
        <v>44</v>
      </c>
      <c r="F2" s="105" t="s">
        <v>105</v>
      </c>
    </row>
    <row r="3" spans="1:7" s="103" customFormat="1" ht="76.5" customHeight="1" x14ac:dyDescent="0.25">
      <c r="A3" s="107" t="s">
        <v>106</v>
      </c>
      <c r="B3" s="108" t="s">
        <v>107</v>
      </c>
      <c r="C3" s="109">
        <v>1</v>
      </c>
      <c r="D3" s="110">
        <v>2339000</v>
      </c>
      <c r="E3" s="110">
        <f t="shared" ref="E3:E20" si="0">D3*C3</f>
        <v>2339000</v>
      </c>
      <c r="F3" s="110"/>
    </row>
    <row r="4" spans="1:7" s="103" customFormat="1" ht="159.75" customHeight="1" x14ac:dyDescent="0.25">
      <c r="A4" s="121" t="s">
        <v>108</v>
      </c>
      <c r="B4" s="111" t="s">
        <v>109</v>
      </c>
      <c r="C4" s="112">
        <v>1</v>
      </c>
      <c r="D4" s="113">
        <v>1550000</v>
      </c>
      <c r="E4" s="113">
        <f t="shared" si="0"/>
        <v>1550000</v>
      </c>
      <c r="F4" s="110"/>
    </row>
    <row r="5" spans="1:7" s="103" customFormat="1" ht="156.75" customHeight="1" x14ac:dyDescent="0.25">
      <c r="A5" s="107" t="s">
        <v>110</v>
      </c>
      <c r="B5" s="108" t="s">
        <v>111</v>
      </c>
      <c r="C5" s="109">
        <v>1</v>
      </c>
      <c r="D5" s="110">
        <v>152000</v>
      </c>
      <c r="E5" s="110">
        <f>D5*C5</f>
        <v>152000</v>
      </c>
      <c r="F5" s="110"/>
    </row>
    <row r="6" spans="1:7" s="103" customFormat="1" ht="147.75" customHeight="1" x14ac:dyDescent="0.25">
      <c r="A6" s="107" t="s">
        <v>112</v>
      </c>
      <c r="B6" s="108" t="s">
        <v>113</v>
      </c>
      <c r="C6" s="109">
        <v>1</v>
      </c>
      <c r="D6" s="110">
        <v>642000</v>
      </c>
      <c r="E6" s="110">
        <f>D6*C6</f>
        <v>642000</v>
      </c>
      <c r="F6" s="110"/>
    </row>
    <row r="7" spans="1:7" s="103" customFormat="1" ht="159" customHeight="1" x14ac:dyDescent="0.25">
      <c r="A7" s="107" t="s">
        <v>114</v>
      </c>
      <c r="B7" s="108" t="s">
        <v>115</v>
      </c>
      <c r="C7" s="109">
        <v>2</v>
      </c>
      <c r="D7" s="110">
        <v>833900</v>
      </c>
      <c r="E7" s="110">
        <f>D7*C7</f>
        <v>1667800</v>
      </c>
      <c r="F7" s="110"/>
    </row>
    <row r="8" spans="1:7" s="103" customFormat="1" ht="111" customHeight="1" x14ac:dyDescent="0.25">
      <c r="A8" s="107" t="s">
        <v>116</v>
      </c>
      <c r="B8" s="108" t="s">
        <v>117</v>
      </c>
      <c r="C8" s="109">
        <v>18</v>
      </c>
      <c r="D8" s="110">
        <v>8253</v>
      </c>
      <c r="E8" s="110">
        <f t="shared" si="0"/>
        <v>148554</v>
      </c>
      <c r="F8" s="110"/>
    </row>
    <row r="9" spans="1:7" ht="100.5" customHeight="1" x14ac:dyDescent="0.25">
      <c r="A9" s="107" t="s">
        <v>118</v>
      </c>
      <c r="B9" s="108" t="s">
        <v>119</v>
      </c>
      <c r="C9" s="109">
        <v>18</v>
      </c>
      <c r="D9" s="110">
        <v>20000</v>
      </c>
      <c r="E9" s="110">
        <f t="shared" si="0"/>
        <v>360000</v>
      </c>
      <c r="F9" s="110"/>
    </row>
    <row r="10" spans="1:7" ht="81" customHeight="1" x14ac:dyDescent="0.25">
      <c r="A10" s="114" t="s">
        <v>120</v>
      </c>
      <c r="B10" s="108" t="s">
        <v>121</v>
      </c>
      <c r="C10" s="109">
        <v>3</v>
      </c>
      <c r="D10" s="115">
        <v>1500000</v>
      </c>
      <c r="E10" s="110">
        <f t="shared" si="0"/>
        <v>4500000</v>
      </c>
      <c r="F10" s="110"/>
    </row>
    <row r="11" spans="1:7" ht="66" customHeight="1" x14ac:dyDescent="0.25">
      <c r="A11" s="114" t="s">
        <v>122</v>
      </c>
      <c r="B11" s="108" t="s">
        <v>123</v>
      </c>
      <c r="C11" s="109">
        <v>1</v>
      </c>
      <c r="D11" s="115">
        <v>1327000</v>
      </c>
      <c r="E11" s="110">
        <f t="shared" si="0"/>
        <v>1327000</v>
      </c>
      <c r="F11" s="110"/>
    </row>
    <row r="12" spans="1:7" ht="124.5" customHeight="1" x14ac:dyDescent="0.25">
      <c r="A12" s="114" t="s">
        <v>124</v>
      </c>
      <c r="B12" s="108" t="s">
        <v>125</v>
      </c>
      <c r="C12" s="109">
        <v>2</v>
      </c>
      <c r="D12" s="115">
        <v>510000</v>
      </c>
      <c r="E12" s="110">
        <f t="shared" si="0"/>
        <v>1020000</v>
      </c>
      <c r="F12" s="110"/>
    </row>
    <row r="13" spans="1:7" ht="124.5" customHeight="1" x14ac:dyDescent="0.25">
      <c r="A13" s="114" t="s">
        <v>126</v>
      </c>
      <c r="B13" s="108" t="s">
        <v>127</v>
      </c>
      <c r="C13" s="109">
        <v>3</v>
      </c>
      <c r="D13" s="115">
        <v>250000</v>
      </c>
      <c r="E13" s="110">
        <f t="shared" si="0"/>
        <v>750000</v>
      </c>
      <c r="F13" s="110"/>
      <c r="G13">
        <f>+D13/100</f>
        <v>2500</v>
      </c>
    </row>
    <row r="14" spans="1:7" ht="124.5" customHeight="1" x14ac:dyDescent="0.25">
      <c r="A14" s="114" t="s">
        <v>128</v>
      </c>
      <c r="B14" s="108" t="s">
        <v>129</v>
      </c>
      <c r="C14" s="109">
        <v>1</v>
      </c>
      <c r="D14" s="115">
        <v>107051</v>
      </c>
      <c r="E14" s="110">
        <f t="shared" si="0"/>
        <v>107051</v>
      </c>
      <c r="F14" s="110"/>
    </row>
    <row r="15" spans="1:7" ht="124.5" customHeight="1" x14ac:dyDescent="0.25">
      <c r="A15" s="114" t="s">
        <v>130</v>
      </c>
      <c r="B15" s="108" t="s">
        <v>131</v>
      </c>
      <c r="C15" s="109">
        <v>1</v>
      </c>
      <c r="D15" s="115">
        <v>7350000</v>
      </c>
      <c r="E15" s="110">
        <f t="shared" si="0"/>
        <v>7350000</v>
      </c>
      <c r="F15" s="110"/>
    </row>
    <row r="16" spans="1:7" ht="115.5" customHeight="1" x14ac:dyDescent="0.25">
      <c r="A16" s="114" t="s">
        <v>132</v>
      </c>
      <c r="B16" s="108" t="s">
        <v>133</v>
      </c>
      <c r="C16" s="109">
        <v>1</v>
      </c>
      <c r="D16" s="115">
        <v>3363000</v>
      </c>
      <c r="E16" s="110">
        <f t="shared" si="0"/>
        <v>3363000</v>
      </c>
      <c r="F16" s="110"/>
    </row>
    <row r="17" spans="1:6" ht="98.25" customHeight="1" x14ac:dyDescent="0.25">
      <c r="A17" s="114" t="s">
        <v>134</v>
      </c>
      <c r="B17" s="108" t="s">
        <v>135</v>
      </c>
      <c r="C17" s="109">
        <v>4</v>
      </c>
      <c r="D17" s="115">
        <v>24000</v>
      </c>
      <c r="E17" s="110">
        <f t="shared" si="0"/>
        <v>96000</v>
      </c>
      <c r="F17" s="110"/>
    </row>
    <row r="18" spans="1:6" ht="82.5" customHeight="1" x14ac:dyDescent="0.25">
      <c r="A18" s="114" t="s">
        <v>136</v>
      </c>
      <c r="B18" s="108" t="s">
        <v>137</v>
      </c>
      <c r="C18" s="109">
        <v>2</v>
      </c>
      <c r="D18" s="115">
        <v>24000</v>
      </c>
      <c r="E18" s="110">
        <f t="shared" si="0"/>
        <v>48000</v>
      </c>
      <c r="F18" s="110"/>
    </row>
    <row r="19" spans="1:6" ht="115.5" customHeight="1" x14ac:dyDescent="0.25">
      <c r="A19" s="114"/>
      <c r="B19" s="108"/>
      <c r="C19" s="109"/>
      <c r="D19" s="115"/>
      <c r="E19" s="110">
        <f t="shared" si="0"/>
        <v>0</v>
      </c>
      <c r="F19" s="110"/>
    </row>
    <row r="20" spans="1:6" ht="132.75" customHeight="1" x14ac:dyDescent="0.25">
      <c r="A20" s="114"/>
      <c r="B20" s="108"/>
      <c r="C20" s="109">
        <v>1</v>
      </c>
      <c r="D20" s="115">
        <v>0</v>
      </c>
      <c r="E20" s="110">
        <f t="shared" si="0"/>
        <v>0</v>
      </c>
      <c r="F20" s="110"/>
    </row>
    <row r="21" spans="1:6" ht="35.25" customHeight="1" x14ac:dyDescent="0.25">
      <c r="A21" s="534" t="s">
        <v>138</v>
      </c>
      <c r="B21" s="535"/>
      <c r="C21" s="535"/>
      <c r="D21" s="536"/>
      <c r="E21" s="110">
        <f>SUM(E3:E20)</f>
        <v>25420405</v>
      </c>
      <c r="F21" s="110"/>
    </row>
    <row r="22" spans="1:6" ht="35.25" customHeight="1" x14ac:dyDescent="0.25">
      <c r="A22" s="116"/>
      <c r="B22" s="117"/>
      <c r="C22" s="118"/>
      <c r="D22" s="119"/>
      <c r="E22" s="120"/>
    </row>
    <row r="23" spans="1:6" x14ac:dyDescent="0.25">
      <c r="A23" s="8"/>
      <c r="B23" s="8"/>
      <c r="C23" s="8"/>
      <c r="D23" s="8"/>
      <c r="E23" s="120"/>
    </row>
    <row r="24" spans="1:6" x14ac:dyDescent="0.25">
      <c r="A24" s="8"/>
      <c r="B24" s="8"/>
      <c r="C24" s="8"/>
      <c r="D24" s="8"/>
      <c r="E24" s="120"/>
    </row>
    <row r="25" spans="1:6" x14ac:dyDescent="0.25">
      <c r="A25" s="8"/>
      <c r="B25" s="8"/>
      <c r="C25" s="8"/>
      <c r="D25" s="8"/>
      <c r="E25" s="120"/>
    </row>
    <row r="26" spans="1:6" x14ac:dyDescent="0.25">
      <c r="A26" s="8"/>
      <c r="B26" s="8"/>
      <c r="C26" s="8"/>
      <c r="D26" s="8"/>
      <c r="E26" s="120"/>
    </row>
    <row r="27" spans="1:6" x14ac:dyDescent="0.25">
      <c r="A27" s="8"/>
      <c r="B27" s="8"/>
      <c r="C27" s="8"/>
      <c r="D27" s="8"/>
      <c r="E27" s="120"/>
    </row>
    <row r="28" spans="1:6" x14ac:dyDescent="0.25">
      <c r="A28" s="8"/>
      <c r="B28" s="8"/>
      <c r="C28" s="8"/>
      <c r="D28" s="8"/>
      <c r="E28" s="8"/>
    </row>
    <row r="29" spans="1:6" x14ac:dyDescent="0.25">
      <c r="A29" s="8"/>
      <c r="B29" s="8"/>
      <c r="C29" s="8"/>
      <c r="D29" s="8"/>
      <c r="E29" s="8"/>
    </row>
    <row r="30" spans="1:6" x14ac:dyDescent="0.25">
      <c r="A30" s="8"/>
      <c r="B30" s="8"/>
      <c r="C30" s="8"/>
      <c r="D30" s="8"/>
      <c r="E30" s="8"/>
    </row>
    <row r="31" spans="1:6" x14ac:dyDescent="0.25">
      <c r="A31" s="8"/>
      <c r="B31" s="8"/>
      <c r="C31" s="8"/>
      <c r="D31" s="8"/>
      <c r="E31" s="8"/>
    </row>
    <row r="32" spans="1:6" x14ac:dyDescent="0.25">
      <c r="A32" s="8"/>
      <c r="B32" s="8"/>
      <c r="C32" s="8"/>
      <c r="D32" s="8"/>
      <c r="E32" s="8"/>
    </row>
    <row r="33" spans="1:5" x14ac:dyDescent="0.25">
      <c r="A33" s="8"/>
      <c r="B33" s="8"/>
      <c r="C33" s="8"/>
      <c r="D33" s="8"/>
      <c r="E33" s="8"/>
    </row>
    <row r="34" spans="1:5" x14ac:dyDescent="0.25">
      <c r="A34" s="8"/>
      <c r="B34" s="8"/>
      <c r="C34" s="8"/>
      <c r="D34" s="8"/>
      <c r="E34" s="8"/>
    </row>
    <row r="35" spans="1:5" x14ac:dyDescent="0.25">
      <c r="A35" s="8"/>
      <c r="B35" s="8"/>
      <c r="C35" s="8"/>
      <c r="D35" s="8"/>
      <c r="E35" s="8"/>
    </row>
    <row r="36" spans="1:5" x14ac:dyDescent="0.25">
      <c r="A36" s="8"/>
      <c r="B36" s="8"/>
      <c r="C36" s="8"/>
      <c r="D36" s="8"/>
      <c r="E36" s="8"/>
    </row>
    <row r="37" spans="1:5" x14ac:dyDescent="0.25">
      <c r="A37" s="8"/>
      <c r="B37" s="8"/>
      <c r="C37" s="8"/>
      <c r="D37" s="8"/>
      <c r="E37" s="8"/>
    </row>
    <row r="38" spans="1:5" x14ac:dyDescent="0.25">
      <c r="A38" s="8"/>
      <c r="B38" s="8"/>
      <c r="C38" s="8"/>
      <c r="D38" s="8"/>
      <c r="E38" s="8"/>
    </row>
  </sheetData>
  <mergeCells count="2">
    <mergeCell ref="A1:F1"/>
    <mergeCell ref="A21:D21"/>
  </mergeCells>
  <hyperlinks>
    <hyperlink ref="B3" r:id="rId1" xr:uid="{382DA7D6-2E58-4A55-B833-8A86B098C5B3}"/>
  </hyperlinks>
  <pageMargins left="0.7" right="0.7" top="0.75" bottom="0.75" header="0.3" footer="0.3"/>
  <pageSetup orientation="portrait" horizontalDpi="4294967295" verticalDpi="4294967295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2</vt:i4>
      </vt:variant>
    </vt:vector>
  </HeadingPairs>
  <TitlesOfParts>
    <vt:vector size="10" baseType="lpstr">
      <vt:lpstr>PRESUPUESTO LAB. + VIVERO C (2)</vt:lpstr>
      <vt:lpstr>RESUMEN GENERAL</vt:lpstr>
      <vt:lpstr>Analisis aiu%</vt:lpstr>
      <vt:lpstr>CHEQUEO APU</vt:lpstr>
      <vt:lpstr>Analisis Mano de Obra</vt:lpstr>
      <vt:lpstr>PRESUPUESTO + APU + MERCADO</vt:lpstr>
      <vt:lpstr>CANTIDADES HIBRIDAS</vt:lpstr>
      <vt:lpstr>Hoja1 (2)</vt:lpstr>
      <vt:lpstr>'Analisis aiu%'!Área_de_impresión</vt:lpstr>
      <vt:lpstr>'Analisis Mano de Obra'!Área_de_impresión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Ferraro Guerra Loren Alexandra</dc:creator>
  <cp:lastModifiedBy>Usuario</cp:lastModifiedBy>
  <dcterms:created xsi:type="dcterms:W3CDTF">2024-06-05T15:38:19Z</dcterms:created>
  <dcterms:modified xsi:type="dcterms:W3CDTF">2026-04-17T17:03:52Z</dcterms:modified>
</cp:coreProperties>
</file>