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/>
  <mc:AlternateContent xmlns:mc="http://schemas.openxmlformats.org/markup-compatibility/2006">
    <mc:Choice Requires="x15">
      <x15ac:absPath xmlns:x15ac="http://schemas.microsoft.com/office/spreadsheetml/2010/11/ac" url="/Users/jgvo/Downloads/2026-0000 02 ESTUDIO DE MERCADO/"/>
    </mc:Choice>
  </mc:AlternateContent>
  <xr:revisionPtr revIDLastSave="0" documentId="13_ncr:1_{6A9C4349-9CD2-6C4A-8819-63307A81287C}" xr6:coauthVersionLast="47" xr6:coauthVersionMax="47" xr10:uidLastSave="{00000000-0000-0000-0000-000000000000}"/>
  <bookViews>
    <workbookView xWindow="3240" yWindow="3020" windowWidth="38420" windowHeight="20380" tabRatio="500" activeTab="1" xr2:uid="{00000000-000D-0000-FFFF-FFFF00000000}"/>
  </bookViews>
  <sheets>
    <sheet name="ESTUDIO DE MERCADO" sheetId="1" r:id="rId1"/>
    <sheet name="Resume" sheetId="2" r:id="rId2"/>
  </sheets>
  <definedNames>
    <definedName name="SegmentaciónDeDatos_Software">#N/A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4" i="2" l="1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" i="2"/>
  <c r="K33" i="1"/>
  <c r="L33" i="1" s="1"/>
  <c r="M33" i="1" s="1"/>
  <c r="K31" i="1"/>
  <c r="L31" i="1" s="1"/>
  <c r="M31" i="1" s="1"/>
  <c r="K26" i="1"/>
  <c r="L26" i="1" s="1"/>
  <c r="M26" i="1" s="1"/>
  <c r="K30" i="1"/>
  <c r="L30" i="1" s="1"/>
  <c r="M30" i="1" s="1"/>
  <c r="L27" i="1"/>
  <c r="L28" i="1"/>
  <c r="L29" i="1"/>
  <c r="L32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7" i="1"/>
  <c r="M28" i="1"/>
  <c r="M29" i="1"/>
  <c r="M32" i="1"/>
  <c r="M3" i="1"/>
  <c r="K29" i="1"/>
  <c r="I34" i="1"/>
  <c r="G34" i="1"/>
  <c r="E34" i="1"/>
  <c r="C34" i="1"/>
  <c r="D33" i="1"/>
  <c r="D32" i="1"/>
  <c r="D31" i="1"/>
  <c r="D30" i="1"/>
  <c r="D29" i="1"/>
  <c r="D28" i="1"/>
  <c r="D27" i="1"/>
  <c r="K34" i="1"/>
  <c r="D26" i="1"/>
  <c r="L25" i="1"/>
  <c r="D25" i="1"/>
  <c r="J24" i="1"/>
  <c r="H24" i="1"/>
  <c r="F24" i="1"/>
  <c r="D24" i="1"/>
  <c r="J23" i="1"/>
  <c r="H23" i="1"/>
  <c r="D23" i="1"/>
  <c r="J22" i="1"/>
  <c r="H22" i="1"/>
  <c r="F22" i="1"/>
  <c r="D22" i="1"/>
  <c r="J21" i="1"/>
  <c r="H21" i="1"/>
  <c r="F21" i="1"/>
  <c r="D21" i="1"/>
  <c r="J20" i="1"/>
  <c r="H20" i="1"/>
  <c r="D20" i="1"/>
  <c r="J19" i="1"/>
  <c r="H19" i="1"/>
  <c r="F19" i="1"/>
  <c r="D19" i="1"/>
  <c r="J18" i="1"/>
  <c r="H18" i="1"/>
  <c r="F18" i="1"/>
  <c r="D18" i="1"/>
  <c r="J17" i="1"/>
  <c r="H17" i="1"/>
  <c r="F17" i="1"/>
  <c r="D17" i="1"/>
  <c r="J16" i="1"/>
  <c r="H16" i="1"/>
  <c r="F16" i="1"/>
  <c r="D16" i="1"/>
  <c r="J15" i="1"/>
  <c r="H15" i="1"/>
  <c r="F15" i="1"/>
  <c r="D15" i="1"/>
  <c r="J14" i="1"/>
  <c r="H14" i="1"/>
  <c r="D14" i="1"/>
  <c r="J13" i="1"/>
  <c r="H13" i="1"/>
  <c r="F13" i="1"/>
  <c r="D13" i="1"/>
  <c r="J12" i="1"/>
  <c r="H12" i="1"/>
  <c r="F12" i="1"/>
  <c r="D12" i="1"/>
  <c r="J11" i="1"/>
  <c r="H11" i="1"/>
  <c r="F11" i="1"/>
  <c r="D11" i="1"/>
  <c r="J10" i="1"/>
  <c r="H10" i="1"/>
  <c r="F10" i="1"/>
  <c r="D10" i="1"/>
  <c r="J9" i="1"/>
  <c r="H9" i="1"/>
  <c r="F9" i="1"/>
  <c r="D9" i="1"/>
  <c r="J8" i="1"/>
  <c r="H8" i="1"/>
  <c r="F8" i="1"/>
  <c r="D8" i="1"/>
  <c r="J7" i="1"/>
  <c r="H7" i="1"/>
  <c r="F7" i="1"/>
  <c r="D7" i="1"/>
  <c r="J6" i="1"/>
  <c r="H6" i="1"/>
  <c r="F6" i="1"/>
  <c r="D6" i="1"/>
  <c r="J5" i="1"/>
  <c r="H5" i="1"/>
  <c r="F5" i="1"/>
  <c r="D5" i="1"/>
  <c r="J4" i="1"/>
  <c r="H4" i="1"/>
  <c r="F4" i="1"/>
  <c r="D4" i="1"/>
  <c r="J3" i="1"/>
  <c r="H3" i="1"/>
  <c r="F3" i="1"/>
  <c r="D3" i="1"/>
  <c r="D34" i="1" l="1"/>
  <c r="F34" i="1"/>
  <c r="H34" i="1"/>
  <c r="J34" i="1"/>
  <c r="I34" i="2" l="1"/>
  <c r="L34" i="1"/>
  <c r="M34" i="1"/>
</calcChain>
</file>

<file path=xl/sharedStrings.xml><?xml version="1.0" encoding="utf-8"?>
<sst xmlns="http://schemas.openxmlformats.org/spreadsheetml/2006/main" count="123" uniqueCount="58">
  <si>
    <t>APROVISIONAR SOLUCIONES S.A.S.</t>
  </si>
  <si>
    <t>ELECTRÓNICA I+D</t>
  </si>
  <si>
    <t>EQUIPARO SAS</t>
  </si>
  <si>
    <t>VIMAR SAS</t>
  </si>
  <si>
    <t>CYS TECNOLOGÍA</t>
  </si>
  <si>
    <t>ITEM</t>
  </si>
  <si>
    <t>DESCRIPCIÓN</t>
  </si>
  <si>
    <t>Cotización 01
Valor unitario (sin IVA)</t>
  </si>
  <si>
    <t>Cotización 01
Valor unitario (con IVA)</t>
  </si>
  <si>
    <t>Cotización 02
Valor unitario (sin IVA)</t>
  </si>
  <si>
    <t>Cotización 02
Valor unitario (con IVA)</t>
  </si>
  <si>
    <t>Cotización 03
Valor unitario (sin IVA)</t>
  </si>
  <si>
    <t>Cotización 03
Valor unitario (con IVA)</t>
  </si>
  <si>
    <t>Cotización 04
Valor unitario (sin IVA)</t>
  </si>
  <si>
    <t>Cotización 04
Valor unitario (con IVA)</t>
  </si>
  <si>
    <t>Cotización 06
Valor unitario (sin IVA)</t>
  </si>
  <si>
    <t>Cotización 06
Valor unitario (con IVA)</t>
  </si>
  <si>
    <t>Valor promedio unitario (con IVA)</t>
  </si>
  <si>
    <t>UPS ONLINE 2000VA/1600W</t>
  </si>
  <si>
    <t xml:space="preserve">Disco Solido SSD Sata de 240 Gb </t>
  </si>
  <si>
    <t>Memoria RAM 8GB DDR4 Frecuencia 3200MHz</t>
  </si>
  <si>
    <t>Cofre (Enclosure) externo para disco de estado sólido M.2</t>
  </si>
  <si>
    <t>Caja externa para disco duro / SSD de 2.5 pulgadas</t>
  </si>
  <si>
    <t>Lector de código de barras</t>
  </si>
  <si>
    <t>Cable DisplayPort activo a VGA macho–macho</t>
  </si>
  <si>
    <t>Cable Convertidor DisplayPort a HDMI (1.8 metros)</t>
  </si>
  <si>
    <t>Correa Plástica 25cm Paquete X 100 Unidades</t>
  </si>
  <si>
    <t>Correa Plástica 15cm Paquete X 100 Unidades</t>
  </si>
  <si>
    <t>Espiral para cable</t>
  </si>
  <si>
    <t>Placas de seguridad para guayas para portátil</t>
  </si>
  <si>
    <t>Gabinete Rack 7ur</t>
  </si>
  <si>
    <t>Bandeja Rackeable</t>
  </si>
  <si>
    <t>Jack Modular Cat 6 Para Ethernet RJ-45 Hembra</t>
  </si>
  <si>
    <t>Probador de cables de red y coaxial (RJ45, RJ11, BNC)</t>
  </si>
  <si>
    <t>Probador de cables HDMI de alta definición</t>
  </si>
  <si>
    <t>Batería 9V Recargable de Alta Capacidad (Litio)</t>
  </si>
  <si>
    <t>Cargador Inteligente para Baterías de 9V</t>
  </si>
  <si>
    <t>Cable HDMI 20 metros (Resolución 4K UHD)</t>
  </si>
  <si>
    <t>Extensor HDMI por cable UTP, hasta 120 m</t>
  </si>
  <si>
    <t>Multitoma Con Supresor De Picos 6 Tomas 15a 120v Cable 180cm Pe66 Color Negro</t>
  </si>
  <si>
    <t>Impresora láser multifuncional monocromática</t>
  </si>
  <si>
    <t>Unidad de estado sólido (SSD) M.2 NVMe de 256 GB</t>
  </si>
  <si>
    <t>Rollo de cable UTP Categoría 6 para interiores</t>
  </si>
  <si>
    <t>Pasta térmica para procesadores</t>
  </si>
  <si>
    <t>Pantalla LCD de reemplazo para portátil de 15.6 pulgadas</t>
  </si>
  <si>
    <t>Flex de video (cintilla de video) para portátil</t>
  </si>
  <si>
    <t>Mouse USB</t>
  </si>
  <si>
    <t>Pilas tipo moneda CR2032</t>
  </si>
  <si>
    <t>Disco duro externo antigolpes</t>
  </si>
  <si>
    <t>TOTAL</t>
  </si>
  <si>
    <t>TRM JUL10</t>
  </si>
  <si>
    <t>UNIDAD DE MEDIDA</t>
  </si>
  <si>
    <t>Unidad</t>
  </si>
  <si>
    <t>1</t>
  </si>
  <si>
    <t>2</t>
  </si>
  <si>
    <t>3</t>
  </si>
  <si>
    <t>4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</si>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</sst>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* #,##0_-;\-&quot;$&quot;* #,##0_-;_-&quot;$&quot;* &quot;-&quot;_-;_-@_-"/>
    <numFmt numFmtId="164" formatCode="&quot;$ &quot;#,##0"/>
    <numFmt numFmtId="165" formatCode="_-&quot;$ &quot;* #,##0_-;&quot;-$ &quot;* #,##0_-;_-&quot;$ &quot;* \-??_-;_-@_-"/>
  </numFmts>
  <fonts count="8" x14ac:knownFonts="1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b/>
      <sz val="9"/>
      <color theme="0"/>
      <name val="Arial"/>
      <family val="2"/>
      <charset val="1"/>
    </font>
    <font>
      <b/>
      <sz val="9"/>
      <color theme="1"/>
      <name val="Arial"/>
      <family val="2"/>
      <charset val="1"/>
    </font>
    <font>
      <sz val="9"/>
      <color theme="1"/>
      <name val="Arial"/>
      <family val="2"/>
      <charset val="1"/>
    </font>
    <font>
      <sz val="9"/>
      <color rgb="FF000000"/>
      <name val="Arial"/>
      <family val="2"/>
      <charset val="1"/>
    </font>
    <font>
      <sz val="9"/>
      <color theme="1"/>
      <name val="Arial"/>
      <family val="2"/>
    </font>
    <font>
      <sz val="11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9" tint="0.79989013336588644"/>
        <bgColor rgb="FFFFFFCC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2" fontId="7" fillId="0" borderId="0" applyFont="0" applyFill="0" applyBorder="0" applyAlignment="0" applyProtection="0"/>
  </cellStyleXfs>
  <cellXfs count="28">
    <xf numFmtId="0" fontId="0" fillId="0" borderId="0" xfId="0"/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164" fontId="4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164" fontId="3" fillId="2" borderId="1" xfId="0" applyNumberFormat="1" applyFont="1" applyFill="1" applyBorder="1" applyAlignment="1">
      <alignment horizontal="right" vertical="center" wrapText="1"/>
    </xf>
    <xf numFmtId="164" fontId="4" fillId="0" borderId="2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0" fontId="4" fillId="0" borderId="0" xfId="0" applyFont="1"/>
    <xf numFmtId="0" fontId="3" fillId="0" borderId="1" xfId="0" applyFont="1" applyBorder="1" applyAlignment="1">
      <alignment horizontal="right" vertical="center" wrapText="1"/>
    </xf>
    <xf numFmtId="165" fontId="3" fillId="0" borderId="1" xfId="0" applyNumberFormat="1" applyFont="1" applyBorder="1" applyAlignment="1">
      <alignment horizontal="center" vertical="center"/>
    </xf>
    <xf numFmtId="4" fontId="0" fillId="0" borderId="0" xfId="0" applyNumberFormat="1" applyAlignment="1">
      <alignment wrapText="1"/>
    </xf>
    <xf numFmtId="165" fontId="0" fillId="0" borderId="0" xfId="0" applyNumberFormat="1"/>
    <xf numFmtId="0" fontId="1" fillId="0" borderId="1" xfId="0" applyFont="1" applyBorder="1" applyAlignment="1">
      <alignment wrapText="1"/>
    </xf>
    <xf numFmtId="164" fontId="6" fillId="0" borderId="1" xfId="0" applyNumberFormat="1" applyFont="1" applyBorder="1" applyAlignment="1">
      <alignment horizontal="right" vertical="center"/>
    </xf>
    <xf numFmtId="164" fontId="6" fillId="0" borderId="1" xfId="0" applyNumberFormat="1" applyFont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justify" vertical="center" wrapText="1"/>
    </xf>
    <xf numFmtId="164" fontId="6" fillId="3" borderId="1" xfId="0" applyNumberFormat="1" applyFont="1" applyFill="1" applyBorder="1" applyAlignment="1">
      <alignment horizontal="right" vertical="center"/>
    </xf>
    <xf numFmtId="164" fontId="6" fillId="3" borderId="1" xfId="0" applyNumberFormat="1" applyFont="1" applyFill="1" applyBorder="1" applyAlignment="1">
      <alignment horizontal="right" vertical="center" wrapText="1"/>
    </xf>
    <xf numFmtId="42" fontId="0" fillId="0" borderId="0" xfId="1" applyFont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</cellXfs>
  <cellStyles count="2">
    <cellStyle name="Currency [0]" xfId="1" builtinId="7"/>
    <cellStyle name="Normal" xfId="0" builtinId="0"/>
  </cellStyles>
  <dxfs count="9">
    <dxf>
      <font>
        <b val="0"/>
        <strike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9"/>
        <color theme="1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9"/>
        <color theme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9"/>
        <color theme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9"/>
        <color theme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9"/>
        <color theme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charset val="1"/>
        <scheme val="none"/>
      </font>
      <alignment horizontal="justify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2:M33" totalsRowShown="0">
  <autoFilter ref="B2:M33" xr:uid="{00000000-0009-0000-0100-000001000000}"/>
  <tableColumns count="12">
    <tableColumn id="1" xr3:uid="{00000000-0010-0000-0000-000001000000}" name="DESCRIPCIÓN"/>
    <tableColumn id="2" xr3:uid="{00000000-0010-0000-0000-000002000000}" name="Cotización 01_x000a_Valor unitario (sin IVA)"/>
    <tableColumn id="3" xr3:uid="{00000000-0010-0000-0000-000003000000}" name="Cotización 01_x000a_Valor unitario (con IVA)"/>
    <tableColumn id="4" xr3:uid="{00000000-0010-0000-0000-000004000000}" name="Cotización 02_x000a_Valor unitario (sin IVA)"/>
    <tableColumn id="5" xr3:uid="{00000000-0010-0000-0000-000005000000}" name="Cotización 02_x000a_Valor unitario (con IVA)"/>
    <tableColumn id="6" xr3:uid="{00000000-0010-0000-0000-000006000000}" name="Cotización 03_x000a_Valor unitario (sin IVA)"/>
    <tableColumn id="7" xr3:uid="{00000000-0010-0000-0000-000007000000}" name="Cotización 03_x000a_Valor unitario (con IVA)"/>
    <tableColumn id="8" xr3:uid="{00000000-0010-0000-0000-000008000000}" name="Cotización 04_x000a_Valor unitario (sin IVA)"/>
    <tableColumn id="9" xr3:uid="{00000000-0010-0000-0000-000009000000}" name="Cotización 04_x000a_Valor unitario (con IVA)"/>
    <tableColumn id="12" xr3:uid="{00000000-0010-0000-0000-00000C000000}" name="Cotización 06_x000a_Valor unitario (sin IVA)"/>
    <tableColumn id="13" xr3:uid="{00000000-0010-0000-0000-00000D000000}" name="Cotización 06_x000a_Valor unitario (con IVA)"/>
    <tableColumn id="14" xr3:uid="{00000000-0010-0000-0000-00000E000000}" name="Valor promedio unitario (con IVA)">
      <calculatedColumnFormula>AVERAGE(D3,F3,H3,J3,L3)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7B57C0D-314D-794F-9797-A6CA1C4A064D}" name="Tabla13" displayName="Tabla13" ref="B2:I33" totalsRowShown="0" headerRowDxfId="8">
  <autoFilter ref="B2:I33" xr:uid="{00000000-0009-0000-0100-000001000000}"/>
  <tableColumns count="8">
    <tableColumn id="1" xr3:uid="{5FEC0A35-CCDA-5E40-B7F5-5F1ECD056320}" name="DESCRIPCIÓN" dataDxfId="7"/>
    <tableColumn id="10" xr3:uid="{2914FCE2-4883-AC44-9E46-09B7CB211647}" name="UNIDAD DE MEDIDA" dataDxfId="6"/>
    <tableColumn id="3" xr3:uid="{FBB48EFB-6E22-2D48-A9D4-317302944AEA}" name="1" dataDxfId="5"/>
    <tableColumn id="5" xr3:uid="{5DCFEA1B-B199-A749-9DDA-1F1187BED7E8}" name="2" dataDxfId="4"/>
    <tableColumn id="7" xr3:uid="{60668B3A-4F30-934A-8127-F53CAFD6621F}" name="3" dataDxfId="3"/>
    <tableColumn id="9" xr3:uid="{8C01BB45-890F-7C4C-9D75-F690F602836A}" name="4" dataDxfId="2"/>
    <tableColumn id="12" xr3:uid="{9F790EBA-D0CE-0441-BF1B-3A4B9A897F1F}" name="5" dataDxfId="1"/>
    <tableColumn id="14" xr3:uid="{1F0764D1-E6ED-DF49-86AB-513337954DFE}" name="Valor promedio unitario (con IVA)" dataDxfId="0">
      <calculatedColumnFormula>AVERAGE(Tabla13[[#This Row],[1]:[5]])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6"/>
  <sheetViews>
    <sheetView zoomScaleNormal="100" workbookViewId="0">
      <pane xSplit="2" topLeftCell="C1" activePane="topRight" state="frozen"/>
      <selection pane="topRight" activeCell="C46" sqref="C46"/>
    </sheetView>
  </sheetViews>
  <sheetFormatPr baseColWidth="10" defaultColWidth="11.5" defaultRowHeight="15" x14ac:dyDescent="0.2"/>
  <cols>
    <col min="1" max="1" width="5.5" customWidth="1"/>
    <col min="2" max="2" width="42.1640625" style="2" customWidth="1"/>
    <col min="3" max="12" width="14.5" customWidth="1"/>
    <col min="13" max="13" width="15.5" customWidth="1"/>
  </cols>
  <sheetData>
    <row r="1" spans="1:16" s="2" customFormat="1" ht="27.75" customHeight="1" x14ac:dyDescent="0.2">
      <c r="A1" s="3"/>
      <c r="B1" s="3"/>
      <c r="C1" s="27" t="s">
        <v>0</v>
      </c>
      <c r="D1" s="27"/>
      <c r="E1" s="27" t="s">
        <v>1</v>
      </c>
      <c r="F1" s="27"/>
      <c r="G1" s="27" t="s">
        <v>2</v>
      </c>
      <c r="H1" s="27"/>
      <c r="I1" s="27" t="s">
        <v>3</v>
      </c>
      <c r="J1" s="27"/>
      <c r="K1" s="27" t="s">
        <v>4</v>
      </c>
      <c r="L1" s="27"/>
      <c r="M1" s="3"/>
      <c r="O1" s="2" t="s">
        <v>50</v>
      </c>
      <c r="P1" s="16">
        <v>3305.38</v>
      </c>
    </row>
    <row r="2" spans="1:16" ht="36" customHeight="1" x14ac:dyDescent="0.2">
      <c r="A2" s="4" t="s">
        <v>5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  <c r="H2" s="5" t="s">
        <v>12</v>
      </c>
      <c r="I2" s="5" t="s">
        <v>13</v>
      </c>
      <c r="J2" s="5" t="s">
        <v>14</v>
      </c>
      <c r="K2" s="5" t="s">
        <v>15</v>
      </c>
      <c r="L2" s="5" t="s">
        <v>16</v>
      </c>
      <c r="M2" s="5" t="s">
        <v>17</v>
      </c>
    </row>
    <row r="3" spans="1:16" ht="16" customHeight="1" x14ac:dyDescent="0.2">
      <c r="A3" s="6">
        <v>1</v>
      </c>
      <c r="B3" s="7" t="s">
        <v>18</v>
      </c>
      <c r="C3" s="8">
        <v>800061</v>
      </c>
      <c r="D3" s="9">
        <f>+Tabla1[[#This Row],[Cotización 01
Valor unitario (sin IVA)]]*1.19</f>
        <v>952072.59</v>
      </c>
      <c r="E3" s="8">
        <v>2246712</v>
      </c>
      <c r="F3" s="9">
        <f>+Tabla1[[#This Row],[Cotización 02
Valor unitario (sin IVA)]]*1.19</f>
        <v>2673587.2799999998</v>
      </c>
      <c r="G3" s="8">
        <v>1760300</v>
      </c>
      <c r="H3" s="9">
        <f>+Tabla1[[#This Row],[Cotización 03
Valor unitario (sin IVA)]]*1.19</f>
        <v>2094757</v>
      </c>
      <c r="I3" s="8">
        <v>1790000</v>
      </c>
      <c r="J3" s="9">
        <f>+Tabla1[[#This Row],[Cotización 04
Valor unitario (sin IVA)]]*1.19</f>
        <v>2130100</v>
      </c>
      <c r="K3" s="8"/>
      <c r="L3" s="9"/>
      <c r="M3" s="10">
        <f>AVERAGE(D3,F3,H3,J3,L3)</f>
        <v>1962629.2174999998</v>
      </c>
    </row>
    <row r="4" spans="1:16" ht="16" customHeight="1" x14ac:dyDescent="0.2">
      <c r="A4" s="6">
        <v>2</v>
      </c>
      <c r="B4" s="7" t="s">
        <v>19</v>
      </c>
      <c r="C4" s="8">
        <v>417480</v>
      </c>
      <c r="D4" s="9">
        <f>+Tabla1[[#This Row],[Cotización 01
Valor unitario (sin IVA)]]*1.19</f>
        <v>496801.19999999995</v>
      </c>
      <c r="E4" s="8">
        <v>252160</v>
      </c>
      <c r="F4" s="9">
        <f>+Tabla1[[#This Row],[Cotización 02
Valor unitario (sin IVA)]]*1.19</f>
        <v>300070.39999999997</v>
      </c>
      <c r="G4" s="8">
        <v>279034</v>
      </c>
      <c r="H4" s="9">
        <f>+Tabla1[[#This Row],[Cotización 03
Valor unitario (sin IVA)]]*1.19</f>
        <v>332050.45999999996</v>
      </c>
      <c r="I4" s="8">
        <v>298277</v>
      </c>
      <c r="J4" s="9">
        <f>+Tabla1[[#This Row],[Cotización 04
Valor unitario (sin IVA)]]*1.19</f>
        <v>354949.63</v>
      </c>
      <c r="K4" s="8"/>
      <c r="L4" s="9"/>
      <c r="M4" s="10">
        <f t="shared" ref="M4:M33" si="0">AVERAGE(D4,F4,H4,J4,L4)</f>
        <v>370967.92249999999</v>
      </c>
    </row>
    <row r="5" spans="1:16" ht="16" customHeight="1" x14ac:dyDescent="0.2">
      <c r="A5" s="6">
        <v>3</v>
      </c>
      <c r="B5" s="7" t="s">
        <v>20</v>
      </c>
      <c r="C5" s="8">
        <v>399882</v>
      </c>
      <c r="D5" s="9">
        <f>+Tabla1[[#This Row],[Cotización 01
Valor unitario (sin IVA)]]*1.19</f>
        <v>475859.57999999996</v>
      </c>
      <c r="E5" s="8">
        <v>262185</v>
      </c>
      <c r="F5" s="9">
        <f>+Tabla1[[#This Row],[Cotización 02
Valor unitario (sin IVA)]]*1.19</f>
        <v>312000.14999999997</v>
      </c>
      <c r="G5" s="8">
        <v>438655</v>
      </c>
      <c r="H5" s="9">
        <f>+Tabla1[[#This Row],[Cotización 03
Valor unitario (sin IVA)]]*1.19</f>
        <v>521999.44999999995</v>
      </c>
      <c r="I5" s="8">
        <v>468907.94</v>
      </c>
      <c r="J5" s="9">
        <f>+Tabla1[[#This Row],[Cotización 04
Valor unitario (sin IVA)]]*1.19</f>
        <v>558000.4486</v>
      </c>
      <c r="K5" s="8"/>
      <c r="L5" s="9"/>
      <c r="M5" s="10">
        <f t="shared" si="0"/>
        <v>466964.90714999998</v>
      </c>
    </row>
    <row r="6" spans="1:16" ht="16" customHeight="1" x14ac:dyDescent="0.2">
      <c r="A6" s="6">
        <v>4</v>
      </c>
      <c r="B6" s="7" t="s">
        <v>21</v>
      </c>
      <c r="C6" s="8">
        <v>144796</v>
      </c>
      <c r="D6" s="9">
        <f>+Tabla1[[#This Row],[Cotización 01
Valor unitario (sin IVA)]]*1.19</f>
        <v>172307.24</v>
      </c>
      <c r="E6" s="8">
        <v>60100</v>
      </c>
      <c r="F6" s="9">
        <f>+Tabla1[[#This Row],[Cotización 02
Valor unitario (sin IVA)]]*1.19</f>
        <v>71519</v>
      </c>
      <c r="G6" s="8">
        <v>181250</v>
      </c>
      <c r="H6" s="9">
        <f>+Tabla1[[#This Row],[Cotización 03
Valor unitario (sin IVA)]]*1.19</f>
        <v>215687.5</v>
      </c>
      <c r="I6" s="8">
        <v>193750</v>
      </c>
      <c r="J6" s="9">
        <f>+Tabla1[[#This Row],[Cotización 04
Valor unitario (sin IVA)]]*1.19</f>
        <v>230562.5</v>
      </c>
      <c r="K6" s="8"/>
      <c r="L6" s="9"/>
      <c r="M6" s="10">
        <f t="shared" si="0"/>
        <v>172519.06</v>
      </c>
    </row>
    <row r="7" spans="1:16" ht="16" customHeight="1" x14ac:dyDescent="0.2">
      <c r="A7" s="6">
        <v>5</v>
      </c>
      <c r="B7" s="7" t="s">
        <v>22</v>
      </c>
      <c r="C7" s="8">
        <v>86619</v>
      </c>
      <c r="D7" s="9">
        <f>+Tabla1[[#This Row],[Cotización 01
Valor unitario (sin IVA)]]*1.19</f>
        <v>103076.61</v>
      </c>
      <c r="E7" s="8">
        <v>32773</v>
      </c>
      <c r="F7" s="9">
        <f>+Tabla1[[#This Row],[Cotización 02
Valor unitario (sin IVA)]]*1.19</f>
        <v>38999.869999999995</v>
      </c>
      <c r="G7" s="8">
        <v>108750</v>
      </c>
      <c r="H7" s="9">
        <f>+Tabla1[[#This Row],[Cotización 03
Valor unitario (sin IVA)]]*1.19</f>
        <v>129412.5</v>
      </c>
      <c r="I7" s="8">
        <v>116250</v>
      </c>
      <c r="J7" s="9">
        <f>+Tabla1[[#This Row],[Cotización 04
Valor unitario (sin IVA)]]*1.19</f>
        <v>138337.5</v>
      </c>
      <c r="K7" s="8"/>
      <c r="L7" s="9"/>
      <c r="M7" s="10">
        <f t="shared" si="0"/>
        <v>102456.62</v>
      </c>
    </row>
    <row r="8" spans="1:16" ht="16" customHeight="1" x14ac:dyDescent="0.2">
      <c r="A8" s="6">
        <v>6</v>
      </c>
      <c r="B8" s="7" t="s">
        <v>23</v>
      </c>
      <c r="C8" s="8">
        <v>373206</v>
      </c>
      <c r="D8" s="9">
        <f>+Tabla1[[#This Row],[Cotización 01
Valor unitario (sin IVA)]]*1.19</f>
        <v>444115.13999999996</v>
      </c>
      <c r="E8" s="8">
        <v>251152</v>
      </c>
      <c r="F8" s="9">
        <f>+Tabla1[[#This Row],[Cotización 02
Valor unitario (sin IVA)]]*1.19</f>
        <v>298870.88</v>
      </c>
      <c r="G8" s="8">
        <v>536134</v>
      </c>
      <c r="H8" s="9">
        <f>+Tabla1[[#This Row],[Cotización 03
Valor unitario (sin IVA)]]*1.19</f>
        <v>637999.46</v>
      </c>
      <c r="I8" s="8">
        <v>573109</v>
      </c>
      <c r="J8" s="9">
        <f>+Tabla1[[#This Row],[Cotización 04
Valor unitario (sin IVA)]]*1.19</f>
        <v>681999.71</v>
      </c>
      <c r="K8" s="8"/>
      <c r="L8" s="9"/>
      <c r="M8" s="10">
        <f t="shared" si="0"/>
        <v>515746.29749999999</v>
      </c>
    </row>
    <row r="9" spans="1:16" ht="16" customHeight="1" x14ac:dyDescent="0.2">
      <c r="A9" s="6">
        <v>7</v>
      </c>
      <c r="B9" s="7" t="s">
        <v>24</v>
      </c>
      <c r="C9" s="8">
        <v>31116</v>
      </c>
      <c r="D9" s="9">
        <f>+Tabla1[[#This Row],[Cotización 01
Valor unitario (sin IVA)]]*1.19</f>
        <v>37028.04</v>
      </c>
      <c r="E9" s="8">
        <v>98670</v>
      </c>
      <c r="F9" s="9">
        <f>+Tabla1[[#This Row],[Cotización 02
Valor unitario (sin IVA)]]*1.19</f>
        <v>117417.29999999999</v>
      </c>
      <c r="G9" s="8">
        <v>150800</v>
      </c>
      <c r="H9" s="9">
        <f>+Tabla1[[#This Row],[Cotización 03
Valor unitario (sin IVA)]]*1.19</f>
        <v>179452</v>
      </c>
      <c r="I9" s="8">
        <v>161200</v>
      </c>
      <c r="J9" s="9">
        <f>+Tabla1[[#This Row],[Cotización 04
Valor unitario (sin IVA)]]*1.19</f>
        <v>191828</v>
      </c>
      <c r="K9" s="8"/>
      <c r="L9" s="9"/>
      <c r="M9" s="10">
        <f t="shared" si="0"/>
        <v>131431.33499999999</v>
      </c>
    </row>
    <row r="10" spans="1:16" ht="16" customHeight="1" x14ac:dyDescent="0.2">
      <c r="A10" s="6">
        <v>8</v>
      </c>
      <c r="B10" s="7" t="s">
        <v>25</v>
      </c>
      <c r="C10" s="8">
        <v>54586</v>
      </c>
      <c r="D10" s="9">
        <f>+Tabla1[[#This Row],[Cotización 01
Valor unitario (sin IVA)]]*1.19</f>
        <v>64957.34</v>
      </c>
      <c r="E10" s="8">
        <v>84370</v>
      </c>
      <c r="F10" s="9">
        <f>+Tabla1[[#This Row],[Cotización 02
Valor unitario (sin IVA)]]*1.19</f>
        <v>100400.29999999999</v>
      </c>
      <c r="G10" s="8">
        <v>72500</v>
      </c>
      <c r="H10" s="9">
        <f>+Tabla1[[#This Row],[Cotización 03
Valor unitario (sin IVA)]]*1.19</f>
        <v>86275</v>
      </c>
      <c r="I10" s="8">
        <v>77500</v>
      </c>
      <c r="J10" s="9">
        <f>+Tabla1[[#This Row],[Cotización 04
Valor unitario (sin IVA)]]*1.19</f>
        <v>92225</v>
      </c>
      <c r="K10" s="8"/>
      <c r="L10" s="9"/>
      <c r="M10" s="10">
        <f t="shared" si="0"/>
        <v>85964.41</v>
      </c>
    </row>
    <row r="11" spans="1:16" ht="16" customHeight="1" x14ac:dyDescent="0.2">
      <c r="A11" s="6">
        <v>9</v>
      </c>
      <c r="B11" s="7" t="s">
        <v>26</v>
      </c>
      <c r="C11" s="8">
        <v>24730</v>
      </c>
      <c r="D11" s="9">
        <f>+Tabla1[[#This Row],[Cotización 01
Valor unitario (sin IVA)]]*1.19</f>
        <v>29428.699999999997</v>
      </c>
      <c r="E11" s="8">
        <v>6000</v>
      </c>
      <c r="F11" s="9">
        <f>+Tabla1[[#This Row],[Cotización 02
Valor unitario (sin IVA)]]*1.19</f>
        <v>7140</v>
      </c>
      <c r="G11" s="8">
        <v>23055</v>
      </c>
      <c r="H11" s="9">
        <f>+Tabla1[[#This Row],[Cotización 03
Valor unitario (sin IVA)]]*1.19</f>
        <v>27435.449999999997</v>
      </c>
      <c r="I11" s="8">
        <v>24645</v>
      </c>
      <c r="J11" s="9">
        <f>+Tabla1[[#This Row],[Cotización 04
Valor unitario (sin IVA)]]*1.19</f>
        <v>29327.55</v>
      </c>
      <c r="K11" s="8"/>
      <c r="L11" s="9"/>
      <c r="M11" s="10">
        <f t="shared" si="0"/>
        <v>23332.924999999999</v>
      </c>
    </row>
    <row r="12" spans="1:16" ht="16" customHeight="1" x14ac:dyDescent="0.2">
      <c r="A12" s="6">
        <v>10</v>
      </c>
      <c r="B12" s="7" t="s">
        <v>27</v>
      </c>
      <c r="C12" s="8">
        <v>10325</v>
      </c>
      <c r="D12" s="9">
        <f>+Tabla1[[#This Row],[Cotización 01
Valor unitario (sin IVA)]]*1.19</f>
        <v>12286.75</v>
      </c>
      <c r="E12" s="8">
        <v>6050</v>
      </c>
      <c r="F12" s="9">
        <f>+Tabla1[[#This Row],[Cotización 02
Valor unitario (sin IVA)]]*1.19</f>
        <v>7199.5</v>
      </c>
      <c r="G12" s="8">
        <v>14500</v>
      </c>
      <c r="H12" s="9">
        <f>+Tabla1[[#This Row],[Cotización 03
Valor unitario (sin IVA)]]*1.19</f>
        <v>17255</v>
      </c>
      <c r="I12" s="8">
        <v>15500</v>
      </c>
      <c r="J12" s="9">
        <f>+Tabla1[[#This Row],[Cotización 04
Valor unitario (sin IVA)]]*1.19</f>
        <v>18445</v>
      </c>
      <c r="K12" s="8"/>
      <c r="L12" s="9"/>
      <c r="M12" s="10">
        <f t="shared" si="0"/>
        <v>13796.5625</v>
      </c>
    </row>
    <row r="13" spans="1:16" ht="16" customHeight="1" x14ac:dyDescent="0.2">
      <c r="A13" s="6">
        <v>11</v>
      </c>
      <c r="B13" s="7" t="s">
        <v>28</v>
      </c>
      <c r="C13" s="8">
        <v>44969</v>
      </c>
      <c r="D13" s="9">
        <f>+Tabla1[[#This Row],[Cotización 01
Valor unitario (sin IVA)]]*1.19</f>
        <v>53513.11</v>
      </c>
      <c r="E13" s="11">
        <v>47410</v>
      </c>
      <c r="F13" s="12">
        <f>+Tabla1[[#This Row],[Cotización 02
Valor unitario (sin IVA)]]*1.19</f>
        <v>56417.899999999994</v>
      </c>
      <c r="G13" s="11">
        <v>79202</v>
      </c>
      <c r="H13" s="12">
        <f>+Tabla1[[#This Row],[Cotización 03
Valor unitario (sin IVA)]]*1.19</f>
        <v>94250.37999999999</v>
      </c>
      <c r="I13" s="11">
        <v>84664</v>
      </c>
      <c r="J13" s="12">
        <f>+Tabla1[[#This Row],[Cotización 04
Valor unitario (sin IVA)]]*1.19</f>
        <v>100750.15999999999</v>
      </c>
      <c r="K13" s="8"/>
      <c r="L13" s="9"/>
      <c r="M13" s="10">
        <f t="shared" si="0"/>
        <v>76232.887499999997</v>
      </c>
    </row>
    <row r="14" spans="1:16" ht="16" customHeight="1" x14ac:dyDescent="0.2">
      <c r="A14" s="6">
        <v>12</v>
      </c>
      <c r="B14" s="7" t="s">
        <v>29</v>
      </c>
      <c r="C14" s="8">
        <v>19780</v>
      </c>
      <c r="D14" s="9">
        <f>+Tabla1[[#This Row],[Cotización 01
Valor unitario (sin IVA)]]*1.19</f>
        <v>23538.2</v>
      </c>
      <c r="E14" s="11"/>
      <c r="F14" s="12"/>
      <c r="G14" s="11">
        <v>54832</v>
      </c>
      <c r="H14" s="12">
        <f>+Tabla1[[#This Row],[Cotización 03
Valor unitario (sin IVA)]]*1.19</f>
        <v>65250.079999999994</v>
      </c>
      <c r="I14" s="11">
        <v>58613</v>
      </c>
      <c r="J14" s="12">
        <f>+Tabla1[[#This Row],[Cotización 04
Valor unitario (sin IVA)]]*1.19</f>
        <v>69749.47</v>
      </c>
      <c r="K14" s="8"/>
      <c r="L14" s="9"/>
      <c r="M14" s="10">
        <f t="shared" si="0"/>
        <v>52845.916666666664</v>
      </c>
    </row>
    <row r="15" spans="1:16" ht="16" customHeight="1" x14ac:dyDescent="0.2">
      <c r="A15" s="6">
        <v>13</v>
      </c>
      <c r="B15" s="7" t="s">
        <v>30</v>
      </c>
      <c r="C15" s="8">
        <v>474833</v>
      </c>
      <c r="D15" s="9">
        <f>+Tabla1[[#This Row],[Cotización 01
Valor unitario (sin IVA)]]*1.19</f>
        <v>565051.27</v>
      </c>
      <c r="E15" s="11">
        <v>530400</v>
      </c>
      <c r="F15" s="12">
        <f>+Tabla1[[#This Row],[Cotización 02
Valor unitario (sin IVA)]]*1.19</f>
        <v>631176</v>
      </c>
      <c r="G15" s="11">
        <v>431345</v>
      </c>
      <c r="H15" s="12">
        <f>+Tabla1[[#This Row],[Cotización 03
Valor unitario (sin IVA)]]*1.19</f>
        <v>513300.55</v>
      </c>
      <c r="I15" s="11">
        <v>461092.4</v>
      </c>
      <c r="J15" s="12">
        <f>+Tabla1[[#This Row],[Cotización 04
Valor unitario (sin IVA)]]*1.19</f>
        <v>548699.95600000001</v>
      </c>
      <c r="K15" s="8"/>
      <c r="L15" s="9"/>
      <c r="M15" s="10">
        <f t="shared" si="0"/>
        <v>564556.94400000002</v>
      </c>
    </row>
    <row r="16" spans="1:16" ht="16" customHeight="1" x14ac:dyDescent="0.2">
      <c r="A16" s="6">
        <v>14</v>
      </c>
      <c r="B16" s="7" t="s">
        <v>31</v>
      </c>
      <c r="C16" s="8">
        <v>89231</v>
      </c>
      <c r="D16" s="9">
        <f>+Tabla1[[#This Row],[Cotización 01
Valor unitario (sin IVA)]]*1.19</f>
        <v>106184.89</v>
      </c>
      <c r="E16" s="11">
        <v>75400</v>
      </c>
      <c r="F16" s="12">
        <f>+Tabla1[[#This Row],[Cotización 02
Valor unitario (sin IVA)]]*1.19</f>
        <v>89726</v>
      </c>
      <c r="G16" s="11">
        <v>98165</v>
      </c>
      <c r="H16" s="12">
        <f>+Tabla1[[#This Row],[Cotización 03
Valor unitario (sin IVA)]]*1.19</f>
        <v>116816.34999999999</v>
      </c>
      <c r="I16" s="11">
        <v>104935</v>
      </c>
      <c r="J16" s="12">
        <f>+Tabla1[[#This Row],[Cotización 04
Valor unitario (sin IVA)]]*1.19</f>
        <v>124872.65</v>
      </c>
      <c r="K16" s="8"/>
      <c r="L16" s="9"/>
      <c r="M16" s="10">
        <f t="shared" si="0"/>
        <v>109399.9725</v>
      </c>
    </row>
    <row r="17" spans="1:15" ht="16" customHeight="1" x14ac:dyDescent="0.2">
      <c r="A17" s="6">
        <v>15</v>
      </c>
      <c r="B17" s="7" t="s">
        <v>32</v>
      </c>
      <c r="C17" s="8">
        <v>13497</v>
      </c>
      <c r="D17" s="9">
        <f>+Tabla1[[#This Row],[Cotización 01
Valor unitario (sin IVA)]]*1.19</f>
        <v>16061.429999999998</v>
      </c>
      <c r="E17" s="11">
        <v>2900</v>
      </c>
      <c r="F17" s="12">
        <f>+Tabla1[[#This Row],[Cotización 02
Valor unitario (sin IVA)]]*1.19</f>
        <v>3451</v>
      </c>
      <c r="G17" s="11">
        <v>11600</v>
      </c>
      <c r="H17" s="12">
        <f>+Tabla1[[#This Row],[Cotización 03
Valor unitario (sin IVA)]]*1.19</f>
        <v>13804</v>
      </c>
      <c r="I17" s="11">
        <v>12400</v>
      </c>
      <c r="J17" s="12">
        <f>+Tabla1[[#This Row],[Cotización 04
Valor unitario (sin IVA)]]*1.19</f>
        <v>14756</v>
      </c>
      <c r="K17" s="8"/>
      <c r="L17" s="9"/>
      <c r="M17" s="10">
        <f t="shared" si="0"/>
        <v>12018.1075</v>
      </c>
    </row>
    <row r="18" spans="1:15" ht="16" customHeight="1" x14ac:dyDescent="0.2">
      <c r="A18" s="6">
        <v>16</v>
      </c>
      <c r="B18" s="7" t="s">
        <v>33</v>
      </c>
      <c r="C18" s="8">
        <v>115061</v>
      </c>
      <c r="D18" s="9">
        <f>+Tabla1[[#This Row],[Cotización 01
Valor unitario (sin IVA)]]*1.19</f>
        <v>136922.59</v>
      </c>
      <c r="E18" s="11">
        <v>72479</v>
      </c>
      <c r="F18" s="12">
        <f>+Tabla1[[#This Row],[Cotización 02
Valor unitario (sin IVA)]]*1.19</f>
        <v>86250.01</v>
      </c>
      <c r="G18" s="11">
        <v>109542</v>
      </c>
      <c r="H18" s="12">
        <f>+Tabla1[[#This Row],[Cotización 03
Valor unitario (sin IVA)]]*1.19</f>
        <v>130354.98</v>
      </c>
      <c r="I18" s="11">
        <v>117097</v>
      </c>
      <c r="J18" s="12">
        <f>+Tabla1[[#This Row],[Cotización 04
Valor unitario (sin IVA)]]*1.19</f>
        <v>139345.43</v>
      </c>
      <c r="K18" s="8"/>
      <c r="L18" s="9"/>
      <c r="M18" s="10">
        <f t="shared" si="0"/>
        <v>123218.25249999999</v>
      </c>
    </row>
    <row r="19" spans="1:15" ht="16" customHeight="1" x14ac:dyDescent="0.2">
      <c r="A19" s="6">
        <v>17</v>
      </c>
      <c r="B19" s="7" t="s">
        <v>34</v>
      </c>
      <c r="C19" s="8">
        <v>179056</v>
      </c>
      <c r="D19" s="9">
        <f>+Tabla1[[#This Row],[Cotización 01
Valor unitario (sin IVA)]]*1.19</f>
        <v>213076.63999999998</v>
      </c>
      <c r="E19" s="11">
        <v>103697</v>
      </c>
      <c r="F19" s="12">
        <f>+Tabla1[[#This Row],[Cotización 02
Valor unitario (sin IVA)]]*1.19</f>
        <v>123399.43</v>
      </c>
      <c r="G19" s="11">
        <v>168761</v>
      </c>
      <c r="H19" s="12">
        <f>+Tabla1[[#This Row],[Cotización 03
Valor unitario (sin IVA)]]*1.19</f>
        <v>200825.59</v>
      </c>
      <c r="I19" s="11">
        <v>180399</v>
      </c>
      <c r="J19" s="12">
        <f>+Tabla1[[#This Row],[Cotización 04
Valor unitario (sin IVA)]]*1.19</f>
        <v>214674.81</v>
      </c>
      <c r="K19" s="8"/>
      <c r="L19" s="9"/>
      <c r="M19" s="10">
        <f t="shared" si="0"/>
        <v>187994.11749999999</v>
      </c>
    </row>
    <row r="20" spans="1:15" ht="16" customHeight="1" x14ac:dyDescent="0.2">
      <c r="A20" s="6">
        <v>18</v>
      </c>
      <c r="B20" s="7" t="s">
        <v>35</v>
      </c>
      <c r="C20" s="8">
        <v>41912</v>
      </c>
      <c r="D20" s="9">
        <f>+Tabla1[[#This Row],[Cotización 01
Valor unitario (sin IVA)]]*1.19</f>
        <v>49875.28</v>
      </c>
      <c r="E20" s="11"/>
      <c r="F20" s="12"/>
      <c r="G20" s="11">
        <v>51176</v>
      </c>
      <c r="H20" s="12">
        <f>+Tabla1[[#This Row],[Cotización 03
Valor unitario (sin IVA)]]*1.19</f>
        <v>60899.439999999995</v>
      </c>
      <c r="I20" s="11">
        <v>54706</v>
      </c>
      <c r="J20" s="12">
        <f>+Tabla1[[#This Row],[Cotización 04
Valor unitario (sin IVA)]]*1.19</f>
        <v>65100.14</v>
      </c>
      <c r="K20" s="8"/>
      <c r="L20" s="9"/>
      <c r="M20" s="10">
        <f t="shared" si="0"/>
        <v>58624.953333333331</v>
      </c>
    </row>
    <row r="21" spans="1:15" ht="16" customHeight="1" x14ac:dyDescent="0.2">
      <c r="A21" s="6">
        <v>19</v>
      </c>
      <c r="B21" s="7" t="s">
        <v>36</v>
      </c>
      <c r="C21" s="8">
        <v>52154</v>
      </c>
      <c r="D21" s="9">
        <f>+Tabla1[[#This Row],[Cotización 01
Valor unitario (sin IVA)]]*1.19</f>
        <v>62063.259999999995</v>
      </c>
      <c r="E21" s="11">
        <v>18500</v>
      </c>
      <c r="F21" s="12">
        <f>+Tabla1[[#This Row],[Cotización 02
Valor unitario (sin IVA)]]*1.19</f>
        <v>22015</v>
      </c>
      <c r="G21" s="11">
        <v>54832</v>
      </c>
      <c r="H21" s="12">
        <f>+Tabla1[[#This Row],[Cotización 03
Valor unitario (sin IVA)]]*1.19</f>
        <v>65250.079999999994</v>
      </c>
      <c r="I21" s="11">
        <v>58613.4</v>
      </c>
      <c r="J21" s="12">
        <f>+Tabla1[[#This Row],[Cotización 04
Valor unitario (sin IVA)]]*1.19</f>
        <v>69749.945999999996</v>
      </c>
      <c r="K21" s="8"/>
      <c r="L21" s="9"/>
      <c r="M21" s="10">
        <f t="shared" si="0"/>
        <v>54769.571499999998</v>
      </c>
    </row>
    <row r="22" spans="1:15" ht="16" customHeight="1" x14ac:dyDescent="0.2">
      <c r="A22" s="6">
        <v>20</v>
      </c>
      <c r="B22" s="7" t="s">
        <v>37</v>
      </c>
      <c r="C22" s="8">
        <v>181945</v>
      </c>
      <c r="D22" s="9">
        <f>+Tabla1[[#This Row],[Cotización 01
Valor unitario (sin IVA)]]*1.19</f>
        <v>216514.55</v>
      </c>
      <c r="E22" s="11">
        <v>66550</v>
      </c>
      <c r="F22" s="12">
        <f>+Tabla1[[#This Row],[Cotización 02
Valor unitario (sin IVA)]]*1.19</f>
        <v>79194.5</v>
      </c>
      <c r="G22" s="11">
        <v>54832</v>
      </c>
      <c r="H22" s="12">
        <f>+Tabla1[[#This Row],[Cotización 03
Valor unitario (sin IVA)]]*1.19</f>
        <v>65250.079999999994</v>
      </c>
      <c r="I22" s="11">
        <v>58613.4</v>
      </c>
      <c r="J22" s="12">
        <f>+Tabla1[[#This Row],[Cotización 04
Valor unitario (sin IVA)]]*1.19</f>
        <v>69749.945999999996</v>
      </c>
      <c r="K22" s="8"/>
      <c r="L22" s="9"/>
      <c r="M22" s="10">
        <f t="shared" si="0"/>
        <v>107677.269</v>
      </c>
    </row>
    <row r="23" spans="1:15" ht="16" customHeight="1" x14ac:dyDescent="0.2">
      <c r="A23" s="6">
        <v>21</v>
      </c>
      <c r="B23" s="7" t="s">
        <v>38</v>
      </c>
      <c r="C23" s="8">
        <v>460526</v>
      </c>
      <c r="D23" s="9">
        <f>+Tabla1[[#This Row],[Cotización 01
Valor unitario (sin IVA)]]*1.19</f>
        <v>548025.93999999994</v>
      </c>
      <c r="E23" s="11"/>
      <c r="F23" s="12"/>
      <c r="G23" s="11">
        <v>507500</v>
      </c>
      <c r="H23" s="12">
        <f>+Tabla1[[#This Row],[Cotización 03
Valor unitario (sin IVA)]]*1.19</f>
        <v>603925</v>
      </c>
      <c r="I23" s="11">
        <v>542500</v>
      </c>
      <c r="J23" s="12">
        <f>+Tabla1[[#This Row],[Cotización 04
Valor unitario (sin IVA)]]*1.19</f>
        <v>645575</v>
      </c>
      <c r="K23" s="8"/>
      <c r="L23" s="9"/>
      <c r="M23" s="10">
        <f t="shared" si="0"/>
        <v>599175.31333333335</v>
      </c>
    </row>
    <row r="24" spans="1:15" ht="27" customHeight="1" x14ac:dyDescent="0.2">
      <c r="A24" s="6">
        <v>22</v>
      </c>
      <c r="B24" s="7" t="s">
        <v>39</v>
      </c>
      <c r="C24" s="8">
        <v>86695</v>
      </c>
      <c r="D24" s="9">
        <f>+Tabla1[[#This Row],[Cotización 01
Valor unitario (sin IVA)]]*1.19</f>
        <v>103167.04999999999</v>
      </c>
      <c r="E24" s="11">
        <v>47100</v>
      </c>
      <c r="F24" s="12">
        <f>+Tabla1[[#This Row],[Cotización 02
Valor unitario (sin IVA)]]*1.19</f>
        <v>56049</v>
      </c>
      <c r="G24" s="11">
        <v>73109</v>
      </c>
      <c r="H24" s="12">
        <f>+Tabla1[[#This Row],[Cotización 03
Valor unitario (sin IVA)]]*1.19</f>
        <v>86999.709999999992</v>
      </c>
      <c r="I24" s="11">
        <v>78151</v>
      </c>
      <c r="J24" s="12">
        <f>+Tabla1[[#This Row],[Cotización 04
Valor unitario (sin IVA)]]*1.19</f>
        <v>92999.69</v>
      </c>
      <c r="K24" s="8"/>
      <c r="L24" s="9"/>
      <c r="M24" s="10">
        <f t="shared" si="0"/>
        <v>84803.862499999988</v>
      </c>
    </row>
    <row r="25" spans="1:15" ht="16" customHeight="1" x14ac:dyDescent="0.2">
      <c r="A25" s="6">
        <v>23</v>
      </c>
      <c r="B25" s="7" t="s">
        <v>40</v>
      </c>
      <c r="C25" s="8">
        <v>2233538</v>
      </c>
      <c r="D25" s="9">
        <f t="shared" ref="D25:D33" si="1">+C25*1.19</f>
        <v>2657910.2199999997</v>
      </c>
      <c r="E25" s="8"/>
      <c r="F25" s="9"/>
      <c r="G25" s="8"/>
      <c r="H25" s="9"/>
      <c r="I25" s="8"/>
      <c r="J25" s="9"/>
      <c r="K25" s="8">
        <v>1605882</v>
      </c>
      <c r="L25" s="9">
        <f>+K25*1.19</f>
        <v>1910999.5799999998</v>
      </c>
      <c r="M25" s="10">
        <f t="shared" si="0"/>
        <v>2284454.9</v>
      </c>
      <c r="O25" s="25"/>
    </row>
    <row r="26" spans="1:15" ht="16" customHeight="1" x14ac:dyDescent="0.2">
      <c r="A26" s="6">
        <v>24</v>
      </c>
      <c r="B26" s="7" t="s">
        <v>41</v>
      </c>
      <c r="C26" s="8">
        <v>319657</v>
      </c>
      <c r="D26" s="9">
        <f t="shared" si="1"/>
        <v>380391.82999999996</v>
      </c>
      <c r="E26" s="8"/>
      <c r="F26" s="9"/>
      <c r="G26" s="8"/>
      <c r="H26" s="9"/>
      <c r="I26" s="8"/>
      <c r="J26" s="9"/>
      <c r="K26" s="8">
        <f>91*P1</f>
        <v>300789.58</v>
      </c>
      <c r="L26" s="9">
        <f t="shared" ref="L26:L33" si="2">+K26*1.19</f>
        <v>357939.60019999999</v>
      </c>
      <c r="M26" s="10">
        <f t="shared" si="0"/>
        <v>369165.71509999997</v>
      </c>
      <c r="O26" s="25"/>
    </row>
    <row r="27" spans="1:15" ht="16" customHeight="1" x14ac:dyDescent="0.2">
      <c r="A27" s="6">
        <v>25</v>
      </c>
      <c r="B27" s="7" t="s">
        <v>42</v>
      </c>
      <c r="C27" s="8">
        <v>736167</v>
      </c>
      <c r="D27" s="9">
        <f t="shared" si="1"/>
        <v>876038.73</v>
      </c>
      <c r="E27" s="8"/>
      <c r="F27" s="9"/>
      <c r="G27" s="8"/>
      <c r="H27" s="9"/>
      <c r="I27" s="8"/>
      <c r="J27" s="9"/>
      <c r="K27" s="8">
        <v>787500</v>
      </c>
      <c r="L27" s="9">
        <f t="shared" si="2"/>
        <v>937125</v>
      </c>
      <c r="M27" s="10">
        <f t="shared" si="0"/>
        <v>906581.86499999999</v>
      </c>
      <c r="O27" s="25"/>
    </row>
    <row r="28" spans="1:15" ht="16" customHeight="1" x14ac:dyDescent="0.2">
      <c r="A28" s="6">
        <v>26</v>
      </c>
      <c r="B28" s="7" t="s">
        <v>43</v>
      </c>
      <c r="C28" s="8">
        <v>15686</v>
      </c>
      <c r="D28" s="9">
        <f t="shared" si="1"/>
        <v>18666.34</v>
      </c>
      <c r="E28" s="8"/>
      <c r="F28" s="9"/>
      <c r="G28" s="8"/>
      <c r="H28" s="9"/>
      <c r="I28" s="8"/>
      <c r="J28" s="9"/>
      <c r="K28" s="8">
        <v>70000</v>
      </c>
      <c r="L28" s="9">
        <f t="shared" si="2"/>
        <v>83300</v>
      </c>
      <c r="M28" s="10">
        <f t="shared" si="0"/>
        <v>50983.17</v>
      </c>
      <c r="O28" s="25"/>
    </row>
    <row r="29" spans="1:15" ht="16" customHeight="1" x14ac:dyDescent="0.2">
      <c r="A29" s="6">
        <v>27</v>
      </c>
      <c r="B29" s="7" t="s">
        <v>44</v>
      </c>
      <c r="C29" s="8">
        <v>469132</v>
      </c>
      <c r="D29" s="9">
        <f t="shared" si="1"/>
        <v>558267.07999999996</v>
      </c>
      <c r="E29" s="8"/>
      <c r="F29" s="9"/>
      <c r="G29" s="8"/>
      <c r="H29" s="9"/>
      <c r="I29" s="8"/>
      <c r="J29" s="9"/>
      <c r="K29" s="8">
        <f>214*P1</f>
        <v>707351.32000000007</v>
      </c>
      <c r="L29" s="9">
        <f t="shared" si="2"/>
        <v>841748.07079999999</v>
      </c>
      <c r="M29" s="10">
        <f t="shared" si="0"/>
        <v>700007.57539999997</v>
      </c>
      <c r="O29" s="25"/>
    </row>
    <row r="30" spans="1:15" ht="16" customHeight="1" x14ac:dyDescent="0.2">
      <c r="A30" s="6">
        <v>28</v>
      </c>
      <c r="B30" s="7" t="s">
        <v>45</v>
      </c>
      <c r="C30" s="8">
        <v>193800</v>
      </c>
      <c r="D30" s="9">
        <f t="shared" si="1"/>
        <v>230622</v>
      </c>
      <c r="E30" s="8"/>
      <c r="F30" s="9"/>
      <c r="G30" s="8"/>
      <c r="H30" s="9"/>
      <c r="I30" s="8"/>
      <c r="J30" s="9"/>
      <c r="K30" s="8">
        <f>57*P1</f>
        <v>188406.66</v>
      </c>
      <c r="L30" s="9">
        <f t="shared" si="2"/>
        <v>224203.92540000001</v>
      </c>
      <c r="M30" s="10">
        <f t="shared" si="0"/>
        <v>227412.9627</v>
      </c>
      <c r="O30" s="25"/>
    </row>
    <row r="31" spans="1:15" ht="16" customHeight="1" x14ac:dyDescent="0.2">
      <c r="A31" s="6">
        <v>29</v>
      </c>
      <c r="B31" s="7" t="s">
        <v>46</v>
      </c>
      <c r="C31" s="8">
        <v>15406</v>
      </c>
      <c r="D31" s="9">
        <f t="shared" si="1"/>
        <v>18333.14</v>
      </c>
      <c r="E31" s="8"/>
      <c r="F31" s="9"/>
      <c r="G31" s="8"/>
      <c r="H31" s="9"/>
      <c r="I31" s="8"/>
      <c r="J31" s="9"/>
      <c r="K31" s="8">
        <f>5*P1</f>
        <v>16526.900000000001</v>
      </c>
      <c r="L31" s="9">
        <f t="shared" si="2"/>
        <v>19667.011000000002</v>
      </c>
      <c r="M31" s="10">
        <f t="shared" si="0"/>
        <v>19000.075499999999</v>
      </c>
      <c r="O31" s="25"/>
    </row>
    <row r="32" spans="1:15" ht="16" customHeight="1" x14ac:dyDescent="0.2">
      <c r="A32" s="6">
        <v>30</v>
      </c>
      <c r="B32" s="7" t="s">
        <v>47</v>
      </c>
      <c r="C32" s="8">
        <v>12437</v>
      </c>
      <c r="D32" s="9">
        <f t="shared" si="1"/>
        <v>14800.029999999999</v>
      </c>
      <c r="E32" s="8"/>
      <c r="F32" s="9"/>
      <c r="G32" s="8"/>
      <c r="H32" s="9"/>
      <c r="I32" s="8"/>
      <c r="J32" s="9"/>
      <c r="K32" s="8">
        <v>30000</v>
      </c>
      <c r="L32" s="9">
        <f t="shared" si="2"/>
        <v>35700</v>
      </c>
      <c r="M32" s="10">
        <f t="shared" si="0"/>
        <v>25250.014999999999</v>
      </c>
      <c r="O32" s="25"/>
    </row>
    <row r="33" spans="1:15" ht="16" customHeight="1" x14ac:dyDescent="0.2">
      <c r="A33" s="6">
        <v>31</v>
      </c>
      <c r="B33" s="7" t="s">
        <v>48</v>
      </c>
      <c r="C33" s="8">
        <v>751191</v>
      </c>
      <c r="D33" s="9">
        <f t="shared" si="1"/>
        <v>893917.28999999992</v>
      </c>
      <c r="E33" s="8"/>
      <c r="F33" s="9"/>
      <c r="G33" s="8"/>
      <c r="H33" s="9"/>
      <c r="I33" s="8"/>
      <c r="J33" s="9"/>
      <c r="K33" s="8">
        <f>127*P1</f>
        <v>419783.26</v>
      </c>
      <c r="L33" s="9">
        <f t="shared" si="2"/>
        <v>499542.07939999999</v>
      </c>
      <c r="M33" s="10">
        <f t="shared" si="0"/>
        <v>696729.68469999998</v>
      </c>
      <c r="O33" s="25"/>
    </row>
    <row r="34" spans="1:15" ht="16" customHeight="1" x14ac:dyDescent="0.2">
      <c r="A34" s="13"/>
      <c r="B34" s="14" t="s">
        <v>49</v>
      </c>
      <c r="C34" s="15">
        <f>SUBTOTAL(109,Tabla1[Cotización 01
Valor unitario (sin IVA)])</f>
        <v>8849474</v>
      </c>
      <c r="D34" s="15">
        <f>SUBTOTAL(109,Tabla1[Cotización 01
Valor unitario (con IVA)])</f>
        <v>10530874.059999999</v>
      </c>
      <c r="E34" s="15">
        <f>SUBTOTAL(109,Tabla1[Cotización 02
Valor unitario (sin IVA)])</f>
        <v>4264608</v>
      </c>
      <c r="F34" s="15">
        <f>SUBTOTAL(109,Tabla1[Cotización 02
Valor unitario (con IVA)])</f>
        <v>5074883.5199999986</v>
      </c>
      <c r="G34" s="15">
        <f>SUBTOTAL(109,Tabla1[Cotización 03
Valor unitario (sin IVA)])</f>
        <v>5259874</v>
      </c>
      <c r="H34" s="15">
        <f>SUBTOTAL(109,Tabla1[Cotización 03
Valor unitario (con IVA)])</f>
        <v>6259250.0600000005</v>
      </c>
      <c r="I34" s="15">
        <f>SUBTOTAL(109,Tabla1[Cotización 04
Valor unitario (sin IVA)])</f>
        <v>5530923.1400000006</v>
      </c>
      <c r="J34" s="15">
        <f>SUBTOTAL(109,Tabla1[Cotización 04
Valor unitario (con IVA)])</f>
        <v>6581798.5366000002</v>
      </c>
      <c r="K34" s="15">
        <f>SUBTOTAL(109,Tabla1[Cotización 06
Valor unitario (sin IVA)])</f>
        <v>4126239.7200000007</v>
      </c>
      <c r="L34" s="15">
        <f>SUBTOTAL(109,Tabla1[Cotización 06
Valor unitario (con IVA)])</f>
        <v>4910225.2667999994</v>
      </c>
      <c r="M34" s="15">
        <f>SUBTOTAL(109,Tabla1[Valor promedio unitario (con IVA)])</f>
        <v>11156712.388383333</v>
      </c>
    </row>
    <row r="36" spans="1:15" x14ac:dyDescent="0.2">
      <c r="D36" s="17"/>
    </row>
  </sheetData>
  <mergeCells count="5">
    <mergeCell ref="K1:L1"/>
    <mergeCell ref="C1:D1"/>
    <mergeCell ref="E1:F1"/>
    <mergeCell ref="G1:H1"/>
    <mergeCell ref="I1:J1"/>
  </mergeCells>
  <pageMargins left="0.7" right="0.7" top="0.75" bottom="0.75" header="0.511811023622047" footer="0.511811023622047"/>
  <pageSetup orientation="portrait" horizontalDpi="300" verticalDpi="30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24BE-95D6-8140-8B09-A27716D1186C}">
  <dimension ref="A1:L36"/>
  <sheetViews>
    <sheetView tabSelected="1" zoomScaleNormal="100" workbookViewId="0">
      <pane xSplit="2" topLeftCell="C1" activePane="topRight" state="frozen"/>
      <selection pane="topRight" activeCell="N19" sqref="N19"/>
    </sheetView>
  </sheetViews>
  <sheetFormatPr baseColWidth="10" defaultColWidth="11.5" defaultRowHeight="15" x14ac:dyDescent="0.2"/>
  <cols>
    <col min="1" max="1" width="5.5" customWidth="1"/>
    <col min="2" max="2" width="42.1640625" style="2" customWidth="1"/>
    <col min="3" max="3" width="11" style="2" customWidth="1"/>
    <col min="4" max="8" width="11.83203125" customWidth="1"/>
    <col min="9" max="9" width="14.83203125" customWidth="1"/>
  </cols>
  <sheetData>
    <row r="1" spans="1:12" s="2" customFormat="1" ht="27.75" customHeight="1" x14ac:dyDescent="0.2">
      <c r="A1" s="3"/>
      <c r="B1" s="3"/>
      <c r="C1" s="3"/>
      <c r="D1" s="1"/>
      <c r="E1" s="18"/>
      <c r="F1" s="1"/>
      <c r="G1" s="1"/>
      <c r="H1" s="1"/>
      <c r="I1" s="3"/>
      <c r="L1" s="16"/>
    </row>
    <row r="2" spans="1:12" ht="36" customHeight="1" x14ac:dyDescent="0.2">
      <c r="A2" s="5" t="s">
        <v>5</v>
      </c>
      <c r="B2" s="5" t="s">
        <v>6</v>
      </c>
      <c r="C2" s="5" t="s">
        <v>51</v>
      </c>
      <c r="D2" s="5" t="s">
        <v>53</v>
      </c>
      <c r="E2" s="5" t="s">
        <v>54</v>
      </c>
      <c r="F2" s="5" t="s">
        <v>55</v>
      </c>
      <c r="G2" s="5" t="s">
        <v>56</v>
      </c>
      <c r="H2" s="5" t="s">
        <v>57</v>
      </c>
      <c r="I2" s="5" t="s">
        <v>17</v>
      </c>
    </row>
    <row r="3" spans="1:12" x14ac:dyDescent="0.2">
      <c r="A3" s="21">
        <v>1</v>
      </c>
      <c r="B3" s="22" t="s">
        <v>18</v>
      </c>
      <c r="C3" s="22" t="s">
        <v>52</v>
      </c>
      <c r="D3" s="23">
        <v>952072.59</v>
      </c>
      <c r="E3" s="23">
        <v>2673587.2799999998</v>
      </c>
      <c r="F3" s="23">
        <v>2094757</v>
      </c>
      <c r="G3" s="23">
        <v>2130100</v>
      </c>
      <c r="H3" s="23"/>
      <c r="I3" s="24">
        <f>AVERAGE(Tabla13[[#This Row],[1]:[5]])</f>
        <v>1962629.2174999998</v>
      </c>
    </row>
    <row r="4" spans="1:12" x14ac:dyDescent="0.2">
      <c r="A4" s="6">
        <v>2</v>
      </c>
      <c r="B4" s="7" t="s">
        <v>19</v>
      </c>
      <c r="C4" s="7" t="s">
        <v>52</v>
      </c>
      <c r="D4" s="19">
        <v>496801.19999999995</v>
      </c>
      <c r="E4" s="19">
        <v>300070.39999999997</v>
      </c>
      <c r="F4" s="19">
        <v>332050.45999999996</v>
      </c>
      <c r="G4" s="19">
        <v>354949.63</v>
      </c>
      <c r="H4" s="19"/>
      <c r="I4" s="20">
        <f>AVERAGE(Tabla13[[#This Row],[1]:[5]])</f>
        <v>370967.92249999999</v>
      </c>
    </row>
    <row r="5" spans="1:12" x14ac:dyDescent="0.2">
      <c r="A5" s="21">
        <v>3</v>
      </c>
      <c r="B5" s="22" t="s">
        <v>20</v>
      </c>
      <c r="C5" s="22" t="s">
        <v>52</v>
      </c>
      <c r="D5" s="23">
        <v>475859.57999999996</v>
      </c>
      <c r="E5" s="23">
        <v>312000.14999999997</v>
      </c>
      <c r="F5" s="23">
        <v>521999.44999999995</v>
      </c>
      <c r="G5" s="23">
        <v>558000.4486</v>
      </c>
      <c r="H5" s="23"/>
      <c r="I5" s="24">
        <f>AVERAGE(Tabla13[[#This Row],[1]:[5]])</f>
        <v>466964.90714999998</v>
      </c>
    </row>
    <row r="6" spans="1:12" ht="26" x14ac:dyDescent="0.2">
      <c r="A6" s="6">
        <v>4</v>
      </c>
      <c r="B6" s="7" t="s">
        <v>21</v>
      </c>
      <c r="C6" s="7" t="s">
        <v>52</v>
      </c>
      <c r="D6" s="19">
        <v>172307.24</v>
      </c>
      <c r="E6" s="19">
        <v>71519</v>
      </c>
      <c r="F6" s="19">
        <v>215687.5</v>
      </c>
      <c r="G6" s="19">
        <v>230562.5</v>
      </c>
      <c r="H6" s="19"/>
      <c r="I6" s="20">
        <f>AVERAGE(Tabla13[[#This Row],[1]:[5]])</f>
        <v>172519.06</v>
      </c>
    </row>
    <row r="7" spans="1:12" x14ac:dyDescent="0.2">
      <c r="A7" s="21">
        <v>5</v>
      </c>
      <c r="B7" s="22" t="s">
        <v>22</v>
      </c>
      <c r="C7" s="22" t="s">
        <v>52</v>
      </c>
      <c r="D7" s="23">
        <v>103076.61</v>
      </c>
      <c r="E7" s="23">
        <v>38999.869999999995</v>
      </c>
      <c r="F7" s="23">
        <v>129412.5</v>
      </c>
      <c r="G7" s="23">
        <v>138337.5</v>
      </c>
      <c r="H7" s="23"/>
      <c r="I7" s="24">
        <f>AVERAGE(Tabla13[[#This Row],[1]:[5]])</f>
        <v>102456.62</v>
      </c>
    </row>
    <row r="8" spans="1:12" x14ac:dyDescent="0.2">
      <c r="A8" s="6">
        <v>6</v>
      </c>
      <c r="B8" s="7" t="s">
        <v>23</v>
      </c>
      <c r="C8" s="7" t="s">
        <v>52</v>
      </c>
      <c r="D8" s="19">
        <v>444115.13999999996</v>
      </c>
      <c r="E8" s="19">
        <v>298870.88</v>
      </c>
      <c r="F8" s="19">
        <v>637999.46</v>
      </c>
      <c r="G8" s="19">
        <v>681999.71</v>
      </c>
      <c r="H8" s="19"/>
      <c r="I8" s="20">
        <f>AVERAGE(Tabla13[[#This Row],[1]:[5]])</f>
        <v>515746.29749999999</v>
      </c>
    </row>
    <row r="9" spans="1:12" x14ac:dyDescent="0.2">
      <c r="A9" s="21">
        <v>7</v>
      </c>
      <c r="B9" s="22" t="s">
        <v>24</v>
      </c>
      <c r="C9" s="22" t="s">
        <v>52</v>
      </c>
      <c r="D9" s="23">
        <v>37028.04</v>
      </c>
      <c r="E9" s="23">
        <v>117417.29999999999</v>
      </c>
      <c r="F9" s="23">
        <v>179452</v>
      </c>
      <c r="G9" s="23">
        <v>191828</v>
      </c>
      <c r="H9" s="23"/>
      <c r="I9" s="24">
        <f>AVERAGE(Tabla13[[#This Row],[1]:[5]])</f>
        <v>131431.33499999999</v>
      </c>
    </row>
    <row r="10" spans="1:12" x14ac:dyDescent="0.2">
      <c r="A10" s="6">
        <v>8</v>
      </c>
      <c r="B10" s="7" t="s">
        <v>25</v>
      </c>
      <c r="C10" s="7" t="s">
        <v>52</v>
      </c>
      <c r="D10" s="19">
        <v>64957.34</v>
      </c>
      <c r="E10" s="19">
        <v>100400.29999999999</v>
      </c>
      <c r="F10" s="19">
        <v>86275</v>
      </c>
      <c r="G10" s="19">
        <v>92225</v>
      </c>
      <c r="H10" s="19"/>
      <c r="I10" s="20">
        <f>AVERAGE(Tabla13[[#This Row],[1]:[5]])</f>
        <v>85964.41</v>
      </c>
    </row>
    <row r="11" spans="1:12" x14ac:dyDescent="0.2">
      <c r="A11" s="21">
        <v>9</v>
      </c>
      <c r="B11" s="22" t="s">
        <v>26</v>
      </c>
      <c r="C11" s="22" t="s">
        <v>52</v>
      </c>
      <c r="D11" s="23">
        <v>29428.699999999997</v>
      </c>
      <c r="E11" s="23">
        <v>7140</v>
      </c>
      <c r="F11" s="23">
        <v>27435.449999999997</v>
      </c>
      <c r="G11" s="23">
        <v>29327.55</v>
      </c>
      <c r="H11" s="23"/>
      <c r="I11" s="24">
        <f>AVERAGE(Tabla13[[#This Row],[1]:[5]])</f>
        <v>23332.924999999999</v>
      </c>
    </row>
    <row r="12" spans="1:12" x14ac:dyDescent="0.2">
      <c r="A12" s="6">
        <v>10</v>
      </c>
      <c r="B12" s="7" t="s">
        <v>27</v>
      </c>
      <c r="C12" s="7" t="s">
        <v>52</v>
      </c>
      <c r="D12" s="19">
        <v>12286.75</v>
      </c>
      <c r="E12" s="19">
        <v>7199.5</v>
      </c>
      <c r="F12" s="19">
        <v>17255</v>
      </c>
      <c r="G12" s="19">
        <v>18445</v>
      </c>
      <c r="H12" s="19"/>
      <c r="I12" s="20">
        <f>AVERAGE(Tabla13[[#This Row],[1]:[5]])</f>
        <v>13796.5625</v>
      </c>
    </row>
    <row r="13" spans="1:12" x14ac:dyDescent="0.2">
      <c r="A13" s="21">
        <v>11</v>
      </c>
      <c r="B13" s="22" t="s">
        <v>28</v>
      </c>
      <c r="C13" s="22" t="s">
        <v>52</v>
      </c>
      <c r="D13" s="23">
        <v>53513.11</v>
      </c>
      <c r="E13" s="23">
        <v>56417.899999999994</v>
      </c>
      <c r="F13" s="23">
        <v>94250.37999999999</v>
      </c>
      <c r="G13" s="23">
        <v>100750.15999999999</v>
      </c>
      <c r="H13" s="23"/>
      <c r="I13" s="24">
        <f>AVERAGE(Tabla13[[#This Row],[1]:[5]])</f>
        <v>76232.887499999997</v>
      </c>
    </row>
    <row r="14" spans="1:12" x14ac:dyDescent="0.2">
      <c r="A14" s="6">
        <v>12</v>
      </c>
      <c r="B14" s="7" t="s">
        <v>29</v>
      </c>
      <c r="C14" s="7" t="s">
        <v>52</v>
      </c>
      <c r="D14" s="19">
        <v>23538.2</v>
      </c>
      <c r="E14" s="19"/>
      <c r="F14" s="19">
        <v>65250.079999999994</v>
      </c>
      <c r="G14" s="19">
        <v>69749.47</v>
      </c>
      <c r="H14" s="19"/>
      <c r="I14" s="20">
        <f>AVERAGE(Tabla13[[#This Row],[1]:[5]])</f>
        <v>52845.916666666664</v>
      </c>
    </row>
    <row r="15" spans="1:12" x14ac:dyDescent="0.2">
      <c r="A15" s="21">
        <v>13</v>
      </c>
      <c r="B15" s="22" t="s">
        <v>30</v>
      </c>
      <c r="C15" s="22" t="s">
        <v>52</v>
      </c>
      <c r="D15" s="23">
        <v>565051.27</v>
      </c>
      <c r="E15" s="23">
        <v>631176</v>
      </c>
      <c r="F15" s="23">
        <v>513300.55</v>
      </c>
      <c r="G15" s="23">
        <v>548699.95600000001</v>
      </c>
      <c r="H15" s="23"/>
      <c r="I15" s="24">
        <f>AVERAGE(Tabla13[[#This Row],[1]:[5]])</f>
        <v>564556.94400000002</v>
      </c>
    </row>
    <row r="16" spans="1:12" x14ac:dyDescent="0.2">
      <c r="A16" s="6">
        <v>14</v>
      </c>
      <c r="B16" s="7" t="s">
        <v>31</v>
      </c>
      <c r="C16" s="7" t="s">
        <v>52</v>
      </c>
      <c r="D16" s="19">
        <v>106184.89</v>
      </c>
      <c r="E16" s="19">
        <v>89726</v>
      </c>
      <c r="F16" s="19">
        <v>116816.34999999999</v>
      </c>
      <c r="G16" s="19">
        <v>124872.65</v>
      </c>
      <c r="H16" s="19"/>
      <c r="I16" s="20">
        <f>AVERAGE(Tabla13[[#This Row],[1]:[5]])</f>
        <v>109399.9725</v>
      </c>
    </row>
    <row r="17" spans="1:9" x14ac:dyDescent="0.2">
      <c r="A17" s="21">
        <v>15</v>
      </c>
      <c r="B17" s="22" t="s">
        <v>32</v>
      </c>
      <c r="C17" s="22" t="s">
        <v>52</v>
      </c>
      <c r="D17" s="23">
        <v>16061.429999999998</v>
      </c>
      <c r="E17" s="23">
        <v>3451</v>
      </c>
      <c r="F17" s="23">
        <v>13804</v>
      </c>
      <c r="G17" s="23">
        <v>14756</v>
      </c>
      <c r="H17" s="23"/>
      <c r="I17" s="24">
        <f>AVERAGE(Tabla13[[#This Row],[1]:[5]])</f>
        <v>12018.1075</v>
      </c>
    </row>
    <row r="18" spans="1:9" x14ac:dyDescent="0.2">
      <c r="A18" s="6">
        <v>16</v>
      </c>
      <c r="B18" s="7" t="s">
        <v>33</v>
      </c>
      <c r="C18" s="7" t="s">
        <v>52</v>
      </c>
      <c r="D18" s="19">
        <v>136922.59</v>
      </c>
      <c r="E18" s="19">
        <v>86250.01</v>
      </c>
      <c r="F18" s="19">
        <v>130354.98</v>
      </c>
      <c r="G18" s="19">
        <v>139345.43</v>
      </c>
      <c r="H18" s="19"/>
      <c r="I18" s="20">
        <f>AVERAGE(Tabla13[[#This Row],[1]:[5]])</f>
        <v>123218.25249999999</v>
      </c>
    </row>
    <row r="19" spans="1:9" x14ac:dyDescent="0.2">
      <c r="A19" s="21">
        <v>17</v>
      </c>
      <c r="B19" s="22" t="s">
        <v>34</v>
      </c>
      <c r="C19" s="22" t="s">
        <v>52</v>
      </c>
      <c r="D19" s="23">
        <v>213076.63999999998</v>
      </c>
      <c r="E19" s="23">
        <v>123399.43</v>
      </c>
      <c r="F19" s="23">
        <v>200825.59</v>
      </c>
      <c r="G19" s="23">
        <v>214674.81</v>
      </c>
      <c r="H19" s="23"/>
      <c r="I19" s="24">
        <f>AVERAGE(Tabla13[[#This Row],[1]:[5]])</f>
        <v>187994.11749999999</v>
      </c>
    </row>
    <row r="20" spans="1:9" x14ac:dyDescent="0.2">
      <c r="A20" s="6">
        <v>18</v>
      </c>
      <c r="B20" s="7" t="s">
        <v>35</v>
      </c>
      <c r="C20" s="7" t="s">
        <v>52</v>
      </c>
      <c r="D20" s="19">
        <v>49875.28</v>
      </c>
      <c r="E20" s="19"/>
      <c r="F20" s="19">
        <v>60899.439999999995</v>
      </c>
      <c r="G20" s="19">
        <v>65100.14</v>
      </c>
      <c r="H20" s="19"/>
      <c r="I20" s="20">
        <f>AVERAGE(Tabla13[[#This Row],[1]:[5]])</f>
        <v>58624.953333333331</v>
      </c>
    </row>
    <row r="21" spans="1:9" x14ac:dyDescent="0.2">
      <c r="A21" s="21">
        <v>19</v>
      </c>
      <c r="B21" s="22" t="s">
        <v>36</v>
      </c>
      <c r="C21" s="22" t="s">
        <v>52</v>
      </c>
      <c r="D21" s="23">
        <v>62063.259999999995</v>
      </c>
      <c r="E21" s="23">
        <v>22015</v>
      </c>
      <c r="F21" s="23">
        <v>65250.079999999994</v>
      </c>
      <c r="G21" s="23">
        <v>69749.945999999996</v>
      </c>
      <c r="H21" s="23"/>
      <c r="I21" s="24">
        <f>AVERAGE(Tabla13[[#This Row],[1]:[5]])</f>
        <v>54769.571499999998</v>
      </c>
    </row>
    <row r="22" spans="1:9" x14ac:dyDescent="0.2">
      <c r="A22" s="6">
        <v>20</v>
      </c>
      <c r="B22" s="7" t="s">
        <v>37</v>
      </c>
      <c r="C22" s="7" t="s">
        <v>52</v>
      </c>
      <c r="D22" s="19">
        <v>216514.55</v>
      </c>
      <c r="E22" s="19">
        <v>79194.5</v>
      </c>
      <c r="F22" s="19">
        <v>65250.079999999994</v>
      </c>
      <c r="G22" s="19">
        <v>69749.945999999996</v>
      </c>
      <c r="H22" s="19"/>
      <c r="I22" s="20">
        <f>AVERAGE(Tabla13[[#This Row],[1]:[5]])</f>
        <v>107677.269</v>
      </c>
    </row>
    <row r="23" spans="1:9" x14ac:dyDescent="0.2">
      <c r="A23" s="21">
        <v>21</v>
      </c>
      <c r="B23" s="22" t="s">
        <v>38</v>
      </c>
      <c r="C23" s="22" t="s">
        <v>52</v>
      </c>
      <c r="D23" s="23">
        <v>548025.93999999994</v>
      </c>
      <c r="E23" s="23"/>
      <c r="F23" s="23">
        <v>603925</v>
      </c>
      <c r="G23" s="23">
        <v>645575</v>
      </c>
      <c r="H23" s="23"/>
      <c r="I23" s="24">
        <f>AVERAGE(Tabla13[[#This Row],[1]:[5]])</f>
        <v>599175.31333333335</v>
      </c>
    </row>
    <row r="24" spans="1:9" ht="26" x14ac:dyDescent="0.2">
      <c r="A24" s="6">
        <v>22</v>
      </c>
      <c r="B24" s="7" t="s">
        <v>39</v>
      </c>
      <c r="C24" s="7" t="s">
        <v>52</v>
      </c>
      <c r="D24" s="19">
        <v>103167.04999999999</v>
      </c>
      <c r="E24" s="19">
        <v>56049</v>
      </c>
      <c r="F24" s="19">
        <v>86999.709999999992</v>
      </c>
      <c r="G24" s="19">
        <v>92999.69</v>
      </c>
      <c r="H24" s="19"/>
      <c r="I24" s="20">
        <f>AVERAGE(Tabla13[[#This Row],[1]:[5]])</f>
        <v>84803.862499999988</v>
      </c>
    </row>
    <row r="25" spans="1:9" x14ac:dyDescent="0.2">
      <c r="A25" s="21">
        <v>23</v>
      </c>
      <c r="B25" s="22" t="s">
        <v>40</v>
      </c>
      <c r="C25" s="22" t="s">
        <v>52</v>
      </c>
      <c r="D25" s="23">
        <v>2657910.2199999997</v>
      </c>
      <c r="E25" s="23"/>
      <c r="F25" s="23"/>
      <c r="G25" s="23"/>
      <c r="H25" s="23">
        <v>1910999.5799999998</v>
      </c>
      <c r="I25" s="24">
        <f>AVERAGE(Tabla13[[#This Row],[1]:[5]])</f>
        <v>2284454.9</v>
      </c>
    </row>
    <row r="26" spans="1:9" x14ac:dyDescent="0.2">
      <c r="A26" s="6">
        <v>24</v>
      </c>
      <c r="B26" s="7" t="s">
        <v>41</v>
      </c>
      <c r="C26" s="7" t="s">
        <v>52</v>
      </c>
      <c r="D26" s="19">
        <v>380391.82999999996</v>
      </c>
      <c r="E26" s="19"/>
      <c r="F26" s="19"/>
      <c r="G26" s="19"/>
      <c r="H26" s="19">
        <v>357939.60019999999</v>
      </c>
      <c r="I26" s="20">
        <f>AVERAGE(Tabla13[[#This Row],[1]:[5]])</f>
        <v>369165.71509999997</v>
      </c>
    </row>
    <row r="27" spans="1:9" x14ac:dyDescent="0.2">
      <c r="A27" s="21">
        <v>25</v>
      </c>
      <c r="B27" s="22" t="s">
        <v>42</v>
      </c>
      <c r="C27" s="22" t="s">
        <v>52</v>
      </c>
      <c r="D27" s="23">
        <v>876038.73</v>
      </c>
      <c r="E27" s="23"/>
      <c r="F27" s="23"/>
      <c r="G27" s="23"/>
      <c r="H27" s="23">
        <v>937125</v>
      </c>
      <c r="I27" s="24">
        <f>AVERAGE(Tabla13[[#This Row],[1]:[5]])</f>
        <v>906581.86499999999</v>
      </c>
    </row>
    <row r="28" spans="1:9" x14ac:dyDescent="0.2">
      <c r="A28" s="6">
        <v>26</v>
      </c>
      <c r="B28" s="7" t="s">
        <v>43</v>
      </c>
      <c r="C28" s="7" t="s">
        <v>52</v>
      </c>
      <c r="D28" s="19">
        <v>18666.34</v>
      </c>
      <c r="E28" s="19"/>
      <c r="F28" s="19"/>
      <c r="G28" s="19"/>
      <c r="H28" s="19">
        <v>83300</v>
      </c>
      <c r="I28" s="20">
        <f>AVERAGE(Tabla13[[#This Row],[1]:[5]])</f>
        <v>50983.17</v>
      </c>
    </row>
    <row r="29" spans="1:9" x14ac:dyDescent="0.2">
      <c r="A29" s="21">
        <v>27</v>
      </c>
      <c r="B29" s="22" t="s">
        <v>44</v>
      </c>
      <c r="C29" s="22" t="s">
        <v>52</v>
      </c>
      <c r="D29" s="23">
        <v>558267.07999999996</v>
      </c>
      <c r="E29" s="23"/>
      <c r="F29" s="23"/>
      <c r="G29" s="23"/>
      <c r="H29" s="23">
        <v>841748.07079999999</v>
      </c>
      <c r="I29" s="24">
        <f>AVERAGE(Tabla13[[#This Row],[1]:[5]])</f>
        <v>700007.57539999997</v>
      </c>
    </row>
    <row r="30" spans="1:9" x14ac:dyDescent="0.2">
      <c r="A30" s="6">
        <v>28</v>
      </c>
      <c r="B30" s="7" t="s">
        <v>45</v>
      </c>
      <c r="C30" s="7" t="s">
        <v>52</v>
      </c>
      <c r="D30" s="19">
        <v>230622</v>
      </c>
      <c r="E30" s="19"/>
      <c r="F30" s="19"/>
      <c r="G30" s="19"/>
      <c r="H30" s="19">
        <v>224203.92540000001</v>
      </c>
      <c r="I30" s="20">
        <f>AVERAGE(Tabla13[[#This Row],[1]:[5]])</f>
        <v>227412.9627</v>
      </c>
    </row>
    <row r="31" spans="1:9" x14ac:dyDescent="0.2">
      <c r="A31" s="21">
        <v>29</v>
      </c>
      <c r="B31" s="22" t="s">
        <v>46</v>
      </c>
      <c r="C31" s="22" t="s">
        <v>52</v>
      </c>
      <c r="D31" s="23">
        <v>18333.14</v>
      </c>
      <c r="E31" s="23"/>
      <c r="F31" s="23"/>
      <c r="G31" s="23"/>
      <c r="H31" s="23">
        <v>19667.011000000002</v>
      </c>
      <c r="I31" s="24">
        <f>AVERAGE(Tabla13[[#This Row],[1]:[5]])</f>
        <v>19000.075499999999</v>
      </c>
    </row>
    <row r="32" spans="1:9" x14ac:dyDescent="0.2">
      <c r="A32" s="6">
        <v>30</v>
      </c>
      <c r="B32" s="7" t="s">
        <v>47</v>
      </c>
      <c r="C32" s="7" t="s">
        <v>52</v>
      </c>
      <c r="D32" s="19">
        <v>14800.029999999999</v>
      </c>
      <c r="E32" s="19"/>
      <c r="F32" s="19"/>
      <c r="G32" s="19"/>
      <c r="H32" s="19">
        <v>35700</v>
      </c>
      <c r="I32" s="20">
        <f>AVERAGE(Tabla13[[#This Row],[1]:[5]])</f>
        <v>25250.014999999999</v>
      </c>
    </row>
    <row r="33" spans="1:9" x14ac:dyDescent="0.2">
      <c r="A33" s="21">
        <v>31</v>
      </c>
      <c r="B33" s="22" t="s">
        <v>48</v>
      </c>
      <c r="C33" s="22" t="s">
        <v>52</v>
      </c>
      <c r="D33" s="23">
        <v>893917.28999999992</v>
      </c>
      <c r="E33" s="23"/>
      <c r="F33" s="23"/>
      <c r="G33" s="23"/>
      <c r="H33" s="23">
        <v>499542.07939999999</v>
      </c>
      <c r="I33" s="24">
        <f>AVERAGE(Tabla13[[#This Row],[1]:[5]])</f>
        <v>696729.68469999998</v>
      </c>
    </row>
    <row r="34" spans="1:9" x14ac:dyDescent="0.2">
      <c r="A34" s="26" t="s">
        <v>49</v>
      </c>
      <c r="B34" s="26"/>
      <c r="C34" s="26"/>
      <c r="D34" s="26"/>
      <c r="E34" s="26"/>
      <c r="F34" s="26"/>
      <c r="G34" s="26"/>
      <c r="H34" s="26"/>
      <c r="I34" s="15">
        <f>SUBTOTAL(109,Tabla13[Valor promedio unitario (con IVA)])</f>
        <v>11156712.388383333</v>
      </c>
    </row>
    <row r="36" spans="1:9" x14ac:dyDescent="0.2">
      <c r="D36" s="17"/>
    </row>
  </sheetData>
  <mergeCells count="1">
    <mergeCell ref="A34:H34"/>
  </mergeCells>
  <pageMargins left="0.7" right="0.7" top="0.75" bottom="0.75" header="0.511811023622047" footer="0.511811023622047"/>
  <pageSetup orientation="portrait" horizontalDpi="300" verticalDpi="30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ESTUDIO DE MERCADO</vt:lpstr>
      <vt:lpstr>Resume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Gustavo Ospina</dc:creator>
  <dc:description/>
  <cp:lastModifiedBy>Juan Villada Oquendo</cp:lastModifiedBy>
  <cp:revision>0</cp:revision>
  <dcterms:created xsi:type="dcterms:W3CDTF">2015-06-05T18:19:34Z</dcterms:created>
  <dcterms:modified xsi:type="dcterms:W3CDTF">2026-07-11T19:28:54Z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mplianceAssetId">
    <vt:lpwstr/>
  </property>
  <property fmtid="{D5CDD505-2E9C-101B-9397-08002B2CF9AE}" pid="3" name="ContentTypeId">
    <vt:lpwstr>0x010100B40BD4BD634DEE408F5FB185402B648B</vt:lpwstr>
  </property>
  <property fmtid="{D5CDD505-2E9C-101B-9397-08002B2CF9AE}" pid="4" name="MediaServiceImageTags">
    <vt:lpwstr/>
  </property>
  <property fmtid="{D5CDD505-2E9C-101B-9397-08002B2CF9AE}" pid="5" name="TriggerFlowInfo">
    <vt:lpwstr/>
  </property>
  <property fmtid="{D5CDD505-2E9C-101B-9397-08002B2CF9AE}" pid="6" name="_ExtendedDescription">
    <vt:lpwstr/>
  </property>
</Properties>
</file>