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findeterco.sharepoint.com/sites/DIRECCIONDEPLANEACIONDENEGOCIOSFIDUCIARIOS/Documentos compartidos/CI_CO1PCCNTR4917031_2023_MEN/08. Informes Financieros/0803. Informe Ejecución Financiera (Aliado)/202605/"/>
    </mc:Choice>
  </mc:AlternateContent>
  <xr:revisionPtr revIDLastSave="8492" documentId="13_ncr:1_{F89FD925-9BA0-48D3-8856-1D5F00388FEA}" xr6:coauthVersionLast="47" xr6:coauthVersionMax="47" xr10:uidLastSave="{9608550E-1955-4AEF-B686-35030C4E1BB3}"/>
  <workbookProtection workbookAlgorithmName="SHA-512" workbookHashValue="XI1ILyYMOCMzxW3lQbs4/CEGxiAsdUKJYHF1aDqkSFgmfC2cA+0uOwnzMdNtr2gaxxJ7JszFowds+yuWSsVYsA==" workbookSaltValue="Uw6NhWdeymV8TrNFQuSa1A==" workbookSpinCount="100000" lockStructure="1"/>
  <bookViews>
    <workbookView xWindow="-110" yWindow="-110" windowWidth="19420" windowHeight="11500" tabRatio="827" firstSheet="2" activeTab="5" xr2:uid="{00000000-000D-0000-FFFF-FFFF00000000}"/>
  </bookViews>
  <sheets>
    <sheet name="Indice Informe Financiero" sheetId="58" r:id="rId1"/>
    <sheet name="0.Ficha Técnica" sheetId="60" r:id="rId2"/>
    <sheet name="1.Resumen Financiero Contrato" sheetId="42" r:id="rId3"/>
    <sheet name="2.Resumen Presupuestal" sheetId="56" r:id="rId4"/>
    <sheet name="3.Ingresos del Contrato" sheetId="54" r:id="rId5"/>
    <sheet name="4.E.F. Contratación Derivada" sheetId="59" r:id="rId6"/>
    <sheet name="5.Pagos Asistencia Ténica" sheetId="57" r:id="rId7"/>
    <sheet name="6.Reportes de Pagos" sheetId="44" r:id="rId8"/>
    <sheet name="7.Rendimientos Financieros" sheetId="55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670_1200_40" localSheetId="5">'[1]CONTROL DE PAGOS - OCT 20'!#REF!</definedName>
    <definedName name="_670_1200_40">'[1]CONTROL DE PAGOS - OCT 20'!#REF!</definedName>
    <definedName name="_xlnm._FilterDatabase" localSheetId="4" hidden="1">'3.Ingresos del Contrato'!#REF!</definedName>
    <definedName name="_xlnm._FilterDatabase" localSheetId="5" hidden="1">'4.E.F. Contratación Derivada'!$A$7:$AN$35</definedName>
    <definedName name="_xlnm._FilterDatabase" localSheetId="7" hidden="1">'6.Reportes de Pagos'!$A$7:$N$500</definedName>
    <definedName name="_xlnm.Print_Area" localSheetId="2">'1.Resumen Financiero Contrato'!$A$1:$O$54</definedName>
    <definedName name="_xlnm.Print_Area" localSheetId="3">'2.Resumen Presupuestal'!$A$1:$O$9</definedName>
    <definedName name="_xlnm.Print_Area" localSheetId="4">'3.Ingresos del Contrato'!$A$1:$K$9</definedName>
    <definedName name="_xlnm.Print_Area" localSheetId="5">'4.E.F. Contratación Derivada'!$A$1:$AN$36</definedName>
    <definedName name="_xlnm.Print_Area" localSheetId="6">'5.Pagos Asistencia Ténica'!$A$1:$J$51</definedName>
    <definedName name="_xlnm.Print_Area" localSheetId="7">'6.Reportes de Pagos'!$A$1:$R$508</definedName>
    <definedName name="_xlnm.Print_Area" localSheetId="8">'7.Rendimientos Financieros'!$A$1:$I$45</definedName>
    <definedName name="CONTRATO">'Indice Informe Financiero'!$D$10</definedName>
    <definedName name="FECHA">'Indice Informe Financiero'!$M$14</definedName>
    <definedName name="MATRIZBASE" localSheetId="1">[2]CONSOLIDADO!$A$3:$AG$98</definedName>
    <definedName name="MATRIZBASE" localSheetId="3">#REF!</definedName>
    <definedName name="MATRIZBASE" localSheetId="8">#REF!</definedName>
    <definedName name="MATRIZBASE">[3]CONSOLIDADO!$A$3:$AI$124</definedName>
    <definedName name="OBRA" localSheetId="1">'[2]PAGOS OBRA'!$A$3:$B$93</definedName>
    <definedName name="OBRA" localSheetId="3">'[2]PAGOS OBRA'!$A$3:$B$93</definedName>
    <definedName name="OBRA" localSheetId="8">'[2]PAGOS OBRA'!$A$3:$B$93</definedName>
    <definedName name="OBRA">'[3]PAGOS OBRA'!$A$3:$B$94</definedName>
    <definedName name="periodo" localSheetId="1">[4]INFORME!$D$14</definedName>
    <definedName name="periodo">'Indice Informe Financiero'!$D$14</definedName>
    <definedName name="RENDIMIENTOS" localSheetId="5">'6.Reportes de Pagos'!#REF!</definedName>
    <definedName name="RENDIMIENTOS">'6.Reportes de Pagos'!#REF!</definedName>
    <definedName name="_xlnm.Print_Titles" localSheetId="5">'4.E.F. Contratación Derivada'!$O:$O,'4.E.F. Contratación Derivada'!$1:$7</definedName>
    <definedName name="VLMAYPERM">'4.E.F. Contratación Derivada'!$X$33</definedName>
    <definedName name="VRASITENCIA">'[4]REMUNERACIÓN FINDETER'!$F$17</definedName>
    <definedName name="VRCOMPROMISOS">'4.E.F. Contratación Derivada'!$H$33</definedName>
    <definedName name="VRCONTRATOS" localSheetId="1">'[4]CONTROL CONTRATOS'!$T$30</definedName>
    <definedName name="VRCONTRATOS">'4.E.F. Contratación Derivada'!$Y$33</definedName>
    <definedName name="VRCXCCTO" localSheetId="1">'[4]CONTROL CONTRATOS'!$AC$30</definedName>
    <definedName name="VRCXCCTO">'4.E.F. Contratación Derivada'!#REF!</definedName>
    <definedName name="VRFACT">'5.Pagos Asistencia Ténica'!$G$50</definedName>
    <definedName name="VRFINDETER" localSheetId="1">'[4]REMUNERACIÓN FINDETER'!$C$17</definedName>
    <definedName name="VRFINDETER">'5.Pagos Asistencia Ténica'!$E$50</definedName>
    <definedName name="VRLIBERACIONES">'4.E.F. Contratación Derivada'!$AK$33</definedName>
    <definedName name="VRPAGOSCTOS" localSheetId="1">'[4]CONTROL CONTRATOS'!$AA$30</definedName>
    <definedName name="VRPAGOSCTOS">'4.E.F. Contratación Derivada'!$AI$33</definedName>
    <definedName name="VRRTEGTIACTO" localSheetId="1">'[4]CONTROL CONTRATOS'!$AB$30</definedName>
    <definedName name="VRRTEGTIACTO">'4.E.F. Contratación Derivada'!$AJ$33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06" i="44" l="1"/>
  <c r="AD32" i="59"/>
  <c r="AH33" i="59"/>
  <c r="AE33" i="59"/>
  <c r="AG33" i="59"/>
  <c r="N38" i="42"/>
  <c r="K38" i="42"/>
  <c r="J38" i="42"/>
  <c r="F44" i="42" s="1"/>
  <c r="I38" i="42"/>
  <c r="L38" i="42" s="1"/>
  <c r="G38" i="42"/>
  <c r="D38" i="42"/>
  <c r="C38" i="42"/>
  <c r="AF21" i="59"/>
  <c r="AF33" i="59" s="1"/>
  <c r="AC21" i="59"/>
  <c r="AD7" i="59"/>
  <c r="N497" i="44"/>
  <c r="AC7" i="59"/>
  <c r="AE7" i="59"/>
  <c r="AC8" i="59"/>
  <c r="AD8" i="59"/>
  <c r="AC9" i="59"/>
  <c r="AD9" i="59"/>
  <c r="AC10" i="59"/>
  <c r="AD10" i="59"/>
  <c r="AC11" i="59"/>
  <c r="AD11" i="59"/>
  <c r="AC12" i="59"/>
  <c r="AD12" i="59"/>
  <c r="AC13" i="59"/>
  <c r="AD13" i="59"/>
  <c r="AC14" i="59"/>
  <c r="AD14" i="59"/>
  <c r="AC15" i="59"/>
  <c r="AD15" i="59"/>
  <c r="AC16" i="59"/>
  <c r="AD16" i="59"/>
  <c r="AC17" i="59"/>
  <c r="AD17" i="59"/>
  <c r="AC18" i="59"/>
  <c r="AD18" i="59"/>
  <c r="AC19" i="59"/>
  <c r="AD19" i="59"/>
  <c r="AC20" i="59"/>
  <c r="AD20" i="59"/>
  <c r="AD21" i="59"/>
  <c r="AC22" i="59"/>
  <c r="AD22" i="59"/>
  <c r="AC23" i="59"/>
  <c r="AD23" i="59"/>
  <c r="AC24" i="59"/>
  <c r="AD24" i="59"/>
  <c r="AC25" i="59"/>
  <c r="AD25" i="59"/>
  <c r="AC26" i="59"/>
  <c r="AD26" i="59"/>
  <c r="AC27" i="59"/>
  <c r="AD27" i="59"/>
  <c r="AC28" i="59"/>
  <c r="AD28" i="59"/>
  <c r="AC29" i="59"/>
  <c r="AD29" i="59"/>
  <c r="AC30" i="59"/>
  <c r="AD30" i="59"/>
  <c r="AC31" i="59"/>
  <c r="AD31" i="59"/>
  <c r="AC32" i="59"/>
  <c r="I495" i="44"/>
  <c r="I498" i="44" s="1"/>
  <c r="K498" i="44"/>
  <c r="J498" i="44"/>
  <c r="N496" i="44"/>
  <c r="K495" i="44"/>
  <c r="H41" i="55"/>
  <c r="H40" i="55"/>
  <c r="F41" i="55"/>
  <c r="F42" i="55"/>
  <c r="F40" i="55"/>
  <c r="C42" i="55"/>
  <c r="D41" i="55"/>
  <c r="D42" i="55"/>
  <c r="B42" i="55"/>
  <c r="AI32" i="59"/>
  <c r="AC33" i="59" l="1"/>
  <c r="E38" i="42"/>
  <c r="AD33" i="59"/>
  <c r="N495" i="44"/>
  <c r="I504" i="44"/>
  <c r="Y8" i="59"/>
  <c r="Y21" i="59"/>
  <c r="F42" i="42"/>
  <c r="N492" i="44"/>
  <c r="N493" i="44"/>
  <c r="N494" i="44"/>
  <c r="N37" i="42" l="1"/>
  <c r="N491" i="44"/>
  <c r="F38" i="42" s="1"/>
  <c r="H38" i="42" s="1"/>
  <c r="M38" i="42" s="1"/>
  <c r="O38" i="42" s="1"/>
  <c r="F43" i="42" s="1"/>
  <c r="D40" i="55" l="1"/>
  <c r="D37" i="42"/>
  <c r="C37" i="42"/>
  <c r="E37" i="42" s="1"/>
  <c r="N490" i="44"/>
  <c r="G37" i="42" s="1"/>
  <c r="N489" i="44"/>
  <c r="D36" i="42" l="1"/>
  <c r="C36" i="42"/>
  <c r="N43" i="42"/>
  <c r="L499" i="44"/>
  <c r="E36" i="42" l="1"/>
  <c r="M498" i="44"/>
  <c r="L498" i="44"/>
  <c r="N488" i="44"/>
  <c r="N487" i="44"/>
  <c r="N486" i="44"/>
  <c r="N485" i="44"/>
  <c r="N484" i="44"/>
  <c r="N483" i="44"/>
  <c r="N498" i="44" s="1"/>
  <c r="G36" i="42" l="1"/>
  <c r="I42" i="55"/>
  <c r="G42" i="55"/>
  <c r="D39" i="55"/>
  <c r="G35" i="42"/>
  <c r="D35" i="42"/>
  <c r="C35" i="42"/>
  <c r="D33" i="42"/>
  <c r="C33" i="42"/>
  <c r="D32" i="42"/>
  <c r="C32" i="42"/>
  <c r="E35" i="42" l="1"/>
  <c r="E32" i="42"/>
  <c r="E33" i="42"/>
  <c r="D38" i="55" l="1"/>
  <c r="F39" i="55" s="1"/>
  <c r="K477" i="44" l="1"/>
  <c r="K499" i="44" s="1"/>
  <c r="N34" i="42"/>
  <c r="K504" i="44" l="1"/>
  <c r="N482" i="44"/>
  <c r="N481" i="44"/>
  <c r="N480" i="44"/>
  <c r="N479" i="44"/>
  <c r="N478" i="44"/>
  <c r="J477" i="44"/>
  <c r="N477" i="44" s="1"/>
  <c r="J476" i="44"/>
  <c r="D37" i="55"/>
  <c r="N475" i="44"/>
  <c r="N474" i="44"/>
  <c r="N473" i="44"/>
  <c r="N472" i="44"/>
  <c r="N471" i="44"/>
  <c r="N470" i="44"/>
  <c r="N469" i="44"/>
  <c r="F36" i="55"/>
  <c r="D36" i="55"/>
  <c r="F37" i="55" s="1"/>
  <c r="J499" i="44" l="1"/>
  <c r="J504" i="44"/>
  <c r="I507" i="44" s="1"/>
  <c r="G33" i="42"/>
  <c r="F38" i="55"/>
  <c r="N476" i="44"/>
  <c r="J41" i="57"/>
  <c r="W25" i="59"/>
  <c r="N455" i="44"/>
  <c r="N456" i="44"/>
  <c r="N457" i="44"/>
  <c r="N458" i="44"/>
  <c r="N459" i="44"/>
  <c r="N460" i="44"/>
  <c r="N461" i="44"/>
  <c r="N462" i="44"/>
  <c r="N463" i="44"/>
  <c r="N464" i="44"/>
  <c r="N465" i="44"/>
  <c r="N466" i="44"/>
  <c r="N467" i="44"/>
  <c r="N468" i="44"/>
  <c r="AK15" i="59"/>
  <c r="F35" i="55"/>
  <c r="D35" i="55"/>
  <c r="P34" i="42"/>
  <c r="D34" i="42"/>
  <c r="C34" i="42"/>
  <c r="N31" i="42"/>
  <c r="F34" i="55"/>
  <c r="D34" i="55"/>
  <c r="N451" i="44"/>
  <c r="N450" i="44"/>
  <c r="N449" i="44"/>
  <c r="N448" i="44"/>
  <c r="N453" i="44"/>
  <c r="N452" i="44"/>
  <c r="N454" i="44"/>
  <c r="G32" i="42" l="1"/>
  <c r="G34" i="42"/>
  <c r="E34" i="42"/>
  <c r="P31" i="42" l="1"/>
  <c r="G31" i="42"/>
  <c r="D31" i="42"/>
  <c r="C31" i="42"/>
  <c r="N30" i="42"/>
  <c r="N447" i="44"/>
  <c r="N446" i="44"/>
  <c r="N445" i="44"/>
  <c r="N444" i="44"/>
  <c r="N443" i="44"/>
  <c r="N442" i="44"/>
  <c r="N441" i="44"/>
  <c r="N440" i="44"/>
  <c r="N439" i="44"/>
  <c r="N438" i="44"/>
  <c r="N437" i="44"/>
  <c r="N436" i="44"/>
  <c r="N435" i="44"/>
  <c r="N434" i="44"/>
  <c r="F33" i="55"/>
  <c r="D33" i="55"/>
  <c r="P30" i="42"/>
  <c r="D30" i="42"/>
  <c r="C30" i="42"/>
  <c r="N407" i="44"/>
  <c r="I408" i="44"/>
  <c r="N195" i="44"/>
  <c r="N333" i="44"/>
  <c r="I499" i="44" l="1"/>
  <c r="I502" i="44"/>
  <c r="E30" i="42"/>
  <c r="E31" i="42"/>
  <c r="G30" i="42"/>
  <c r="X24" i="59"/>
  <c r="X25" i="59"/>
  <c r="H25" i="59"/>
  <c r="W27" i="59"/>
  <c r="H27" i="59"/>
  <c r="N433" i="44"/>
  <c r="N432" i="44"/>
  <c r="N431" i="44"/>
  <c r="N430" i="44"/>
  <c r="N429" i="44"/>
  <c r="N428" i="44"/>
  <c r="N427" i="44"/>
  <c r="N426" i="44"/>
  <c r="N425" i="44"/>
  <c r="F32" i="55" l="1"/>
  <c r="K37" i="42" s="1"/>
  <c r="D32" i="55"/>
  <c r="N424" i="44"/>
  <c r="N423" i="44"/>
  <c r="N422" i="44"/>
  <c r="N421" i="44"/>
  <c r="N420" i="44"/>
  <c r="N419" i="44"/>
  <c r="N418" i="44"/>
  <c r="G50" i="57"/>
  <c r="J33" i="57"/>
  <c r="K36" i="42" l="1"/>
  <c r="K35" i="42"/>
  <c r="K33" i="42"/>
  <c r="K32" i="42"/>
  <c r="K34" i="42"/>
  <c r="K30" i="42"/>
  <c r="K31" i="42"/>
  <c r="P29" i="42"/>
  <c r="K29" i="42"/>
  <c r="G29" i="42"/>
  <c r="D29" i="42"/>
  <c r="C29" i="42"/>
  <c r="N28" i="42"/>
  <c r="K28" i="42"/>
  <c r="D31" i="55"/>
  <c r="D30" i="55"/>
  <c r="D28" i="55"/>
  <c r="D27" i="55"/>
  <c r="D26" i="55"/>
  <c r="D24" i="55"/>
  <c r="D23" i="55"/>
  <c r="D22" i="55"/>
  <c r="D21" i="55"/>
  <c r="D20" i="55"/>
  <c r="D19" i="55"/>
  <c r="D18" i="55"/>
  <c r="D17" i="55"/>
  <c r="D16" i="55"/>
  <c r="D15" i="55"/>
  <c r="D14" i="55"/>
  <c r="D13" i="55"/>
  <c r="D12" i="55"/>
  <c r="D11" i="55"/>
  <c r="D10" i="55"/>
  <c r="D9" i="55"/>
  <c r="D8" i="55"/>
  <c r="M296" i="44"/>
  <c r="M391" i="44"/>
  <c r="M259" i="44"/>
  <c r="M224" i="44"/>
  <c r="M197" i="44"/>
  <c r="M175" i="44"/>
  <c r="M160" i="44"/>
  <c r="M174" i="44"/>
  <c r="M286" i="44"/>
  <c r="M285" i="44"/>
  <c r="M184" i="44"/>
  <c r="M301" i="44"/>
  <c r="M261" i="44"/>
  <c r="M227" i="44"/>
  <c r="M196" i="44"/>
  <c r="M173" i="44"/>
  <c r="M271" i="44"/>
  <c r="M258" i="44"/>
  <c r="M229" i="44"/>
  <c r="M218" i="44"/>
  <c r="M208" i="44"/>
  <c r="M194" i="44"/>
  <c r="M183" i="44"/>
  <c r="M171" i="44"/>
  <c r="M164" i="44"/>
  <c r="M159" i="44"/>
  <c r="M157" i="44"/>
  <c r="M322" i="44"/>
  <c r="M351" i="44"/>
  <c r="M372" i="44"/>
  <c r="M385" i="44"/>
  <c r="E29" i="42" l="1"/>
  <c r="P28" i="42"/>
  <c r="D28" i="42"/>
  <c r="C28" i="42"/>
  <c r="N416" i="44"/>
  <c r="N415" i="44"/>
  <c r="N414" i="44"/>
  <c r="N413" i="44"/>
  <c r="N412" i="44"/>
  <c r="N411" i="44"/>
  <c r="N409" i="44"/>
  <c r="E28" i="42" l="1"/>
  <c r="N27" i="42"/>
  <c r="N406" i="44" l="1"/>
  <c r="N405" i="44"/>
  <c r="N404" i="44"/>
  <c r="N403" i="44"/>
  <c r="N402" i="44"/>
  <c r="N401" i="44"/>
  <c r="N399" i="44"/>
  <c r="N398" i="44"/>
  <c r="P27" i="42"/>
  <c r="D27" i="42"/>
  <c r="C27" i="42"/>
  <c r="BK9" i="60"/>
  <c r="N26" i="42"/>
  <c r="E27" i="42" l="1"/>
  <c r="B29" i="55"/>
  <c r="D29" i="55" s="1"/>
  <c r="N397" i="44" l="1"/>
  <c r="N395" i="44"/>
  <c r="N394" i="44"/>
  <c r="N393" i="44"/>
  <c r="N392" i="44"/>
  <c r="N390" i="44"/>
  <c r="N396" i="44" l="1"/>
  <c r="N389" i="44"/>
  <c r="N388" i="44"/>
  <c r="N387" i="44"/>
  <c r="N386" i="44"/>
  <c r="N384" i="44"/>
  <c r="N383" i="44"/>
  <c r="N382" i="44"/>
  <c r="N381" i="44"/>
  <c r="P26" i="42"/>
  <c r="D26" i="42"/>
  <c r="C26" i="42"/>
  <c r="G26" i="42" l="1"/>
  <c r="E26" i="42"/>
  <c r="J26" i="57"/>
  <c r="N25" i="42" l="1"/>
  <c r="N380" i="44" l="1"/>
  <c r="N379" i="44"/>
  <c r="N378" i="44"/>
  <c r="N377" i="44"/>
  <c r="N376" i="44"/>
  <c r="N375" i="44"/>
  <c r="N374" i="44"/>
  <c r="N373" i="44"/>
  <c r="N371" i="44"/>
  <c r="N370" i="44"/>
  <c r="N369" i="44"/>
  <c r="P25" i="42"/>
  <c r="D25" i="42"/>
  <c r="C25" i="42"/>
  <c r="E25" i="42" l="1"/>
  <c r="G25" i="42"/>
  <c r="J15" i="57"/>
  <c r="N24" i="42"/>
  <c r="N346" i="44"/>
  <c r="N347" i="44"/>
  <c r="N348" i="44"/>
  <c r="N349" i="44"/>
  <c r="N350" i="44"/>
  <c r="N357" i="44"/>
  <c r="N352" i="44"/>
  <c r="N353" i="44"/>
  <c r="N359" i="44"/>
  <c r="N354" i="44"/>
  <c r="N355" i="44"/>
  <c r="N358" i="44"/>
  <c r="N356" i="44"/>
  <c r="N360" i="44"/>
  <c r="N361" i="44"/>
  <c r="N362" i="44"/>
  <c r="N363" i="44"/>
  <c r="N364" i="44"/>
  <c r="N365" i="44"/>
  <c r="N366" i="44"/>
  <c r="N367" i="44"/>
  <c r="N368" i="44"/>
  <c r="H32" i="59" l="1"/>
  <c r="P24" i="42" l="1"/>
  <c r="G24" i="42"/>
  <c r="D24" i="42"/>
  <c r="C24" i="42"/>
  <c r="N23" i="42"/>
  <c r="N345" i="44"/>
  <c r="N344" i="44"/>
  <c r="N343" i="44"/>
  <c r="N342" i="44"/>
  <c r="N341" i="44"/>
  <c r="N340" i="44"/>
  <c r="N339" i="44"/>
  <c r="N338" i="44"/>
  <c r="N337" i="44"/>
  <c r="N336" i="44"/>
  <c r="N335" i="44"/>
  <c r="N334" i="44"/>
  <c r="N321" i="44"/>
  <c r="S333" i="44"/>
  <c r="S332" i="44"/>
  <c r="N332" i="44"/>
  <c r="S331" i="44"/>
  <c r="N331" i="44"/>
  <c r="S330" i="44"/>
  <c r="N330" i="44"/>
  <c r="S329" i="44"/>
  <c r="N329" i="44"/>
  <c r="S328" i="44"/>
  <c r="N328" i="44"/>
  <c r="S327" i="44"/>
  <c r="N327" i="44"/>
  <c r="S326" i="44"/>
  <c r="N326" i="44"/>
  <c r="N325" i="44"/>
  <c r="S324" i="44"/>
  <c r="N324" i="44"/>
  <c r="S323" i="44"/>
  <c r="N323" i="44"/>
  <c r="S322" i="44"/>
  <c r="S321" i="44"/>
  <c r="S320" i="44"/>
  <c r="N320" i="44"/>
  <c r="S319" i="44"/>
  <c r="N319" i="44"/>
  <c r="S318" i="44"/>
  <c r="N318" i="44"/>
  <c r="S317" i="44"/>
  <c r="N317" i="44"/>
  <c r="S316" i="44"/>
  <c r="N316" i="44"/>
  <c r="E24" i="42" l="1"/>
  <c r="P23" i="42"/>
  <c r="G23" i="42"/>
  <c r="D23" i="42"/>
  <c r="C23" i="42"/>
  <c r="N315" i="44"/>
  <c r="N314" i="44"/>
  <c r="N313" i="44"/>
  <c r="N312" i="44"/>
  <c r="N311" i="44"/>
  <c r="N310" i="44"/>
  <c r="N309" i="44"/>
  <c r="N308" i="44"/>
  <c r="B25" i="55"/>
  <c r="M295" i="44"/>
  <c r="S315" i="44"/>
  <c r="S307" i="44"/>
  <c r="N307" i="44"/>
  <c r="S306" i="44"/>
  <c r="N306" i="44"/>
  <c r="S305" i="44"/>
  <c r="N305" i="44"/>
  <c r="S304" i="44"/>
  <c r="N304" i="44"/>
  <c r="S303" i="44"/>
  <c r="N303" i="44"/>
  <c r="S302" i="44"/>
  <c r="S301" i="44"/>
  <c r="S300" i="44"/>
  <c r="N300" i="44"/>
  <c r="N299" i="44"/>
  <c r="S298" i="44"/>
  <c r="N298" i="44"/>
  <c r="S297" i="44"/>
  <c r="N297" i="44"/>
  <c r="S296" i="44"/>
  <c r="S295" i="44"/>
  <c r="S294" i="44"/>
  <c r="S293" i="44"/>
  <c r="N293" i="44"/>
  <c r="S292" i="44"/>
  <c r="N292" i="44"/>
  <c r="S291" i="44"/>
  <c r="N291" i="44"/>
  <c r="S290" i="44"/>
  <c r="N290" i="44"/>
  <c r="D25" i="55" l="1"/>
  <c r="E23" i="42"/>
  <c r="P21" i="42"/>
  <c r="D21" i="42"/>
  <c r="C21" i="42"/>
  <c r="E21" i="42" l="1"/>
  <c r="S289" i="44"/>
  <c r="N289" i="44"/>
  <c r="S288" i="44"/>
  <c r="N288" i="44"/>
  <c r="S287" i="44"/>
  <c r="N287" i="44"/>
  <c r="P287" i="44" s="1"/>
  <c r="S286" i="44"/>
  <c r="S285" i="44"/>
  <c r="S284" i="44"/>
  <c r="N284" i="44"/>
  <c r="S283" i="44"/>
  <c r="N283" i="44"/>
  <c r="S282" i="44"/>
  <c r="N282" i="44"/>
  <c r="S281" i="44"/>
  <c r="N281" i="44"/>
  <c r="S280" i="44"/>
  <c r="N280" i="44"/>
  <c r="S279" i="44"/>
  <c r="N279" i="44"/>
  <c r="S278" i="44"/>
  <c r="N278" i="44"/>
  <c r="S277" i="44"/>
  <c r="N277" i="44"/>
  <c r="S276" i="44"/>
  <c r="N276" i="44"/>
  <c r="N275" i="44"/>
  <c r="S274" i="44"/>
  <c r="N274" i="44"/>
  <c r="S273" i="44"/>
  <c r="N273" i="44"/>
  <c r="S272" i="44"/>
  <c r="N272" i="44"/>
  <c r="S271" i="44"/>
  <c r="S270" i="44"/>
  <c r="N270" i="44"/>
  <c r="S269" i="44"/>
  <c r="N269" i="44"/>
  <c r="S268" i="44"/>
  <c r="N268" i="44"/>
  <c r="S267" i="44"/>
  <c r="N267" i="44"/>
  <c r="S266" i="44"/>
  <c r="N266" i="44"/>
  <c r="X33" i="59"/>
  <c r="Y25" i="59"/>
  <c r="P20" i="42"/>
  <c r="N20" i="42"/>
  <c r="D20" i="42"/>
  <c r="C20" i="42"/>
  <c r="P22" i="42"/>
  <c r="P19" i="42"/>
  <c r="G21" i="42" l="1"/>
  <c r="E20" i="42"/>
  <c r="N135" i="44"/>
  <c r="N109" i="44"/>
  <c r="S250" i="44" l="1"/>
  <c r="N250" i="44"/>
  <c r="S249" i="44"/>
  <c r="N249" i="44"/>
  <c r="S248" i="44"/>
  <c r="N248" i="44"/>
  <c r="S247" i="44"/>
  <c r="N247" i="44"/>
  <c r="N246" i="44"/>
  <c r="S245" i="44"/>
  <c r="N245" i="44"/>
  <c r="S244" i="44"/>
  <c r="N244" i="44"/>
  <c r="S243" i="44"/>
  <c r="N243" i="44"/>
  <c r="S242" i="44"/>
  <c r="N242" i="44"/>
  <c r="S241" i="44"/>
  <c r="N241" i="44"/>
  <c r="S240" i="44"/>
  <c r="N240" i="44"/>
  <c r="S239" i="44"/>
  <c r="N239" i="44"/>
  <c r="S238" i="44"/>
  <c r="N238" i="44"/>
  <c r="S237" i="44"/>
  <c r="N237" i="44"/>
  <c r="S265" i="44"/>
  <c r="N265" i="44"/>
  <c r="S264" i="44"/>
  <c r="N264" i="44"/>
  <c r="S263" i="44"/>
  <c r="N263" i="44"/>
  <c r="S262" i="44"/>
  <c r="S261" i="44"/>
  <c r="S260" i="44"/>
  <c r="N260" i="44"/>
  <c r="S259" i="44"/>
  <c r="S258" i="44"/>
  <c r="S257" i="44"/>
  <c r="N257" i="44"/>
  <c r="S256" i="44"/>
  <c r="N256" i="44"/>
  <c r="S255" i="44"/>
  <c r="N255" i="44"/>
  <c r="S254" i="44"/>
  <c r="N254" i="44"/>
  <c r="S253" i="44"/>
  <c r="N253" i="44"/>
  <c r="S252" i="44"/>
  <c r="N252" i="44"/>
  <c r="S251" i="44"/>
  <c r="N251" i="44"/>
  <c r="D22" i="42"/>
  <c r="C22" i="42"/>
  <c r="P258" i="44" l="1"/>
  <c r="G20" i="42"/>
  <c r="E22" i="42"/>
  <c r="J21" i="57"/>
  <c r="W9" i="59" l="1"/>
  <c r="K21" i="42" l="1"/>
  <c r="H26" i="59"/>
  <c r="H14" i="59"/>
  <c r="H12" i="59"/>
  <c r="H30" i="59"/>
  <c r="H29" i="59"/>
  <c r="H28" i="59"/>
  <c r="H24" i="59"/>
  <c r="H23" i="59"/>
  <c r="H22" i="59"/>
  <c r="H21" i="59"/>
  <c r="H20" i="59"/>
  <c r="H19" i="59"/>
  <c r="H18" i="59"/>
  <c r="H17" i="59"/>
  <c r="H16" i="59"/>
  <c r="H15" i="59"/>
  <c r="H13" i="59"/>
  <c r="H11" i="59"/>
  <c r="H10" i="59"/>
  <c r="H9" i="59"/>
  <c r="H8" i="59"/>
  <c r="A10" i="59"/>
  <c r="A11" i="59" s="1"/>
  <c r="A12" i="59" s="1"/>
  <c r="A13" i="59" s="1"/>
  <c r="A14" i="59" s="1"/>
  <c r="A15" i="59" s="1"/>
  <c r="A16" i="59" s="1"/>
  <c r="A17" i="59" s="1"/>
  <c r="A18" i="59" s="1"/>
  <c r="A19" i="59" s="1"/>
  <c r="A20" i="59" s="1"/>
  <c r="A21" i="59" s="1"/>
  <c r="A22" i="59" s="1"/>
  <c r="A23" i="59" s="1"/>
  <c r="A24" i="59" s="1"/>
  <c r="A25" i="59" s="1"/>
  <c r="A26" i="59" s="1"/>
  <c r="A27" i="59" s="1"/>
  <c r="A28" i="59" s="1"/>
  <c r="A29" i="59" s="1"/>
  <c r="A30" i="59" s="1"/>
  <c r="A31" i="59" s="1"/>
  <c r="A32" i="59" s="1"/>
  <c r="L504" i="44" l="1"/>
  <c r="S236" i="44"/>
  <c r="S235" i="44"/>
  <c r="S234" i="44"/>
  <c r="S233" i="44"/>
  <c r="S232" i="44"/>
  <c r="S231" i="44"/>
  <c r="S230" i="44"/>
  <c r="S229" i="44"/>
  <c r="S228" i="44"/>
  <c r="S227" i="44"/>
  <c r="S226" i="44"/>
  <c r="S225" i="44"/>
  <c r="S224" i="44"/>
  <c r="S223" i="44"/>
  <c r="S222" i="44"/>
  <c r="S221" i="44"/>
  <c r="S220" i="44"/>
  <c r="S219" i="44"/>
  <c r="S218" i="44"/>
  <c r="S217" i="44"/>
  <c r="S216" i="44"/>
  <c r="S215" i="44"/>
  <c r="S214" i="44"/>
  <c r="S213" i="44"/>
  <c r="S212" i="44"/>
  <c r="S211" i="44"/>
  <c r="S210" i="44"/>
  <c r="S209" i="44"/>
  <c r="S208" i="44"/>
  <c r="S207" i="44"/>
  <c r="S206" i="44"/>
  <c r="S205" i="44"/>
  <c r="S204" i="44"/>
  <c r="S203" i="44"/>
  <c r="S202" i="44"/>
  <c r="S201" i="44"/>
  <c r="S200" i="44"/>
  <c r="S199" i="44"/>
  <c r="S198" i="44"/>
  <c r="S197" i="44"/>
  <c r="S196" i="44"/>
  <c r="S195" i="44"/>
  <c r="S194" i="44"/>
  <c r="S193" i="44"/>
  <c r="S192" i="44"/>
  <c r="S191" i="44"/>
  <c r="S190" i="44"/>
  <c r="S189" i="44"/>
  <c r="S188" i="44"/>
  <c r="S187" i="44"/>
  <c r="S186" i="44"/>
  <c r="S185" i="44"/>
  <c r="S184" i="44"/>
  <c r="S183" i="44"/>
  <c r="S182" i="44"/>
  <c r="S181" i="44"/>
  <c r="S180" i="44"/>
  <c r="S179" i="44"/>
  <c r="S178" i="44"/>
  <c r="S177" i="44"/>
  <c r="S176" i="44"/>
  <c r="S175" i="44"/>
  <c r="S174" i="44"/>
  <c r="S173" i="44"/>
  <c r="S172" i="44"/>
  <c r="S171" i="44"/>
  <c r="S170" i="44"/>
  <c r="S169" i="44"/>
  <c r="S168" i="44"/>
  <c r="S167" i="44"/>
  <c r="S166" i="44"/>
  <c r="S165" i="44"/>
  <c r="S164" i="44"/>
  <c r="S163" i="44"/>
  <c r="S162" i="44"/>
  <c r="S161" i="44"/>
  <c r="S160" i="44"/>
  <c r="S159" i="44"/>
  <c r="S158" i="44"/>
  <c r="S157" i="44"/>
  <c r="S156" i="44"/>
  <c r="S155" i="44"/>
  <c r="S154" i="44"/>
  <c r="S153" i="44"/>
  <c r="S152" i="44"/>
  <c r="S151" i="44"/>
  <c r="S150" i="44"/>
  <c r="S149" i="44"/>
  <c r="S148" i="44"/>
  <c r="S147" i="44"/>
  <c r="S146" i="44"/>
  <c r="S145" i="44"/>
  <c r="S144" i="44"/>
  <c r="S143" i="44"/>
  <c r="S142" i="44"/>
  <c r="S141" i="44"/>
  <c r="S140" i="44"/>
  <c r="S139" i="44"/>
  <c r="S138" i="44"/>
  <c r="S136" i="44"/>
  <c r="S135" i="44"/>
  <c r="S134" i="44"/>
  <c r="S133" i="44"/>
  <c r="S132" i="44"/>
  <c r="S131" i="44"/>
  <c r="S130" i="44"/>
  <c r="S129" i="44"/>
  <c r="S128" i="44"/>
  <c r="S127" i="44"/>
  <c r="S126" i="44"/>
  <c r="S125" i="44"/>
  <c r="S124" i="44"/>
  <c r="S123" i="44"/>
  <c r="S122" i="44"/>
  <c r="S121" i="44"/>
  <c r="S120" i="44"/>
  <c r="S119" i="44"/>
  <c r="S118" i="44"/>
  <c r="S117" i="44"/>
  <c r="S116" i="44"/>
  <c r="S115" i="44"/>
  <c r="S114" i="44"/>
  <c r="S113" i="44"/>
  <c r="S112" i="44"/>
  <c r="S111" i="44"/>
  <c r="S110" i="44"/>
  <c r="S109" i="44"/>
  <c r="S108" i="44"/>
  <c r="S107" i="44"/>
  <c r="S106" i="44"/>
  <c r="S105" i="44"/>
  <c r="S104" i="44"/>
  <c r="S103" i="44"/>
  <c r="S102" i="44"/>
  <c r="S101" i="44"/>
  <c r="S100" i="44"/>
  <c r="S99" i="44"/>
  <c r="S98" i="44"/>
  <c r="S97" i="44"/>
  <c r="S96" i="44"/>
  <c r="S95" i="44"/>
  <c r="S94" i="44"/>
  <c r="S93" i="44"/>
  <c r="S92" i="44"/>
  <c r="S91" i="44"/>
  <c r="S90" i="44"/>
  <c r="S89" i="44"/>
  <c r="S88" i="44"/>
  <c r="S87" i="44"/>
  <c r="S86" i="44"/>
  <c r="S85" i="44"/>
  <c r="S84" i="44"/>
  <c r="S83" i="44"/>
  <c r="S82" i="44"/>
  <c r="S81" i="44"/>
  <c r="S80" i="44"/>
  <c r="S79" i="44"/>
  <c r="S78" i="44"/>
  <c r="S77" i="44"/>
  <c r="S76" i="44"/>
  <c r="S75" i="44"/>
  <c r="S74" i="44"/>
  <c r="S73" i="44"/>
  <c r="S72" i="44"/>
  <c r="S71" i="44"/>
  <c r="S70" i="44"/>
  <c r="S69" i="44"/>
  <c r="S68" i="44"/>
  <c r="S67" i="44"/>
  <c r="S66" i="44"/>
  <c r="S65" i="44"/>
  <c r="S64" i="44"/>
  <c r="S63" i="44"/>
  <c r="S62" i="44"/>
  <c r="S61" i="44"/>
  <c r="S60" i="44"/>
  <c r="S59" i="44"/>
  <c r="S58" i="44"/>
  <c r="S57" i="44"/>
  <c r="S56" i="44"/>
  <c r="S55" i="44"/>
  <c r="S54" i="44"/>
  <c r="S53" i="44"/>
  <c r="S52" i="44"/>
  <c r="S51" i="44"/>
  <c r="S50" i="44"/>
  <c r="S49" i="44"/>
  <c r="S48" i="44"/>
  <c r="S47" i="44"/>
  <c r="S46" i="44"/>
  <c r="S45" i="44"/>
  <c r="S44" i="44"/>
  <c r="S43" i="44"/>
  <c r="S42" i="44"/>
  <c r="S41" i="44"/>
  <c r="S40" i="44"/>
  <c r="S39" i="44"/>
  <c r="S38" i="44"/>
  <c r="S37" i="44"/>
  <c r="S36" i="44"/>
  <c r="S35" i="44"/>
  <c r="S34" i="44"/>
  <c r="S33" i="44"/>
  <c r="S32" i="44"/>
  <c r="S31" i="44"/>
  <c r="S30" i="44"/>
  <c r="S29" i="44"/>
  <c r="S28" i="44"/>
  <c r="S27" i="44"/>
  <c r="S26" i="44"/>
  <c r="S25" i="44"/>
  <c r="S24" i="44"/>
  <c r="S23" i="44"/>
  <c r="S22" i="44"/>
  <c r="S21" i="44"/>
  <c r="S20" i="44"/>
  <c r="S19" i="44"/>
  <c r="S18" i="44"/>
  <c r="S17" i="44"/>
  <c r="S16" i="44"/>
  <c r="S15" i="44"/>
  <c r="S14" i="44"/>
  <c r="S13" i="44"/>
  <c r="S12" i="44"/>
  <c r="S11" i="44"/>
  <c r="S10" i="44"/>
  <c r="S9" i="44"/>
  <c r="S8" i="44"/>
  <c r="N19" i="42" l="1"/>
  <c r="P17" i="42"/>
  <c r="N11" i="42"/>
  <c r="N9" i="42" l="1"/>
  <c r="K9" i="42"/>
  <c r="G9" i="42"/>
  <c r="F9" i="42"/>
  <c r="D9" i="42"/>
  <c r="C9" i="42"/>
  <c r="N10" i="42"/>
  <c r="K10" i="42"/>
  <c r="G10" i="42"/>
  <c r="F10" i="42"/>
  <c r="D10" i="42"/>
  <c r="C10" i="42"/>
  <c r="K11" i="42"/>
  <c r="F11" i="42"/>
  <c r="D11" i="42"/>
  <c r="C11" i="42"/>
  <c r="N12" i="42"/>
  <c r="K12" i="42"/>
  <c r="D12" i="42"/>
  <c r="C12" i="42"/>
  <c r="N13" i="42"/>
  <c r="K13" i="42"/>
  <c r="D13" i="42"/>
  <c r="C13" i="42"/>
  <c r="N14" i="42"/>
  <c r="K14" i="42"/>
  <c r="D14" i="42"/>
  <c r="C14" i="42"/>
  <c r="N15" i="42"/>
  <c r="K15" i="42"/>
  <c r="D15" i="42"/>
  <c r="C15" i="42"/>
  <c r="N16" i="42"/>
  <c r="K16" i="42"/>
  <c r="D16" i="42"/>
  <c r="C16" i="42"/>
  <c r="N17" i="42"/>
  <c r="K17" i="42"/>
  <c r="D17" i="42"/>
  <c r="C17" i="42"/>
  <c r="N18" i="42"/>
  <c r="K18" i="42"/>
  <c r="D18" i="42"/>
  <c r="C18" i="42"/>
  <c r="N230" i="44"/>
  <c r="N231" i="44"/>
  <c r="N232" i="44"/>
  <c r="N233" i="44"/>
  <c r="N234" i="44"/>
  <c r="N235" i="44"/>
  <c r="N236" i="44"/>
  <c r="N228" i="44"/>
  <c r="T228" i="44" s="1"/>
  <c r="T227" i="44"/>
  <c r="E10" i="42" l="1"/>
  <c r="P229" i="44"/>
  <c r="E9" i="42"/>
  <c r="E11" i="42"/>
  <c r="H9" i="42"/>
  <c r="H10" i="42"/>
  <c r="E15" i="42"/>
  <c r="E12" i="42"/>
  <c r="E14" i="42"/>
  <c r="E13" i="42"/>
  <c r="E16" i="42"/>
  <c r="E17" i="42"/>
  <c r="E18" i="42"/>
  <c r="N226" i="44" l="1"/>
  <c r="N225" i="44"/>
  <c r="N223" i="44"/>
  <c r="N222" i="44"/>
  <c r="N221" i="44"/>
  <c r="N219" i="44"/>
  <c r="N217" i="44"/>
  <c r="N216" i="44"/>
  <c r="N215" i="44"/>
  <c r="N214" i="44"/>
  <c r="N213" i="44"/>
  <c r="N212" i="44"/>
  <c r="N211" i="44"/>
  <c r="N210" i="44"/>
  <c r="N209" i="44"/>
  <c r="P208" i="44"/>
  <c r="N207" i="44"/>
  <c r="N206" i="44"/>
  <c r="N205" i="44"/>
  <c r="N204" i="44"/>
  <c r="N203" i="44"/>
  <c r="N202" i="44"/>
  <c r="N201" i="44"/>
  <c r="N200" i="44"/>
  <c r="N199" i="44"/>
  <c r="N198" i="44"/>
  <c r="P196" i="44"/>
  <c r="P194" i="44"/>
  <c r="N193" i="44"/>
  <c r="N192" i="44"/>
  <c r="N191" i="44"/>
  <c r="N190" i="44"/>
  <c r="N189" i="44"/>
  <c r="N188" i="44"/>
  <c r="N187" i="44"/>
  <c r="N186" i="44"/>
  <c r="N185" i="44"/>
  <c r="P183" i="44"/>
  <c r="N182" i="44"/>
  <c r="N181" i="44"/>
  <c r="N180" i="44"/>
  <c r="N179" i="44"/>
  <c r="N178" i="44"/>
  <c r="N177" i="44"/>
  <c r="N176" i="44"/>
  <c r="N172" i="44"/>
  <c r="P171" i="44"/>
  <c r="N170" i="44"/>
  <c r="N169" i="44"/>
  <c r="N168" i="44"/>
  <c r="N167" i="44"/>
  <c r="N166" i="44"/>
  <c r="N165" i="44"/>
  <c r="P164" i="44"/>
  <c r="N163" i="44"/>
  <c r="N162" i="44"/>
  <c r="N161" i="44"/>
  <c r="P159" i="44"/>
  <c r="N158" i="44"/>
  <c r="N156" i="44"/>
  <c r="N155" i="44"/>
  <c r="N154" i="44"/>
  <c r="N153" i="44"/>
  <c r="N152" i="44"/>
  <c r="N151" i="44"/>
  <c r="N150" i="44"/>
  <c r="N149" i="44"/>
  <c r="N148" i="44"/>
  <c r="N147" i="44"/>
  <c r="N146" i="44"/>
  <c r="N145" i="44"/>
  <c r="N144" i="44"/>
  <c r="N143" i="44"/>
  <c r="N142" i="44"/>
  <c r="N141" i="44"/>
  <c r="N140" i="44"/>
  <c r="N139" i="44"/>
  <c r="N138" i="44"/>
  <c r="N137" i="44"/>
  <c r="N136" i="44"/>
  <c r="N134" i="44"/>
  <c r="N133" i="44"/>
  <c r="N132" i="44"/>
  <c r="N131" i="44"/>
  <c r="N130" i="44"/>
  <c r="N129" i="44"/>
  <c r="N128" i="44"/>
  <c r="N127" i="44"/>
  <c r="N126" i="44"/>
  <c r="N125" i="44"/>
  <c r="N124" i="44"/>
  <c r="N123" i="44"/>
  <c r="N122" i="44"/>
  <c r="N121" i="44"/>
  <c r="N120" i="44"/>
  <c r="N119" i="44"/>
  <c r="N118" i="44"/>
  <c r="N117" i="44"/>
  <c r="N116" i="44"/>
  <c r="N115" i="44"/>
  <c r="N114" i="44"/>
  <c r="N113" i="44"/>
  <c r="N112" i="44"/>
  <c r="N111" i="44"/>
  <c r="N110" i="44"/>
  <c r="N108" i="44"/>
  <c r="N107" i="44"/>
  <c r="N106" i="44"/>
  <c r="N105" i="44"/>
  <c r="N104" i="44"/>
  <c r="N103" i="44"/>
  <c r="N102" i="44"/>
  <c r="N101" i="44"/>
  <c r="N100" i="44"/>
  <c r="N99" i="44"/>
  <c r="N98" i="44"/>
  <c r="N97" i="44"/>
  <c r="N96" i="44"/>
  <c r="N95" i="44"/>
  <c r="N94" i="44"/>
  <c r="N93" i="44"/>
  <c r="N92" i="44"/>
  <c r="N91" i="44"/>
  <c r="N90" i="44"/>
  <c r="N89" i="44"/>
  <c r="N88" i="44"/>
  <c r="N87" i="44"/>
  <c r="N86" i="44"/>
  <c r="N85" i="44"/>
  <c r="N84" i="44"/>
  <c r="N83" i="44"/>
  <c r="N82" i="44"/>
  <c r="N81" i="44"/>
  <c r="N80" i="44"/>
  <c r="N79" i="44"/>
  <c r="N78" i="44"/>
  <c r="N77" i="44"/>
  <c r="N76" i="44"/>
  <c r="N75" i="44"/>
  <c r="N74" i="44"/>
  <c r="N73" i="44"/>
  <c r="N72" i="44"/>
  <c r="N71" i="44"/>
  <c r="N70" i="44"/>
  <c r="N69" i="44"/>
  <c r="N68" i="44"/>
  <c r="N67" i="44"/>
  <c r="N66" i="44"/>
  <c r="N65" i="44"/>
  <c r="N64" i="44"/>
  <c r="N63" i="44"/>
  <c r="N62" i="44"/>
  <c r="N61" i="44"/>
  <c r="N60" i="44"/>
  <c r="N59" i="44"/>
  <c r="N58" i="44"/>
  <c r="N57" i="44"/>
  <c r="N56" i="44"/>
  <c r="N55" i="44"/>
  <c r="N54" i="44"/>
  <c r="N53" i="44"/>
  <c r="N52" i="44"/>
  <c r="N51" i="44"/>
  <c r="N50" i="44"/>
  <c r="N49" i="44"/>
  <c r="N48" i="44"/>
  <c r="N47" i="44"/>
  <c r="N46" i="44"/>
  <c r="N45" i="44"/>
  <c r="N44" i="44"/>
  <c r="N43" i="44"/>
  <c r="N42" i="44"/>
  <c r="N41" i="44"/>
  <c r="N40" i="44"/>
  <c r="N39" i="44"/>
  <c r="N38" i="44"/>
  <c r="N37" i="44"/>
  <c r="N36" i="44"/>
  <c r="N35" i="44"/>
  <c r="N34" i="44"/>
  <c r="N33" i="44"/>
  <c r="N32" i="44"/>
  <c r="N31" i="44"/>
  <c r="N30" i="44"/>
  <c r="N29" i="44"/>
  <c r="N28" i="44"/>
  <c r="N27" i="44"/>
  <c r="N26" i="44"/>
  <c r="N25" i="44"/>
  <c r="N24" i="44"/>
  <c r="N23" i="44"/>
  <c r="N22" i="44"/>
  <c r="N21" i="44"/>
  <c r="N20" i="44"/>
  <c r="N19" i="44"/>
  <c r="N18" i="44"/>
  <c r="N17" i="44"/>
  <c r="N16" i="44"/>
  <c r="N15" i="44"/>
  <c r="N14" i="44"/>
  <c r="N13" i="44"/>
  <c r="N12" i="44"/>
  <c r="N11" i="44"/>
  <c r="N10" i="44"/>
  <c r="N9" i="44"/>
  <c r="R157" i="44" l="1"/>
  <c r="R159" i="44" s="1"/>
  <c r="R164" i="44" s="1"/>
  <c r="R171" i="44" s="1"/>
  <c r="R183" i="44" s="1"/>
  <c r="R194" i="44" s="1"/>
  <c r="R208" i="44" s="1"/>
  <c r="R218" i="44" s="1"/>
  <c r="R229" i="44" s="1"/>
  <c r="R258" i="44" s="1"/>
  <c r="R287" i="44" s="1"/>
  <c r="P218" i="44"/>
  <c r="P175" i="44"/>
  <c r="P209" i="44"/>
  <c r="P197" i="44"/>
  <c r="P173" i="44"/>
  <c r="P172" i="44"/>
  <c r="G17" i="42"/>
  <c r="G15" i="42"/>
  <c r="G12" i="42"/>
  <c r="G14" i="42"/>
  <c r="G18" i="42"/>
  <c r="G16" i="42"/>
  <c r="G13" i="42"/>
  <c r="P184" i="44"/>
  <c r="P174" i="44"/>
  <c r="P198" i="44"/>
  <c r="P199" i="44"/>
  <c r="P210" i="44"/>
  <c r="J11" i="57" l="1"/>
  <c r="J8" i="57"/>
  <c r="C41" i="57"/>
  <c r="C33" i="57"/>
  <c r="D33" i="57" s="1"/>
  <c r="C26" i="57"/>
  <c r="C21" i="57"/>
  <c r="C15" i="57"/>
  <c r="C11" i="57"/>
  <c r="C8" i="57"/>
  <c r="D8" i="57" s="1"/>
  <c r="AK32" i="59"/>
  <c r="AJ32" i="59"/>
  <c r="AA32" i="59"/>
  <c r="Z32" i="59"/>
  <c r="AK31" i="59"/>
  <c r="AJ31" i="59"/>
  <c r="AI31" i="59"/>
  <c r="AA31" i="59"/>
  <c r="Z31" i="59"/>
  <c r="AK30" i="59"/>
  <c r="AJ30" i="59"/>
  <c r="AI30" i="59"/>
  <c r="AA30" i="59"/>
  <c r="Z30" i="59"/>
  <c r="AK29" i="59"/>
  <c r="AJ29" i="59"/>
  <c r="AI29" i="59"/>
  <c r="AA29" i="59"/>
  <c r="Z29" i="59"/>
  <c r="AK28" i="59"/>
  <c r="AJ28" i="59"/>
  <c r="AI28" i="59"/>
  <c r="AA28" i="59"/>
  <c r="Z28" i="59"/>
  <c r="AK27" i="59"/>
  <c r="AJ27" i="59"/>
  <c r="AI27" i="59"/>
  <c r="AA27" i="59"/>
  <c r="Z27" i="59"/>
  <c r="AK26" i="59"/>
  <c r="AJ26" i="59"/>
  <c r="AI26" i="59"/>
  <c r="AA26" i="59"/>
  <c r="Z26" i="59"/>
  <c r="AK25" i="59"/>
  <c r="AJ25" i="59"/>
  <c r="AI25" i="59"/>
  <c r="AA25" i="59"/>
  <c r="Z25" i="59"/>
  <c r="AK24" i="59"/>
  <c r="AJ24" i="59"/>
  <c r="AI24" i="59"/>
  <c r="AA24" i="59"/>
  <c r="Z24" i="59"/>
  <c r="AK23" i="59"/>
  <c r="AJ23" i="59"/>
  <c r="AI23" i="59"/>
  <c r="AA23" i="59"/>
  <c r="Z23" i="59"/>
  <c r="AK22" i="59"/>
  <c r="AJ22" i="59"/>
  <c r="AI22" i="59"/>
  <c r="AA22" i="59"/>
  <c r="Z22" i="59"/>
  <c r="AK21" i="59"/>
  <c r="AA21" i="59"/>
  <c r="AJ21" i="59" s="1"/>
  <c r="Z21" i="59"/>
  <c r="AI21" i="59" s="1"/>
  <c r="AK20" i="59"/>
  <c r="AJ20" i="59"/>
  <c r="AI20" i="59"/>
  <c r="AA20" i="59"/>
  <c r="Z20" i="59"/>
  <c r="AK19" i="59"/>
  <c r="AJ19" i="59"/>
  <c r="AI19" i="59"/>
  <c r="AA19" i="59"/>
  <c r="Z19" i="59"/>
  <c r="Y27" i="59"/>
  <c r="Y31" i="59"/>
  <c r="Y30" i="59"/>
  <c r="Y29" i="59"/>
  <c r="Y28" i="59"/>
  <c r="Y26" i="59"/>
  <c r="Y24" i="59"/>
  <c r="Y23" i="59"/>
  <c r="Y19" i="59"/>
  <c r="Y22" i="59"/>
  <c r="Y20" i="59"/>
  <c r="Y17" i="59"/>
  <c r="Y15" i="59"/>
  <c r="Y13" i="59"/>
  <c r="Y11" i="59"/>
  <c r="Y10" i="59"/>
  <c r="Y9" i="59"/>
  <c r="V24" i="59"/>
  <c r="K9" i="54"/>
  <c r="G8" i="54"/>
  <c r="H9" i="60"/>
  <c r="AM21" i="59" l="1"/>
  <c r="AM24" i="59"/>
  <c r="AO20" i="59"/>
  <c r="AP20" i="59" s="1"/>
  <c r="AO32" i="59"/>
  <c r="AO24" i="59"/>
  <c r="AP24" i="59" s="1"/>
  <c r="AO22" i="59"/>
  <c r="AP22" i="59" s="1"/>
  <c r="AO26" i="59"/>
  <c r="AP26" i="59" s="1"/>
  <c r="AO28" i="59"/>
  <c r="AP28" i="59" s="1"/>
  <c r="AO30" i="59"/>
  <c r="AP30" i="59" s="1"/>
  <c r="AM29" i="59"/>
  <c r="AM25" i="59"/>
  <c r="AM30" i="59"/>
  <c r="AM22" i="59"/>
  <c r="AM31" i="59"/>
  <c r="AM26" i="59"/>
  <c r="AL23" i="59"/>
  <c r="AM28" i="59"/>
  <c r="AM27" i="59"/>
  <c r="AL19" i="59"/>
  <c r="AL20" i="59"/>
  <c r="AL28" i="59"/>
  <c r="AL31" i="59"/>
  <c r="AM23" i="59"/>
  <c r="AM20" i="59"/>
  <c r="AL21" i="59"/>
  <c r="AL26" i="59"/>
  <c r="AL29" i="59"/>
  <c r="AL24" i="59"/>
  <c r="AL27" i="59"/>
  <c r="AM19" i="59"/>
  <c r="AL22" i="59"/>
  <c r="AL25" i="59"/>
  <c r="AL30" i="59"/>
  <c r="D19" i="42" l="1"/>
  <c r="K27" i="42" l="1"/>
  <c r="K24" i="42"/>
  <c r="K26" i="42"/>
  <c r="K25" i="42"/>
  <c r="K23" i="42"/>
  <c r="G19" i="42"/>
  <c r="I503" i="44"/>
  <c r="M504" i="44"/>
  <c r="M503" i="44"/>
  <c r="L503" i="44"/>
  <c r="K503" i="44"/>
  <c r="J503" i="44"/>
  <c r="L502" i="44"/>
  <c r="K502" i="44"/>
  <c r="J502" i="44"/>
  <c r="I505" i="44" l="1"/>
  <c r="K20" i="42"/>
  <c r="K22" i="42"/>
  <c r="G9" i="54" l="1"/>
  <c r="K19" i="42" l="1"/>
  <c r="H28" i="55" l="1"/>
  <c r="H42" i="55" s="1"/>
  <c r="A1" i="55"/>
  <c r="A1" i="44"/>
  <c r="A1" i="57"/>
  <c r="A1" i="59"/>
  <c r="A1" i="54"/>
  <c r="A1" i="56"/>
  <c r="A1" i="42"/>
  <c r="A1" i="60"/>
  <c r="C8" i="56"/>
  <c r="A8" i="56"/>
  <c r="J8" i="54"/>
  <c r="C19" i="42" l="1"/>
  <c r="E19" i="42" s="1"/>
  <c r="J9" i="54"/>
  <c r="N8" i="44"/>
  <c r="F37" i="42" s="1"/>
  <c r="H37" i="42" s="1"/>
  <c r="Y32" i="59"/>
  <c r="AK18" i="59"/>
  <c r="AJ18" i="59"/>
  <c r="AI18" i="59"/>
  <c r="AA18" i="59"/>
  <c r="Z18" i="59"/>
  <c r="Y18" i="59"/>
  <c r="AK17" i="59"/>
  <c r="AJ17" i="59"/>
  <c r="AI17" i="59"/>
  <c r="AA17" i="59"/>
  <c r="Z17" i="59"/>
  <c r="AJ16" i="59"/>
  <c r="AI16" i="59"/>
  <c r="AA16" i="59"/>
  <c r="Z16" i="59"/>
  <c r="Y16" i="59"/>
  <c r="AJ15" i="59"/>
  <c r="AI15" i="59"/>
  <c r="AA15" i="59"/>
  <c r="Z15" i="59"/>
  <c r="AK14" i="59"/>
  <c r="AJ14" i="59"/>
  <c r="AI14" i="59"/>
  <c r="AA14" i="59"/>
  <c r="Z14" i="59"/>
  <c r="Y14" i="59"/>
  <c r="AK13" i="59"/>
  <c r="AJ13" i="59"/>
  <c r="AI13" i="59"/>
  <c r="AA13" i="59"/>
  <c r="Z13" i="59"/>
  <c r="AK12" i="59"/>
  <c r="AJ12" i="59"/>
  <c r="AI12" i="59"/>
  <c r="AA12" i="59"/>
  <c r="Z12" i="59"/>
  <c r="Y12" i="59"/>
  <c r="AJ11" i="59"/>
  <c r="AI11" i="59"/>
  <c r="AA11" i="59"/>
  <c r="Z11" i="59"/>
  <c r="AJ10" i="59"/>
  <c r="AI10" i="59"/>
  <c r="AA10" i="59"/>
  <c r="Z10" i="59"/>
  <c r="AK9" i="59"/>
  <c r="AJ9" i="59"/>
  <c r="AI9" i="59"/>
  <c r="AA9" i="59"/>
  <c r="Z9" i="59"/>
  <c r="AK8" i="59"/>
  <c r="AJ8" i="59"/>
  <c r="AI8" i="59"/>
  <c r="AA8" i="59"/>
  <c r="Z8" i="59"/>
  <c r="AP32" i="59" l="1"/>
  <c r="AL32" i="59"/>
  <c r="AI33" i="59"/>
  <c r="F36" i="42"/>
  <c r="H36" i="42" s="1"/>
  <c r="N499" i="44"/>
  <c r="F33" i="42"/>
  <c r="H33" i="42" s="1"/>
  <c r="F35" i="42"/>
  <c r="H35" i="42" s="1"/>
  <c r="F32" i="42"/>
  <c r="H32" i="42" s="1"/>
  <c r="F34" i="42"/>
  <c r="H34" i="42" s="1"/>
  <c r="N504" i="44"/>
  <c r="F31" i="42"/>
  <c r="H31" i="42" s="1"/>
  <c r="F30" i="42"/>
  <c r="H30" i="42" s="1"/>
  <c r="AM9" i="59"/>
  <c r="F21" i="42"/>
  <c r="H21" i="42" s="1"/>
  <c r="F20" i="42"/>
  <c r="H20" i="42" s="1"/>
  <c r="AO16" i="59"/>
  <c r="AP16" i="59" s="1"/>
  <c r="AO10" i="59"/>
  <c r="AP10" i="59" s="1"/>
  <c r="AO8" i="59"/>
  <c r="AP8" i="59" s="1"/>
  <c r="AO18" i="59"/>
  <c r="AP18" i="59" s="1"/>
  <c r="AO12" i="59"/>
  <c r="AP12" i="59" s="1"/>
  <c r="AO14" i="59"/>
  <c r="AP14" i="59" s="1"/>
  <c r="F22" i="42"/>
  <c r="AJ33" i="59"/>
  <c r="F47" i="42" s="1"/>
  <c r="G11" i="42"/>
  <c r="H11" i="42" s="1"/>
  <c r="F13" i="42"/>
  <c r="H13" i="42" s="1"/>
  <c r="F12" i="42"/>
  <c r="H12" i="42" s="1"/>
  <c r="F14" i="42"/>
  <c r="H14" i="42" s="1"/>
  <c r="F17" i="42"/>
  <c r="F15" i="42"/>
  <c r="H15" i="42" s="1"/>
  <c r="F16" i="42"/>
  <c r="H16" i="42" s="1"/>
  <c r="F18" i="42"/>
  <c r="H18" i="42" s="1"/>
  <c r="AM32" i="59"/>
  <c r="F19" i="42"/>
  <c r="H19" i="42" s="1"/>
  <c r="H50" i="57"/>
  <c r="N503" i="44"/>
  <c r="AM17" i="59"/>
  <c r="AM18" i="59"/>
  <c r="AM8" i="59"/>
  <c r="AM10" i="59"/>
  <c r="AM11" i="59"/>
  <c r="AM16" i="59"/>
  <c r="AM12" i="59"/>
  <c r="AM13" i="59"/>
  <c r="AM15" i="59"/>
  <c r="AM14" i="59"/>
  <c r="AL8" i="59"/>
  <c r="AL9" i="59"/>
  <c r="AL10" i="59"/>
  <c r="AL11" i="59"/>
  <c r="AL12" i="59"/>
  <c r="AL13" i="59"/>
  <c r="AL14" i="59"/>
  <c r="AL15" i="59"/>
  <c r="AL16" i="59"/>
  <c r="AL17" i="59"/>
  <c r="AL18" i="59"/>
  <c r="N8" i="56" l="1"/>
  <c r="AO35" i="59"/>
  <c r="H17" i="42"/>
  <c r="A5" i="59"/>
  <c r="AB33" i="59" l="1"/>
  <c r="AB7" i="59"/>
  <c r="E8" i="56"/>
  <c r="E9" i="56" s="1"/>
  <c r="BI9" i="60"/>
  <c r="BJ9" i="60" s="1"/>
  <c r="AA7" i="59"/>
  <c r="Z7" i="59"/>
  <c r="C9" i="54"/>
  <c r="D9" i="54"/>
  <c r="E8" i="54"/>
  <c r="AA33" i="59"/>
  <c r="Z33" i="59"/>
  <c r="W33" i="59"/>
  <c r="I9" i="56"/>
  <c r="D9" i="56"/>
  <c r="C9" i="56"/>
  <c r="A5" i="42"/>
  <c r="A5" i="57"/>
  <c r="A5" i="54"/>
  <c r="A5" i="56"/>
  <c r="A5" i="55"/>
  <c r="A5" i="44"/>
  <c r="J37" i="42" l="1"/>
  <c r="I37" i="42"/>
  <c r="I36" i="42"/>
  <c r="J36" i="42"/>
  <c r="J35" i="42"/>
  <c r="J32" i="42"/>
  <c r="I35" i="42"/>
  <c r="I32" i="42"/>
  <c r="J33" i="42"/>
  <c r="I33" i="42"/>
  <c r="I34" i="42"/>
  <c r="J34" i="42"/>
  <c r="I31" i="42"/>
  <c r="J31" i="42"/>
  <c r="J30" i="42"/>
  <c r="I30" i="42"/>
  <c r="J29" i="42"/>
  <c r="I29" i="42"/>
  <c r="I28" i="42"/>
  <c r="J28" i="42"/>
  <c r="I27" i="42"/>
  <c r="J27" i="42"/>
  <c r="J26" i="42"/>
  <c r="I26" i="42"/>
  <c r="J25" i="42"/>
  <c r="I25" i="42"/>
  <c r="I24" i="42"/>
  <c r="J24" i="42"/>
  <c r="I23" i="42"/>
  <c r="J23" i="42"/>
  <c r="J21" i="42"/>
  <c r="I21" i="42"/>
  <c r="I20" i="42"/>
  <c r="J20" i="42"/>
  <c r="I22" i="42"/>
  <c r="J22" i="42"/>
  <c r="J15" i="42"/>
  <c r="I16" i="42"/>
  <c r="J16" i="42"/>
  <c r="I9" i="42"/>
  <c r="J9" i="42"/>
  <c r="J11" i="42"/>
  <c r="J12" i="42"/>
  <c r="I12" i="42"/>
  <c r="J14" i="42"/>
  <c r="I11" i="42"/>
  <c r="J17" i="42"/>
  <c r="I10" i="42"/>
  <c r="J13" i="42"/>
  <c r="J18" i="42"/>
  <c r="I18" i="42"/>
  <c r="J10" i="42"/>
  <c r="I17" i="42"/>
  <c r="I14" i="42"/>
  <c r="I13" i="42"/>
  <c r="I15" i="42"/>
  <c r="E9" i="54"/>
  <c r="J19" i="42"/>
  <c r="I19" i="42"/>
  <c r="L505" i="44"/>
  <c r="V33" i="59"/>
  <c r="U33" i="59"/>
  <c r="J505" i="44"/>
  <c r="AK33" i="59"/>
  <c r="H8" i="56"/>
  <c r="H9" i="56" s="1"/>
  <c r="K8" i="54"/>
  <c r="L37" i="42" l="1"/>
  <c r="M37" i="42" s="1"/>
  <c r="O37" i="42" s="1"/>
  <c r="L35" i="42"/>
  <c r="M35" i="42" s="1"/>
  <c r="O35" i="42" s="1"/>
  <c r="L36" i="42"/>
  <c r="M36" i="42" s="1"/>
  <c r="O36" i="42" s="1"/>
  <c r="L33" i="42"/>
  <c r="M33" i="42" s="1"/>
  <c r="O33" i="42" s="1"/>
  <c r="L32" i="42"/>
  <c r="M32" i="42" s="1"/>
  <c r="O32" i="42" s="1"/>
  <c r="L8" i="56"/>
  <c r="L9" i="56" s="1"/>
  <c r="L34" i="42"/>
  <c r="L31" i="42"/>
  <c r="M31" i="42" s="1"/>
  <c r="O31" i="42" s="1"/>
  <c r="Q31" i="42" s="1"/>
  <c r="L29" i="42"/>
  <c r="L30" i="42"/>
  <c r="M30" i="42" s="1"/>
  <c r="O30" i="42" s="1"/>
  <c r="Q30" i="42" s="1"/>
  <c r="L28" i="42"/>
  <c r="L27" i="42"/>
  <c r="L26" i="42"/>
  <c r="L25" i="42"/>
  <c r="L24" i="42"/>
  <c r="L23" i="42"/>
  <c r="L21" i="42"/>
  <c r="M21" i="42" s="1"/>
  <c r="O21" i="42" s="1"/>
  <c r="Q21" i="42" s="1"/>
  <c r="L20" i="42"/>
  <c r="M20" i="42" s="1"/>
  <c r="O20" i="42" s="1"/>
  <c r="Q20" i="42" s="1"/>
  <c r="L22" i="42"/>
  <c r="L9" i="42"/>
  <c r="M9" i="42" s="1"/>
  <c r="O9" i="42" s="1"/>
  <c r="Q9" i="42" s="1"/>
  <c r="L15" i="42"/>
  <c r="M15" i="42" s="1"/>
  <c r="O15" i="42" s="1"/>
  <c r="Q15" i="42" s="1"/>
  <c r="L18" i="42"/>
  <c r="M18" i="42" s="1"/>
  <c r="O18" i="42" s="1"/>
  <c r="Q18" i="42" s="1"/>
  <c r="L16" i="42"/>
  <c r="M16" i="42" s="1"/>
  <c r="O16" i="42" s="1"/>
  <c r="Q16" i="42" s="1"/>
  <c r="L13" i="42"/>
  <c r="M13" i="42" s="1"/>
  <c r="O13" i="42" s="1"/>
  <c r="Q13" i="42" s="1"/>
  <c r="L17" i="42"/>
  <c r="M17" i="42" s="1"/>
  <c r="O17" i="42" s="1"/>
  <c r="Q17" i="42" s="1"/>
  <c r="L14" i="42"/>
  <c r="M14" i="42" s="1"/>
  <c r="O14" i="42" s="1"/>
  <c r="Q14" i="42" s="1"/>
  <c r="L11" i="42"/>
  <c r="M11" i="42" s="1"/>
  <c r="O11" i="42" s="1"/>
  <c r="Q11" i="42" s="1"/>
  <c r="L10" i="42"/>
  <c r="M10" i="42" s="1"/>
  <c r="O10" i="42" s="1"/>
  <c r="Q10" i="42" s="1"/>
  <c r="L12" i="42"/>
  <c r="M12" i="42" s="1"/>
  <c r="O12" i="42" s="1"/>
  <c r="Q12" i="42" s="1"/>
  <c r="L19" i="42"/>
  <c r="M19" i="42" s="1"/>
  <c r="O19" i="42" s="1"/>
  <c r="Q19" i="42" s="1"/>
  <c r="K505" i="44"/>
  <c r="AL33" i="59"/>
  <c r="Y33" i="59"/>
  <c r="M34" i="42" l="1"/>
  <c r="O34" i="42" s="1"/>
  <c r="Q34" i="42" s="1"/>
  <c r="K8" i="56"/>
  <c r="AM33" i="59"/>
  <c r="N9" i="56"/>
  <c r="D11" i="57"/>
  <c r="C50" i="57"/>
  <c r="D15" i="57"/>
  <c r="D21" i="57"/>
  <c r="D26" i="57"/>
  <c r="D41" i="57"/>
  <c r="K9" i="56" l="1"/>
  <c r="D50" i="57"/>
  <c r="E50" i="57"/>
  <c r="B41" i="57" l="1"/>
  <c r="B15" i="57"/>
  <c r="B33" i="57"/>
  <c r="B11" i="57"/>
  <c r="B8" i="57"/>
  <c r="B26" i="57"/>
  <c r="B21" i="57"/>
  <c r="J8" i="56"/>
  <c r="C51" i="57"/>
  <c r="J9" i="56" l="1"/>
  <c r="O8" i="56"/>
  <c r="O9" i="56" s="1"/>
  <c r="M8" i="56"/>
  <c r="M9" i="56" s="1"/>
  <c r="K11" i="56" s="1"/>
  <c r="H31" i="59" l="1"/>
  <c r="H33" i="59" s="1"/>
  <c r="F27" i="42" l="1"/>
  <c r="F26" i="42"/>
  <c r="H26" i="42" s="1"/>
  <c r="M26" i="42" s="1"/>
  <c r="O26" i="42" s="1"/>
  <c r="Q26" i="42" s="1"/>
  <c r="F25" i="42"/>
  <c r="H25" i="42" s="1"/>
  <c r="M25" i="42" s="1"/>
  <c r="O25" i="42" s="1"/>
  <c r="Q25" i="42" s="1"/>
  <c r="F23" i="42"/>
  <c r="H23" i="42" s="1"/>
  <c r="M23" i="42" s="1"/>
  <c r="O23" i="42" s="1"/>
  <c r="Q23" i="42" s="1"/>
  <c r="F24" i="42"/>
  <c r="H24" i="42" s="1"/>
  <c r="M24" i="42" s="1"/>
  <c r="O24" i="42" s="1"/>
  <c r="Q24" i="42" s="1"/>
  <c r="G22" i="42"/>
  <c r="H22" i="42" s="1"/>
  <c r="M22" i="42" s="1"/>
  <c r="O22" i="42" s="1"/>
  <c r="Q22" i="42" s="1"/>
  <c r="M294" i="44"/>
  <c r="G28" i="42"/>
  <c r="F48" i="42" l="1"/>
  <c r="J48" i="42" s="1"/>
  <c r="G27" i="42"/>
  <c r="H27" i="42" s="1"/>
  <c r="M27" i="42" s="1"/>
  <c r="O27" i="42" s="1"/>
  <c r="Q27" i="42" s="1"/>
  <c r="F29" i="42"/>
  <c r="H29" i="42" s="1"/>
  <c r="M29" i="42" s="1"/>
  <c r="O29" i="42" s="1"/>
  <c r="Q29" i="42" s="1"/>
  <c r="N502" i="44"/>
  <c r="N505" i="44" s="1"/>
  <c r="F28" i="42"/>
  <c r="H28" i="42" s="1"/>
  <c r="M28" i="42" s="1"/>
  <c r="O28" i="42" s="1"/>
  <c r="Q28" i="42" s="1"/>
  <c r="M400" i="44"/>
  <c r="U417" i="44" s="1"/>
  <c r="M499" i="44" l="1"/>
  <c r="M502" i="44"/>
  <c r="M505" i="4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tc={353A8671-3071-4D90-8A79-EAAB23B7A57F}</author>
  </authors>
  <commentList>
    <comment ref="F33" authorId="0" shapeId="0" xr:uid="{353A8671-3071-4D90-8A79-EAAB23B7A57F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Incluye los $102.370,38 reconocidos como rendimientos por parte de la Fiduciaria y girados a la cuenta reportada para giro de rendimientos, en fecha 30/09/2025 según extracto. </t>
      </text>
    </comment>
  </commentList>
</comments>
</file>

<file path=xl/sharedStrings.xml><?xml version="1.0" encoding="utf-8"?>
<sst xmlns="http://schemas.openxmlformats.org/spreadsheetml/2006/main" count="3335" uniqueCount="672">
  <si>
    <t xml:space="preserve">INFORME FINANCIERO </t>
  </si>
  <si>
    <t>Contrato:</t>
  </si>
  <si>
    <t>Fecha firma:</t>
  </si>
  <si>
    <t>Cliente:</t>
  </si>
  <si>
    <t>Ministerio de Educación Nacional</t>
  </si>
  <si>
    <t>Peridodo Informe:</t>
  </si>
  <si>
    <t>Anexos:</t>
  </si>
  <si>
    <t>Ficha Técnica</t>
  </si>
  <si>
    <t>Resumen Financiero del Contrato</t>
  </si>
  <si>
    <t>Resumen Presupuestal</t>
  </si>
  <si>
    <t>Ingresos del Contrato</t>
  </si>
  <si>
    <t>Ejecución Financiera Contratación Derivada</t>
  </si>
  <si>
    <t>Pagos Asistencia Ténica</t>
  </si>
  <si>
    <t>Reportes de Pagos</t>
  </si>
  <si>
    <t>Rendimientos Financieros</t>
  </si>
  <si>
    <t>Financiera del Desarrollo S.A.</t>
  </si>
  <si>
    <t>0. FICHA TECNICA</t>
  </si>
  <si>
    <t>No.</t>
  </si>
  <si>
    <t>No. Contrato o Convenio Interadministrativo</t>
  </si>
  <si>
    <t>Objeto del Contrato o Convenio</t>
  </si>
  <si>
    <t xml:space="preserve">Entidad </t>
  </si>
  <si>
    <t>NIT</t>
  </si>
  <si>
    <t xml:space="preserve">Estado del Contrato </t>
  </si>
  <si>
    <t>Sector</t>
  </si>
  <si>
    <t>Fecha de Suscripción</t>
  </si>
  <si>
    <t>Valor Inicial</t>
  </si>
  <si>
    <t>Fecha de Terminación inicial</t>
  </si>
  <si>
    <t xml:space="preserve">Cuenta Bancaria </t>
  </si>
  <si>
    <t>FONDO DE INVERION COLECTIVA - FIC</t>
  </si>
  <si>
    <t>Modificacion No. 1</t>
  </si>
  <si>
    <t>Modificacion No. 2</t>
  </si>
  <si>
    <t>Modificacion No. 3</t>
  </si>
  <si>
    <t>Modificacion No. 4</t>
  </si>
  <si>
    <t>Modificacion No. 5</t>
  </si>
  <si>
    <t>Modificacion No. 6</t>
  </si>
  <si>
    <t>Modificacion No. 7</t>
  </si>
  <si>
    <t>Modificacion No. 8</t>
  </si>
  <si>
    <t>Modificacion No. 9</t>
  </si>
  <si>
    <t>Modificacion No. 10</t>
  </si>
  <si>
    <t>Modificacion No. 11</t>
  </si>
  <si>
    <t>Modificacion No. 12</t>
  </si>
  <si>
    <t>Valor Total Adiciones</t>
  </si>
  <si>
    <t>Valor Final Contrato</t>
  </si>
  <si>
    <t>Fecha de Terminación Final</t>
  </si>
  <si>
    <t>Fecha Liquidación</t>
  </si>
  <si>
    <t>Fecha</t>
  </si>
  <si>
    <t>Objeto Modificación</t>
  </si>
  <si>
    <t>Adición</t>
  </si>
  <si>
    <t>Prórroga</t>
  </si>
  <si>
    <t>MINISTERIO DE EDUCACION NACIONAL</t>
  </si>
  <si>
    <t>899.999.001-7</t>
  </si>
  <si>
    <t>VIGENTE</t>
  </si>
  <si>
    <t>EDUCACION</t>
  </si>
  <si>
    <t>-</t>
  </si>
  <si>
    <t>N/A</t>
  </si>
  <si>
    <t>1. RESUMEN FINANCIERO DEL CONTRATO</t>
  </si>
  <si>
    <t>FECHA</t>
  </si>
  <si>
    <t>CONTRATO</t>
  </si>
  <si>
    <t>1. DESEMBOLSOS (+)</t>
  </si>
  <si>
    <t>2. PAGOS (-)</t>
  </si>
  <si>
    <t>3. RENDIMIENTOS, VALORACION Y DESVALORIZACION (+)</t>
  </si>
  <si>
    <t>Saldo Extracto
(Cuenta Bancaria + FIC)</t>
  </si>
  <si>
    <t>Partidas Conciliatorias Fiduciaria (*)</t>
  </si>
  <si>
    <t>1.1. DESEMBOLSOS ACUMULADOS 
MES ANTERIOR</t>
  </si>
  <si>
    <t>1.2. DESEMBOLSOS MES ACTUAL</t>
  </si>
  <si>
    <r>
      <t>1.3. SALDO ACUMULADO 
MES ACTUAL</t>
    </r>
    <r>
      <rPr>
        <sz val="11"/>
        <color theme="0"/>
        <rFont val="Calibri"/>
        <family val="2"/>
        <scheme val="minor"/>
      </rPr>
      <t xml:space="preserve">
(1.1  +  1.2 )</t>
    </r>
  </si>
  <si>
    <t>2.1. PAGOS ACUMULADOS 
MES ANTERIOR 
(VALOR NETO)</t>
  </si>
  <si>
    <t>2.2. PAGADO 
MES ACTUAL
(VALOR NETO)</t>
  </si>
  <si>
    <r>
      <t xml:space="preserve">2.3. PAGOS ACUMULADOS 
MES ACTUAL
(VALOR NETO)    
</t>
    </r>
    <r>
      <rPr>
        <sz val="11"/>
        <color theme="0"/>
        <rFont val="Calibri"/>
        <family val="2"/>
        <scheme val="minor"/>
      </rPr>
      <t>(2.1.  +  2.2)</t>
    </r>
  </si>
  <si>
    <t>3.1. RENDIMIENTOS, VALORACION Y DESVALORIZACION  ACUMULADOS  
MES ANTERIOR</t>
  </si>
  <si>
    <t>3.2. RENDIMIENTOS, VALORACION Y DESVALORIZACION  GENERADOS MES ACTUAL</t>
  </si>
  <si>
    <t>3.3. (MENOS) REINTEGRO DE RENDIMIENTOS</t>
  </si>
  <si>
    <r>
      <t xml:space="preserve">3.4. SALDO DE RENDIMIENTOS, VALORACION Y DESVALORIZACION ACUMULADA 
</t>
    </r>
    <r>
      <rPr>
        <sz val="11"/>
        <color theme="0"/>
        <rFont val="Calibri"/>
        <family val="2"/>
        <scheme val="minor"/>
      </rPr>
      <t>(3.1. + 3.2. - 3.3)</t>
    </r>
  </si>
  <si>
    <t>2. RESUMEN PRESUPUESTAL</t>
  </si>
  <si>
    <t>CDP</t>
  </si>
  <si>
    <t>VIGENCIA FISCAL</t>
  </si>
  <si>
    <t>VALOR 
CDP</t>
  </si>
  <si>
    <t xml:space="preserve">ADICION </t>
  </si>
  <si>
    <t>VALOR  PRESUPUESTO 
(A)</t>
  </si>
  <si>
    <t xml:space="preserve">FUENTE </t>
  </si>
  <si>
    <t>ORIGEN DE LOS RECURSOS</t>
  </si>
  <si>
    <t>RECURSOS RECIBIDOS</t>
  </si>
  <si>
    <t>REFORMULACIÓN Y/O ADICIONES AL CONTRATO</t>
  </si>
  <si>
    <t>ASISTENCIA TECNICA COMPROMISOS
(B)</t>
  </si>
  <si>
    <t xml:space="preserve">ADJUDICACIONES Y/O COMPROMISOS
(C) </t>
  </si>
  <si>
    <t>LIBERACIONES ACTAS DE LIQUIDACION CONTRATOS
(D)</t>
  </si>
  <si>
    <t>SALDO DISPONIBLE POR COMPROMETER
(E) = (A)-(B)-(C)+(D)</t>
  </si>
  <si>
    <t>PAGOS ADJUDICACIONES Y/O COMPROMISOS
(F)</t>
  </si>
  <si>
    <t>SALDO POR PAGAR ADJUDICACIONES Y/O COMPROMISOS
(G) = ((B)+(C))-((F)+(D))</t>
  </si>
  <si>
    <t>NACION</t>
  </si>
  <si>
    <t>TOTAL</t>
  </si>
  <si>
    <t>3. INGRESOS DEL CONTRATO</t>
  </si>
  <si>
    <t xml:space="preserve">ADICION CDP </t>
  </si>
  <si>
    <t xml:space="preserve">VALOR  PRESUPUESTO </t>
  </si>
  <si>
    <t>VALOR 
DESEMBOLSO</t>
  </si>
  <si>
    <t>TRASLADO</t>
  </si>
  <si>
    <t>TOTAL 
DESEMBOLSOS</t>
  </si>
  <si>
    <t>SALDO POR DESEMBOLSAR</t>
  </si>
  <si>
    <t>4. EJECUCION FINANCIERA CONTRATACION DERIVADA</t>
  </si>
  <si>
    <t>ITEM</t>
  </si>
  <si>
    <t>CDR 
(*)</t>
  </si>
  <si>
    <t>LINEA DEL PROYECTO</t>
  </si>
  <si>
    <t>PROYECTO</t>
  </si>
  <si>
    <t>MUNICIPIO</t>
  </si>
  <si>
    <t>DEPARTAMENTO</t>
  </si>
  <si>
    <t>GRUPO</t>
  </si>
  <si>
    <t>CANTIDAD SEDES</t>
  </si>
  <si>
    <t>CONTRATO 
No.</t>
  </si>
  <si>
    <t>FECHA 
SUSCRIPCION</t>
  </si>
  <si>
    <t>TIPO 
CONTRATO</t>
  </si>
  <si>
    <t>CONTRATADO O POR CONTRATAR</t>
  </si>
  <si>
    <t>CONTRATISTA</t>
  </si>
  <si>
    <t>CC / NIT</t>
  </si>
  <si>
    <t xml:space="preserve">VALOR 
ADJUDICADO </t>
  </si>
  <si>
    <t>VALOR POR
ADJUDICAR Y/O LIBERAR</t>
  </si>
  <si>
    <t>ADICIONES / MODIFICACIONES CONTRATO</t>
  </si>
  <si>
    <t>VALOR FINAL CONTRATO</t>
  </si>
  <si>
    <t>SALDO POR PAGAR</t>
  </si>
  <si>
    <t>% AVANCE FINANCIERO</t>
  </si>
  <si>
    <t>TOTALES</t>
  </si>
  <si>
    <t>5. PAGOS ASISTENCIA TECNICA</t>
  </si>
  <si>
    <t>Actividad / Hitos</t>
  </si>
  <si>
    <t>%</t>
  </si>
  <si>
    <t>Valor Total 
(Cláusula Septima Contrato Interadministativo)</t>
  </si>
  <si>
    <t>VALOR FACTURA</t>
  </si>
  <si>
    <t>VALOR NETO</t>
  </si>
  <si>
    <t>FECHA DE PAGO</t>
  </si>
  <si>
    <t>A la adjudicación de los Contratos Derivados</t>
  </si>
  <si>
    <t>6. REPORTE DE PAGOS</t>
  </si>
  <si>
    <t>RAZON SOCIAL / NOMBRE</t>
  </si>
  <si>
    <t>CTO</t>
  </si>
  <si>
    <t>CONCEPTO</t>
  </si>
  <si>
    <t>FECHA PAGO</t>
  </si>
  <si>
    <t>VALOR BRUTO</t>
  </si>
  <si>
    <t>RETEGARANTIA</t>
  </si>
  <si>
    <t>IMPUESTOS</t>
  </si>
  <si>
    <t>AJUSTE A MIL</t>
  </si>
  <si>
    <t>NETO A PAGAR</t>
  </si>
  <si>
    <t>RESUMEN</t>
  </si>
  <si>
    <t>ASISTENCIA</t>
  </si>
  <si>
    <t>CONTRATOS</t>
  </si>
  <si>
    <t>7. RENDIMIENTOS FINANCIEROS</t>
  </si>
  <si>
    <t>RENDIMIENTOS 
CAUSADOS
CUENTA DE AHORRO</t>
  </si>
  <si>
    <t>VALORACIÓN /DESVALORIZACION 
CAUSADOS 
FONDO DE INVERSION COLECTIVA - FIC</t>
  </si>
  <si>
    <t>TOTAL RENDIMIENTOS, VALORACION DEVALORIZACION CAUSADOS</t>
  </si>
  <si>
    <t>FECHA TRASLADO REINTEGRO RENDIMIENTOS</t>
  </si>
  <si>
    <t>VALOR TRASLADO RENDIMIENTOS</t>
  </si>
  <si>
    <t>AJUSTES /
 RETENCIONES</t>
  </si>
  <si>
    <t>SALDO PENDIENTE POR TRASLADAR RENDIMIENTOS</t>
  </si>
  <si>
    <t>DESVALORIZACION ACUMULADA</t>
  </si>
  <si>
    <t xml:space="preserve">NACION </t>
  </si>
  <si>
    <t>IVA</t>
  </si>
  <si>
    <t>(*) CDR: Constancia de Disponibilidad de Recursos, documento de control interno de Findeter que respalda la disponibilidad para iniciar con la adjudicación de contratos derivados o la adición a los mismos.</t>
  </si>
  <si>
    <t>SUMINISTROS</t>
  </si>
  <si>
    <t>CONTRATADO</t>
  </si>
  <si>
    <t>OBRA</t>
  </si>
  <si>
    <t>VALOR</t>
  </si>
  <si>
    <t>DESCRIPCION</t>
  </si>
  <si>
    <t>SALDO RECURSOS LÍQUIDOS (SALDO CUENTA DE AHORROS  +  SALDO FIC)</t>
  </si>
  <si>
    <t>CUENTAS X COBRAR</t>
  </si>
  <si>
    <t>TOTAL RENDIMIENTOS POR GIRAR</t>
  </si>
  <si>
    <t>CUENTAS X PAGAR PROVEEDORES</t>
  </si>
  <si>
    <t>IMPUESTOS POR PAGAR</t>
  </si>
  <si>
    <t>RETENCIONES EN GARANTÍA PENDIENTES DE GIRO</t>
  </si>
  <si>
    <t>TIPO DE PAGO</t>
  </si>
  <si>
    <t>SALDO POR FACTURAR</t>
  </si>
  <si>
    <t>Contrato Interadministrativo No. CO1.PCCNTR. 4917031</t>
  </si>
  <si>
    <t>CO1.PCCNTR. 4917031 DE 2023</t>
  </si>
  <si>
    <t>BRINDAR ASISTENCIA TÉCNICA Y ADMINISTRACIÓN DE RECURSOS PARA ATENDER LAS NECESIDADES PRIORITARIAS EN INFRAESTRUCTURA Y DOTACIÓN DE MOBILIARIO ESCOLAR DE LAS SEDES EDUCATIVAS AFECTADAS POR LA TEMPORADA DE LLUVIAS QUE SEAN DEFINIDAS POR EL MINISTERIO DE EDUCACIÓN.</t>
  </si>
  <si>
    <t>5 de mayo de 2023</t>
  </si>
  <si>
    <t>BANCO POPULAR AHORROS 
No. 500-804-65045-0</t>
  </si>
  <si>
    <t xml:space="preserve">
FIDULIQUIDEZ No. 70083604683-6</t>
  </si>
  <si>
    <t>El plazo previsto para la ejecución del contrato interadministrativo será a partir del cumplimiento de los requisitos de perfeccionamiento y ejecución, hasta el 01 de noviembre de 2024, plazo en el que se debe llevar a cabo la ejecución física del contrato y la liquidación de la contratación derivada que suscriba FINDETER.</t>
  </si>
  <si>
    <t>01/11/20224</t>
  </si>
  <si>
    <t>El plazo previsto para la ejecución del contrato interadministrativo será a partir del cumplimiento de los requisitos de perfeccionamiento y ejecución, hasta el 01 de julio de 2025, plazo en el que se debe llevar a cabo la ejecución física del contrato y la liquidación de la contratación derivada que suscriba FINDETER.</t>
  </si>
  <si>
    <t>4
35</t>
  </si>
  <si>
    <t>7
26</t>
  </si>
  <si>
    <t>2
40
44</t>
  </si>
  <si>
    <t>8
30</t>
  </si>
  <si>
    <t>9
27</t>
  </si>
  <si>
    <t>11
42
45</t>
  </si>
  <si>
    <t>18
31</t>
  </si>
  <si>
    <t>19
32</t>
  </si>
  <si>
    <t>22
28
33A</t>
  </si>
  <si>
    <t>23
29
34</t>
  </si>
  <si>
    <t>13
36
43</t>
  </si>
  <si>
    <t>15
41
46</t>
  </si>
  <si>
    <t>EJECUCIÓN DE OBRAS DE MEJORAMIENTO Y/U OBRAS REQUERIDAS PARA LA INFRAESTRUCTURA EDUCATIVA E INSTALACIÓN DE AULAS Y/O BATERÍAS SANITARIAS EN SISTEMAS PREFABRICADOS Y SU PUESTA EN CONDICIONES DE FUNCIONALIDAD - GRUPO 1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</si>
  <si>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1</t>
  </si>
  <si>
    <t>EJECUCIÓN DE OBRAS DE MEJORAMIENTO Y/U OBRAS REQUERIDAS PARA LA INFRAESTRUCTURA EDUCATIVA E INSTALACIÓN DE AULAS Y/O BATERÍAS SANITARIAS EN SISTEMAS PREFABRICADOS Y SU PUESTA EN CONDICIONES DE FUNCIONALIDAD - GRUPO 2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</si>
  <si>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2</t>
  </si>
  <si>
    <t>EJECUCIÓN DE OBRAS DE MEJORAMIENTO Y/U OBRAS REQUERIDAS PARA LA INFRAESTRUCTURA EDUCATIVA E INSTALACIÓN DE AULAS Y/O BATERÍAS SANITARIAS EN SISTEMAS PREFABRICADOS Y SU PUESTA EN CONDICIONES DE FUNCIONALIDAD - GRUPO 3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</si>
  <si>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3</t>
  </si>
  <si>
    <t>EJECUCIÓN DE OBRAS DE MEJORAMIENTO Y/U OBRAS REQUERIDAS PARA LA INFRAESTRUCTURA EDUCATIVA E INSTALACIÓN DE AULAS Y/O BATERÍAS SANITARIAS EN SISTEMAS PREFABRICADOS Y SU PUESTA EN CONDICIONES DE FUNCIONALIDAD - GRUPO 4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</si>
  <si>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4</t>
  </si>
  <si>
    <t>EJECUCIÓN DE OBRAS DE MEJORAMIENTO Y/U OBRAS REQUERIDAS PARA LA INFRAESTRUCTURA EDUCATIVA E INSTALACIÓN DE AULAS Y/O BATERÍAS SANITARIAS EN SISTEMAS PREFABRICADOS Y SU PUESTA EN CONDICIONES DE FUNCIONALIDAD - GRUPO 5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</si>
  <si>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5</t>
  </si>
  <si>
    <t>EJECUCIÓN DE OBRAS DE MEJORAMIENTO Y/U OBRAS REQUERIDAS PARA LA INFRAESTRUCTURA EDUCATIVA E INSTALACIÓN DE AULAS Y/O BATERÍAS SANITARIAS EN SISTEMAS PREFABRICADOS Y SU PUESTA EN CONDICIONES DE FUNCIONALIDAD - GRUPO 6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</si>
  <si>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6</t>
  </si>
  <si>
    <t>EJECUCIÓN DE OBRAS DE MEJORAMIENTO Y/U OBRAS REQUERIDAS PARA LA INFRAESTRUCTURA EDUCATIVA E INSTALACIÓN DE AULAS Y/O BATERÍAS SANITARIAS EN SISTEMAS PREFABRICADOS Y SU PUESTA EN CONDICIONES DE FUNCIONALIDAD - GRUPO 7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</si>
  <si>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7</t>
  </si>
  <si>
    <t>EJECUCIÓN DE OBRAS DE MEJORAMIENTO Y/U OBRAS REQUERIDAS PARA LA INFRAESTRUCTURA EDUCATIVA E INSTALACIÓN DE AULAS Y/O BATERÍAS SANITARIAS EN SISTEMAS PREFABRICADOS Y SU PUESTA EN CONDICIONES DE FUNCIONALIDAD - GRUPO 8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</si>
  <si>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8</t>
  </si>
  <si>
    <t>EJECUCIÓN DE OBRAS DE MEJORAMIENTO Y/U OBRAS REQUERIDAS PARA LA INFRAESTRUCTURA EDUCATIVA E INSTALACIÓN DE AULAS Y/O BATERÍAS SANITARIAS EN SISTEMAS PREFABRICADOS Y SU PUESTA EN CONDICIONES DE FUNCIONALIDAD - GRUPO 9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</si>
  <si>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9</t>
  </si>
  <si>
    <t>EJECUCIÓN DE OBRAS DE MEJORAMIENTO Y/U OBRAS REQUERIDAS PARA LA INFRAESTRUCTURA EDUCATIVA E INSTALACIÓN DE AULAS Y/O BATERÍAS SANITARIAS EN SISTEMAS PREFABRICADOS Y SU PUESTA EN CONDICIONES DE FUNCIONALIDAD - GRUPO 10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</si>
  <si>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10</t>
  </si>
  <si>
    <t>EJECUCIÓN DE OBRAS DE MEJORAMIENTO Y/U OBRAS REQUERIDAS PARA LA INFRAESTRUCTURA EDUCATIVA E INSTALACIÓN DE AULAS Y/O BATERÍAS SANITARIAS EN SISTEMAS PREFABRICADOS Y SU PUESTA EN CONDICIONES DE FUNCIONALIDAD - GRUPO 11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</si>
  <si>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11</t>
  </si>
  <si>
    <t>EJECUCIÓN DE OBRAS DE MEJORAMIENTO Y/U OBRAS REQUERIDAS PARA LA INFRAESTRUCTURA EDUCATIVA E INSTALACIÓN DE AULAS Y/O BATERÍAS SANITARIAS EN SISTEMAS PREFABRICADOS Y SU PUESTA EN CONDICIONES DE FUNCIONALIDAD - GRUPO 12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</si>
  <si>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12</t>
  </si>
  <si>
    <t>EL SUMINISTRO, ENTREGA E INSTALACION DE DOTACION DEL MOBILIARIO ESCOLAR EN LAS SEDES EDUCATIVAS AFECTADAS POR LA TEMPORADA DE LLUVIAS</t>
  </si>
  <si>
    <t>CIUDAD BOLIVAR
TADO
APARTADO
CARMEN DEL DARIEN
TURBO</t>
  </si>
  <si>
    <t>SOLEDAD
GALAPA
REPELON
PALMAR DE VARELA
LURUACO</t>
  </si>
  <si>
    <t>PUEBLO VIEJO
EL RETEN
CIENAGA</t>
  </si>
  <si>
    <t>MOMPOS
CORDOBA
SAN SEBASTIAN DE BUENAVISTA</t>
  </si>
  <si>
    <t>BARRANCO DE LOBA
CONCORDIA
EL BANCO
CURUMANI
SAN MARTIN DE LOBA
CHIMICHAGUA</t>
  </si>
  <si>
    <t>VALLEDUPAR
LA PAZ
VALLEDUPAR
EL PASO</t>
  </si>
  <si>
    <t>MANAURE
RIOHACHA
MAICAO
BARRANCAS</t>
  </si>
  <si>
    <t>TUCHIN
COTORRA
PLANETA RICA
PUERTO LIBERTADOR
AYAPEL
MONTELIBANO
MARIA LA BAJA</t>
  </si>
  <si>
    <t>VELEZ
BETUNIA
MORALES
BOGOTA
SARAVENA
SANTA ISABEL
VILLAVICENCIO
ANOLAIMA
SIMITI
LA PLAYA
ARAUCA</t>
  </si>
  <si>
    <t>TORIBIO
SANTANDER DE QUILICHAO
GUADALAJARA DE BUGA
BAHIA SOLANO
SUAREZ</t>
  </si>
  <si>
    <t>BOLIVAR
EL TAMBO
LA VEGA
BALBOA
POPAYAN
ROSAS</t>
  </si>
  <si>
    <t>PASTO
EL ROSARIO
ACEVEDO
PIAMONTE
CUMBAL
PUERTO ASIS
BARBACOAS
PUERTO LEGUIZAMON
ORITO
IPIALES
MALLAMA</t>
  </si>
  <si>
    <t>ANTIOQUIA
CHOCO</t>
  </si>
  <si>
    <t>ATLANTICO</t>
  </si>
  <si>
    <t>MAGDALENA</t>
  </si>
  <si>
    <t>BOLIVAR 
MAGDALENA</t>
  </si>
  <si>
    <t>BOLIVAR 
MAGDALENA
CESAR</t>
  </si>
  <si>
    <t>CESAR</t>
  </si>
  <si>
    <t>GUAJIRA</t>
  </si>
  <si>
    <t>CORDOBA
BOLIVAR</t>
  </si>
  <si>
    <t>SANTANDER
BOLIVAR
BOGOTA
ARAUCA
TOLIMA
META
CUNDINAMARCA
NORTE DE SANTANDER</t>
  </si>
  <si>
    <t>CAUCA
VALLE DEL CAUCA
CHOCO</t>
  </si>
  <si>
    <t>CAUCA</t>
  </si>
  <si>
    <t xml:space="preserve">NARIÑO
HUILA
CAUCA
PUTUMAYO </t>
  </si>
  <si>
    <t>PAF-MENAM-O-049-2023</t>
  </si>
  <si>
    <t>PAF-MENAM-I-052-2023</t>
  </si>
  <si>
    <t>PAF-MENAM-O-050-2023</t>
  </si>
  <si>
    <t>PAF-MENAM-I-053-2023</t>
  </si>
  <si>
    <t>PAF-MENAM-O-051-2023</t>
  </si>
  <si>
    <t>PAF-MENAM-I-054-2023</t>
  </si>
  <si>
    <t>PAF-MENAM-O-052-2023</t>
  </si>
  <si>
    <t>PAF-MENAM-I-055-2023</t>
  </si>
  <si>
    <t>PAF-MENAM-O-053-2023</t>
  </si>
  <si>
    <t>PAF-MENAM-I-056-2023</t>
  </si>
  <si>
    <t>PAF-MENAM-O-056-2023</t>
  </si>
  <si>
    <t>PAF-MENAM-I-058-2023</t>
  </si>
  <si>
    <t>PAF-MENAM-I-059-2023</t>
  </si>
  <si>
    <t>PAF-MENAM-O-055-2023</t>
  </si>
  <si>
    <t>PAF-MENAM-I-057-2023</t>
  </si>
  <si>
    <t>PAF-ATMEN5-I-064-2024</t>
  </si>
  <si>
    <t>PAF-MENAM-I-062-2023</t>
  </si>
  <si>
    <t>PAF-MENAM-I-063-2023</t>
  </si>
  <si>
    <t>PAF-MENAM-I-064-2023</t>
  </si>
  <si>
    <t>PAF-ATMEN5-S-041-2024</t>
  </si>
  <si>
    <t>INTERVENTORIA DE OBRA</t>
  </si>
  <si>
    <t>OBRAS CAPITAL S.A.</t>
  </si>
  <si>
    <t>INTERVENTORIAS Y CONSULTORIAS S.A.S</t>
  </si>
  <si>
    <t>CONSORCIO EDUCATIVO SJ 2023</t>
  </si>
  <si>
    <t>RM INGENIEROS S.A.S</t>
  </si>
  <si>
    <t>CONSORCIO INSTITUCIONES DEL MAGDALENA</t>
  </si>
  <si>
    <t>CONSORCIO INTER EDUCATIVO G3</t>
  </si>
  <si>
    <t>JASA LTDA</t>
  </si>
  <si>
    <t>CONSORCIO INTER EDUCATIVO G 4</t>
  </si>
  <si>
    <t>CONSORCIO EDUCATIVO SJ 2023 G5</t>
  </si>
  <si>
    <t>CONSORCIO INFRAESTRUCTURA G5</t>
  </si>
  <si>
    <t>DAR ARQUITECTURA
S.A.S</t>
  </si>
  <si>
    <t>CONSORCIO
INTERVENTORIAS AM</t>
  </si>
  <si>
    <t>CONSORCIO GUAJIRA 7</t>
  </si>
  <si>
    <t>GERMAN ADOLFO PERDOMO PACHÓN</t>
  </si>
  <si>
    <t>LUIS GUILLERMO NARVÁEZ RICARDO</t>
  </si>
  <si>
    <t>CONSORCIO INTERVENCIONES GRUPO 9</t>
  </si>
  <si>
    <t>CONSORCIO SAN 
GABRIEL</t>
  </si>
  <si>
    <t>CONSORCIO FIN GRUPO 10</t>
  </si>
  <si>
    <t>CARLOS GUSTAVO GOMEZ ROMERO</t>
  </si>
  <si>
    <t>CONSORCIO FIN GRUPO 11</t>
  </si>
  <si>
    <t>CONSORCIO FIN GRUPO 12</t>
  </si>
  <si>
    <t>DOTAESCOL S.A.S.</t>
  </si>
  <si>
    <t>900.246.080-0</t>
  </si>
  <si>
    <t>901.813.886-6</t>
  </si>
  <si>
    <t xml:space="preserve">MAYORES PERMANCIAS CONTRATOS </t>
  </si>
  <si>
    <t xml:space="preserve">Acta de Inicio de los Contratos Derivados </t>
  </si>
  <si>
    <t>Avance de ejecución física del 20% de cada proyecto</t>
  </si>
  <si>
    <t>Avance de ejecución física del 40% de cada proyecto</t>
  </si>
  <si>
    <t>Avance de ejecución física del 60% de cada proyecto</t>
  </si>
  <si>
    <t>Avance de ejecución física del 80% de cada proyecto</t>
  </si>
  <si>
    <t>Avance de ejecución física del 100% de cada proyecto</t>
  </si>
  <si>
    <t>ORDEN DE OPERACIÓN</t>
  </si>
  <si>
    <t>R96</t>
  </si>
  <si>
    <t>R127</t>
  </si>
  <si>
    <t>SALDO</t>
  </si>
  <si>
    <t>50</t>
  </si>
  <si>
    <t>R 150</t>
  </si>
  <si>
    <t xml:space="preserve">ORDEN DE OPERACIÓN </t>
  </si>
  <si>
    <t>38-R</t>
  </si>
  <si>
    <t>50-R</t>
  </si>
  <si>
    <t>R 127</t>
  </si>
  <si>
    <t>Acta 1 COMPONENTE I</t>
  </si>
  <si>
    <t>Acta 1 COMPONENTE II OBRA</t>
  </si>
  <si>
    <t>Acta 1 COMPONENTE II</t>
  </si>
  <si>
    <t>Acta 2 COMPONENTE II</t>
  </si>
  <si>
    <t>Acta 1 COMPONENTE I Y II</t>
  </si>
  <si>
    <t>Acta 2 COMPONENTE II OBRA</t>
  </si>
  <si>
    <t>HITO No. 1</t>
  </si>
  <si>
    <t>ACTA DE COSTOS No 1 COMPONENTE 1</t>
  </si>
  <si>
    <t>Acta 3 COMPONENTE II</t>
  </si>
  <si>
    <t>ACTA DE COSTOS No 1 COMPONENTE 2</t>
  </si>
  <si>
    <t>Acta 3 COMPONENTE II OBRA</t>
  </si>
  <si>
    <t>Acta 3 COMPONENTE II SUMINISTROS</t>
  </si>
  <si>
    <t>ACTA DE OBRA No 1 - COMPONENTE II</t>
  </si>
  <si>
    <t>Acta 4 COMPONENTE II</t>
  </si>
  <si>
    <t>ACTA DE COSTOS No 2 COMPONENTE 2</t>
  </si>
  <si>
    <t xml:space="preserve">Acta 1 COMPONENTE II </t>
  </si>
  <si>
    <t>Acta 4 COMPONENTE II OBRA</t>
  </si>
  <si>
    <t>A la firma del Acta de Inicio de los
Contratos Derivados</t>
  </si>
  <si>
    <t>Corte Interventoría 1 COMPONENTE II</t>
  </si>
  <si>
    <t>ACTA 3 COMPONENTE II.</t>
  </si>
  <si>
    <t>ACTA COMPONENTE II - ACTA PARCIAL No.4</t>
  </si>
  <si>
    <t>Cobro variable, Hito 2,3,4, 5, 6 y 7</t>
  </si>
  <si>
    <t>Acta 5 COMPONENTE II</t>
  </si>
  <si>
    <t>Acta 2 COMPONENTE II SUMINISTROS</t>
  </si>
  <si>
    <t>Acta 6 COMPONENTE II</t>
  </si>
  <si>
    <t>ACTA 2 DEL COMPONENTE I</t>
  </si>
  <si>
    <t>ACTA 3 DEL COMPONENTE II</t>
  </si>
  <si>
    <t xml:space="preserve">ACTA 2 DEL COMPONENTE I </t>
  </si>
  <si>
    <t>ACTA 6 DEL COMPONENTE II</t>
  </si>
  <si>
    <t>ACTA 4 COMPONENTE II</t>
  </si>
  <si>
    <t>ACTA 5 COMPONENTE II</t>
  </si>
  <si>
    <t>ACTA 7 COMPONENTE II</t>
  </si>
  <si>
    <t>ACTA 1 COMPONENTE I</t>
  </si>
  <si>
    <t>ACTA 3 COMPONENTE II</t>
  </si>
  <si>
    <t>ACTA 2 COMPONENTE II</t>
  </si>
  <si>
    <t>ACTA 4 COMPONENTE II- SUMINISTROS</t>
  </si>
  <si>
    <t>ACTA 6 COMPONENTE II</t>
  </si>
  <si>
    <t>ACTA 1 COMPONENTE II</t>
  </si>
  <si>
    <t>CORTE 2 COMPONENTE I</t>
  </si>
  <si>
    <t>CORTE 4 COMPONENTE II</t>
  </si>
  <si>
    <t>ACTA 2 COMPONENTE  I</t>
  </si>
  <si>
    <t>ACTA 5 ETAPA II</t>
  </si>
  <si>
    <t>ACTA 8 COMPONENTE II</t>
  </si>
  <si>
    <t>ACTA 2 COMPONENTE I</t>
  </si>
  <si>
    <t xml:space="preserve">DEVOLUCION RETEGARANTÍA ACTA LIQUIDACIÓN </t>
  </si>
  <si>
    <t>ACTA 9 COMPONENTE II</t>
  </si>
  <si>
    <t>Cobro variable, Hito 2,3,,5, 6 y 7</t>
  </si>
  <si>
    <t>PAF-MENAM-O-080-2023</t>
  </si>
  <si>
    <t>PAF-MENAM-O-076-2023</t>
  </si>
  <si>
    <t>PAF-MENAM-O-079-2023</t>
  </si>
  <si>
    <t>PAF-ATMEN5-O-036-2024</t>
  </si>
  <si>
    <t>PAF-ATMEN5-O-037-2024</t>
  </si>
  <si>
    <t>INTERVENTORIAS Y CONSULTORIAS S.A.S.</t>
  </si>
  <si>
    <t>CONSORCIO INTERVENTORÍAS AM 2023</t>
  </si>
  <si>
    <t>CONSORCIO INTER EDUCATIVO G4</t>
  </si>
  <si>
    <t>DAR ARQUITECTURA SAS</t>
  </si>
  <si>
    <t>FINDETER S.A</t>
  </si>
  <si>
    <t>LUIS GUILLERMO NARVAEZ RICARDO</t>
  </si>
  <si>
    <t>RM INGENIEROS SAS</t>
  </si>
  <si>
    <t>OBRAS CAPITAL S.A</t>
  </si>
  <si>
    <t>DAR ARQUITECTURA S.A.S</t>
  </si>
  <si>
    <t>CONSORCIO INTERVENTORIAS AM 2023</t>
  </si>
  <si>
    <t>Luis Guillermo Narvaez Ricardo</t>
  </si>
  <si>
    <t>CARLOS GUSTAVO GOMEZ
ROMERO</t>
  </si>
  <si>
    <t>OTROS DESCUENTOS</t>
  </si>
  <si>
    <t>CC</t>
  </si>
  <si>
    <t>MINISTERIO DE HACIENDA Y
CREDITO PUBLICO</t>
  </si>
  <si>
    <t>CONTRIBUCIÓN DE OBRA FEBRERO 2024</t>
  </si>
  <si>
    <t>U A E DIRECCION DE IMPUESTOS Y ADUANAS NACIONALES</t>
  </si>
  <si>
    <t>RETENCIÓN EN LA FUENTE ENERO DE 2024</t>
  </si>
  <si>
    <t>CONTRIBUCIÓN DE OBRA ENERO 2024</t>
  </si>
  <si>
    <t>RETENCIÓN EN LA FUENTE FEBRERO DE 2024</t>
  </si>
  <si>
    <t>PAGO POR RETE ICA</t>
  </si>
  <si>
    <t>MUNICIPIO DE APARTADO</t>
  </si>
  <si>
    <t>CONTRIBUCIÓN DE OBRA MARZO 2024</t>
  </si>
  <si>
    <t>RETENCIÓN EN LA FUENTE MARZO DE 2024</t>
  </si>
  <si>
    <t>CONTRIBUCIÓN DE OBRA ABRIL 2024</t>
  </si>
  <si>
    <t>MUNICIPIO DE CURUMANI- CESAR</t>
  </si>
  <si>
    <t xml:space="preserve">MUNICIPIO CONCORDIA- MAGDALENA </t>
  </si>
  <si>
    <t xml:space="preserve">MUNICIPIO EL BANCO- MAGDALENA </t>
  </si>
  <si>
    <t>CONTRIBUCIÓN DE OBRA MAYO 2024</t>
  </si>
  <si>
    <t>RETENCIÓN EN LA FUENTE MAYO DE 2024</t>
  </si>
  <si>
    <t xml:space="preserve">MUNICIPIO DE CORDOBA </t>
  </si>
  <si>
    <t xml:space="preserve">MUNICIPIO DE BUGA </t>
  </si>
  <si>
    <t>CONTRIBUCIÓN DE OBRA JUNIO 2024</t>
  </si>
  <si>
    <t>RETENCIÓN EN LA FUENTE JUNIO DE 2024</t>
  </si>
  <si>
    <t>PAGO ESTAMPILLA PRIMER SEMESTRE DE 2024</t>
  </si>
  <si>
    <t>MINISTERIO DE EDUCACION
NACIONAL</t>
  </si>
  <si>
    <t xml:space="preserve">MUNICIPIO DE PASTO </t>
  </si>
  <si>
    <t>CONTRIBUCIÓN DE OBRA JULIO 2024</t>
  </si>
  <si>
    <t>RETENCIÓN EN LA FUENTE JULIO DE 2024</t>
  </si>
  <si>
    <t>MUNICIPIO DE MONTELIBANO</t>
  </si>
  <si>
    <t>CONTRIBUCIÓN DE OBRA AGOSTO 2024</t>
  </si>
  <si>
    <t>RETENCIÓN EN LA FUENTE AGOSTO DE 2024</t>
  </si>
  <si>
    <t>MUNICIPIO DE MARIA LA BAJA</t>
  </si>
  <si>
    <t>MUNICIPIO DE TURBO- ANTIOQUIA</t>
  </si>
  <si>
    <t>MUNICIPIO EL ROSARIO</t>
  </si>
  <si>
    <t>RETENCIÓN EN LA FUENTE SEPTIEMBRE DE 2024</t>
  </si>
  <si>
    <t>CONTRIBUCIÓN DE OBRA SEPTIEMBRE 2024</t>
  </si>
  <si>
    <t>14/08/2023
09/05/2024</t>
  </si>
  <si>
    <t>15/08/2023
29/01/2024</t>
  </si>
  <si>
    <t>8/08/2023
30/05/2024
02/08/2024</t>
  </si>
  <si>
    <t>15/08/2023
26/02/2024</t>
  </si>
  <si>
    <t>15/08/2023
06/02/2024</t>
  </si>
  <si>
    <t>15/08/2023
25/06/2024
20/09/2024</t>
  </si>
  <si>
    <t>10
41A
47</t>
  </si>
  <si>
    <t>15/08/2023
25/06/2024
16/08/2024</t>
  </si>
  <si>
    <t>23/08/2023
26/02/2024</t>
  </si>
  <si>
    <t>23/08/2023
22/02/2024
06/05/2024</t>
  </si>
  <si>
    <t>28/08/2023
22/02/2024
06/05/2024</t>
  </si>
  <si>
    <t>16
38
49</t>
  </si>
  <si>
    <t>28/08/2023
23/05/2024
25/10/2024</t>
  </si>
  <si>
    <t>18/08/2023
20/05/2024
22/07/2024</t>
  </si>
  <si>
    <t>18/08/2023
4/06/2024
2/09/2024</t>
  </si>
  <si>
    <t>VARIOS</t>
  </si>
  <si>
    <t>R 166</t>
  </si>
  <si>
    <t>FINDETER</t>
  </si>
  <si>
    <t>ACTA 6 COMPONENTE II FEVE7</t>
  </si>
  <si>
    <t>ACTA 6 COMPONENTE II GG39</t>
  </si>
  <si>
    <t>ACTA 7 COMPONENTE II FIN10</t>
  </si>
  <si>
    <t>ACTA 6 COMPONENTE II FIN10</t>
  </si>
  <si>
    <t>ACTA 7 ETAPA II FE-12</t>
  </si>
  <si>
    <t>ACTA 7 COMPONENTE II GG 38</t>
  </si>
  <si>
    <t>ACTA 3 COMPONENTE II FEV 6</t>
  </si>
  <si>
    <t>ACTA 8 ETAPA II FE-13</t>
  </si>
  <si>
    <t>ACTA LIQUIDACION ETAPA II JA 883</t>
  </si>
  <si>
    <t xml:space="preserve"> PAGO RETEGARANTIA CUENTA DE COBRO </t>
  </si>
  <si>
    <t>ACTA 6 ETAPA II GG 37</t>
  </si>
  <si>
    <t>ACTA LIQUIDACION ETAPA I JA 882</t>
  </si>
  <si>
    <t>ACTA 1 ETAPA I FE 1</t>
  </si>
  <si>
    <t>ACTA FINAL ETAPA I Y II FE 7</t>
  </si>
  <si>
    <t>ACTA 9 ETAPA II FE-19</t>
  </si>
  <si>
    <t>REMUNERACION  FDTF5751 - FDTF5752 - FDTF5753 - FDTF5754</t>
  </si>
  <si>
    <t>PAGO CONTRIBUCIÓN ESPECIAL DE OBRA OCTUBRE DE 2024</t>
  </si>
  <si>
    <t>PAGO RETEFUENTE OCTUBRE DE 2024</t>
  </si>
  <si>
    <t>PAGO ICA APARTADO</t>
  </si>
  <si>
    <t>PAGO ICA CURUMANI</t>
  </si>
  <si>
    <t>PAGO ICA CONCORDIA</t>
  </si>
  <si>
    <t>PAGO ICA EL BANCO</t>
  </si>
  <si>
    <t>PAGO ICA BUGA</t>
  </si>
  <si>
    <t>PAGO ICA TURBO</t>
  </si>
  <si>
    <t xml:space="preserve">PAGO ICA EL ROSARIO </t>
  </si>
  <si>
    <t>R 177</t>
  </si>
  <si>
    <t>R177</t>
  </si>
  <si>
    <t>PAGO CONTRIBUCIÓN ESPECIAL DE NOVIEMBRE DE 2024</t>
  </si>
  <si>
    <t>PAGO RETEFUENTE NOVIEMBREE DE 2024</t>
  </si>
  <si>
    <t>CONSORCIO INTERVENTORIAS AM</t>
  </si>
  <si>
    <t xml:space="preserve"> PAGO RETEGARANTIA</t>
  </si>
  <si>
    <t>ACTA LIQUIDACION ETAPA II</t>
  </si>
  <si>
    <t>ACTA 8 ETAPA II</t>
  </si>
  <si>
    <t xml:space="preserve">ACTA 7 ETAPA II </t>
  </si>
  <si>
    <t>ACTA 7 ETAPA II</t>
  </si>
  <si>
    <t xml:space="preserve">REMUNERACION </t>
  </si>
  <si>
    <t>ACTA 1 ETAPA I</t>
  </si>
  <si>
    <t>ACTA 9 ETAPA II</t>
  </si>
  <si>
    <t>177-R</t>
  </si>
  <si>
    <t>MUNICIPIO DE BETULIA</t>
  </si>
  <si>
    <t xml:space="preserve">PAGO ICA BETULIA </t>
  </si>
  <si>
    <t>MUNICIPIO DE CORDOBA</t>
  </si>
  <si>
    <t>PAGO ICA CORDOBA</t>
  </si>
  <si>
    <t>MUNICIPIO DE ARAUCA</t>
  </si>
  <si>
    <t>PAGO ICA ARAUCA</t>
  </si>
  <si>
    <t>MUNICIPIO DE BUGA</t>
  </si>
  <si>
    <t>IMPUESTOS CONTRIBUCION ESPECIAL OBRA DICIEMBRE 2024</t>
  </si>
  <si>
    <t>MINISTERIO DE HACIENDA Y CREDITO PUBLICO</t>
  </si>
  <si>
    <t>PAGO DE ESTAMPILLAS JUL A DIC 2024</t>
  </si>
  <si>
    <t>PAGO IMPU-RETENCION EN LA FUENTE DICIEMBRE 2024</t>
  </si>
  <si>
    <t>SECRETARIA DISTRITAL DEL HABITAT</t>
  </si>
  <si>
    <t>PAGO ICA BOGOTA</t>
  </si>
  <si>
    <t>MUNICIPIO DE VELEZ - SNATANDER</t>
  </si>
  <si>
    <t xml:space="preserve">PAGO ICA VELEZ </t>
  </si>
  <si>
    <t>MUNICIPIO DE CURUMANI CESAR</t>
  </si>
  <si>
    <t>PAGO ICA CURUMANI CESAR</t>
  </si>
  <si>
    <t>MUNICIPIO DE SIMITI</t>
  </si>
  <si>
    <t>PAGO ICA SIMITI</t>
  </si>
  <si>
    <t>MUNICIPIO DE ANOLAIMA</t>
  </si>
  <si>
    <t>PAGO ICA ANOLAIMA</t>
  </si>
  <si>
    <t>MUNICIPIO CONCORDIA MAGDALENA</t>
  </si>
  <si>
    <t>PAGO ICA CONCORDIA MAGDALENA</t>
  </si>
  <si>
    <t>MUNICIPIO EL BANCO -MAGDALENA</t>
  </si>
  <si>
    <t xml:space="preserve">PAGO ICA EL BANCO </t>
  </si>
  <si>
    <t>MUNICIPIO DE PASTO</t>
  </si>
  <si>
    <t>PAGO ICA PASTO</t>
  </si>
  <si>
    <t>MUNICIPIO DE EL ROSARIO</t>
  </si>
  <si>
    <t>PAGO ICA EL ROSARIO</t>
  </si>
  <si>
    <t>MUNICIPIO DE SANTA ISABEL</t>
  </si>
  <si>
    <t>PAGO ICA SANTA ISABEL</t>
  </si>
  <si>
    <t>CONSORCIO SAN GABRIEL</t>
  </si>
  <si>
    <t>ACTA 3 Y PAGO 10% FINAL  ETAPA II FE 6</t>
  </si>
  <si>
    <t>DEVOLUCIÓN RETEGARANTIA ACTA DE LIQUIDACIÓN  CUENTA DE COBRO 1</t>
  </si>
  <si>
    <t>ACTA 1 ETAPA I FV 140</t>
  </si>
  <si>
    <t>ACTA 9 ETAPA II FIN 12</t>
  </si>
  <si>
    <t>ACTA 9 ETAPA II GG 44</t>
  </si>
  <si>
    <t>ACTA 1 ETAPA II CSG 5</t>
  </si>
  <si>
    <t>ACTA 1 ETAPA II FE 2</t>
  </si>
  <si>
    <t>ACTA 8 ETAPA II FIN 13</t>
  </si>
  <si>
    <t>ACTA 8 ETAPA II GG  47</t>
  </si>
  <si>
    <t>R 201</t>
  </si>
  <si>
    <t>SALDO PATRIMONIO  CONTRATO INTER ADMINISTRATIVO</t>
  </si>
  <si>
    <r>
      <t xml:space="preserve">4. SALDO DISPONIBLE EN CUENTAS CONTRATO Y/O CONVENIO    
</t>
    </r>
    <r>
      <rPr>
        <sz val="11"/>
        <color theme="0"/>
        <rFont val="Calibri"/>
        <family val="2"/>
        <scheme val="minor"/>
      </rPr>
      <t>(1.3 - 2.3 + 3.4)</t>
    </r>
  </si>
  <si>
    <t>IMPUESTOS CONTRIBUCION ESPECIAL OBRA ENERO 2025</t>
  </si>
  <si>
    <t xml:space="preserve">PAGO ICA PASTO </t>
  </si>
  <si>
    <t>PAGO ICA MARIA LA BAJA</t>
  </si>
  <si>
    <t>PAGO ICA MONTELIBANO</t>
  </si>
  <si>
    <t>ACTA 10 ETAPA II FIN13</t>
  </si>
  <si>
    <t>ACTA 10 ETAPA II GG 48</t>
  </si>
  <si>
    <t>ACTA 02 ETAPA II FE4</t>
  </si>
  <si>
    <t>ACTA 6 ETAPA II FEO342</t>
  </si>
  <si>
    <t>ACTA 8 ETAPA II FEVE9</t>
  </si>
  <si>
    <t>LIQUIDACIÓN COMPONENTE I Y II C092</t>
  </si>
  <si>
    <t>ACTA 7 ETAPA II FE 12</t>
  </si>
  <si>
    <t>ACTA 2 ETAPA II CSG 7</t>
  </si>
  <si>
    <t>ACTA 1  DOTA588</t>
  </si>
  <si>
    <t>ACTA 9 ETAPA II GG 49</t>
  </si>
  <si>
    <t>REMUNERACION  FDTF5878</t>
  </si>
  <si>
    <t>201-R</t>
  </si>
  <si>
    <t>37
52</t>
  </si>
  <si>
    <t>22/05/2024
13/03/2025</t>
  </si>
  <si>
    <t>IMPUESTOS CONTRIBUCION ESPECIAL OBRA FEBRERO 2025</t>
  </si>
  <si>
    <t>PAGO IMPU-RETENCION EN LA FUENTE ENERO 2025</t>
  </si>
  <si>
    <t>PAGO IMPU-RETENCION EN LA FUENTE FEBRERO 2025</t>
  </si>
  <si>
    <t>REMUNERACION  FACTURA FDTF5895</t>
  </si>
  <si>
    <t>ACTA FINAL ETAPA II FACTURA IC1-361</t>
  </si>
  <si>
    <t>DEVOLUCIÓN RETEGARANTIA CUENTA DE COBRO 1</t>
  </si>
  <si>
    <t>ACTA 3 ETAPA II FACTURA CSG 8</t>
  </si>
  <si>
    <t>ACTA 11 ETAPA II FACTURA GG 50</t>
  </si>
  <si>
    <t>ACTA 11 ETAPA II FACTURA FIN14</t>
  </si>
  <si>
    <t>ACTA 03 ETAPA II FACTURA FE 7</t>
  </si>
  <si>
    <t>ACTA 4 ETAPA II FACTURA FEV 7</t>
  </si>
  <si>
    <t>202-R</t>
  </si>
  <si>
    <t>PAGO ICA MUNICIPIO DE ARAUCA</t>
  </si>
  <si>
    <t>PAGO ICA MUNICIPIO DE ANOLAIMA</t>
  </si>
  <si>
    <t>PAGO ICA MUNICIPIO DE BETULIA</t>
  </si>
  <si>
    <t>MUNICIPIO DEL ROSARIO</t>
  </si>
  <si>
    <t>PAGO ICA MUNICIPIO DEL ROSARIO</t>
  </si>
  <si>
    <t>PAGO ICA MUNICIPIO DE SANTA ISABEL</t>
  </si>
  <si>
    <t>FER MUNICIPIO DE SIMITI</t>
  </si>
  <si>
    <t>PAGO ICA FER MUNICIPIO DE SIMITI</t>
  </si>
  <si>
    <t>PAGO ICA MUNICIPIO DE VELEZ - SNATANDER</t>
  </si>
  <si>
    <t>PAGO ICA MUNICIPIO DE BUGA</t>
  </si>
  <si>
    <t>PAGO ICA MUNICIPIO DE PASTO</t>
  </si>
  <si>
    <t>R 202</t>
  </si>
  <si>
    <t>ESTADO</t>
  </si>
  <si>
    <t>Vigente</t>
  </si>
  <si>
    <t>Liquidado</t>
  </si>
  <si>
    <t>En Liquidación</t>
  </si>
  <si>
    <t>PAGO IMPU-RETENCION EN LA FUENTE MARZO 2025</t>
  </si>
  <si>
    <t>215-R</t>
  </si>
  <si>
    <t>ACTA 4 ETAPA II FACTURA FE 8</t>
  </si>
  <si>
    <t>ACTA 12 ETAPA II FACTURA FIN15</t>
  </si>
  <si>
    <t>ACTA 4 ETAPA II FACTURA CSG 10</t>
  </si>
  <si>
    <t>ACTA 12 ETAPA II FACTURA GG 51</t>
  </si>
  <si>
    <t>REMUNERACION  FACTURA FDTF5930</t>
  </si>
  <si>
    <t>RETENCIÓN EN LA FUENTE ABRIL DE 2024</t>
  </si>
  <si>
    <t>R215</t>
  </si>
  <si>
    <t>IMPUESTOS CONTRIBUCION ESPECIAL OBRA MARZO 2025</t>
  </si>
  <si>
    <t>IMPUESTOS CONTRIBUCION ESPECIAL OBRA PENDIENTE DE PAGO CONTRATISTA DAR ARQUITECTURA SAS DESCONTADO DE PAGO RETEGARANTÍA</t>
  </si>
  <si>
    <t>PAGO IMPU-RETENCION EN LA FUENTE ABRIL 2025</t>
  </si>
  <si>
    <t xml:space="preserve"> DEVOLUCIÓN RETEGARANTIA </t>
  </si>
  <si>
    <t>ACTA 5 ETAPA II FACTURA CSG 14</t>
  </si>
  <si>
    <t>ACTA 13 ETAPA II FACTURA GG53</t>
  </si>
  <si>
    <t>ACTA 13 ETAPA II FACTURA FIN16</t>
  </si>
  <si>
    <t>ACTA 5 ETAPA II FACTURA FE 11</t>
  </si>
  <si>
    <t>PAGO ICA MUNICIPIO DE APARTADO</t>
  </si>
  <si>
    <t>PAGO ICA MUNICIPIO DE SIMITI</t>
  </si>
  <si>
    <t>MUNICIPIO DE TURBO</t>
  </si>
  <si>
    <t>PAGO ICA MUNICIPIO DE TURBO</t>
  </si>
  <si>
    <t>El plazo previsto para la ejecución del contrato interadministrativo será a partir del cumplimiento de los requisitos de perfeccionamiento y ejecución, hasta el 01 de mayo de 2026, plazo en el que se debe llevar a cabo la ejecución física del contrato y la liquidación de la contratación derivada que suscriba FINDETER.</t>
  </si>
  <si>
    <t>IMPUESTOS CONTRIBUCION ESPECIAL OBRA ABRIL 2025</t>
  </si>
  <si>
    <t>IMPUESTOS CONTRIBUCION ESPECIAL OBRA MAYO 2025</t>
  </si>
  <si>
    <t>PAGO IMPU-RETENCION EN LA FUENTE MAYO 2025</t>
  </si>
  <si>
    <t>ACTA 14 ETAPA II FACTURA FIN17</t>
  </si>
  <si>
    <t>ACTA 14 ETAPA II FACTURA GG54</t>
  </si>
  <si>
    <t>ACTA 6 ETAPA II FACTURA FE 14</t>
  </si>
  <si>
    <t>ACTA 6 ETAPA II FACTURA CSG 17</t>
  </si>
  <si>
    <t>ACTA 2  FACTURA DOTA622</t>
  </si>
  <si>
    <t>ACTA 10 ETAPA II FV 143</t>
  </si>
  <si>
    <t>PAGO ESTAMPILLA PRIMER SEMESTRE 2025</t>
  </si>
  <si>
    <t>PAGO CONTRIBUCION DE OBRA JUNIO 2025</t>
  </si>
  <si>
    <t>RETEFUENTE JUNIO 2025</t>
  </si>
  <si>
    <t>ACTA 1 ETAPA II FACTURA FGAP 3</t>
  </si>
  <si>
    <t>PAGO ICA GUADALAJARA DE BUGA</t>
  </si>
  <si>
    <t>PAGO RETE ICA ANOLAIMA CUNDINAMARCA</t>
  </si>
  <si>
    <t>PAGO RETE ICA SIMITI - BOLIVAR</t>
  </si>
  <si>
    <t>R 237</t>
  </si>
  <si>
    <t>RETEFUENTE JULIO 2025</t>
  </si>
  <si>
    <t>ACTA 2 ETAPA I FACTURA FE15</t>
  </si>
  <si>
    <t>ACTA 2 COMPONENTE 1 FACTURA 20</t>
  </si>
  <si>
    <t>ACTA 10 ETAPA II FACTURA FE17</t>
  </si>
  <si>
    <t>Devolucion Retegarantia ETAPA II FACTURA CC1</t>
  </si>
  <si>
    <t>ACTA 12 CONTRA ACTA LIQUIDACION ETAPA II FACTURA FV146</t>
  </si>
  <si>
    <t>DEVOLUCION RETEGARANTIA ETAPA II FACTURA CC1</t>
  </si>
  <si>
    <t>ACTA 10 CONTRA ACTA LIQUIDACION ETAPA II FACTURA 21</t>
  </si>
  <si>
    <t>DEVOLUCIÓN DE RETEGARANTIA ACTA DE LIQUIDACIÓN  FACTURA CC1</t>
  </si>
  <si>
    <t>ACTA 2 COMPONENTE ll FACTURA FGAP 4</t>
  </si>
  <si>
    <t>COMPONENTE 2 DEVOLUCIÓN RETEGARANTIA FACTURA CUENTA DE COBRO 1</t>
  </si>
  <si>
    <t>REMUNERACION  FACTURA FDTF6031</t>
  </si>
  <si>
    <t>ACTA 1O COMPONENTE ll FACTURA GG 55</t>
  </si>
  <si>
    <t>ACTA 9 COMPONENTE ll FACTURA FIN14</t>
  </si>
  <si>
    <t>ACTA 10 RETEGARANTIA COMPONENTE ll FACTURA CC1</t>
  </si>
  <si>
    <t>DEVOLUCIÒN DE RETEGARANTIA COMPONENTE ll FACTURA CC1</t>
  </si>
  <si>
    <t>237-R</t>
  </si>
  <si>
    <t>17
39
48
51
53</t>
  </si>
  <si>
    <t>29/08/2023
23/05/2024
25/10/2024
19/12/2024
21/03/2025</t>
  </si>
  <si>
    <t>33
50
54</t>
  </si>
  <si>
    <t>22/04/2024
03/12/2024
08/08/2025</t>
  </si>
  <si>
    <t>PAGO CONTRIBUCION DE OBRA AGOSTO 2025</t>
  </si>
  <si>
    <t>RETEFUENTE AGOSTO 2025</t>
  </si>
  <si>
    <t>ACTA 9 COMPONENTE ll FACTURA FEVE 11</t>
  </si>
  <si>
    <t xml:space="preserve"> DEVOLUCION RETEGARANTIA FACTURA CC001</t>
  </si>
  <si>
    <t>ACTA 8 COMPONENTE ll FACTURA GG 56</t>
  </si>
  <si>
    <t>DEVOLUCIÒN DE RETEGARANTIA COMPONENTE ll FACTURA CC 1</t>
  </si>
  <si>
    <t xml:space="preserve">PAGO ICA </t>
  </si>
  <si>
    <t>MUNICIPIO DE RIOHACHA</t>
  </si>
  <si>
    <t>ACTA 1 COMPONENTE I FACTURA CSG 18</t>
  </si>
  <si>
    <t>PAGO CONTRIBUCION DE OBRA</t>
  </si>
  <si>
    <t>RETEFUENTE SEPTIEMBRE 2025</t>
  </si>
  <si>
    <t>REMUNERACION HITO 7 GRUPO 10 FACTURA FDTF6096</t>
  </si>
  <si>
    <t>ACTA 7 COMPONENTE ll FACTURA FE 16</t>
  </si>
  <si>
    <t>ACTA 2 COMPONENTE l FACTURA FE 15</t>
  </si>
  <si>
    <t>ACTA 7 COMPONENTE ll FACTURA CSG 20</t>
  </si>
  <si>
    <t>247-R</t>
  </si>
  <si>
    <t>DIRECCION DE IMPUESTOS Y ADUANAS NACIONALES</t>
  </si>
  <si>
    <t>PAGO CONTRIBUCIÓN DE OBRA OCTUBRE 2025</t>
  </si>
  <si>
    <t>RETEFUENTE OCTUBRE 2025</t>
  </si>
  <si>
    <t>DEVOLUCIÓN DE RETEGARANTIA COMPONENTE ll FACTURA CC 001</t>
  </si>
  <si>
    <t>15 - FINAL COMPONENTE ll FACTURA GG 57</t>
  </si>
  <si>
    <t>DEVOLUCIÓN DE RETEGARANTIA COMPONENTE ll FACTURA CC 1</t>
  </si>
  <si>
    <t>ACTA 8 COMPONENTE ll FACTURA FE 17</t>
  </si>
  <si>
    <t xml:space="preserve">PAGO RETEICA </t>
  </si>
  <si>
    <t>ACTA 8 COMPONENTE ll FACTURA FREL 140</t>
  </si>
  <si>
    <t>ACTA 8 COMPONENTE ll FACTURA CSG 22</t>
  </si>
  <si>
    <t>R247</t>
  </si>
  <si>
    <t>ACTA 9 COMPONENTE ll FACTURA FE 18</t>
  </si>
  <si>
    <t>ACTA 9 COMPONENTE ll FACTURA CSG 23</t>
  </si>
  <si>
    <t>PAGO CONTRIBUCIÓN DE OBRA NOVIEMBRE 2025</t>
  </si>
  <si>
    <t>RETEFUENTE NOVIEMBRE 2025</t>
  </si>
  <si>
    <t>MUNICIPIO MARIA LA BAJA</t>
  </si>
  <si>
    <t>PAGO ICA</t>
  </si>
  <si>
    <t>ACTA 10 COMPONENTE ll FACTURA FE 20</t>
  </si>
  <si>
    <t>ACTA 10 COMPONENTE ll FACTURA CSG 27</t>
  </si>
  <si>
    <t>BANCO POPULAR</t>
  </si>
  <si>
    <t>GASTOS BANCARIOS NO PROCEDENTES</t>
  </si>
  <si>
    <t>860007738 - 9</t>
  </si>
  <si>
    <t>PAGO CONTRIBUCIÓN DE OBRA DICIEMBRE 2025</t>
  </si>
  <si>
    <t>PAGO ESTAMPILLA SEGUNDO SEMESTRE 2025</t>
  </si>
  <si>
    <t>RETEFUENTE DICIEMBRE 2025</t>
  </si>
  <si>
    <t>DEVOLUCION RETEFUENTE</t>
  </si>
  <si>
    <t>9050725</t>
  </si>
  <si>
    <t>901758661</t>
  </si>
  <si>
    <t>PAGO ACTA DE LIQUIDACION</t>
  </si>
  <si>
    <t>PAGO ACTA 9 FINAL</t>
  </si>
  <si>
    <t>RETEFUENTE MARZO 2026</t>
  </si>
  <si>
    <t>RETEIVA MARZO 2026</t>
  </si>
  <si>
    <t>AHORROS</t>
  </si>
  <si>
    <t>FIC</t>
  </si>
  <si>
    <t>PAGO ACTA 11 PERIODO DEL 12 AL 27 DE FEBRERO DE 2026</t>
  </si>
  <si>
    <t>CSG 30</t>
  </si>
  <si>
    <t>FACTURA CC 01</t>
  </si>
  <si>
    <t>FER MUNICIPIO DE SANTA ISABEL</t>
  </si>
  <si>
    <t>RETEFUENTE ABRIL 2026</t>
  </si>
  <si>
    <t>RETEIVA ABRIL 2026</t>
  </si>
  <si>
    <t>valor total ded proyectos distribución recursos</t>
  </si>
  <si>
    <t>01 de mayo al 31 de mayo de 2026</t>
  </si>
  <si>
    <t>ACTA 3 FINAL PERIODO CIERRE Y LIQUIDACIÓN COMPONENTE ll FACTURA FGAP 10</t>
  </si>
  <si>
    <t>TOTAL MAYO 2026</t>
  </si>
  <si>
    <t>TOTAL ACUMULADO 31 DE MAYO DE 2026</t>
  </si>
  <si>
    <t>RETEFUENTE, RETEICA Y RETE IVA 2026</t>
  </si>
  <si>
    <t>VALOR PAGADO
MAYO/2026</t>
  </si>
  <si>
    <t>VALOR RETEGARANTIA MAYO/2026</t>
  </si>
  <si>
    <t>VALOR LIBERACIONES ACTA DE LIQUIDACION MAYO/2026</t>
  </si>
  <si>
    <t>VALOR ACUMULADO PAGADO AL 31/MAY/2026</t>
  </si>
  <si>
    <t>VALOR ACUMULADO RETEGARANTÍA AL 31/MAY/2026</t>
  </si>
  <si>
    <t>VALOR LIBERACIONES ACTA DE LIQUIDACIÓN AL 31/MAY/2026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</si>
</sst>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  <numFmt numFmtId="167" formatCode="_(&quot;C$&quot;* #,##0.00_);_(&quot;C$&quot;* \(#,##0.00\);_(&quot;C$&quot;* &quot;-&quot;??_);_(@_)"/>
    <numFmt numFmtId="168" formatCode="dd/mm/yyyy;@"/>
    <numFmt numFmtId="169" formatCode="_ [$€-2]\ * #,##0.00_ ;_ [$€-2]\ * \-#,##0.00_ ;_ [$€-2]\ * &quot;-&quot;??_ "/>
    <numFmt numFmtId="170" formatCode="_-* #,##0.00_-;\-* #,##0.00_-;_-* &quot;-&quot;_-;_-@_-"/>
    <numFmt numFmtId="171" formatCode="_(* #,##0_);_(* \(#,##0\);_(* &quot;-&quot;_);_(@_)"/>
    <numFmt numFmtId="172" formatCode="_-&quot;$&quot;* #,##0.00_-;\-&quot;$&quot;* #,##0.00_-;_-&quot;$&quot;* &quot;-&quot;??_-;_-@_-"/>
    <numFmt numFmtId="173" formatCode="0.0%"/>
    <numFmt numFmtId="174" formatCode="d\ &quot;de&quot;\ mmmm\ &quot;de&quot;\ yyyy"/>
    <numFmt numFmtId="175" formatCode="_(* #,##0.0_);_(* \(#,##0.0\);_(* &quot;-&quot;??_);_(@_)"/>
    <numFmt numFmtId="176" formatCode="_(* #,##0.0000000_);_(* \(#,##0.0000000\);_(* &quot;-&quot;??_);_(@_)"/>
    <numFmt numFmtId="177" formatCode="_(* #,##0.0000_);_(* \(#,##0.0000\);_(* &quot;-&quot;??_);_(@_)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indexed="8"/>
      <name val="Calibri"/>
      <family val="2"/>
    </font>
    <font>
      <sz val="10"/>
      <name val="Helv"/>
      <family val="2"/>
    </font>
    <font>
      <sz val="11"/>
      <color theme="1"/>
      <name val="Century Gothic"/>
      <family val="2"/>
    </font>
    <font>
      <b/>
      <sz val="11"/>
      <color theme="0" tint="-0.34998626667073579"/>
      <name val="Calibri"/>
      <family val="2"/>
      <scheme val="minor"/>
    </font>
    <font>
      <b/>
      <sz val="12"/>
      <color rgb="FF000000"/>
      <name val="Arial"/>
      <family val="2"/>
    </font>
    <font>
      <u/>
      <sz val="12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A6A6A6"/>
      <name val="Calibri"/>
      <family val="2"/>
    </font>
    <font>
      <sz val="11"/>
      <color rgb="FF00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u val="double"/>
      <sz val="14"/>
      <color rgb="FF0070C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B5DB8"/>
        <bgColor indexed="64"/>
      </patternFill>
    </fill>
    <fill>
      <patternFill patternType="solid">
        <fgColor rgb="FF0B5DB8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4">
    <xf numFmtId="0" fontId="0" fillId="0" borderId="0"/>
    <xf numFmtId="165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167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4" applyNumberFormat="0" applyAlignment="0" applyProtection="0"/>
    <xf numFmtId="0" fontId="22" fillId="7" borderId="5" applyNumberFormat="0" applyAlignment="0" applyProtection="0"/>
    <xf numFmtId="0" fontId="23" fillId="7" borderId="4" applyNumberFormat="0" applyAlignment="0" applyProtection="0"/>
    <xf numFmtId="0" fontId="24" fillId="0" borderId="6" applyNumberFormat="0" applyFill="0" applyAlignment="0" applyProtection="0"/>
    <xf numFmtId="0" fontId="2" fillId="8" borderId="7" applyNumberFormat="0" applyAlignment="0" applyProtection="0"/>
    <xf numFmtId="0" fontId="25" fillId="0" borderId="0" applyNumberFormat="0" applyFill="0" applyBorder="0" applyAlignment="0" applyProtection="0"/>
    <xf numFmtId="0" fontId="1" fillId="9" borderId="8" applyNumberFormat="0" applyFont="0" applyAlignment="0" applyProtection="0"/>
    <xf numFmtId="0" fontId="26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2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0" fillId="0" borderId="0"/>
    <xf numFmtId="0" fontId="28" fillId="0" borderId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7" fillId="0" borderId="0"/>
    <xf numFmtId="0" fontId="10" fillId="0" borderId="0"/>
    <xf numFmtId="9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9" fillId="0" borderId="0"/>
    <xf numFmtId="164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38">
    <xf numFmtId="0" fontId="0" fillId="0" borderId="0" xfId="0"/>
    <xf numFmtId="0" fontId="5" fillId="0" borderId="0" xfId="0" applyFont="1" applyAlignment="1">
      <alignment horizontal="center"/>
    </xf>
    <xf numFmtId="0" fontId="3" fillId="0" borderId="0" xfId="0" applyFont="1"/>
    <xf numFmtId="14" fontId="3" fillId="0" borderId="0" xfId="0" applyNumberFormat="1" applyFont="1"/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justify" wrapText="1"/>
    </xf>
    <xf numFmtId="0" fontId="11" fillId="2" borderId="0" xfId="0" applyFont="1" applyFill="1"/>
    <xf numFmtId="0" fontId="5" fillId="2" borderId="0" xfId="0" applyFont="1" applyFill="1"/>
    <xf numFmtId="0" fontId="4" fillId="0" borderId="0" xfId="0" applyFont="1"/>
    <xf numFmtId="0" fontId="4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justify"/>
    </xf>
    <xf numFmtId="0" fontId="5" fillId="0" borderId="0" xfId="0" applyFont="1" applyAlignment="1">
      <alignment horizontal="right"/>
    </xf>
    <xf numFmtId="0" fontId="5" fillId="2" borderId="0" xfId="0" applyFont="1" applyFill="1" applyAlignment="1">
      <alignment horizontal="justify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0" fillId="2" borderId="0" xfId="0" applyFont="1" applyFill="1" applyAlignment="1">
      <alignment horizontal="right"/>
    </xf>
    <xf numFmtId="0" fontId="0" fillId="2" borderId="0" xfId="0" applyFill="1"/>
    <xf numFmtId="0" fontId="11" fillId="0" borderId="0" xfId="0" applyFont="1"/>
    <xf numFmtId="1" fontId="7" fillId="0" borderId="0" xfId="0" applyNumberFormat="1" applyFont="1"/>
    <xf numFmtId="0" fontId="0" fillId="2" borderId="0" xfId="0" applyFill="1" applyAlignment="1">
      <alignment horizontal="center"/>
    </xf>
    <xf numFmtId="170" fontId="0" fillId="2" borderId="0" xfId="0" applyNumberFormat="1" applyFill="1"/>
    <xf numFmtId="43" fontId="0" fillId="2" borderId="0" xfId="0" applyNumberFormat="1" applyFill="1"/>
    <xf numFmtId="0" fontId="0" fillId="0" borderId="0" xfId="0" applyAlignment="1">
      <alignment horizontal="center"/>
    </xf>
    <xf numFmtId="0" fontId="33" fillId="0" borderId="0" xfId="0" applyFont="1"/>
    <xf numFmtId="168" fontId="31" fillId="34" borderId="0" xfId="0" applyNumberFormat="1" applyFont="1" applyFill="1" applyAlignment="1">
      <alignment wrapText="1"/>
    </xf>
    <xf numFmtId="0" fontId="34" fillId="0" borderId="0" xfId="0" applyFont="1" applyAlignment="1">
      <alignment horizontal="center"/>
    </xf>
    <xf numFmtId="0" fontId="33" fillId="35" borderId="0" xfId="0" applyFont="1" applyFill="1"/>
    <xf numFmtId="0" fontId="34" fillId="0" borderId="0" xfId="0" applyFont="1"/>
    <xf numFmtId="0" fontId="34" fillId="0" borderId="0" xfId="0" applyFont="1" applyAlignment="1">
      <alignment vertical="center"/>
    </xf>
    <xf numFmtId="14" fontId="34" fillId="0" borderId="0" xfId="0" applyNumberFormat="1" applyFont="1"/>
    <xf numFmtId="0" fontId="35" fillId="34" borderId="0" xfId="0" applyFont="1" applyFill="1" applyAlignment="1">
      <alignment horizontal="right"/>
    </xf>
    <xf numFmtId="43" fontId="0" fillId="0" borderId="0" xfId="0" applyNumberFormat="1"/>
    <xf numFmtId="168" fontId="32" fillId="34" borderId="0" xfId="0" applyNumberFormat="1" applyFont="1" applyFill="1" applyAlignment="1">
      <alignment wrapText="1"/>
    </xf>
    <xf numFmtId="172" fontId="0" fillId="0" borderId="0" xfId="0" applyNumberFormat="1"/>
    <xf numFmtId="44" fontId="0" fillId="0" borderId="0" xfId="0" applyNumberFormat="1"/>
    <xf numFmtId="9" fontId="5" fillId="2" borderId="0" xfId="59" applyFont="1" applyFill="1"/>
    <xf numFmtId="165" fontId="0" fillId="2" borderId="0" xfId="1" applyFont="1" applyFill="1" applyBorder="1"/>
    <xf numFmtId="0" fontId="11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 wrapText="1"/>
      <protection hidden="1"/>
    </xf>
    <xf numFmtId="3" fontId="11" fillId="0" borderId="0" xfId="0" applyNumberFormat="1" applyFont="1" applyAlignment="1" applyProtection="1">
      <alignment horizontal="right" vertical="center"/>
      <protection hidden="1"/>
    </xf>
    <xf numFmtId="0" fontId="0" fillId="0" borderId="0" xfId="0" applyAlignment="1">
      <alignment vertical="center" wrapText="1"/>
    </xf>
    <xf numFmtId="3" fontId="11" fillId="0" borderId="0" xfId="2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 wrapText="1"/>
    </xf>
    <xf numFmtId="3" fontId="11" fillId="0" borderId="0" xfId="0" applyNumberFormat="1" applyFont="1" applyAlignment="1" applyProtection="1">
      <alignment horizontal="center" vertical="center" wrapText="1"/>
      <protection hidden="1"/>
    </xf>
    <xf numFmtId="3" fontId="11" fillId="0" borderId="0" xfId="0" applyNumberFormat="1" applyFont="1" applyAlignment="1" applyProtection="1">
      <alignment horizontal="center" vertical="center"/>
      <protection hidden="1"/>
    </xf>
    <xf numFmtId="3" fontId="13" fillId="0" borderId="0" xfId="0" applyNumberFormat="1" applyFont="1" applyAlignment="1" applyProtection="1">
      <alignment vertical="center" wrapText="1"/>
      <protection hidden="1"/>
    </xf>
    <xf numFmtId="0" fontId="0" fillId="0" borderId="0" xfId="0" applyAlignment="1">
      <alignment vertical="center"/>
    </xf>
    <xf numFmtId="165" fontId="0" fillId="0" borderId="0" xfId="1" applyFont="1" applyFill="1" applyBorder="1"/>
    <xf numFmtId="0" fontId="0" fillId="2" borderId="0" xfId="0" applyFill="1" applyAlignment="1">
      <alignment horizontal="left" indent="1"/>
    </xf>
    <xf numFmtId="0" fontId="8" fillId="2" borderId="0" xfId="0" applyFont="1" applyFill="1"/>
    <xf numFmtId="165" fontId="5" fillId="0" borderId="0" xfId="1" applyFont="1"/>
    <xf numFmtId="166" fontId="5" fillId="0" borderId="0" xfId="1" applyNumberFormat="1" applyFont="1"/>
    <xf numFmtId="166" fontId="5" fillId="0" borderId="0" xfId="1" applyNumberFormat="1" applyFont="1" applyAlignment="1">
      <alignment horizontal="center"/>
    </xf>
    <xf numFmtId="0" fontId="36" fillId="0" borderId="0" xfId="0" applyFont="1"/>
    <xf numFmtId="0" fontId="11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165" fontId="36" fillId="0" borderId="0" xfId="0" applyNumberFormat="1" applyFont="1" applyAlignment="1">
      <alignment vertical="center"/>
    </xf>
    <xf numFmtId="165" fontId="36" fillId="0" borderId="0" xfId="1" applyFont="1" applyFill="1" applyBorder="1" applyAlignment="1">
      <alignment vertical="center"/>
    </xf>
    <xf numFmtId="41" fontId="36" fillId="0" borderId="0" xfId="62" applyFont="1" applyFill="1" applyBorder="1" applyAlignment="1">
      <alignment vertical="center"/>
    </xf>
    <xf numFmtId="41" fontId="36" fillId="0" borderId="0" xfId="0" applyNumberFormat="1" applyFont="1" applyAlignment="1">
      <alignment vertical="center"/>
    </xf>
    <xf numFmtId="43" fontId="36" fillId="0" borderId="0" xfId="0" applyNumberFormat="1" applyFont="1" applyAlignment="1">
      <alignment vertical="center"/>
    </xf>
    <xf numFmtId="166" fontId="0" fillId="0" borderId="0" xfId="0" applyNumberFormat="1"/>
    <xf numFmtId="166" fontId="0" fillId="0" borderId="11" xfId="1" applyNumberFormat="1" applyFont="1" applyBorder="1" applyAlignment="1">
      <alignment horizontal="right" vertical="center"/>
    </xf>
    <xf numFmtId="166" fontId="0" fillId="0" borderId="10" xfId="1" applyNumberFormat="1" applyFont="1" applyBorder="1" applyAlignment="1">
      <alignment horizontal="right" vertical="center"/>
    </xf>
    <xf numFmtId="0" fontId="0" fillId="0" borderId="11" xfId="0" applyBorder="1"/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166" fontId="0" fillId="0" borderId="13" xfId="1" applyNumberFormat="1" applyFont="1" applyBorder="1" applyAlignment="1">
      <alignment vertical="center"/>
    </xf>
    <xf numFmtId="165" fontId="0" fillId="0" borderId="0" xfId="0" applyNumberFormat="1" applyAlignment="1">
      <alignment vertical="center"/>
    </xf>
    <xf numFmtId="166" fontId="11" fillId="2" borderId="13" xfId="1" applyNumberFormat="1" applyFont="1" applyFill="1" applyBorder="1" applyAlignment="1">
      <alignment vertical="center"/>
    </xf>
    <xf numFmtId="166" fontId="11" fillId="0" borderId="13" xfId="1" applyNumberFormat="1" applyFont="1" applyFill="1" applyBorder="1" applyAlignment="1">
      <alignment vertical="center"/>
    </xf>
    <xf numFmtId="0" fontId="0" fillId="0" borderId="13" xfId="0" applyBorder="1" applyAlignment="1">
      <alignment horizontal="center" vertical="center" wrapText="1"/>
    </xf>
    <xf numFmtId="17" fontId="0" fillId="0" borderId="13" xfId="0" applyNumberFormat="1" applyBorder="1" applyAlignment="1">
      <alignment horizontal="center" vertical="center"/>
    </xf>
    <xf numFmtId="0" fontId="38" fillId="2" borderId="0" xfId="0" applyFont="1" applyFill="1" applyAlignment="1">
      <alignment horizontal="center" vertical="center" wrapText="1"/>
    </xf>
    <xf numFmtId="0" fontId="13" fillId="0" borderId="13" xfId="0" quotePrefix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 readingOrder="1"/>
    </xf>
    <xf numFmtId="0" fontId="11" fillId="0" borderId="13" xfId="0" applyFont="1" applyBorder="1" applyAlignment="1">
      <alignment horizontal="justify" vertical="center" wrapText="1"/>
    </xf>
    <xf numFmtId="0" fontId="11" fillId="0" borderId="13" xfId="0" applyFont="1" applyBorder="1" applyAlignment="1">
      <alignment horizontal="center" vertical="center" wrapText="1"/>
    </xf>
    <xf numFmtId="15" fontId="11" fillId="0" borderId="13" xfId="0" applyNumberFormat="1" applyFont="1" applyBorder="1" applyAlignment="1">
      <alignment horizontal="center" vertical="center" wrapText="1"/>
    </xf>
    <xf numFmtId="49" fontId="11" fillId="0" borderId="13" xfId="1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left" vertical="center" wrapText="1"/>
    </xf>
    <xf numFmtId="42" fontId="11" fillId="0" borderId="13" xfId="73" applyFont="1" applyFill="1" applyBorder="1" applyAlignment="1">
      <alignment horizontal="center" vertical="center" wrapText="1"/>
    </xf>
    <xf numFmtId="14" fontId="11" fillId="0" borderId="13" xfId="0" applyNumberFormat="1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42" fontId="0" fillId="2" borderId="0" xfId="0" applyNumberFormat="1" applyFill="1"/>
    <xf numFmtId="0" fontId="3" fillId="0" borderId="13" xfId="0" applyFont="1" applyBorder="1"/>
    <xf numFmtId="165" fontId="13" fillId="2" borderId="13" xfId="1" applyFont="1" applyFill="1" applyBorder="1" applyAlignment="1">
      <alignment vertical="center"/>
    </xf>
    <xf numFmtId="165" fontId="0" fillId="0" borderId="0" xfId="0" applyNumberFormat="1"/>
    <xf numFmtId="174" fontId="12" fillId="2" borderId="0" xfId="0" applyNumberFormat="1" applyFont="1" applyFill="1"/>
    <xf numFmtId="14" fontId="0" fillId="2" borderId="0" xfId="0" applyNumberFormat="1" applyFill="1"/>
    <xf numFmtId="0" fontId="7" fillId="2" borderId="0" xfId="0" applyFont="1" applyFill="1"/>
    <xf numFmtId="166" fontId="0" fillId="2" borderId="0" xfId="0" applyNumberFormat="1" applyFill="1"/>
    <xf numFmtId="0" fontId="3" fillId="0" borderId="0" xfId="0" applyFont="1" applyAlignment="1">
      <alignment horizontal="center" wrapText="1"/>
    </xf>
    <xf numFmtId="0" fontId="13" fillId="37" borderId="13" xfId="0" applyFont="1" applyFill="1" applyBorder="1" applyAlignment="1">
      <alignment horizontal="center" vertical="center"/>
    </xf>
    <xf numFmtId="43" fontId="33" fillId="0" borderId="0" xfId="0" applyNumberFormat="1" applyFont="1"/>
    <xf numFmtId="0" fontId="11" fillId="0" borderId="13" xfId="0" applyFont="1" applyBorder="1" applyAlignment="1">
      <alignment horizontal="center" vertical="center"/>
    </xf>
    <xf numFmtId="166" fontId="11" fillId="0" borderId="13" xfId="46" applyNumberFormat="1" applyFont="1" applyFill="1" applyBorder="1" applyAlignment="1">
      <alignment horizontal="center" vertical="center"/>
    </xf>
    <xf numFmtId="166" fontId="13" fillId="0" borderId="13" xfId="46" applyNumberFormat="1" applyFont="1" applyFill="1" applyBorder="1" applyAlignment="1">
      <alignment horizontal="center" vertical="center"/>
    </xf>
    <xf numFmtId="166" fontId="11" fillId="0" borderId="13" xfId="1" applyNumberFormat="1" applyFont="1" applyFill="1" applyBorder="1" applyAlignment="1">
      <alignment horizontal="center" vertical="center"/>
    </xf>
    <xf numFmtId="166" fontId="13" fillId="36" borderId="13" xfId="46" applyNumberFormat="1" applyFont="1" applyFill="1" applyBorder="1" applyAlignment="1">
      <alignment horizontal="center" vertical="center"/>
    </xf>
    <xf numFmtId="165" fontId="13" fillId="36" borderId="13" xfId="46" applyNumberFormat="1" applyFont="1" applyFill="1" applyBorder="1" applyAlignment="1">
      <alignment horizontal="center" vertical="center"/>
    </xf>
    <xf numFmtId="166" fontId="13" fillId="36" borderId="13" xfId="1" applyNumberFormat="1" applyFont="1" applyFill="1" applyBorder="1" applyAlignment="1">
      <alignment horizontal="center" vertical="center"/>
    </xf>
    <xf numFmtId="166" fontId="13" fillId="36" borderId="13" xfId="1" applyNumberFormat="1" applyFont="1" applyFill="1" applyBorder="1" applyAlignment="1">
      <alignment vertical="center"/>
    </xf>
    <xf numFmtId="166" fontId="3" fillId="36" borderId="13" xfId="1" applyNumberFormat="1" applyFont="1" applyFill="1" applyBorder="1" applyAlignment="1">
      <alignment vertical="center"/>
    </xf>
    <xf numFmtId="3" fontId="11" fillId="0" borderId="13" xfId="0" applyNumberFormat="1" applyFont="1" applyBorder="1" applyAlignment="1" applyProtection="1">
      <alignment horizontal="center" vertical="center"/>
      <protection hidden="1"/>
    </xf>
    <xf numFmtId="1" fontId="11" fillId="0" borderId="13" xfId="0" applyNumberFormat="1" applyFont="1" applyBorder="1" applyAlignment="1" applyProtection="1">
      <alignment horizontal="center" vertical="center" wrapText="1"/>
      <protection hidden="1"/>
    </xf>
    <xf numFmtId="0" fontId="11" fillId="0" borderId="13" xfId="0" applyFont="1" applyBorder="1" applyAlignment="1" applyProtection="1">
      <alignment horizontal="center" vertical="center"/>
      <protection hidden="1"/>
    </xf>
    <xf numFmtId="0" fontId="11" fillId="0" borderId="13" xfId="0" applyFont="1" applyBorder="1" applyAlignment="1" applyProtection="1">
      <alignment horizontal="center" vertical="center" wrapText="1"/>
      <protection hidden="1"/>
    </xf>
    <xf numFmtId="3" fontId="11" fillId="0" borderId="13" xfId="0" applyNumberFormat="1" applyFont="1" applyBorder="1" applyAlignment="1" applyProtection="1">
      <alignment horizontal="center" vertical="center" wrapText="1"/>
      <protection hidden="1"/>
    </xf>
    <xf numFmtId="14" fontId="11" fillId="0" borderId="13" xfId="0" applyNumberFormat="1" applyFont="1" applyBorder="1" applyAlignment="1" applyProtection="1">
      <alignment horizontal="center" vertical="center" wrapText="1"/>
      <protection hidden="1"/>
    </xf>
    <xf numFmtId="3" fontId="11" fillId="0" borderId="13" xfId="0" applyNumberFormat="1" applyFont="1" applyBorder="1" applyAlignment="1" applyProtection="1">
      <alignment horizontal="right" vertical="center"/>
      <protection hidden="1"/>
    </xf>
    <xf numFmtId="14" fontId="11" fillId="0" borderId="13" xfId="2" applyNumberFormat="1" applyFont="1" applyFill="1" applyBorder="1" applyAlignment="1" applyProtection="1">
      <alignment horizontal="center" vertical="center" wrapText="1"/>
      <protection hidden="1"/>
    </xf>
    <xf numFmtId="3" fontId="11" fillId="0" borderId="13" xfId="0" applyNumberFormat="1" applyFont="1" applyBorder="1" applyAlignment="1" applyProtection="1">
      <alignment vertical="center" wrapText="1"/>
      <protection hidden="1"/>
    </xf>
    <xf numFmtId="166" fontId="11" fillId="0" borderId="13" xfId="1" applyNumberFormat="1" applyFont="1" applyFill="1" applyBorder="1" applyAlignment="1" applyProtection="1">
      <alignment vertical="center"/>
      <protection hidden="1"/>
    </xf>
    <xf numFmtId="166" fontId="13" fillId="37" borderId="13" xfId="1" applyNumberFormat="1" applyFont="1" applyFill="1" applyBorder="1" applyAlignment="1" applyProtection="1">
      <alignment horizontal="right" vertical="center"/>
      <protection hidden="1"/>
    </xf>
    <xf numFmtId="166" fontId="11" fillId="0" borderId="13" xfId="1" applyNumberFormat="1" applyFont="1" applyFill="1" applyBorder="1" applyAlignment="1" applyProtection="1">
      <alignment horizontal="right" vertical="center"/>
      <protection hidden="1"/>
    </xf>
    <xf numFmtId="173" fontId="11" fillId="0" borderId="13" xfId="59" applyNumberFormat="1" applyFont="1" applyFill="1" applyBorder="1" applyAlignment="1" applyProtection="1">
      <alignment horizontal="center" vertical="center"/>
      <protection hidden="1"/>
    </xf>
    <xf numFmtId="166" fontId="11" fillId="0" borderId="13" xfId="1" applyNumberFormat="1" applyFont="1" applyFill="1" applyBorder="1" applyAlignment="1" applyProtection="1">
      <alignment horizontal="center" vertical="center"/>
      <protection hidden="1"/>
    </xf>
    <xf numFmtId="14" fontId="0" fillId="0" borderId="13" xfId="1" applyNumberFormat="1" applyFont="1" applyBorder="1" applyAlignment="1">
      <alignment horizontal="center" vertical="center"/>
    </xf>
    <xf numFmtId="166" fontId="0" fillId="0" borderId="13" xfId="1" applyNumberFormat="1" applyFont="1" applyBorder="1" applyAlignment="1">
      <alignment horizontal="center" vertical="center" wrapText="1"/>
    </xf>
    <xf numFmtId="166" fontId="0" fillId="0" borderId="13" xfId="1" applyNumberFormat="1" applyFont="1" applyBorder="1" applyAlignment="1">
      <alignment horizontal="right" vertical="center"/>
    </xf>
    <xf numFmtId="0" fontId="13" fillId="36" borderId="13" xfId="0" applyFont="1" applyFill="1" applyBorder="1" applyAlignment="1">
      <alignment horizontal="center" vertical="center"/>
    </xf>
    <xf numFmtId="0" fontId="2" fillId="39" borderId="13" xfId="0" applyFont="1" applyFill="1" applyBorder="1" applyAlignment="1" applyProtection="1">
      <alignment horizontal="center" vertical="center" wrapText="1"/>
      <protection hidden="1"/>
    </xf>
    <xf numFmtId="166" fontId="2" fillId="39" borderId="13" xfId="0" applyNumberFormat="1" applyFont="1" applyFill="1" applyBorder="1" applyAlignment="1" applyProtection="1">
      <alignment horizontal="center" vertical="center" wrapText="1"/>
      <protection hidden="1"/>
    </xf>
    <xf numFmtId="0" fontId="2" fillId="38" borderId="13" xfId="0" applyFont="1" applyFill="1" applyBorder="1" applyAlignment="1" applyProtection="1">
      <alignment horizontal="center" vertical="center" wrapText="1"/>
      <protection hidden="1"/>
    </xf>
    <xf numFmtId="166" fontId="2" fillId="38" borderId="13" xfId="1" applyNumberFormat="1" applyFont="1" applyFill="1" applyBorder="1" applyAlignment="1" applyProtection="1">
      <alignment horizontal="center" vertical="center" wrapText="1"/>
      <protection hidden="1"/>
    </xf>
    <xf numFmtId="165" fontId="2" fillId="38" borderId="13" xfId="1" applyFont="1" applyFill="1" applyBorder="1" applyAlignment="1" applyProtection="1">
      <alignment horizontal="center" vertical="center" wrapText="1"/>
      <protection hidden="1"/>
    </xf>
    <xf numFmtId="14" fontId="2" fillId="38" borderId="13" xfId="0" applyNumberFormat="1" applyFont="1" applyFill="1" applyBorder="1" applyAlignment="1" applyProtection="1">
      <alignment horizontal="center" vertical="center" wrapText="1"/>
      <protection hidden="1"/>
    </xf>
    <xf numFmtId="9" fontId="2" fillId="38" borderId="13" xfId="59" applyFont="1" applyFill="1" applyBorder="1" applyAlignment="1" applyProtection="1">
      <alignment horizontal="center" vertical="center" wrapText="1"/>
      <protection hidden="1"/>
    </xf>
    <xf numFmtId="0" fontId="2" fillId="38" borderId="13" xfId="0" applyFont="1" applyFill="1" applyBorder="1" applyAlignment="1">
      <alignment horizontal="center" vertical="center" wrapText="1"/>
    </xf>
    <xf numFmtId="165" fontId="13" fillId="36" borderId="13" xfId="1" applyFont="1" applyFill="1" applyBorder="1" applyAlignment="1">
      <alignment vertical="center"/>
    </xf>
    <xf numFmtId="166" fontId="13" fillId="36" borderId="13" xfId="1" applyNumberFormat="1" applyFont="1" applyFill="1" applyBorder="1" applyAlignment="1">
      <alignment horizontal="right" vertical="center"/>
    </xf>
    <xf numFmtId="173" fontId="13" fillId="36" borderId="13" xfId="59" applyNumberFormat="1" applyFont="1" applyFill="1" applyBorder="1" applyAlignment="1">
      <alignment horizontal="center" vertical="center"/>
    </xf>
    <xf numFmtId="166" fontId="13" fillId="36" borderId="13" xfId="1" applyNumberFormat="1" applyFont="1" applyFill="1" applyBorder="1" applyAlignment="1" applyProtection="1">
      <alignment horizontal="center" vertical="center"/>
      <protection hidden="1"/>
    </xf>
    <xf numFmtId="3" fontId="13" fillId="36" borderId="13" xfId="2" quotePrefix="1" applyNumberFormat="1" applyFont="1" applyFill="1" applyBorder="1" applyAlignment="1" applyProtection="1">
      <alignment horizontal="center" vertical="center" wrapText="1"/>
      <protection hidden="1"/>
    </xf>
    <xf numFmtId="0" fontId="3" fillId="36" borderId="13" xfId="0" applyFont="1" applyFill="1" applyBorder="1"/>
    <xf numFmtId="3" fontId="0" fillId="2" borderId="0" xfId="0" applyNumberFormat="1" applyFill="1"/>
    <xf numFmtId="168" fontId="40" fillId="2" borderId="0" xfId="0" applyNumberFormat="1" applyFont="1" applyFill="1" applyAlignment="1">
      <alignment horizontal="center"/>
    </xf>
    <xf numFmtId="166" fontId="3" fillId="36" borderId="15" xfId="1" applyNumberFormat="1" applyFont="1" applyFill="1" applyBorder="1" applyAlignment="1">
      <alignment horizontal="center" vertical="center"/>
    </xf>
    <xf numFmtId="166" fontId="11" fillId="0" borderId="15" xfId="46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166" fontId="0" fillId="0" borderId="15" xfId="1" applyNumberFormat="1" applyFont="1" applyBorder="1" applyAlignment="1">
      <alignment horizontal="center" vertical="center"/>
    </xf>
    <xf numFmtId="165" fontId="0" fillId="0" borderId="0" xfId="1" applyFont="1"/>
    <xf numFmtId="165" fontId="0" fillId="0" borderId="13" xfId="1" applyFont="1" applyBorder="1" applyAlignment="1">
      <alignment vertical="center"/>
    </xf>
    <xf numFmtId="165" fontId="3" fillId="36" borderId="13" xfId="1" applyFont="1" applyFill="1" applyBorder="1" applyAlignment="1">
      <alignment vertical="center"/>
    </xf>
    <xf numFmtId="165" fontId="13" fillId="36" borderId="13" xfId="1" applyFont="1" applyFill="1" applyBorder="1" applyAlignment="1">
      <alignment horizontal="right" vertical="center"/>
    </xf>
    <xf numFmtId="165" fontId="3" fillId="0" borderId="13" xfId="1" applyFont="1" applyBorder="1" applyAlignment="1">
      <alignment vertical="center"/>
    </xf>
    <xf numFmtId="166" fontId="13" fillId="0" borderId="0" xfId="46" applyNumberFormat="1" applyFont="1" applyFill="1" applyBorder="1" applyAlignment="1">
      <alignment horizontal="center" vertical="center"/>
    </xf>
    <xf numFmtId="165" fontId="13" fillId="37" borderId="13" xfId="1" applyFont="1" applyFill="1" applyBorder="1" applyAlignment="1">
      <alignment horizontal="right" vertical="center"/>
    </xf>
    <xf numFmtId="165" fontId="3" fillId="36" borderId="13" xfId="0" applyNumberFormat="1" applyFont="1" applyFill="1" applyBorder="1"/>
    <xf numFmtId="165" fontId="11" fillId="0" borderId="13" xfId="1" applyFont="1" applyFill="1" applyBorder="1" applyAlignment="1">
      <alignment vertical="center"/>
    </xf>
    <xf numFmtId="166" fontId="11" fillId="0" borderId="0" xfId="6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5" fontId="13" fillId="0" borderId="0" xfId="1" applyFont="1" applyFill="1" applyBorder="1" applyAlignment="1">
      <alignment horizontal="right" vertical="center"/>
    </xf>
    <xf numFmtId="0" fontId="0" fillId="0" borderId="0" xfId="0" applyAlignment="1">
      <alignment vertical="top" wrapText="1"/>
    </xf>
    <xf numFmtId="165" fontId="3" fillId="0" borderId="27" xfId="1" applyFont="1" applyFill="1" applyBorder="1" applyAlignment="1">
      <alignment horizontal="center" vertical="center"/>
    </xf>
    <xf numFmtId="165" fontId="3" fillId="0" borderId="30" xfId="1" applyFont="1" applyFill="1" applyBorder="1" applyAlignment="1">
      <alignment horizontal="center" vertical="center"/>
    </xf>
    <xf numFmtId="43" fontId="2" fillId="38" borderId="13" xfId="0" applyNumberFormat="1" applyFont="1" applyFill="1" applyBorder="1" applyAlignment="1">
      <alignment horizontal="center" vertical="center" wrapText="1"/>
    </xf>
    <xf numFmtId="165" fontId="11" fillId="0" borderId="13" xfId="60" applyFont="1" applyFill="1" applyBorder="1" applyAlignment="1">
      <alignment vertical="center"/>
    </xf>
    <xf numFmtId="165" fontId="11" fillId="0" borderId="23" xfId="60" applyFont="1" applyFill="1" applyBorder="1" applyAlignment="1">
      <alignment vertical="center"/>
    </xf>
    <xf numFmtId="1" fontId="7" fillId="0" borderId="0" xfId="0" applyNumberFormat="1" applyFont="1" applyAlignment="1">
      <alignment horizontal="center"/>
    </xf>
    <xf numFmtId="17" fontId="7" fillId="0" borderId="0" xfId="0" applyNumberFormat="1" applyFont="1" applyAlignment="1">
      <alignment horizontal="center"/>
    </xf>
    <xf numFmtId="166" fontId="13" fillId="36" borderId="15" xfId="46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44" fontId="11" fillId="40" borderId="43" xfId="72" applyFont="1" applyFill="1" applyBorder="1" applyAlignment="1">
      <alignment vertical="center" wrapText="1"/>
    </xf>
    <xf numFmtId="44" fontId="13" fillId="40" borderId="42" xfId="72" applyFont="1" applyFill="1" applyBorder="1" applyAlignment="1">
      <alignment vertical="center" wrapText="1"/>
    </xf>
    <xf numFmtId="0" fontId="11" fillId="0" borderId="13" xfId="60" applyNumberFormat="1" applyFont="1" applyFill="1" applyBorder="1" applyAlignment="1">
      <alignment horizontal="center" vertical="center"/>
    </xf>
    <xf numFmtId="14" fontId="11" fillId="0" borderId="13" xfId="60" applyNumberFormat="1" applyFont="1" applyFill="1" applyBorder="1" applyAlignment="1">
      <alignment horizontal="center" vertical="center"/>
    </xf>
    <xf numFmtId="0" fontId="11" fillId="0" borderId="23" xfId="60" applyNumberFormat="1" applyFont="1" applyFill="1" applyBorder="1" applyAlignment="1">
      <alignment horizontal="center" vertical="center"/>
    </xf>
    <xf numFmtId="14" fontId="11" fillId="0" borderId="23" xfId="60" applyNumberFormat="1" applyFont="1" applyFill="1" applyBorder="1" applyAlignment="1">
      <alignment horizontal="center" vertical="center"/>
    </xf>
    <xf numFmtId="14" fontId="4" fillId="0" borderId="15" xfId="55" applyNumberFormat="1" applyFont="1" applyFill="1" applyBorder="1" applyAlignment="1">
      <alignment horizontal="center" vertical="center"/>
    </xf>
    <xf numFmtId="0" fontId="2" fillId="39" borderId="44" xfId="0" applyFont="1" applyFill="1" applyBorder="1" applyAlignment="1">
      <alignment horizontal="center" vertical="center" wrapText="1"/>
    </xf>
    <xf numFmtId="0" fontId="2" fillId="39" borderId="45" xfId="0" applyFont="1" applyFill="1" applyBorder="1" applyAlignment="1">
      <alignment horizontal="center" vertical="center" wrapText="1"/>
    </xf>
    <xf numFmtId="49" fontId="2" fillId="39" borderId="45" xfId="0" applyNumberFormat="1" applyFont="1" applyFill="1" applyBorder="1" applyAlignment="1">
      <alignment horizontal="center" vertical="center" wrapText="1"/>
    </xf>
    <xf numFmtId="17" fontId="2" fillId="39" borderId="45" xfId="0" applyNumberFormat="1" applyFont="1" applyFill="1" applyBorder="1" applyAlignment="1">
      <alignment horizontal="center" vertical="center" wrapText="1"/>
    </xf>
    <xf numFmtId="17" fontId="2" fillId="39" borderId="46" xfId="0" applyNumberFormat="1" applyFont="1" applyFill="1" applyBorder="1" applyAlignment="1">
      <alignment horizontal="center" vertical="center" wrapText="1"/>
    </xf>
    <xf numFmtId="0" fontId="11" fillId="0" borderId="21" xfId="60" applyNumberFormat="1" applyFont="1" applyFill="1" applyBorder="1" applyAlignment="1">
      <alignment horizontal="center" vertical="center"/>
    </xf>
    <xf numFmtId="165" fontId="11" fillId="0" borderId="21" xfId="60" applyFont="1" applyFill="1" applyBorder="1" applyAlignment="1">
      <alignment vertical="center"/>
    </xf>
    <xf numFmtId="14" fontId="11" fillId="0" borderId="21" xfId="60" applyNumberFormat="1" applyFont="1" applyFill="1" applyBorder="1" applyAlignment="1">
      <alignment horizontal="center" vertical="center"/>
    </xf>
    <xf numFmtId="14" fontId="4" fillId="0" borderId="45" xfId="55" applyNumberFormat="1" applyFont="1" applyFill="1" applyBorder="1" applyAlignment="1">
      <alignment horizontal="center" vertical="center"/>
    </xf>
    <xf numFmtId="165" fontId="13" fillId="36" borderId="42" xfId="60" applyFont="1" applyFill="1" applyBorder="1" applyAlignment="1">
      <alignment vertical="center"/>
    </xf>
    <xf numFmtId="44" fontId="0" fillId="0" borderId="0" xfId="72" applyFont="1"/>
    <xf numFmtId="43" fontId="0" fillId="0" borderId="0" xfId="0" applyNumberFormat="1" applyAlignment="1">
      <alignment vertical="top" wrapText="1"/>
    </xf>
    <xf numFmtId="43" fontId="0" fillId="0" borderId="0" xfId="0" applyNumberFormat="1" applyAlignment="1">
      <alignment vertical="center"/>
    </xf>
    <xf numFmtId="165" fontId="2" fillId="39" borderId="13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15" xfId="60" applyNumberFormat="1" applyFont="1" applyFill="1" applyBorder="1" applyAlignment="1">
      <alignment horizontal="center" vertical="center"/>
    </xf>
    <xf numFmtId="165" fontId="11" fillId="0" borderId="15" xfId="60" applyFont="1" applyFill="1" applyBorder="1" applyAlignment="1">
      <alignment vertical="center"/>
    </xf>
    <xf numFmtId="14" fontId="11" fillId="0" borderId="15" xfId="60" applyNumberFormat="1" applyFont="1" applyFill="1" applyBorder="1" applyAlignment="1">
      <alignment horizontal="center" vertical="center"/>
    </xf>
    <xf numFmtId="170" fontId="12" fillId="0" borderId="0" xfId="62" applyNumberFormat="1" applyFont="1" applyFill="1" applyBorder="1" applyAlignment="1">
      <alignment vertical="center"/>
    </xf>
    <xf numFmtId="165" fontId="0" fillId="0" borderId="13" xfId="1" applyFont="1" applyFill="1" applyBorder="1" applyAlignment="1">
      <alignment vertical="center"/>
    </xf>
    <xf numFmtId="49" fontId="0" fillId="0" borderId="12" xfId="0" applyNumberFormat="1" applyBorder="1" applyAlignment="1" applyProtection="1">
      <alignment horizontal="center" vertical="center" wrapText="1"/>
      <protection locked="0"/>
    </xf>
    <xf numFmtId="166" fontId="0" fillId="0" borderId="12" xfId="1" applyNumberFormat="1" applyFont="1" applyFill="1" applyBorder="1" applyAlignment="1" applyProtection="1">
      <alignment vertical="center" wrapText="1"/>
      <protection locked="0"/>
    </xf>
    <xf numFmtId="49" fontId="0" fillId="0" borderId="12" xfId="0" applyNumberFormat="1" applyBorder="1" applyAlignment="1" applyProtection="1">
      <alignment vertical="center" wrapText="1"/>
      <protection locked="0"/>
    </xf>
    <xf numFmtId="14" fontId="0" fillId="0" borderId="13" xfId="0" applyNumberFormat="1" applyBorder="1" applyAlignment="1">
      <alignment horizontal="center" vertical="center" wrapText="1"/>
    </xf>
    <xf numFmtId="166" fontId="11" fillId="0" borderId="0" xfId="0" applyNumberFormat="1" applyFont="1"/>
    <xf numFmtId="9" fontId="11" fillId="0" borderId="0" xfId="59" applyFont="1"/>
    <xf numFmtId="165" fontId="13" fillId="36" borderId="43" xfId="60" applyFont="1" applyFill="1" applyBorder="1" applyAlignment="1">
      <alignment vertical="center"/>
    </xf>
    <xf numFmtId="165" fontId="11" fillId="0" borderId="13" xfId="1" applyFont="1" applyFill="1" applyBorder="1" applyAlignment="1" applyProtection="1">
      <alignment horizontal="right" vertical="center"/>
      <protection hidden="1"/>
    </xf>
    <xf numFmtId="0" fontId="25" fillId="0" borderId="0" xfId="0" applyFont="1" applyAlignment="1">
      <alignment vertical="center"/>
    </xf>
    <xf numFmtId="43" fontId="11" fillId="0" borderId="0" xfId="0" applyNumberFormat="1" applyFont="1"/>
    <xf numFmtId="170" fontId="36" fillId="0" borderId="0" xfId="0" applyNumberFormat="1" applyFont="1" applyAlignment="1">
      <alignment vertical="center"/>
    </xf>
    <xf numFmtId="170" fontId="36" fillId="0" borderId="0" xfId="62" applyNumberFormat="1" applyFont="1" applyFill="1" applyBorder="1" applyAlignment="1">
      <alignment vertical="center"/>
    </xf>
    <xf numFmtId="165" fontId="11" fillId="0" borderId="0" xfId="0" applyNumberFormat="1" applyFont="1" applyAlignment="1">
      <alignment vertical="center"/>
    </xf>
    <xf numFmtId="43" fontId="11" fillId="0" borderId="0" xfId="0" applyNumberFormat="1" applyFont="1" applyAlignment="1">
      <alignment vertical="center"/>
    </xf>
    <xf numFmtId="165" fontId="0" fillId="0" borderId="0" xfId="1" applyFont="1" applyFill="1"/>
    <xf numFmtId="175" fontId="11" fillId="0" borderId="13" xfId="1" applyNumberFormat="1" applyFont="1" applyFill="1" applyBorder="1" applyAlignment="1" applyProtection="1">
      <alignment horizontal="right" vertical="center"/>
      <protection hidden="1"/>
    </xf>
    <xf numFmtId="0" fontId="4" fillId="2" borderId="0" xfId="0" applyFont="1" applyFill="1" applyAlignment="1">
      <alignment horizontal="left" wrapText="1"/>
    </xf>
    <xf numFmtId="44" fontId="5" fillId="2" borderId="0" xfId="0" applyNumberFormat="1" applyFont="1" applyFill="1"/>
    <xf numFmtId="44" fontId="11" fillId="2" borderId="0" xfId="0" applyNumberFormat="1" applyFont="1" applyFill="1"/>
    <xf numFmtId="173" fontId="13" fillId="0" borderId="0" xfId="59" applyNumberFormat="1" applyFont="1" applyFill="1" applyBorder="1" applyAlignment="1">
      <alignment horizontal="center" vertical="center"/>
    </xf>
    <xf numFmtId="8" fontId="36" fillId="0" borderId="0" xfId="0" applyNumberFormat="1" applyFont="1" applyAlignment="1">
      <alignment vertical="center"/>
    </xf>
    <xf numFmtId="166" fontId="11" fillId="34" borderId="38" xfId="60" applyNumberFormat="1" applyFont="1" applyFill="1" applyBorder="1" applyAlignment="1">
      <alignment horizontal="center" vertical="center" wrapText="1"/>
    </xf>
    <xf numFmtId="173" fontId="11" fillId="34" borderId="39" xfId="1" applyNumberFormat="1" applyFont="1" applyFill="1" applyBorder="1" applyAlignment="1">
      <alignment horizontal="center" vertical="center" wrapText="1"/>
    </xf>
    <xf numFmtId="44" fontId="11" fillId="40" borderId="39" xfId="72" applyFont="1" applyFill="1" applyBorder="1" applyAlignment="1">
      <alignment horizontal="center" vertical="center" wrapText="1"/>
    </xf>
    <xf numFmtId="44" fontId="11" fillId="0" borderId="40" xfId="72" applyFont="1" applyFill="1" applyBorder="1" applyAlignment="1">
      <alignment horizontal="center" vertical="center"/>
    </xf>
    <xf numFmtId="44" fontId="13" fillId="40" borderId="39" xfId="72" applyFont="1" applyFill="1" applyBorder="1" applyAlignment="1">
      <alignment horizontal="center" vertical="center" wrapText="1"/>
    </xf>
    <xf numFmtId="165" fontId="11" fillId="0" borderId="0" xfId="0" applyNumberFormat="1" applyFont="1"/>
    <xf numFmtId="44" fontId="0" fillId="0" borderId="0" xfId="72" applyFont="1" applyBorder="1"/>
    <xf numFmtId="44" fontId="0" fillId="0" borderId="0" xfId="72" applyFont="1" applyBorder="1" applyAlignment="1">
      <alignment wrapText="1"/>
    </xf>
    <xf numFmtId="8" fontId="0" fillId="0" borderId="0" xfId="0" applyNumberFormat="1"/>
    <xf numFmtId="165" fontId="0" fillId="0" borderId="0" xfId="1" applyFont="1" applyBorder="1"/>
    <xf numFmtId="4" fontId="0" fillId="0" borderId="0" xfId="0" applyNumberFormat="1"/>
    <xf numFmtId="165" fontId="11" fillId="0" borderId="13" xfId="1" applyFont="1" applyFill="1" applyBorder="1" applyAlignment="1" applyProtection="1">
      <alignment vertical="center"/>
      <protection hidden="1"/>
    </xf>
    <xf numFmtId="165" fontId="5" fillId="2" borderId="0" xfId="1" applyFont="1" applyFill="1"/>
    <xf numFmtId="165" fontId="13" fillId="36" borderId="13" xfId="1" applyFont="1" applyFill="1" applyBorder="1" applyAlignment="1">
      <alignment horizontal="center" vertical="center"/>
    </xf>
    <xf numFmtId="165" fontId="13" fillId="36" borderId="13" xfId="1" applyFont="1" applyFill="1" applyBorder="1" applyAlignment="1" applyProtection="1">
      <alignment horizontal="right" vertical="center"/>
      <protection hidden="1"/>
    </xf>
    <xf numFmtId="165" fontId="0" fillId="2" borderId="0" xfId="0" applyNumberFormat="1" applyFill="1"/>
    <xf numFmtId="165" fontId="5" fillId="2" borderId="0" xfId="0" applyNumberFormat="1" applyFont="1" applyFill="1"/>
    <xf numFmtId="176" fontId="13" fillId="2" borderId="13" xfId="1" applyNumberFormat="1" applyFont="1" applyFill="1" applyBorder="1" applyAlignment="1">
      <alignment vertical="center"/>
    </xf>
    <xf numFmtId="14" fontId="0" fillId="0" borderId="13" xfId="1" applyNumberFormat="1" applyFont="1" applyBorder="1" applyAlignment="1">
      <alignment horizontal="center" vertical="center" wrapText="1"/>
    </xf>
    <xf numFmtId="177" fontId="0" fillId="0" borderId="0" xfId="0" applyNumberFormat="1"/>
    <xf numFmtId="165" fontId="0" fillId="0" borderId="13" xfId="1" applyFont="1" applyBorder="1"/>
    <xf numFmtId="165" fontId="25" fillId="0" borderId="13" xfId="1" applyFont="1" applyFill="1" applyBorder="1" applyAlignment="1">
      <alignment vertical="center"/>
    </xf>
    <xf numFmtId="165" fontId="0" fillId="0" borderId="13" xfId="0" applyNumberFormat="1" applyBorder="1" applyAlignment="1">
      <alignment horizontal="center" vertical="center"/>
    </xf>
    <xf numFmtId="165" fontId="11" fillId="2" borderId="13" xfId="1" applyFont="1" applyFill="1" applyBorder="1" applyAlignment="1">
      <alignment vertical="center"/>
    </xf>
    <xf numFmtId="165" fontId="13" fillId="0" borderId="13" xfId="1" applyFont="1" applyFill="1" applyBorder="1" applyAlignment="1" applyProtection="1">
      <alignment horizontal="right" vertical="center"/>
      <protection hidden="1"/>
    </xf>
    <xf numFmtId="49" fontId="0" fillId="0" borderId="0" xfId="0" applyNumberFormat="1" applyAlignment="1" applyProtection="1">
      <alignment horizontal="center" vertical="center" wrapText="1"/>
      <protection locked="0"/>
    </xf>
    <xf numFmtId="166" fontId="0" fillId="0" borderId="0" xfId="1" applyNumberFormat="1" applyFont="1" applyFill="1" applyBorder="1" applyAlignment="1" applyProtection="1">
      <alignment vertical="center" wrapText="1"/>
      <protection locked="0"/>
    </xf>
    <xf numFmtId="49" fontId="0" fillId="0" borderId="0" xfId="0" applyNumberFormat="1" applyAlignment="1" applyProtection="1">
      <alignment vertical="center" wrapText="1"/>
      <protection locked="0"/>
    </xf>
    <xf numFmtId="0" fontId="0" fillId="0" borderId="0" xfId="0" applyAlignment="1">
      <alignment horizontal="center" vertical="center"/>
    </xf>
    <xf numFmtId="165" fontId="0" fillId="41" borderId="13" xfId="1" applyFont="1" applyFill="1" applyBorder="1" applyAlignment="1">
      <alignment vertical="center"/>
    </xf>
    <xf numFmtId="0" fontId="12" fillId="0" borderId="0" xfId="0" applyFont="1" applyAlignment="1">
      <alignment vertical="top" wrapText="1"/>
    </xf>
    <xf numFmtId="4" fontId="12" fillId="0" borderId="0" xfId="0" applyNumberFormat="1" applyFont="1" applyAlignment="1">
      <alignment vertical="top" wrapText="1"/>
    </xf>
    <xf numFmtId="0" fontId="12" fillId="0" borderId="0" xfId="0" applyFont="1"/>
    <xf numFmtId="4" fontId="12" fillId="0" borderId="0" xfId="0" applyNumberFormat="1" applyFont="1"/>
    <xf numFmtId="43" fontId="12" fillId="0" borderId="0" xfId="0" applyNumberFormat="1" applyFont="1"/>
    <xf numFmtId="0" fontId="13" fillId="36" borderId="15" xfId="0" applyFont="1" applyFill="1" applyBorder="1" applyAlignment="1">
      <alignment horizontal="center" vertical="center"/>
    </xf>
    <xf numFmtId="165" fontId="13" fillId="36" borderId="15" xfId="1" applyFont="1" applyFill="1" applyBorder="1" applyAlignment="1">
      <alignment horizontal="right" vertical="center"/>
    </xf>
    <xf numFmtId="14" fontId="0" fillId="0" borderId="0" xfId="0" applyNumberFormat="1" applyAlignment="1">
      <alignment horizontal="center" vertical="center" wrapText="1"/>
    </xf>
    <xf numFmtId="165" fontId="0" fillId="0" borderId="0" xfId="1" applyFont="1" applyFill="1" applyBorder="1" applyAlignment="1">
      <alignment vertical="center"/>
    </xf>
    <xf numFmtId="166" fontId="5" fillId="2" borderId="0" xfId="0" applyNumberFormat="1" applyFont="1" applyFill="1"/>
    <xf numFmtId="166" fontId="13" fillId="0" borderId="13" xfId="1" applyNumberFormat="1" applyFont="1" applyFill="1" applyBorder="1" applyAlignment="1" applyProtection="1">
      <alignment horizontal="right" vertical="center"/>
      <protection hidden="1"/>
    </xf>
    <xf numFmtId="165" fontId="11" fillId="37" borderId="13" xfId="1" applyFont="1" applyFill="1" applyBorder="1" applyAlignment="1" applyProtection="1">
      <alignment horizontal="right" vertical="center"/>
      <protection hidden="1"/>
    </xf>
    <xf numFmtId="166" fontId="11" fillId="37" borderId="13" xfId="1" applyNumberFormat="1" applyFont="1" applyFill="1" applyBorder="1" applyAlignment="1" applyProtection="1">
      <alignment horizontal="right" vertical="center"/>
      <protection hidden="1"/>
    </xf>
    <xf numFmtId="0" fontId="3" fillId="0" borderId="0" xfId="0" applyFont="1" applyAlignment="1">
      <alignment vertical="top" wrapText="1"/>
    </xf>
    <xf numFmtId="0" fontId="7" fillId="2" borderId="0" xfId="0" applyFont="1" applyFill="1" applyAlignment="1">
      <alignment horizontal="center"/>
    </xf>
    <xf numFmtId="168" fontId="40" fillId="2" borderId="0" xfId="0" applyNumberFormat="1" applyFont="1" applyFill="1" applyAlignment="1">
      <alignment horizontal="center"/>
    </xf>
    <xf numFmtId="0" fontId="2" fillId="39" borderId="15" xfId="0" applyFont="1" applyFill="1" applyBorder="1" applyAlignment="1" applyProtection="1">
      <alignment horizontal="center" vertical="center" wrapText="1"/>
      <protection hidden="1"/>
    </xf>
    <xf numFmtId="0" fontId="2" fillId="39" borderId="14" xfId="0" applyFont="1" applyFill="1" applyBorder="1" applyAlignment="1" applyProtection="1">
      <alignment horizontal="center" vertical="center" wrapText="1"/>
      <protection hidden="1"/>
    </xf>
    <xf numFmtId="0" fontId="2" fillId="39" borderId="16" xfId="0" applyFont="1" applyFill="1" applyBorder="1" applyAlignment="1" applyProtection="1">
      <alignment horizontal="center" vertical="center" wrapText="1"/>
      <protection hidden="1"/>
    </xf>
    <xf numFmtId="0" fontId="2" fillId="39" borderId="17" xfId="0" applyFont="1" applyFill="1" applyBorder="1" applyAlignment="1" applyProtection="1">
      <alignment horizontal="center" vertical="center" wrapText="1"/>
      <protection hidden="1"/>
    </xf>
    <xf numFmtId="0" fontId="2" fillId="39" borderId="18" xfId="0" applyFont="1" applyFill="1" applyBorder="1" applyAlignment="1" applyProtection="1">
      <alignment horizontal="center" vertical="center" wrapText="1"/>
      <protection hidden="1"/>
    </xf>
    <xf numFmtId="0" fontId="7" fillId="2" borderId="19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indent="1"/>
    </xf>
    <xf numFmtId="168" fontId="37" fillId="38" borderId="0" xfId="0" applyNumberFormat="1" applyFont="1" applyFill="1" applyAlignment="1">
      <alignment horizontal="center"/>
    </xf>
    <xf numFmtId="0" fontId="39" fillId="2" borderId="0" xfId="0" applyFont="1" applyFill="1" applyAlignment="1">
      <alignment horizontal="left" vertical="center"/>
    </xf>
    <xf numFmtId="0" fontId="39" fillId="2" borderId="20" xfId="0" applyFont="1" applyFill="1" applyBorder="1" applyAlignment="1">
      <alignment horizontal="left" vertical="center"/>
    </xf>
    <xf numFmtId="0" fontId="2" fillId="38" borderId="16" xfId="0" applyFont="1" applyFill="1" applyBorder="1" applyAlignment="1">
      <alignment horizontal="center" vertical="center" wrapText="1"/>
    </xf>
    <xf numFmtId="0" fontId="2" fillId="38" borderId="17" xfId="0" applyFont="1" applyFill="1" applyBorder="1" applyAlignment="1">
      <alignment horizontal="center" vertical="center" wrapText="1"/>
    </xf>
    <xf numFmtId="0" fontId="2" fillId="38" borderId="18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" fontId="7" fillId="0" borderId="0" xfId="0" applyNumberFormat="1" applyFont="1" applyAlignment="1">
      <alignment horizontal="center"/>
    </xf>
    <xf numFmtId="0" fontId="2" fillId="38" borderId="26" xfId="0" applyFont="1" applyFill="1" applyBorder="1" applyAlignment="1">
      <alignment horizontal="center" vertical="center" wrapText="1"/>
    </xf>
    <xf numFmtId="0" fontId="2" fillId="38" borderId="29" xfId="0" applyFont="1" applyFill="1" applyBorder="1" applyAlignment="1">
      <alignment horizontal="center" vertical="center" wrapText="1"/>
    </xf>
    <xf numFmtId="0" fontId="2" fillId="38" borderId="32" xfId="0" applyFont="1" applyFill="1" applyBorder="1" applyAlignment="1">
      <alignment horizontal="center" vertical="center" wrapText="1"/>
    </xf>
    <xf numFmtId="0" fontId="2" fillId="38" borderId="13" xfId="0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3" fillId="36" borderId="13" xfId="0" applyFont="1" applyFill="1" applyBorder="1" applyAlignment="1">
      <alignment horizontal="center" vertical="center"/>
    </xf>
    <xf numFmtId="17" fontId="7" fillId="0" borderId="0" xfId="0" applyNumberFormat="1" applyFont="1" applyAlignment="1">
      <alignment horizontal="center"/>
    </xf>
    <xf numFmtId="0" fontId="4" fillId="2" borderId="0" xfId="0" applyFont="1" applyFill="1" applyAlignment="1">
      <alignment horizontal="left" wrapText="1"/>
    </xf>
    <xf numFmtId="168" fontId="40" fillId="2" borderId="0" xfId="0" applyNumberFormat="1" applyFont="1" applyFill="1" applyAlignment="1">
      <alignment horizontal="center" vertical="center"/>
    </xf>
    <xf numFmtId="44" fontId="13" fillId="40" borderId="21" xfId="72" applyFont="1" applyFill="1" applyBorder="1" applyAlignment="1">
      <alignment horizontal="center" vertical="center" wrapText="1"/>
    </xf>
    <xf numFmtId="44" fontId="13" fillId="40" borderId="13" xfId="72" applyFont="1" applyFill="1" applyBorder="1" applyAlignment="1">
      <alignment horizontal="center" vertical="center" wrapText="1"/>
    </xf>
    <xf numFmtId="44" fontId="13" fillId="40" borderId="15" xfId="72" applyFont="1" applyFill="1" applyBorder="1" applyAlignment="1">
      <alignment horizontal="center" vertical="center" wrapText="1"/>
    </xf>
    <xf numFmtId="44" fontId="13" fillId="40" borderId="23" xfId="72" applyFont="1" applyFill="1" applyBorder="1" applyAlignment="1">
      <alignment horizontal="center" vertical="center" wrapText="1"/>
    </xf>
    <xf numFmtId="44" fontId="11" fillId="0" borderId="48" xfId="72" applyFont="1" applyFill="1" applyBorder="1" applyAlignment="1">
      <alignment horizontal="center" vertical="center"/>
    </xf>
    <xf numFmtId="44" fontId="11" fillId="0" borderId="49" xfId="72" applyFont="1" applyFill="1" applyBorder="1" applyAlignment="1">
      <alignment horizontal="center" vertical="center"/>
    </xf>
    <xf numFmtId="44" fontId="11" fillId="0" borderId="52" xfId="72" applyFont="1" applyFill="1" applyBorder="1" applyAlignment="1">
      <alignment horizontal="center" vertical="center"/>
    </xf>
    <xf numFmtId="44" fontId="11" fillId="0" borderId="50" xfId="72" applyFont="1" applyFill="1" applyBorder="1" applyAlignment="1">
      <alignment horizontal="center" vertical="center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44" fontId="13" fillId="40" borderId="35" xfId="72" applyFont="1" applyFill="1" applyBorder="1" applyAlignment="1">
      <alignment horizontal="center" vertical="center" wrapText="1"/>
    </xf>
    <xf numFmtId="44" fontId="13" fillId="40" borderId="36" xfId="72" applyFont="1" applyFill="1" applyBorder="1" applyAlignment="1">
      <alignment horizontal="center" vertical="center" wrapText="1"/>
    </xf>
    <xf numFmtId="44" fontId="13" fillId="40" borderId="37" xfId="72" applyFont="1" applyFill="1" applyBorder="1" applyAlignment="1">
      <alignment horizontal="center" vertical="center" wrapText="1"/>
    </xf>
    <xf numFmtId="0" fontId="3" fillId="36" borderId="41" xfId="0" applyFont="1" applyFill="1" applyBorder="1" applyAlignment="1">
      <alignment horizontal="center" vertical="center" wrapText="1"/>
    </xf>
    <xf numFmtId="0" fontId="3" fillId="36" borderId="42" xfId="0" applyFont="1" applyFill="1" applyBorder="1" applyAlignment="1">
      <alignment horizontal="center" vertical="center" wrapText="1"/>
    </xf>
    <xf numFmtId="166" fontId="11" fillId="34" borderId="24" xfId="60" applyNumberFormat="1" applyFont="1" applyFill="1" applyBorder="1" applyAlignment="1">
      <alignment horizontal="center" vertical="center" wrapText="1"/>
    </xf>
    <xf numFmtId="166" fontId="11" fillId="34" borderId="25" xfId="60" applyNumberFormat="1" applyFont="1" applyFill="1" applyBorder="1" applyAlignment="1">
      <alignment horizontal="center" vertical="center" wrapText="1"/>
    </xf>
    <xf numFmtId="166" fontId="11" fillId="34" borderId="51" xfId="60" applyNumberFormat="1" applyFont="1" applyFill="1" applyBorder="1" applyAlignment="1">
      <alignment horizontal="center" vertical="center" wrapText="1"/>
    </xf>
    <xf numFmtId="166" fontId="11" fillId="34" borderId="22" xfId="60" applyNumberFormat="1" applyFont="1" applyFill="1" applyBorder="1" applyAlignment="1">
      <alignment horizontal="center" vertical="center" wrapText="1"/>
    </xf>
    <xf numFmtId="173" fontId="11" fillId="34" borderId="21" xfId="1" applyNumberFormat="1" applyFont="1" applyFill="1" applyBorder="1" applyAlignment="1">
      <alignment horizontal="center" vertical="center" wrapText="1"/>
    </xf>
    <xf numFmtId="173" fontId="11" fillId="34" borderId="13" xfId="1" applyNumberFormat="1" applyFont="1" applyFill="1" applyBorder="1" applyAlignment="1">
      <alignment horizontal="center" vertical="center" wrapText="1"/>
    </xf>
    <xf numFmtId="173" fontId="11" fillId="34" borderId="15" xfId="1" applyNumberFormat="1" applyFont="1" applyFill="1" applyBorder="1" applyAlignment="1">
      <alignment horizontal="center" vertical="center" wrapText="1"/>
    </xf>
    <xf numFmtId="173" fontId="11" fillId="34" borderId="23" xfId="1" applyNumberFormat="1" applyFont="1" applyFill="1" applyBorder="1" applyAlignment="1">
      <alignment horizontal="center" vertical="center" wrapText="1"/>
    </xf>
    <xf numFmtId="44" fontId="11" fillId="40" borderId="21" xfId="72" applyFont="1" applyFill="1" applyBorder="1" applyAlignment="1">
      <alignment horizontal="center" vertical="center" wrapText="1"/>
    </xf>
    <xf numFmtId="44" fontId="11" fillId="40" borderId="13" xfId="72" applyFont="1" applyFill="1" applyBorder="1" applyAlignment="1">
      <alignment horizontal="center" vertical="center" wrapText="1"/>
    </xf>
    <xf numFmtId="44" fontId="11" fillId="40" borderId="15" xfId="72" applyFont="1" applyFill="1" applyBorder="1" applyAlignment="1">
      <alignment horizontal="center" vertical="center" wrapText="1"/>
    </xf>
    <xf numFmtId="44" fontId="11" fillId="40" borderId="23" xfId="72" applyFont="1" applyFill="1" applyBorder="1" applyAlignment="1">
      <alignment horizontal="center" vertical="center" wrapText="1"/>
    </xf>
    <xf numFmtId="166" fontId="11" fillId="34" borderId="44" xfId="60" applyNumberFormat="1" applyFont="1" applyFill="1" applyBorder="1" applyAlignment="1">
      <alignment horizontal="center" vertical="center" wrapText="1"/>
    </xf>
    <xf numFmtId="166" fontId="11" fillId="34" borderId="38" xfId="60" applyNumberFormat="1" applyFont="1" applyFill="1" applyBorder="1" applyAlignment="1">
      <alignment horizontal="center" vertical="center" wrapText="1"/>
    </xf>
    <xf numFmtId="166" fontId="11" fillId="34" borderId="33" xfId="60" applyNumberFormat="1" applyFont="1" applyFill="1" applyBorder="1" applyAlignment="1">
      <alignment horizontal="center" vertical="center" wrapText="1"/>
    </xf>
    <xf numFmtId="173" fontId="11" fillId="34" borderId="45" xfId="1" applyNumberFormat="1" applyFont="1" applyFill="1" applyBorder="1" applyAlignment="1">
      <alignment horizontal="center" vertical="center" wrapText="1"/>
    </xf>
    <xf numFmtId="173" fontId="11" fillId="34" borderId="39" xfId="1" applyNumberFormat="1" applyFont="1" applyFill="1" applyBorder="1" applyAlignment="1">
      <alignment horizontal="center" vertical="center" wrapText="1"/>
    </xf>
    <xf numFmtId="173" fontId="11" fillId="34" borderId="47" xfId="1" applyNumberFormat="1" applyFont="1" applyFill="1" applyBorder="1" applyAlignment="1">
      <alignment horizontal="center" vertical="center" wrapText="1"/>
    </xf>
    <xf numFmtId="44" fontId="11" fillId="40" borderId="45" xfId="72" applyFont="1" applyFill="1" applyBorder="1" applyAlignment="1">
      <alignment horizontal="center" vertical="center" wrapText="1"/>
    </xf>
    <xf numFmtId="44" fontId="11" fillId="40" borderId="39" xfId="72" applyFont="1" applyFill="1" applyBorder="1" applyAlignment="1">
      <alignment horizontal="center" vertical="center" wrapText="1"/>
    </xf>
    <xf numFmtId="44" fontId="11" fillId="40" borderId="47" xfId="72" applyFont="1" applyFill="1" applyBorder="1" applyAlignment="1">
      <alignment horizontal="center" vertical="center" wrapText="1"/>
    </xf>
    <xf numFmtId="44" fontId="11" fillId="0" borderId="46" xfId="72" applyFont="1" applyFill="1" applyBorder="1" applyAlignment="1">
      <alignment horizontal="center" vertical="center"/>
    </xf>
    <xf numFmtId="44" fontId="11" fillId="0" borderId="40" xfId="72" applyFont="1" applyFill="1" applyBorder="1" applyAlignment="1">
      <alignment horizontal="center" vertical="center"/>
    </xf>
    <xf numFmtId="44" fontId="11" fillId="0" borderId="34" xfId="72" applyFont="1" applyFill="1" applyBorder="1" applyAlignment="1">
      <alignment horizontal="center" vertical="center"/>
    </xf>
    <xf numFmtId="44" fontId="13" fillId="40" borderId="45" xfId="72" applyFont="1" applyFill="1" applyBorder="1" applyAlignment="1">
      <alignment horizontal="center" vertical="center" wrapText="1"/>
    </xf>
    <xf numFmtId="44" fontId="13" fillId="40" borderId="39" xfId="72" applyFont="1" applyFill="1" applyBorder="1" applyAlignment="1">
      <alignment horizontal="center" vertical="center" wrapText="1"/>
    </xf>
    <xf numFmtId="44" fontId="13" fillId="40" borderId="47" xfId="72" applyFont="1" applyFill="1" applyBorder="1" applyAlignment="1">
      <alignment horizontal="center" vertical="center" wrapText="1"/>
    </xf>
    <xf numFmtId="166" fontId="11" fillId="34" borderId="24" xfId="60" applyNumberFormat="1" applyFont="1" applyFill="1" applyBorder="1" applyAlignment="1">
      <alignment horizontal="left" vertical="center" wrapText="1"/>
    </xf>
    <xf numFmtId="166" fontId="11" fillId="34" borderId="25" xfId="60" applyNumberFormat="1" applyFont="1" applyFill="1" applyBorder="1" applyAlignment="1">
      <alignment horizontal="left" vertical="center" wrapText="1"/>
    </xf>
    <xf numFmtId="166" fontId="11" fillId="34" borderId="22" xfId="60" applyNumberFormat="1" applyFont="1" applyFill="1" applyBorder="1" applyAlignment="1">
      <alignment horizontal="left" vertical="center" wrapText="1"/>
    </xf>
    <xf numFmtId="0" fontId="3" fillId="36" borderId="13" xfId="0" applyFont="1" applyFill="1" applyBorder="1" applyAlignment="1">
      <alignment horizontal="center" vertical="center" textRotation="90"/>
    </xf>
    <xf numFmtId="165" fontId="7" fillId="0" borderId="0" xfId="0" applyNumberFormat="1" applyFont="1" applyAlignment="1">
      <alignment horizontal="center"/>
    </xf>
    <xf numFmtId="165" fontId="40" fillId="2" borderId="0" xfId="0" applyNumberFormat="1" applyFont="1" applyFill="1" applyAlignment="1">
      <alignment horizontal="center"/>
    </xf>
    <xf numFmtId="0" fontId="0" fillId="0" borderId="0" xfId="0" applyAlignment="1">
      <alignment horizontal="left" vertical="top" wrapText="1"/>
    </xf>
  </cellXfs>
  <cellStyles count="74">
    <cellStyle name="20% - Énfasis1" xfId="22" builtinId="30" customBuiltin="1"/>
    <cellStyle name="20% - Énfasis2" xfId="26" builtinId="34" customBuiltin="1"/>
    <cellStyle name="20% - Énfasis3" xfId="30" builtinId="38" customBuiltin="1"/>
    <cellStyle name="20% - Énfasis4" xfId="34" builtinId="42" customBuiltin="1"/>
    <cellStyle name="20% - Énfasis5" xfId="38" builtinId="46" customBuiltin="1"/>
    <cellStyle name="20% - Énfasis6" xfId="42" builtinId="50" customBuiltin="1"/>
    <cellStyle name="40% - Énfasis1" xfId="23" builtinId="31" customBuiltin="1"/>
    <cellStyle name="40% - Énfasis2" xfId="27" builtinId="35" customBuiltin="1"/>
    <cellStyle name="40% - Énfasis3" xfId="31" builtinId="39" customBuiltin="1"/>
    <cellStyle name="40% - Énfasis4" xfId="35" builtinId="43" customBuiltin="1"/>
    <cellStyle name="40% - Énfasis5" xfId="39" builtinId="47" customBuiltin="1"/>
    <cellStyle name="40% - Énfasis6" xfId="43" builtinId="51" customBuiltin="1"/>
    <cellStyle name="60% - Énfasis1" xfId="24" builtinId="32" customBuiltin="1"/>
    <cellStyle name="60% - Énfasis2" xfId="28" builtinId="36" customBuiltin="1"/>
    <cellStyle name="60% - Énfasis3" xfId="32" builtinId="40" customBuiltin="1"/>
    <cellStyle name="60% - Énfasis4" xfId="36" builtinId="44" customBuiltin="1"/>
    <cellStyle name="60% - Énfasis5" xfId="40" builtinId="48" customBuiltin="1"/>
    <cellStyle name="60% - Énfasis6" xfId="44" builtinId="52" customBuiltin="1"/>
    <cellStyle name="Bueno" xfId="9" builtinId="26" customBuiltin="1"/>
    <cellStyle name="Cálculo" xfId="14" builtinId="22" customBuiltin="1"/>
    <cellStyle name="Celda de comprobación" xfId="16" builtinId="23" customBuiltin="1"/>
    <cellStyle name="Celda vinculada" xfId="15" builtinId="24" customBuiltin="1"/>
    <cellStyle name="Encabezado 1" xfId="5" builtinId="16" customBuiltin="1"/>
    <cellStyle name="Encabezado 4" xfId="8" builtinId="19" customBuiltin="1"/>
    <cellStyle name="Énfasis1" xfId="21" builtinId="29" customBuiltin="1"/>
    <cellStyle name="Énfasis2" xfId="25" builtinId="33" customBuiltin="1"/>
    <cellStyle name="Énfasis3" xfId="29" builtinId="37" customBuiltin="1"/>
    <cellStyle name="Énfasis4" xfId="33" builtinId="41" customBuiltin="1"/>
    <cellStyle name="Énfasis5" xfId="37" builtinId="45" customBuiltin="1"/>
    <cellStyle name="Énfasis6" xfId="41" builtinId="49" customBuiltin="1"/>
    <cellStyle name="Entrada" xfId="12" builtinId="20" customBuiltin="1"/>
    <cellStyle name="Estilo 1" xfId="48" xr:uid="{00000000-0005-0000-0000-00001F000000}"/>
    <cellStyle name="Euro" xfId="49" xr:uid="{00000000-0005-0000-0000-000020000000}"/>
    <cellStyle name="Hipervínculo" xfId="2" builtinId="8"/>
    <cellStyle name="Incorrecto" xfId="10" builtinId="27" customBuiltin="1"/>
    <cellStyle name="Millares" xfId="1" builtinId="3"/>
    <cellStyle name="Millares [0]" xfId="62" builtinId="6"/>
    <cellStyle name="Millares [0] 2" xfId="61" xr:uid="{00000000-0005-0000-0000-000025000000}"/>
    <cellStyle name="Millares [0] 2 2" xfId="67" xr:uid="{00000000-0005-0000-0000-000026000000}"/>
    <cellStyle name="Millares [0] 3" xfId="68" xr:uid="{00000000-0005-0000-0000-000027000000}"/>
    <cellStyle name="Millares [0] 4" xfId="69" xr:uid="{00000000-0005-0000-0000-000028000000}"/>
    <cellStyle name="Millares 2" xfId="46" xr:uid="{00000000-0005-0000-0000-000029000000}"/>
    <cellStyle name="Millares 2 2" xfId="50" xr:uid="{00000000-0005-0000-0000-00002A000000}"/>
    <cellStyle name="Millares 2 2 2" xfId="65" xr:uid="{00000000-0005-0000-0000-00002B000000}"/>
    <cellStyle name="Millares 2 3" xfId="64" xr:uid="{00000000-0005-0000-0000-00002C000000}"/>
    <cellStyle name="Millares 23" xfId="70" xr:uid="{00000000-0005-0000-0000-00002D000000}"/>
    <cellStyle name="Millares 3" xfId="60" xr:uid="{00000000-0005-0000-0000-00002E000000}"/>
    <cellStyle name="Millares 3 2" xfId="66" xr:uid="{00000000-0005-0000-0000-00002F000000}"/>
    <cellStyle name="Millares 4" xfId="63" xr:uid="{00000000-0005-0000-0000-000030000000}"/>
    <cellStyle name="Moneda" xfId="72" builtinId="4"/>
    <cellStyle name="Moneda [0]" xfId="73" builtinId="7"/>
    <cellStyle name="Moneda 2" xfId="3" xr:uid="{00000000-0005-0000-0000-000033000000}"/>
    <cellStyle name="Moneda 2 2" xfId="51" xr:uid="{00000000-0005-0000-0000-000034000000}"/>
    <cellStyle name="Moneda 2 2 2" xfId="56" xr:uid="{00000000-0005-0000-0000-000035000000}"/>
    <cellStyle name="Moneda 3" xfId="55" xr:uid="{00000000-0005-0000-0000-000036000000}"/>
    <cellStyle name="Moneda 4" xfId="58" xr:uid="{00000000-0005-0000-0000-000037000000}"/>
    <cellStyle name="Moneda 4 2" xfId="71" xr:uid="{00000000-0005-0000-0000-000038000000}"/>
    <cellStyle name="Neutral" xfId="11" builtinId="28" customBuiltin="1"/>
    <cellStyle name="Normal" xfId="0" builtinId="0"/>
    <cellStyle name="Normal 2" xfId="52" xr:uid="{00000000-0005-0000-0000-00003B000000}"/>
    <cellStyle name="Normal 2 2" xfId="53" xr:uid="{00000000-0005-0000-0000-00003C000000}"/>
    <cellStyle name="Normal 3" xfId="45" xr:uid="{00000000-0005-0000-0000-00003D000000}"/>
    <cellStyle name="Normal 3 2" xfId="57" xr:uid="{00000000-0005-0000-0000-00003E000000}"/>
    <cellStyle name="Normal 4 2" xfId="47" xr:uid="{00000000-0005-0000-0000-00003F000000}"/>
    <cellStyle name="Notas" xfId="18" builtinId="10" customBuiltin="1"/>
    <cellStyle name="Porcentaje" xfId="59" builtinId="5"/>
    <cellStyle name="Porcentaje 2" xfId="54" xr:uid="{00000000-0005-0000-0000-000042000000}"/>
    <cellStyle name="Salida" xfId="13" builtinId="21" customBuiltin="1"/>
    <cellStyle name="Texto de advertencia" xfId="17" builtinId="11" customBuiltin="1"/>
    <cellStyle name="Texto explicativo" xfId="19" builtinId="53" customBuiltin="1"/>
    <cellStyle name="Título" xfId="4" builtinId="15" customBuiltin="1"/>
    <cellStyle name="Título 2" xfId="6" builtinId="17" customBuiltin="1"/>
    <cellStyle name="Título 3" xfId="7" builtinId="18" customBuiltin="1"/>
    <cellStyle name="Total" xfId="20" builtinId="25" customBuiltin="1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B5D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customXml" Target="../customXml/item2.xml"/><Relationship Id="rId10" Type="http://schemas.openxmlformats.org/officeDocument/2006/relationships/externalLink" Target="externalLinks/externalLink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313765</xdr:colOff>
      <xdr:row>0</xdr:row>
      <xdr:rowOff>89647</xdr:rowOff>
    </xdr:from>
    <xdr:to>
      <xdr:col>9</xdr:col>
      <xdr:colOff>316940</xdr:colOff>
      <xdr:row>6</xdr:row>
      <xdr:rowOff>141966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52F57AE5-BA0D-4D5C-AE9E-84E0E2E4B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4683" y="89647"/>
          <a:ext cx="2581835" cy="1124909"/>
        </a:xfrm>
        <a:prstGeom prst="rect">
          <a:avLst/>
        </a:prstGeom>
      </xdr:spPr>
    </xdr:pic>
    <xdr:clientData/>
  </xdr:twoCellAnchor>
  <xdr:twoCellAnchor>
    <xdr:from>
      <xdr:col>13</xdr:col>
      <xdr:colOff>418353</xdr:colOff>
      <xdr:row>15</xdr:row>
      <xdr:rowOff>27644</xdr:rowOff>
    </xdr:from>
    <xdr:to>
      <xdr:col>16383</xdr:col>
      <xdr:colOff>5087471</xdr:colOff>
      <xdr:row>23</xdr:row>
      <xdr:rowOff>268941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7BEB4505-CF35-49F6-9EA1-9560CC8CBAC0}"/>
            </a:ext>
          </a:extLst>
        </xdr:cNvPr>
        <xdr:cNvSpPr/>
      </xdr:nvSpPr>
      <xdr:spPr>
        <a:xfrm>
          <a:off x="6012329" y="2833597"/>
          <a:ext cx="5099424" cy="274245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s-CO" sz="1800" b="1"/>
        </a:p>
        <a:p>
          <a:pPr algn="ctr"/>
          <a:endParaRPr lang="es-CO" sz="1800" b="1"/>
        </a:p>
        <a:p>
          <a:pPr algn="ctr"/>
          <a:r>
            <a:rPr lang="es-CO" sz="1800" b="1"/>
            <a:t>ASPECTOS RELEVANTES DEL PERÍODO</a:t>
          </a:r>
          <a:r>
            <a:rPr lang="es-CO" sz="1800" b="1" baseline="0"/>
            <a:t> DEL INFORME</a:t>
          </a:r>
          <a:endParaRPr lang="es-CO" sz="1800" b="1"/>
        </a:p>
        <a:p>
          <a:pPr algn="l"/>
          <a:r>
            <a:rPr lang="es-CO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1. En el mes de enero se realizó un descuento bancario por valor de $5.236 que a la fecha no ha sido reembolsado.                                                                      </a:t>
          </a:r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190500</xdr:colOff>
      <xdr:row>0</xdr:row>
      <xdr:rowOff>0</xdr:rowOff>
    </xdr:from>
    <xdr:to>
      <xdr:col>15</xdr:col>
      <xdr:colOff>665081</xdr:colOff>
      <xdr:row>5</xdr:row>
      <xdr:rowOff>144954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F2C3BF11-7BAB-476B-9704-6D8C69A9A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68618" y="0"/>
          <a:ext cx="2698389" cy="12207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89391</xdr:rowOff>
    </xdr:from>
    <xdr:to>
      <xdr:col>2</xdr:col>
      <xdr:colOff>134469</xdr:colOff>
      <xdr:row>5</xdr:row>
      <xdr:rowOff>103712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0EA6B5-15E0-EEB7-A5A8-C91CA3B63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91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1030941</xdr:colOff>
      <xdr:row>0</xdr:row>
      <xdr:rowOff>0</xdr:rowOff>
    </xdr:from>
    <xdr:to>
      <xdr:col>14</xdr:col>
      <xdr:colOff>425836</xdr:colOff>
      <xdr:row>6</xdr:row>
      <xdr:rowOff>2453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A4956A4E-17DD-44F0-8BCE-C943AA0E6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99441" y="0"/>
          <a:ext cx="2698389" cy="12207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542364</xdr:colOff>
      <xdr:row>5</xdr:row>
      <xdr:rowOff>50180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762229E-C326-4955-B5EE-B69B24D95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12</xdr:row>
      <xdr:rowOff>0</xdr:rowOff>
    </xdr:from>
    <xdr:to>
      <xdr:col>15</xdr:col>
      <xdr:colOff>304800</xdr:colOff>
      <xdr:row>13</xdr:row>
      <xdr:rowOff>114300</xdr:rowOff>
    </xdr:to>
    <xdr:sp macro="" textlink="">
      <xdr:nvSpPr>
        <xdr:cNvPr id="4" name="AutoShape 4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4792325" y="5229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8</xdr:row>
      <xdr:rowOff>0</xdr:rowOff>
    </xdr:from>
    <xdr:to>
      <xdr:col>15</xdr:col>
      <xdr:colOff>304800</xdr:colOff>
      <xdr:row>8</xdr:row>
      <xdr:rowOff>304800</xdr:rowOff>
    </xdr:to>
    <xdr:sp macro="" textlink="">
      <xdr:nvSpPr>
        <xdr:cNvPr id="10" name="AutoShape 3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7402175" y="237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11</xdr:row>
      <xdr:rowOff>0</xdr:rowOff>
    </xdr:from>
    <xdr:to>
      <xdr:col>15</xdr:col>
      <xdr:colOff>304800</xdr:colOff>
      <xdr:row>12</xdr:row>
      <xdr:rowOff>114300</xdr:rowOff>
    </xdr:to>
    <xdr:sp macro="" textlink="">
      <xdr:nvSpPr>
        <xdr:cNvPr id="11" name="AutoShape 4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17402175" y="320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8</xdr:row>
      <xdr:rowOff>0</xdr:rowOff>
    </xdr:from>
    <xdr:to>
      <xdr:col>15</xdr:col>
      <xdr:colOff>304800</xdr:colOff>
      <xdr:row>8</xdr:row>
      <xdr:rowOff>304800</xdr:rowOff>
    </xdr:to>
    <xdr:sp macro="" textlink="">
      <xdr:nvSpPr>
        <xdr:cNvPr id="14" name="AutoShape 3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6668750" y="299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11</xdr:row>
      <xdr:rowOff>0</xdr:rowOff>
    </xdr:from>
    <xdr:to>
      <xdr:col>15</xdr:col>
      <xdr:colOff>304800</xdr:colOff>
      <xdr:row>12</xdr:row>
      <xdr:rowOff>114300</xdr:rowOff>
    </xdr:to>
    <xdr:sp macro="" textlink="">
      <xdr:nvSpPr>
        <xdr:cNvPr id="15" name="AutoShape 4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6668750" y="403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9</xdr:row>
      <xdr:rowOff>0</xdr:rowOff>
    </xdr:from>
    <xdr:ext cx="304800" cy="304800"/>
    <xdr:sp macro="" textlink="">
      <xdr:nvSpPr>
        <xdr:cNvPr id="16" name="AutoShape 3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7402735" y="35746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12</xdr:row>
      <xdr:rowOff>0</xdr:rowOff>
    </xdr:from>
    <xdr:ext cx="304800" cy="304800"/>
    <xdr:sp macro="" textlink="">
      <xdr:nvSpPr>
        <xdr:cNvPr id="17" name="AutoShape 4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7402735" y="428064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1195292</xdr:colOff>
      <xdr:row>0</xdr:row>
      <xdr:rowOff>0</xdr:rowOff>
    </xdr:from>
    <xdr:to>
      <xdr:col>13</xdr:col>
      <xdr:colOff>61271</xdr:colOff>
      <xdr:row>6</xdr:row>
      <xdr:rowOff>21690</xdr:rowOff>
    </xdr:to>
    <xdr:pic>
      <xdr:nvPicPr>
        <xdr:cNvPr id="12" name="Picture 7">
          <a:extLst>
            <a:ext uri="{FF2B5EF4-FFF2-40B4-BE49-F238E27FC236}">
              <a16:creationId xmlns:a16="http://schemas.microsoft.com/office/drawing/2014/main" id="{A5FB82F7-B183-4805-82B2-0B5563859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97116" y="0"/>
          <a:ext cx="2922508" cy="12169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815787</xdr:colOff>
      <xdr:row>5</xdr:row>
      <xdr:rowOff>86038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753070C-E1E8-4D6B-866C-44329A2F1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201705</xdr:colOff>
      <xdr:row>0</xdr:row>
      <xdr:rowOff>0</xdr:rowOff>
    </xdr:from>
    <xdr:to>
      <xdr:col>10</xdr:col>
      <xdr:colOff>1432124</xdr:colOff>
      <xdr:row>6</xdr:row>
      <xdr:rowOff>21690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8C197A38-AAF1-4F23-8073-84DA253B5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57411" y="0"/>
          <a:ext cx="2698389" cy="12207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53787</xdr:colOff>
      <xdr:row>5</xdr:row>
      <xdr:rowOff>86038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73A0F4-F23F-4509-B484-F725B3E1E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560294</xdr:colOff>
      <xdr:row>0</xdr:row>
      <xdr:rowOff>0</xdr:rowOff>
    </xdr:from>
    <xdr:to>
      <xdr:col>18</xdr:col>
      <xdr:colOff>1954991</xdr:colOff>
      <xdr:row>6</xdr:row>
      <xdr:rowOff>27405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E592ADE9-6EE1-4EA3-996A-0C8EBB93C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663147" y="0"/>
          <a:ext cx="2698389" cy="12207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1305036</xdr:colOff>
      <xdr:row>5</xdr:row>
      <xdr:rowOff>88578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C319721-262C-44A9-986D-50AB85C1A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618117</xdr:colOff>
      <xdr:row>0</xdr:row>
      <xdr:rowOff>0</xdr:rowOff>
    </xdr:from>
    <xdr:to>
      <xdr:col>9</xdr:col>
      <xdr:colOff>1084295</xdr:colOff>
      <xdr:row>5</xdr:row>
      <xdr:rowOff>168860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CB501666-3129-4B55-809D-95584AD55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10235" y="0"/>
          <a:ext cx="2743213" cy="11908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1667434</xdr:colOff>
      <xdr:row>5</xdr:row>
      <xdr:rowOff>50180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349F44B-0ED6-4D65-B223-D8976BDBE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750794</xdr:colOff>
      <xdr:row>0</xdr:row>
      <xdr:rowOff>0</xdr:rowOff>
    </xdr:from>
    <xdr:to>
      <xdr:col>13</xdr:col>
      <xdr:colOff>1012714</xdr:colOff>
      <xdr:row>5</xdr:row>
      <xdr:rowOff>183017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4B4584FF-96C3-443E-8A4D-BADF7E2E6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76294" y="0"/>
          <a:ext cx="2698389" cy="12207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923363</xdr:colOff>
      <xdr:row>5</xdr:row>
      <xdr:rowOff>45735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03D89E4-3E7D-4E8A-94F6-5BC1FB18E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930088</xdr:colOff>
      <xdr:row>0</xdr:row>
      <xdr:rowOff>0</xdr:rowOff>
    </xdr:from>
    <xdr:to>
      <xdr:col>9</xdr:col>
      <xdr:colOff>48944</xdr:colOff>
      <xdr:row>6</xdr:row>
      <xdr:rowOff>2453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06EFC347-9EFD-4422-96FA-87EC57D4D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80676" y="0"/>
          <a:ext cx="2698389" cy="12207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1664259</xdr:colOff>
      <xdr:row>5</xdr:row>
      <xdr:rowOff>47005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F154D4A-4D8A-456B-B18C-D9C72A986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esktop\CDR%20AGUA%20SAN%20ANDRES\INFORMES%20FINANCIEROS\Informe%20financiero%20Enero%20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2F2AA6B\Resumen%20Contrato(s)%20-%20ConvocatoriasAA_Actualizado_10OCT13.xlsx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CTO%20COID-254-2021%20PA%20DEPORTE%20SAN%20ANDRES/INFORMES%20DE%20EJECUCION/29.%20MAYO%202023/Resumen%20Contrato(s)%20-%20ConvocatoriasAA_Actualizado%202014.xlsx" TargetMode="External"/><Relationship Id="rId2" Type="http://schemas.microsoft.com/office/2019/04/relationships/externalLinkLongPath" Target="/sites/DIRECCIONDEPLANEACIONDENEGOCIOSFIDUCIARIOS/Documentos%20compartidos/CTO%20COID-254-2021%20PA%20DEPORTE%20SAN%20ANDRES/INFORMES%20DE%20EJECUCION/29.%20MAYO%202023/Resumen%20Contrato(s)%20-%20ConvocatoriasAA_Actualizado%202014.xlsx?43C6E94C" TargetMode="External"/><Relationship Id="rId1" Type="http://schemas.openxmlformats.org/officeDocument/2006/relationships/externalLinkPath" Target="file:///\\43C6E94C\Resumen%20Contrato(s)%20-%20ConvocatoriasAA_Actualizado%20201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TO%209677-SAIPRO-127-2021%20-%20FNGRD%20SAN%20ANDRES%20VIVIENDA\INFORMES%20FINANCIEROS\06.%20JUNIO%202021\9677%20Informe%20Financiero%20con%20corte%20Junio%202021.xlsx" TargetMode="External"/></Relationships>
</file>

<file path=xl/externalLinks/_rels/externalLink5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Movimiento%20Cartera%20Colectiva%20Contrato.xlsx" TargetMode="External"/><Relationship Id="rId2" Type="http://schemas.openxmlformats.org/officeDocument/2006/relationships/externalLinkPath" Target="https://findeterco.sharepoint.com/sites/DIRECCIONDEPLANEACIONDENEGOCIOSFIDUCIARIOS/Documentos%20compartidos/CI_CO1PCCNTR4917031_2023_MEN/Movimiento%20Cartera%20Colectiva%20Contrato.xlsx" TargetMode="External"/><Relationship Id="rId1" Type="http://schemas.openxmlformats.org/officeDocument/2006/relationships/externalLinkPath" Target="/sites/DIRECCIONDEPLANEACIONDENEGOCIOSFIDUCIARIOS/Documentos%20compartidos/CI_CO1PCCNTR4917031_2023_MEN/Movimiento%20Cartera%20Colectiva%20Contrato.xlsx" TargetMode="External"/></Relationships>
</file>

<file path=xl/externalLinks/_rels/externalLink6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findeterco.sharepoint.com/sites/DIRECCIONDEPLANEACIONDENEGOCIOSFIDUCIARIOS/Documentos%20compartidos/CI_CO1PCCNTR4917031_2023_MEN/INFORMES%20FINANCIEROS/2024/10.%20Octubre/Informe%20Cliente/CO1.PCCNTR.%204917031_MEN_OCTUBRE_2024.xlsx" TargetMode="External"/><Relationship Id="rId2" Type="http://schemas.microsoft.com/office/2019/04/relationships/externalLinkLongPath" Target="/sites/DIRECCIONDEPLANEACIONDENEGOCIOSFIDUCIARIOS/Documentos%20compartidos/CI_CO1PCCNTR4917031_2023_MEN/INFORMES%20FINANCIEROS/2024/10.%20Octubre/Informe%20Cliente/CO1.PCCNTR.%204917031_MEN_OCTUBRE_2024.xlsx?B063FAC5" TargetMode="External"/><Relationship Id="rId1" Type="http://schemas.openxmlformats.org/officeDocument/2006/relationships/externalLinkPath" Target="file:///\\B063FAC5\CO1.PCCNTR.%204917031_MEN_OCTUBRE_2024.xlsx" TargetMode="External"/><Relationship Id="rId4" Type="http://schemas.openxmlformats.org/officeDocument/2006/relationships/externalLinkPath" Target="../../../INFORMES%20FINANCIEROS/2024/10.%20Octubre/Informe%20Cliente/CO1.PCCNTR.%204917031_MEN_OCTUBRE_2024.xlsx" TargetMode="External"/></Relationships>
</file>

<file path=xl/externalLinks/_rels/externalLink7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Movimiento%20Cartera%20Colectiva%20Contrato%207031.xlsx" TargetMode="External"/><Relationship Id="rId2" Type="http://schemas.openxmlformats.org/officeDocument/2006/relationships/externalLinkPath" Target="https://findeterco.sharepoint.com/sites/DIRECCIONDEPLANEACIONDENEGOCIOSFIDUCIARIOS/Documentos%20compartidos/CI_CO1PCCNTR4917031_2023_MEN/Movimiento%20Cartera%20Colectiva%20Contrato%207031.xlsx" TargetMode="External"/><Relationship Id="rId1" Type="http://schemas.openxmlformats.org/officeDocument/2006/relationships/externalLinkPath" Target="/sites/DIRECCIONDEPLANEACIONDENEGOCIOSFIDUCIARIOS/Documentos%20compartidos/CI_CO1PCCNTR4917031_2023_MEN/Movimiento%20Cartera%20Colectiva%20Contrato%2070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DE PAGOS - OCT 20"/>
      <sheetName val="SALDOS FUENTE DE RECURSOS"/>
      <sheetName val="DESEMBOLSOS"/>
      <sheetName val="RENDIMIENTOS FINANCIEROS"/>
      <sheetName val="RESUMEN INFORME"/>
      <sheetName val="PAGOS DEL MES"/>
      <sheetName val="REMUNERACIÓN FINDETER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Contrapartidas"/>
      <sheetName val="Contrato 036"/>
      <sheetName val="Contrato 159"/>
      <sheetName val="CONVOCATORIA GRUPO 1"/>
      <sheetName val="INTERAGUAS"/>
      <sheetName val="CONVOCATORIA GRUPO 2"/>
      <sheetName val="IEH GRUCON S.A."/>
      <sheetName val="HMV INGENIEROS LTDA"/>
      <sheetName val="CONVOCATORIA GRUPO 3"/>
      <sheetName val="CONSORCIO PROSPERIDAD"/>
      <sheetName val="CONVOCATORIA GRUPO 4"/>
      <sheetName val="CONVOCATORIA GRUPO 1A"/>
      <sheetName val="CONVOCATORIA GRUPO 5"/>
      <sheetName val="AGUAS DE COLOMBIA S.A."/>
      <sheetName val="CONVOCATORIA GRUPO 6"/>
      <sheetName val="CONSORCIO MAB-GIS"/>
      <sheetName val="CONVOCATORIA GRUPO 7"/>
      <sheetName val="CONSORCIO ACUEDUCTO Y SANEA"/>
      <sheetName val="CONVOCATORIA GRUPO 8"/>
      <sheetName val="UT SAN ISIDRO ZONA 2"/>
      <sheetName val="CONVOCATORIA GRUPO 9"/>
      <sheetName val="CONSORCIO HICON"/>
      <sheetName val="CONVOCATORIA GRUPO 10"/>
      <sheetName val="CONSORCIO EHSB"/>
      <sheetName val="CONVOCATORIA GRUPO 11"/>
      <sheetName val="CONTRATO FIRMADO"/>
      <sheetName val="Resumen 159 Original"/>
      <sheetName val="R. Contrato 036 Original"/>
      <sheetName val="FC MAYO (036)"/>
      <sheetName val="FC MAYO (159)"/>
      <sheetName val="FCaja Proyectado Contrato 036"/>
      <sheetName val="FCaja Proyectado Contrato 159"/>
      <sheetName val="CONVOCATORIA GRUPO 12"/>
      <sheetName val="CONVOCATORIA GRUPO 13"/>
      <sheetName val="Hoja3"/>
      <sheetName val="Resumen 036 Junio 12"/>
      <sheetName val="Resumen 159 Junio 12"/>
      <sheetName val="CONVOCATORIA GRUPO 15"/>
      <sheetName val="INTERV GRUPO 15"/>
      <sheetName val="PAGOS OBRA"/>
      <sheetName val="PAGOS INTERVENTORIA"/>
      <sheetName val="FACTURA FIND OBRA"/>
      <sheetName val="FACTURA FIND INTERV"/>
      <sheetName val="FIN EJEC. INTEGRAL"/>
      <sheetName val="CONSOLIDADO"/>
      <sheetName val="SEGUIMIENTO CONSULTORIA"/>
      <sheetName val="Hoja1"/>
      <sheetName val="SEGUIMIENTO PN-PJ"/>
      <sheetName val="Hoja2"/>
      <sheetName val="INTERVENTORIA ZONA 1 - COSTA"/>
      <sheetName val="PAGOS OBRA MVCT"/>
      <sheetName val="PAGOS INTERVENTORIA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3">
          <cell r="A3" t="str">
            <v>CONVOCATORIA</v>
          </cell>
          <cell r="B3" t="str">
            <v>FUENTE DE RECURSOS</v>
          </cell>
        </row>
        <row r="4">
          <cell r="A4" t="str">
            <v>PAF-ATF-001-2012</v>
          </cell>
          <cell r="B4" t="str">
            <v>Contrato No. 036 de 2012
CDP 274712
11 Recursos del Tesoro</v>
          </cell>
        </row>
        <row r="5">
          <cell r="A5" t="str">
            <v>PAF-ATF-002-2012</v>
          </cell>
          <cell r="B5" t="str">
            <v xml:space="preserve">Contrato No. 036 de 2012
CDP 1413                                                                                                                                                                                                                              </v>
          </cell>
        </row>
        <row r="6">
          <cell r="A6" t="str">
            <v>PAF-ATF-003-2012
PAF-ATF-041-2012</v>
          </cell>
          <cell r="B6" t="str">
            <v>Contrato No. 036 de 2012 
CDP 274712
10 Recursos Corrientes</v>
          </cell>
        </row>
        <row r="7">
          <cell r="A7" t="str">
            <v>PAF-ATF-004-2012</v>
          </cell>
          <cell r="B7" t="str">
            <v>Contrato No. 036 de 2012
CDP 274712
11 Recursos del Tesoro</v>
          </cell>
        </row>
        <row r="8">
          <cell r="A8" t="str">
            <v>PAF-ATF-005-2012</v>
          </cell>
          <cell r="B8" t="str">
            <v>Contrato No. 036 de 2012
CDP 274712
11 Recursos del Tesoro</v>
          </cell>
        </row>
        <row r="9">
          <cell r="A9" t="str">
            <v>PAF-ATF-006-2012</v>
          </cell>
          <cell r="B9" t="str">
            <v xml:space="preserve">Contrato No. 036 de 2012
CDP 1413                                                                                                                                                                                                                              </v>
          </cell>
        </row>
        <row r="10">
          <cell r="A10" t="str">
            <v>PAF-ATF-007-2012</v>
          </cell>
          <cell r="B10" t="str">
            <v xml:space="preserve">Contrato No. 036 de 2012
CDP 1413                                                                                                                                                                                                                              </v>
          </cell>
        </row>
        <row r="11">
          <cell r="A11" t="str">
            <v>PAF-ATF-008-2012</v>
          </cell>
          <cell r="B11" t="str">
            <v>Contrato No. 036 de 2012
CDP 274712
16 Fondos Especiales</v>
          </cell>
        </row>
        <row r="12">
          <cell r="A12" t="str">
            <v>PAF-ATF-009-2012</v>
          </cell>
          <cell r="B12" t="str">
            <v>Contrato No. 036 de 2012
CDP 274712
16 Fondos Especiales</v>
          </cell>
        </row>
        <row r="13">
          <cell r="A13" t="str">
            <v>PAF-ATF-010-2012</v>
          </cell>
          <cell r="B13" t="str">
            <v>Contrato No. 036 de 2012 
CDP 274712
10 Recursos Corrientes</v>
          </cell>
        </row>
        <row r="14">
          <cell r="A14" t="str">
            <v>PAF-ATF-011-2012</v>
          </cell>
          <cell r="B14" t="str">
            <v>Contrato No. 036 de 2012
CDP 274712
16 Fondos Especiales</v>
          </cell>
        </row>
        <row r="15">
          <cell r="A15" t="str">
            <v>PAF-ATF-012-2012</v>
          </cell>
          <cell r="B15" t="str">
            <v>Contrato No. 036 de 2012 
CDP 274712
10 Recursos Corrientes</v>
          </cell>
        </row>
        <row r="16">
          <cell r="A16" t="str">
            <v>PAF-ATF-013-2012</v>
          </cell>
          <cell r="B16" t="str">
            <v>Contrato No. 036 de 2012
CDP 274712
16 Fondos Especiales</v>
          </cell>
        </row>
        <row r="17">
          <cell r="A17" t="str">
            <v>PAF-ATF-014-2012</v>
          </cell>
          <cell r="B17" t="str">
            <v>Contrato No. 036 de 2012
CDP 274712
16 Fondos Especiales</v>
          </cell>
        </row>
        <row r="18">
          <cell r="A18" t="str">
            <v>PAF-ATF-015-2012</v>
          </cell>
          <cell r="B18" t="str">
            <v>Contrato No. 036 de 2012 
CDP 274712
10 Recursos Corrientes</v>
          </cell>
        </row>
        <row r="19">
          <cell r="A19" t="str">
            <v>PAF-ATF-016-2012</v>
          </cell>
          <cell r="B19" t="str">
            <v>Contrato No. 036 de 2012
CDP 274712
16 Fondos Especiales</v>
          </cell>
        </row>
        <row r="20">
          <cell r="A20" t="str">
            <v>PAF-ATF-017-2012
PAF-ATF-039-2013
PAF-ATF-075-2013
PAF-ATF-087-2013
PAF-ATF-099-2013</v>
          </cell>
          <cell r="B20" t="str">
            <v>Contrato No. 036 de 2012
CDP 274712
16 Fondos Especiales</v>
          </cell>
        </row>
        <row r="21">
          <cell r="A21" t="str">
            <v>PAF-ATF-018-2012
PAF-ATF-040-2012</v>
          </cell>
          <cell r="B21" t="str">
            <v>Contrato No. 036 de 2012
CDP 274712
16 Fondos Especiales</v>
          </cell>
        </row>
        <row r="22">
          <cell r="A22" t="str">
            <v>PAF-ATF-019-2012</v>
          </cell>
          <cell r="B22" t="str">
            <v>Contrato No. 036 de 2012
CDP 274712
16 Fondos Especiales</v>
          </cell>
        </row>
        <row r="23">
          <cell r="A23" t="str">
            <v>PAF-ATF-020-2012</v>
          </cell>
          <cell r="B23" t="str">
            <v>Contrato No. 036 de 2012
CDP 274712
16 Fondos Especiales</v>
          </cell>
        </row>
        <row r="24">
          <cell r="A24" t="str">
            <v>PAF-ATF-021-2012</v>
          </cell>
          <cell r="B24" t="str">
            <v>Contrato No. 036 de 2012
CDP 274712
16 Fondos Especiales</v>
          </cell>
        </row>
        <row r="25">
          <cell r="A25" t="str">
            <v>PAF-ATF-022-2012</v>
          </cell>
          <cell r="B25" t="str">
            <v>Contrato No. 036 de 2012
CDP 274712
16 Fondos Especiales</v>
          </cell>
        </row>
        <row r="26">
          <cell r="A26" t="str">
            <v>PAF-ATF-023-2012</v>
          </cell>
          <cell r="B26" t="str">
            <v>Contrato No. 036 de 2012
CDP 304012
11 Nación</v>
          </cell>
        </row>
        <row r="27">
          <cell r="A27" t="str">
            <v>PAF-ATF-024-2012</v>
          </cell>
          <cell r="B27" t="str">
            <v>Contrato No. 036 de 2012
CDP 274712
16 Fondos Especiales</v>
          </cell>
        </row>
        <row r="28">
          <cell r="A28" t="str">
            <v>PAF-ATF-025-2012</v>
          </cell>
          <cell r="B28" t="str">
            <v>Contrato No. 036 de 2012
CDP 274712
16 Fondos Especiales</v>
          </cell>
        </row>
        <row r="29">
          <cell r="A29" t="str">
            <v>PAF-ATF-026-2012</v>
          </cell>
          <cell r="B29" t="str">
            <v xml:space="preserve">CDP 235012                                                                                                                                                                                                                                                     </v>
          </cell>
        </row>
        <row r="30">
          <cell r="A30" t="str">
            <v>PAF-ATF-027-2012</v>
          </cell>
          <cell r="B30" t="str">
            <v>Contrato No. 036 de 2012
CDP 304012
11 Nación</v>
          </cell>
        </row>
        <row r="31">
          <cell r="A31" t="str">
            <v>PAF-ATF-028-2012</v>
          </cell>
          <cell r="B31" t="str">
            <v>Contrato No. 036 de 2012
CDP 290212
11 Recursos del Tesoro</v>
          </cell>
        </row>
        <row r="32">
          <cell r="A32" t="str">
            <v>PAF-ATF-029-2012
PAF-ATF-076-2013</v>
          </cell>
          <cell r="B32" t="str">
            <v xml:space="preserve">Contrato No. 036 de 2012
CDP 1413                                                                                                                                                                                                                              </v>
          </cell>
        </row>
        <row r="33">
          <cell r="A33" t="str">
            <v>PAF-ATF-030-2012</v>
          </cell>
          <cell r="B33" t="str">
            <v>Contrato No. 036 de 2012 
CDP 274712
10 Recursos Corrientes</v>
          </cell>
        </row>
        <row r="34">
          <cell r="A34" t="str">
            <v>PAF-ATF-031-2012</v>
          </cell>
          <cell r="B34" t="str">
            <v>Contrato No. 036 de 2012 
CDP 274712
10 Recursos Corrientes</v>
          </cell>
        </row>
        <row r="35">
          <cell r="A35" t="str">
            <v>PAF-ATF-032-2012</v>
          </cell>
          <cell r="B35" t="str">
            <v>Contrato No. 036 de 2012 
CDP 274712
10 Recursos Corrientes</v>
          </cell>
        </row>
        <row r="36">
          <cell r="A36" t="str">
            <v>PAF-ATF-033-2012
PAF-ATF-074-2013</v>
          </cell>
          <cell r="B36" t="str">
            <v>Contrato No. 036 de 2012
CDP 274712
11 Recursos del Tesoro</v>
          </cell>
        </row>
        <row r="37">
          <cell r="A37" t="str">
            <v>PAF-ATF-034-2012</v>
          </cell>
          <cell r="B37" t="str">
            <v>Contrato No. 036 de 2012 
CDP 274712
10 Recursos Corrientes</v>
          </cell>
        </row>
        <row r="38">
          <cell r="A38" t="str">
            <v>PAF-ATF-035-2012***</v>
          </cell>
          <cell r="B38" t="str">
            <v>Contrato No. 036 de 2012
CDP 274712
16 Fondos Especiales</v>
          </cell>
        </row>
        <row r="39">
          <cell r="A39" t="str">
            <v>PAF-ATF-036-2012</v>
          </cell>
          <cell r="B39" t="str">
            <v>Contrato No. 036 de 2012
CDP 274712
16 Fondos Especiales</v>
          </cell>
        </row>
        <row r="40">
          <cell r="A40" t="str">
            <v>PAF-ATF-037-2012</v>
          </cell>
          <cell r="B40" t="str">
            <v>Contrato No. 036 de 2012
CDP 274712
16 Fondos Especiales</v>
          </cell>
        </row>
        <row r="41">
          <cell r="A41" t="str">
            <v>PAF-ATF-038-2012</v>
          </cell>
          <cell r="B41" t="str">
            <v>Contrato No. 036 de 2012 
CDP 274712
10 Recursos Corrientes</v>
          </cell>
        </row>
        <row r="42">
          <cell r="A42" t="str">
            <v>PAF-ATF-042-2013</v>
          </cell>
          <cell r="B42" t="str">
            <v>Contrato No. 159 de 2013
CDP 22813
11 Recursos del Tesoro</v>
          </cell>
        </row>
        <row r="43">
          <cell r="A43" t="str">
            <v>PAF-ATF-043-2013</v>
          </cell>
          <cell r="B43" t="str">
            <v>Contrato No. 159 de 2013
CDP 22813
11 Recursos del Tesoro</v>
          </cell>
        </row>
        <row r="44">
          <cell r="A44" t="str">
            <v>PAF-ATF-044-2013</v>
          </cell>
          <cell r="B44" t="str">
            <v>Contrato No. 159 de 2013
CDP 22813
11 Recursos del Tesoro</v>
          </cell>
        </row>
        <row r="45">
          <cell r="A45" t="str">
            <v>PAF-ATF-045-2013</v>
          </cell>
          <cell r="B45" t="str">
            <v>Contrato No. 159 de 2013
CDP 22813
11 Recursos del Tesoro</v>
          </cell>
        </row>
        <row r="46">
          <cell r="A46" t="str">
            <v>PAF-ATF-046-2013</v>
          </cell>
          <cell r="B46" t="str">
            <v>Contrato No. 036 de 2012 
CDP 274712
10 Recursos Corrientes</v>
          </cell>
        </row>
        <row r="47">
          <cell r="A47" t="str">
            <v>PAF-ATF-047-2013</v>
          </cell>
          <cell r="B47" t="str">
            <v>Contrato No. 159 de 2013
CDP 22813
11 Recursos del Tesoro</v>
          </cell>
        </row>
        <row r="48">
          <cell r="A48" t="str">
            <v>PAF-ATF-048-2013</v>
          </cell>
          <cell r="B48" t="str">
            <v>Contrato No. 159 de 2013
CDP 22813
11 Recursos del Tesoro</v>
          </cell>
        </row>
        <row r="49">
          <cell r="A49" t="str">
            <v>PAF-ATF-049-2013</v>
          </cell>
          <cell r="B49" t="str">
            <v>Contrato No. 159 de 2013
CDP 22813
11 Recursos del Tesoro</v>
          </cell>
        </row>
        <row r="50">
          <cell r="A50" t="str">
            <v>PAF-ATF-050-2013</v>
          </cell>
          <cell r="B50" t="str">
            <v>Contrato No. 036 de 2012
CDP 274712
16 Fondos Especiales</v>
          </cell>
        </row>
        <row r="51">
          <cell r="A51" t="str">
            <v>PAF-ATF-051-2013</v>
          </cell>
          <cell r="B51" t="str">
            <v>Contrato No. 036 de 2012
CDP 274712
16 Fondos Especiales</v>
          </cell>
        </row>
        <row r="52">
          <cell r="A52" t="str">
            <v>PAF-ATF-052-2013</v>
          </cell>
          <cell r="B52" t="str">
            <v>Contrato No. 159 de 2013
CDP 22813
11 Recursos del Tesoro</v>
          </cell>
        </row>
        <row r="53">
          <cell r="A53" t="str">
            <v>PAF-ATF-053-2013
PAF-ATF-102-2013</v>
          </cell>
          <cell r="B53" t="str">
            <v>Contrato No. 159 de 2013
CDP 22813
11 Recursos del Tesoro</v>
          </cell>
        </row>
        <row r="54">
          <cell r="A54" t="str">
            <v>PAF-ATF-054-2013</v>
          </cell>
          <cell r="B54" t="str">
            <v>Contrato No. 159 de 2013
CDP 22813
11 Recursos del Tesoro</v>
          </cell>
        </row>
        <row r="55">
          <cell r="A55" t="str">
            <v>PAF-ATF-055-2013</v>
          </cell>
          <cell r="B55" t="str">
            <v>Contrato No. 159 de 2013
CDP 22813
11 Recursos del Tesoro</v>
          </cell>
        </row>
        <row r="56">
          <cell r="A56" t="str">
            <v>PAF-ATF-056-2013</v>
          </cell>
          <cell r="B56" t="str">
            <v>Contrato No. 036 de 2012 
CDP 274712
10 Recursos Corrientes</v>
          </cell>
        </row>
        <row r="57">
          <cell r="A57" t="str">
            <v>PAF-ATF-057-2013</v>
          </cell>
          <cell r="B57" t="str">
            <v>Contrato No. 036 de 2012 
CDP 274712
10 Recursos Corrientes</v>
          </cell>
        </row>
        <row r="58">
          <cell r="A58" t="str">
            <v>PAF-ATF-058-2013</v>
          </cell>
          <cell r="B58" t="str">
            <v>Contrato No. 036 de 2012
CDP 274712
16 Fondos Especiales</v>
          </cell>
        </row>
        <row r="59">
          <cell r="A59" t="str">
            <v>PAF-ATF-059-2013</v>
          </cell>
          <cell r="B59" t="str">
            <v>Contrato No. 159 de 2013
CDP 22813
11 Recursos del Tesoro</v>
          </cell>
        </row>
        <row r="60">
          <cell r="A60" t="str">
            <v>PAF-ATF-060-2013</v>
          </cell>
          <cell r="B60" t="str">
            <v>Contrato No. 159 de 2013
CDP 22813
11 Recursos del Tesoro</v>
          </cell>
        </row>
        <row r="61">
          <cell r="A61" t="str">
            <v>PAF-ATF-061-2013</v>
          </cell>
          <cell r="B61" t="str">
            <v>Contrato No. 036 de 2012
CDP 274712
16 Fondos Especiales</v>
          </cell>
        </row>
        <row r="62">
          <cell r="A62" t="str">
            <v>PAF-ATF-062-2013</v>
          </cell>
          <cell r="B62" t="str">
            <v>Contrato No. 159 de 2013
CDP 22813
11 Recursos del Tesoro</v>
          </cell>
        </row>
        <row r="63">
          <cell r="A63" t="str">
            <v>PAF-ATF-063-2013</v>
          </cell>
          <cell r="B63" t="str">
            <v>Contrato No. 159 de 2013
CDP 22813
11 Recursos del Tesoro</v>
          </cell>
        </row>
        <row r="64">
          <cell r="A64" t="str">
            <v>PAF-ATF-064-2013</v>
          </cell>
          <cell r="B64" t="str">
            <v>Contrato No. 159 de 2013
CDP 22813
11 Recursos del Tesoro</v>
          </cell>
        </row>
        <row r="65">
          <cell r="A65" t="str">
            <v>PAF-ATF-065-2013</v>
          </cell>
          <cell r="B65" t="str">
            <v>Contrato No. 159 de 2013
CDP 22813
11 Recursos del Tesoro</v>
          </cell>
        </row>
        <row r="66">
          <cell r="A66" t="str">
            <v>PAF-ATF-066-2013</v>
          </cell>
          <cell r="B66" t="str">
            <v>Contrato No. 159 de 2013
CDP 22813
11 Recursos del Tesoro</v>
          </cell>
        </row>
        <row r="67">
          <cell r="A67" t="str">
            <v>PAF-ATF-067-2013</v>
          </cell>
          <cell r="B67" t="str">
            <v>Contrato No. 159 de 2013
CDP 22813
11 Recursos del Tesoro</v>
          </cell>
        </row>
        <row r="68">
          <cell r="A68" t="str">
            <v>PAF-ATF-069-2013</v>
          </cell>
          <cell r="B68" t="str">
            <v>Contrato No. 036 de 2012 
CDP 274712
10 Recursos Corrientes</v>
          </cell>
        </row>
        <row r="69">
          <cell r="A69" t="str">
            <v>PAF-ATF-070-2013</v>
          </cell>
          <cell r="B69" t="str">
            <v>Contrato No. 159 de 2013
CDP 22813
16 Fondos Especiales</v>
          </cell>
        </row>
        <row r="70">
          <cell r="A70" t="str">
            <v>PAF-ATF-071-2013</v>
          </cell>
          <cell r="B70" t="str">
            <v>Contrato No. 159 de 2013
CDP 22813
16 Fondos Especiales</v>
          </cell>
        </row>
        <row r="71">
          <cell r="A71" t="str">
            <v>PAF-ATF-072-2013</v>
          </cell>
          <cell r="B71" t="str">
            <v>Contrato No. 159 de 2013
CDP 22813
16 Fondos Especiales</v>
          </cell>
        </row>
        <row r="72">
          <cell r="A72" t="str">
            <v>PAF-ATF-073-2013</v>
          </cell>
          <cell r="B72" t="str">
            <v xml:space="preserve">CDP 152012  
SEGUN MAIL REMITIDO DEL MVCT                                                                                                                                                                                                                      </v>
          </cell>
        </row>
        <row r="73">
          <cell r="A73" t="str">
            <v>PAF-ATF-077-2013</v>
          </cell>
          <cell r="B73" t="str">
            <v>Contrato No. 036 de 2012
CDP 274712
16 Fondos Especiales</v>
          </cell>
        </row>
        <row r="74">
          <cell r="A74" t="str">
            <v>PAF-ATF-078-2013</v>
          </cell>
          <cell r="B74" t="str">
            <v>Contrato No. 159 de 2013
CDP 22813
16 Fondos Especiales</v>
          </cell>
        </row>
        <row r="75">
          <cell r="A75" t="str">
            <v>PAF-ATF-079-2013</v>
          </cell>
          <cell r="B75" t="str">
            <v>Contrato No. 159 de 2013
CDP 22813
16 Fondos Especiales</v>
          </cell>
        </row>
        <row r="76">
          <cell r="A76" t="str">
            <v>PAF-ATF-080-2013</v>
          </cell>
          <cell r="B76" t="str">
            <v>Contrato No. 159 de 2013
CDP 22813
16 Fondos Especiales</v>
          </cell>
        </row>
        <row r="77">
          <cell r="A77" t="str">
            <v>PAF-ATF-081-2013</v>
          </cell>
          <cell r="B77" t="str">
            <v>Contrato No. 159 de 2013
CDP 22813
16 Fondos Especiales</v>
          </cell>
        </row>
        <row r="78">
          <cell r="A78" t="str">
            <v>PAF-ATF-082-2013</v>
          </cell>
          <cell r="B78" t="str">
            <v>Contrato No. 159 de 2013
CDP 22813
16 Fondos Especiales</v>
          </cell>
        </row>
        <row r="79">
          <cell r="A79" t="str">
            <v>PAF-ATF-083-2013</v>
          </cell>
          <cell r="B79" t="str">
            <v>Contrato No. 159 de 2013
CDP 22813
16 Fondos Especiales</v>
          </cell>
        </row>
        <row r="80">
          <cell r="A80" t="str">
            <v>PAF-ATF-084-2013</v>
          </cell>
          <cell r="B80" t="str">
            <v>Contrato No. 036 de 2012
CDP 274712
16 Fondos Especiales</v>
          </cell>
        </row>
        <row r="81">
          <cell r="A81" t="str">
            <v>PAF-ATF-085-2013</v>
          </cell>
          <cell r="B81" t="str">
            <v>Contrato No. 159 de 2013
CDP 22813
16 Fondos Especiales</v>
          </cell>
        </row>
        <row r="82">
          <cell r="A82" t="str">
            <v>PAF-ATF-086-2013</v>
          </cell>
          <cell r="B82" t="str">
            <v>Contrato No. 036 de 2012
CDP 274712
16 Fondos Especiales</v>
          </cell>
        </row>
        <row r="83">
          <cell r="A83" t="str">
            <v>PAF-ATF-090-2013</v>
          </cell>
          <cell r="B83" t="str">
            <v>Contrato No. 159 de 2013
CDP 22813
16 Fondos Especiales</v>
          </cell>
        </row>
        <row r="84">
          <cell r="A84" t="str">
            <v>PAF-ATF-091-2013</v>
          </cell>
          <cell r="B84" t="str">
            <v>Contrato No. 159 de 2013
CDP 22813
16 Fondos Especiales</v>
          </cell>
        </row>
        <row r="85">
          <cell r="A85" t="str">
            <v>PAF-ATF-093-2013</v>
          </cell>
          <cell r="B85" t="str">
            <v>Contrato No. 036 de 2012
CDP 274712
16 Fondos Especiales</v>
          </cell>
        </row>
        <row r="86">
          <cell r="A86" t="str">
            <v>PAF-ATF-094-2013</v>
          </cell>
          <cell r="B86" t="str">
            <v>SALDOS CONTRATO 036 DE 2012
TODOS LOS CDP VER RELACIÓN ANEXA</v>
          </cell>
        </row>
        <row r="87">
          <cell r="A87" t="str">
            <v>PAF-ATF-095-2013</v>
          </cell>
          <cell r="B87" t="str">
            <v>Contrato No. 159 de 2013
CDP 137513
11 Nación</v>
          </cell>
        </row>
        <row r="88">
          <cell r="A88" t="str">
            <v>PAF-ATF-096-2013</v>
          </cell>
          <cell r="B88" t="str">
            <v>Contrato No. 159 de 2013
CDP 137513
11 Nación</v>
          </cell>
        </row>
        <row r="89">
          <cell r="A89" t="str">
            <v>PAF-ATF-097-2013</v>
          </cell>
          <cell r="B89" t="str">
            <v>Contrato No. 159 de 2013
CDP 137513
11 Nación</v>
          </cell>
        </row>
        <row r="90">
          <cell r="A90" t="str">
            <v>PAF-ATF-098-2013</v>
          </cell>
          <cell r="B90" t="str">
            <v>Contrato No. 159 de 2013
CDP 155913
11 Nación</v>
          </cell>
        </row>
        <row r="91">
          <cell r="A91" t="str">
            <v>PAF-ATF-100-2013</v>
          </cell>
          <cell r="B91" t="str">
            <v>Contrato No. 159 de 2013
CDP 155913
11 Nación</v>
          </cell>
        </row>
        <row r="92">
          <cell r="A92" t="str">
            <v>PAF-ATF-101-2013</v>
          </cell>
          <cell r="B92" t="str">
            <v>Contrato No. 159 de 2013
CDP 137513
11 Nación</v>
          </cell>
        </row>
        <row r="93">
          <cell r="A93" t="str">
            <v>PAF-ATF-103-2013</v>
          </cell>
          <cell r="B93" t="str">
            <v>Contrato No. 159 de 2013
CDP 155913
11 Nación</v>
          </cell>
        </row>
      </sheetData>
      <sheetData sheetId="41"/>
      <sheetData sheetId="42"/>
      <sheetData sheetId="43"/>
      <sheetData sheetId="44"/>
      <sheetData sheetId="45">
        <row r="3">
          <cell r="A3" t="str">
            <v>CONVOCATORIA</v>
          </cell>
          <cell r="B3" t="str">
            <v>CONCEPTO</v>
          </cell>
          <cell r="C3" t="str">
            <v>PRESUPUESTO OBRA</v>
          </cell>
          <cell r="D3" t="str">
            <v>PRESUPUESTO OBRA NACIÓN</v>
          </cell>
          <cell r="E3" t="str">
            <v>CONTRAPARTIDA OBRA</v>
          </cell>
          <cell r="F3" t="str">
            <v>PRESUPUESTO INTERVENTORIA</v>
          </cell>
          <cell r="G3" t="str">
            <v>INTERVENTORIA NACIÓN</v>
          </cell>
          <cell r="H3" t="str">
            <v>CONTRAPARTIDA INTERVENTORIA</v>
          </cell>
          <cell r="I3" t="str">
            <v>ENTIDADES RESPONSABLES CONTRAPARTIDAS</v>
          </cell>
          <cell r="J3" t="str">
            <v>SEGUIMIENTO (MTSJ)</v>
          </cell>
          <cell r="K3" t="str">
            <v>SEGUIMIENTO (VIABILIZACIÓN)</v>
          </cell>
          <cell r="L3" t="str">
            <v>CONTRAPARTIDA SEGUIMIENTO (VIABILIZACIÓN)</v>
          </cell>
          <cell r="M3" t="str">
            <v>FECHA APERTURA</v>
          </cell>
          <cell r="N3" t="str">
            <v>FUENTE DE RECURSOS OBRA ASIGNADO MTSJ</v>
          </cell>
          <cell r="O3" t="str">
            <v>FUENTE DE RECURSOS INTERVENTORIA ASIGNADO</v>
          </cell>
          <cell r="P3" t="str">
            <v>FUENTE DE RECURSOS OBRA MVCT</v>
          </cell>
          <cell r="Q3" t="str">
            <v>GRUPO</v>
          </cell>
          <cell r="R3" t="str">
            <v>PROPONENTES</v>
          </cell>
          <cell r="S3" t="str">
            <v>IDENTIFICACIÓN (NIT)</v>
          </cell>
          <cell r="T3" t="str">
            <v>FECHA ADJUDICACIÓN</v>
          </cell>
          <cell r="U3" t="str">
            <v>MONTO ADJUDICADO OBRA</v>
          </cell>
          <cell r="V3" t="str">
            <v>MONTO ADJUDICADO OBRA (NACIÓN)</v>
          </cell>
          <cell r="W3" t="str">
            <v>CONTRAPARTIDA OBRA</v>
          </cell>
          <cell r="X3" t="str">
            <v>MONTO ADJUDICADO INTERVENTORIA</v>
          </cell>
          <cell r="Y3" t="str">
            <v>MONTO ADJUDICADO INTERVENTORIA (NACIÓN)</v>
          </cell>
          <cell r="Z3" t="str">
            <v>INTERVENTORIA CONTRAPARTIDA</v>
          </cell>
          <cell r="AA3" t="str">
            <v>CONTRAPARTIDA SEGUIMIENTO</v>
          </cell>
          <cell r="AB3" t="str">
            <v>MUNICIPIO</v>
          </cell>
          <cell r="AC3" t="str">
            <v>DEPARTAMENTO</v>
          </cell>
          <cell r="AD3" t="str">
            <v>FECHA SUSCRIPCIÓN DEL CONTRATO</v>
          </cell>
          <cell r="AE3" t="str">
            <v>PLAZO DE EJECUCIÓN (MESES)</v>
          </cell>
          <cell r="AF3" t="str">
            <v>FECHA ACTA DE INCIO</v>
          </cell>
          <cell r="AG3" t="str">
            <v>ANTICIPO OBRA</v>
          </cell>
        </row>
        <row r="4">
          <cell r="A4" t="str">
            <v>PAF-ATF-001-2012</v>
          </cell>
          <cell r="B4" t="str">
            <v>CONSTRUCCIÓN DE LA INFRAESTRUCTURA MATRIZ PARA EL SUMINISTRO DE AGUA POTABLE AL PROYECTO CIUDAD DEL  BICENTENARIO ETAPA 1 FASE 2B</v>
          </cell>
          <cell r="C4">
            <v>10256430884</v>
          </cell>
          <cell r="D4">
            <v>10256430884</v>
          </cell>
          <cell r="E4">
            <v>0</v>
          </cell>
          <cell r="F4">
            <v>615385853</v>
          </cell>
          <cell r="G4">
            <v>0</v>
          </cell>
          <cell r="H4">
            <v>615385853</v>
          </cell>
          <cell r="I4" t="str">
            <v xml:space="preserve">CONVENIO INTERADMINISTRATIVO 131           ACUACAR S.A. E.S.P.                                                                                                                                                                                                                                               31-12-2012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$824.700.769
</v>
          </cell>
          <cell r="J4">
            <v>217436334.74000001</v>
          </cell>
          <cell r="K4">
            <v>209314916</v>
          </cell>
          <cell r="L4">
            <v>0</v>
          </cell>
          <cell r="M4">
            <v>41222</v>
          </cell>
          <cell r="N4" t="str">
            <v>Contrato No. 036 de 2012
CDP 274712
11 Recursos del Tesoro</v>
          </cell>
          <cell r="O4" t="str">
            <v>Contrato No. 036 de 2012
CDP 274712
11 Recursos del Tesoro</v>
          </cell>
          <cell r="P4" t="str">
            <v>Contrato No. 036 de 2012
CDP 274712
11 Recursos del Tesoro</v>
          </cell>
          <cell r="Q4" t="str">
            <v>GRUPO 1</v>
          </cell>
          <cell r="R4" t="str">
            <v xml:space="preserve">U.T ACUEDUCTO 2012
CONSTRUCCIONES E INVERSIONES BETA S.A.S.
PROMOTORA EL CAMPIN S.A.
</v>
          </cell>
          <cell r="S4">
            <v>900587967</v>
          </cell>
          <cell r="T4">
            <v>41271</v>
          </cell>
          <cell r="U4">
            <v>9999927181</v>
          </cell>
          <cell r="V4">
            <v>9999927181</v>
          </cell>
          <cell r="W4">
            <v>0</v>
          </cell>
          <cell r="X4">
            <v>615385853</v>
          </cell>
          <cell r="Y4">
            <v>0</v>
          </cell>
          <cell r="Z4">
            <v>615385853</v>
          </cell>
          <cell r="AA4">
            <v>0</v>
          </cell>
          <cell r="AB4" t="str">
            <v>CARTAGENA D.T.</v>
          </cell>
          <cell r="AC4" t="str">
            <v>BOLIVAR</v>
          </cell>
          <cell r="AD4">
            <v>41297</v>
          </cell>
          <cell r="AE4">
            <v>10</v>
          </cell>
          <cell r="AF4">
            <v>0</v>
          </cell>
          <cell r="AG4">
            <v>2999978154.2999997</v>
          </cell>
        </row>
        <row r="5">
          <cell r="A5" t="str">
            <v>PAF-ATF-002-2012</v>
          </cell>
          <cell r="B5" t="str">
            <v>CONSTRUCCIÓN OBRAS DE OPTIMIZACIÓN DE REDES DE ACUEDUCTO PARA LA PIMERA ETAPA DEL SISTEMA ESTRATEGICO DE TRANSPORTE PUBLICO DEL MUNICIPIO DE POPAYAN"</v>
          </cell>
          <cell r="C5">
            <v>10115388621</v>
          </cell>
          <cell r="D5">
            <v>10115388621</v>
          </cell>
          <cell r="E5">
            <v>0</v>
          </cell>
          <cell r="F5">
            <v>539287636</v>
          </cell>
          <cell r="G5">
            <v>539287636</v>
          </cell>
          <cell r="H5">
            <v>0</v>
          </cell>
          <cell r="I5">
            <v>0</v>
          </cell>
          <cell r="J5">
            <v>213093525.14000002</v>
          </cell>
          <cell r="K5">
            <v>217662781</v>
          </cell>
          <cell r="L5">
            <v>0</v>
          </cell>
          <cell r="M5">
            <v>41222</v>
          </cell>
          <cell r="N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Vigencias Futuras 2013</v>
          </cell>
          <cell r="O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Vigencias Futuras 2013</v>
          </cell>
          <cell r="P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5" t="str">
            <v>GRUPO 1</v>
          </cell>
          <cell r="R5" t="str">
            <v>FAGAR SERVICIOS
FAGAR SERVICIOS  97 S. L.  SUCURSAL COLOMBIA</v>
          </cell>
          <cell r="S5">
            <v>900400391</v>
          </cell>
          <cell r="T5">
            <v>41271</v>
          </cell>
          <cell r="U5">
            <v>10022371708</v>
          </cell>
          <cell r="V5">
            <v>10022371708</v>
          </cell>
          <cell r="W5">
            <v>0</v>
          </cell>
          <cell r="X5">
            <v>512323280</v>
          </cell>
          <cell r="Y5">
            <v>512323280</v>
          </cell>
          <cell r="Z5">
            <v>0</v>
          </cell>
          <cell r="AA5">
            <v>0</v>
          </cell>
          <cell r="AB5" t="str">
            <v>POPAYAN</v>
          </cell>
          <cell r="AC5" t="str">
            <v>CAUCA</v>
          </cell>
          <cell r="AD5">
            <v>41304</v>
          </cell>
          <cell r="AE5">
            <v>14</v>
          </cell>
          <cell r="AF5">
            <v>0</v>
          </cell>
          <cell r="AG5">
            <v>3006711512.4000001</v>
          </cell>
        </row>
        <row r="6">
          <cell r="A6" t="str">
            <v>PAF-ATF-003-2012
PAF-ATF-041-2012</v>
          </cell>
          <cell r="B6" t="str">
            <v>CONSTRUCCIÓN OBRAS DE OPTIMIZACIÓN REDES DE ALCANTARILLADO PRIMERA ETAPA DEL SISTEMA ESTRATÉGICO DE TRANSPORTE PÚBLICO DEL MUNICIPIO DE POPAYÁN</v>
          </cell>
          <cell r="C6">
            <v>7826096261</v>
          </cell>
          <cell r="D6">
            <v>7826096261</v>
          </cell>
          <cell r="E6">
            <v>0</v>
          </cell>
          <cell r="F6">
            <v>501934144</v>
          </cell>
          <cell r="G6">
            <v>501934144</v>
          </cell>
          <cell r="H6">
            <v>0</v>
          </cell>
          <cell r="I6">
            <v>0</v>
          </cell>
          <cell r="J6">
            <v>166560608.09999999</v>
          </cell>
          <cell r="K6">
            <v>169959804</v>
          </cell>
          <cell r="L6">
            <v>0</v>
          </cell>
          <cell r="M6" t="str">
            <v>09-11-2012
08-01-2013</v>
          </cell>
          <cell r="N6" t="str">
            <v>Contrato No. 036 de 2012 
CDP 274712
10 Recursos Corrientes</v>
          </cell>
          <cell r="O6" t="str">
            <v>Contrato No. 036 de 2012 
CDP 274712
10 Recursos Corrientes</v>
          </cell>
          <cell r="P6" t="str">
            <v>Contrato No. 036 de 2012 
CDP 274712
10 Recursos Corrientes</v>
          </cell>
          <cell r="Q6" t="str">
            <v>GRUPO 1</v>
          </cell>
          <cell r="R6" t="str">
            <v>CONSORCIO REDES ALCANTARILLADO POPAYAN
JUAN CARLOS CANENCIO SANCHEZ
ESPINA Y DELFIN COLOMBIA</v>
          </cell>
          <cell r="S6">
            <v>900600452</v>
          </cell>
          <cell r="T6">
            <v>41332</v>
          </cell>
          <cell r="U6">
            <v>7720288571</v>
          </cell>
          <cell r="V6">
            <v>7720288571</v>
          </cell>
          <cell r="W6">
            <v>0</v>
          </cell>
          <cell r="X6">
            <v>476843520</v>
          </cell>
          <cell r="Y6">
            <v>476843520</v>
          </cell>
          <cell r="Z6">
            <v>0</v>
          </cell>
          <cell r="AA6">
            <v>40000000</v>
          </cell>
          <cell r="AB6" t="str">
            <v>POPAYAN</v>
          </cell>
          <cell r="AC6" t="str">
            <v>CAUCA</v>
          </cell>
          <cell r="AD6">
            <v>41353</v>
          </cell>
          <cell r="AE6">
            <v>18</v>
          </cell>
          <cell r="AF6">
            <v>0</v>
          </cell>
          <cell r="AG6">
            <v>2316086571.2999997</v>
          </cell>
        </row>
        <row r="7">
          <cell r="A7" t="str">
            <v>PAF-ATF-004-2012</v>
          </cell>
          <cell r="B7" t="str">
            <v>CONSTRUCCIÓN DEL INTERCEPTOR RANCHO GRANDE EN EL MUNICIPIO DE MONTERIA</v>
          </cell>
          <cell r="C7">
            <v>2604552906</v>
          </cell>
          <cell r="D7">
            <v>2604552906</v>
          </cell>
          <cell r="E7">
            <v>0</v>
          </cell>
          <cell r="F7">
            <v>92807928</v>
          </cell>
          <cell r="G7">
            <v>0</v>
          </cell>
          <cell r="H7">
            <v>92807928</v>
          </cell>
          <cell r="I7" t="str">
            <v xml:space="preserve">PROACTIVA S.A. ESP               $92.807.928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J7">
            <v>53947216.68</v>
          </cell>
          <cell r="K7">
            <v>53154141</v>
          </cell>
          <cell r="L7">
            <v>0</v>
          </cell>
          <cell r="M7">
            <v>41222</v>
          </cell>
          <cell r="N7" t="str">
            <v>Contrato No. 036 de 2012
CDP 274712
11 Recursos del Tesoro</v>
          </cell>
          <cell r="O7" t="str">
            <v>Contrato No. 036 de 2012
CDP 274712
11 Recursos del Tesoro</v>
          </cell>
          <cell r="P7" t="str">
            <v>Contrato No. 036 de 2012
CDP 274712
11 Recursos del Tesoro</v>
          </cell>
          <cell r="Q7" t="str">
            <v>GRUPO 1</v>
          </cell>
          <cell r="R7" t="str">
            <v>CONSORCIO RANCHO GRANDE MV-LM
MEJIA VILLEGAS CONSTRUCCIONES S.A.
LUIS FERNANDO MESA BALLESTEROS</v>
          </cell>
          <cell r="S7">
            <v>900583182</v>
          </cell>
          <cell r="T7">
            <v>41271</v>
          </cell>
          <cell r="U7">
            <v>2545265423</v>
          </cell>
          <cell r="V7">
            <v>2545265423</v>
          </cell>
          <cell r="W7">
            <v>0</v>
          </cell>
          <cell r="X7">
            <v>92807928</v>
          </cell>
          <cell r="Y7">
            <v>0</v>
          </cell>
          <cell r="Z7">
            <v>92807928</v>
          </cell>
          <cell r="AA7">
            <v>0</v>
          </cell>
          <cell r="AB7" t="str">
            <v>MONTERIA</v>
          </cell>
          <cell r="AC7" t="str">
            <v>CORDOBA</v>
          </cell>
          <cell r="AD7">
            <v>41305</v>
          </cell>
          <cell r="AE7">
            <v>8</v>
          </cell>
          <cell r="AF7">
            <v>0</v>
          </cell>
          <cell r="AG7">
            <v>763579626.89999998</v>
          </cell>
        </row>
        <row r="8">
          <cell r="A8" t="str">
            <v>PAF-ATF-005-2012</v>
          </cell>
          <cell r="B8" t="str">
            <v>EXTENSIÓN DE REDES DE ALCANTARILLADO SANITARIO EN LOS BARRIOS VILLA MARGARITA ETAPA III Y COMUNA 6 SECTOR 4 DE LA CIUDAD DE MONTERIA</v>
          </cell>
          <cell r="C8">
            <v>4604435444</v>
          </cell>
          <cell r="D8">
            <v>4604435444</v>
          </cell>
          <cell r="E8">
            <v>0</v>
          </cell>
          <cell r="F8">
            <v>176503359</v>
          </cell>
          <cell r="G8">
            <v>0</v>
          </cell>
          <cell r="H8">
            <v>176503359</v>
          </cell>
          <cell r="I8" t="str">
            <v xml:space="preserve">PROACTIVA S.A. ESP     $176.503.359                                                                                                                                                                                                                                                                          
 </v>
          </cell>
          <cell r="J8">
            <v>95618776.060000002</v>
          </cell>
          <cell r="K8">
            <v>93968070</v>
          </cell>
          <cell r="L8">
            <v>0</v>
          </cell>
          <cell r="M8">
            <v>41222</v>
          </cell>
          <cell r="N8" t="str">
            <v>Contrato No. 036 de 2012
CDP 274712
11 Recursos del Tesoro</v>
          </cell>
          <cell r="O8" t="str">
            <v>Contrato No. 036 de 2012
CDP 274712
11 Recursos del Tesoro</v>
          </cell>
          <cell r="P8" t="str">
            <v>Contrato No. 036 de 2012
CDP 274712
11 Recursos del Tesoro</v>
          </cell>
          <cell r="Q8" t="str">
            <v>GRUPO 1</v>
          </cell>
          <cell r="R8" t="str">
            <v>CONSORCIO SANEAMIENTO MONTERIA
ORLANDO FAJARDO CASTILLO
LUIS GABRIEL NIETO GARCIA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CONSTRUCTORA FAJARDO NIETO LIMITADA</v>
          </cell>
          <cell r="S8">
            <v>900583845</v>
          </cell>
          <cell r="T8">
            <v>41271</v>
          </cell>
          <cell r="U8">
            <v>4500586137</v>
          </cell>
          <cell r="V8">
            <v>4500586137</v>
          </cell>
          <cell r="W8">
            <v>0</v>
          </cell>
          <cell r="X8">
            <v>176503359</v>
          </cell>
          <cell r="Y8">
            <v>0</v>
          </cell>
          <cell r="Z8">
            <v>176503359</v>
          </cell>
          <cell r="AA8">
            <v>0</v>
          </cell>
          <cell r="AB8" t="str">
            <v>MONTERIA</v>
          </cell>
          <cell r="AC8" t="str">
            <v>CORDOBA</v>
          </cell>
          <cell r="AD8">
            <v>41305</v>
          </cell>
          <cell r="AE8">
            <v>8</v>
          </cell>
          <cell r="AF8">
            <v>0</v>
          </cell>
          <cell r="AG8">
            <v>1350175841.0999999</v>
          </cell>
        </row>
        <row r="9">
          <cell r="A9" t="str">
            <v>PAF-ATF-006-2012</v>
          </cell>
          <cell r="B9" t="str">
            <v>OPTIMIZACIÓN Y AMPLIACIÓN DEL SISTEMA DE ACUEDUCTO EN EL MUNICIPIO DE SAHAGUN CORDOBA</v>
          </cell>
          <cell r="C9">
            <v>11337319249</v>
          </cell>
          <cell r="D9">
            <v>11337319249</v>
          </cell>
          <cell r="E9">
            <v>0</v>
          </cell>
          <cell r="F9">
            <v>793612347</v>
          </cell>
          <cell r="G9">
            <v>793612347</v>
          </cell>
          <cell r="H9">
            <v>0</v>
          </cell>
          <cell r="I9">
            <v>0</v>
          </cell>
          <cell r="J9">
            <v>242618631.92000002</v>
          </cell>
          <cell r="K9">
            <v>247570033</v>
          </cell>
          <cell r="L9">
            <v>0</v>
          </cell>
          <cell r="M9">
            <v>41222</v>
          </cell>
          <cell r="N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O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P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9" t="str">
            <v>GRUPO 1</v>
          </cell>
          <cell r="R9" t="str">
            <v>UNION TEMPORAL ACUEDUCTO SAHAGUN
INGECOL S.A.
OINCO LTDA
LYDCO INGENIERIA S.A.S.
CONALRED S.A.S.
CONSTRUSOCIAL S.A.S.</v>
          </cell>
          <cell r="S9">
            <v>900584606</v>
          </cell>
          <cell r="T9">
            <v>41271</v>
          </cell>
          <cell r="U9">
            <v>11136353815</v>
          </cell>
          <cell r="V9">
            <v>11136353815</v>
          </cell>
          <cell r="W9">
            <v>0</v>
          </cell>
          <cell r="X9">
            <v>690432000</v>
          </cell>
          <cell r="Y9">
            <v>690432000</v>
          </cell>
          <cell r="Z9">
            <v>0</v>
          </cell>
          <cell r="AA9">
            <v>0</v>
          </cell>
          <cell r="AB9" t="str">
            <v>SAHAGUN</v>
          </cell>
          <cell r="AC9" t="str">
            <v>CORDOBA</v>
          </cell>
          <cell r="AD9">
            <v>41305</v>
          </cell>
          <cell r="AE9">
            <v>6</v>
          </cell>
          <cell r="AF9">
            <v>0</v>
          </cell>
          <cell r="AG9">
            <v>3340906144.5</v>
          </cell>
        </row>
        <row r="10">
          <cell r="A10" t="str">
            <v>PAF-ATF-007-2012</v>
          </cell>
          <cell r="B10" t="str">
            <v>CONSTRUCCIÓN COLECTORES REGIONAL LOS OLIVOS Y REDES SECUNDARIAS DE ALCANTARILLADO SANITARIO EN EL MUNICIPIO DE SAN JUAN DEL CESAR, GUAJIRA</v>
          </cell>
          <cell r="C10">
            <v>11252844580</v>
          </cell>
          <cell r="D10">
            <v>11252844580</v>
          </cell>
          <cell r="E10">
            <v>0</v>
          </cell>
          <cell r="F10">
            <v>787699122</v>
          </cell>
          <cell r="G10">
            <v>787699122</v>
          </cell>
          <cell r="H10">
            <v>0</v>
          </cell>
          <cell r="I10">
            <v>0</v>
          </cell>
          <cell r="J10">
            <v>240810874.03999999</v>
          </cell>
          <cell r="K10">
            <v>245725382</v>
          </cell>
          <cell r="L10">
            <v>0</v>
          </cell>
          <cell r="M10">
            <v>41222</v>
          </cell>
          <cell r="N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O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P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10" t="str">
            <v>GRUPO 1</v>
          </cell>
          <cell r="R10" t="str">
            <v>CONSORCIO AGUA CLARA
KMA CONSTRUCCIONES S.A.
CICON S.A.</v>
          </cell>
          <cell r="S10">
            <v>900582961</v>
          </cell>
          <cell r="T10">
            <v>41271</v>
          </cell>
          <cell r="U10">
            <v>11043891234</v>
          </cell>
          <cell r="V10">
            <v>11043891234</v>
          </cell>
          <cell r="W10">
            <v>0</v>
          </cell>
          <cell r="X10">
            <v>777809000</v>
          </cell>
          <cell r="Y10">
            <v>777809000</v>
          </cell>
          <cell r="Z10">
            <v>0</v>
          </cell>
          <cell r="AA10">
            <v>0</v>
          </cell>
          <cell r="AB10" t="str">
            <v>SAN JUAN DEL CESAR</v>
          </cell>
          <cell r="AC10" t="str">
            <v>GUAJIRA</v>
          </cell>
          <cell r="AD10">
            <v>41303</v>
          </cell>
          <cell r="AE10">
            <v>11</v>
          </cell>
          <cell r="AF10">
            <v>0</v>
          </cell>
          <cell r="AG10">
            <v>3313167370.1999998</v>
          </cell>
        </row>
        <row r="11">
          <cell r="A11" t="str">
            <v>PAF-ATF-008-2012</v>
          </cell>
          <cell r="B11" t="str">
            <v>CONSTRUCCIÓN DE LA LÍNEA DE ABASTECIMIENTO DESDE LA QUEBRADA CINCO MIL, OPTIMIZACIÓN DEL SISTEMA DE TRATAMIENTO Y ALMACENAMIENTO DEL ACUEDUCTO URBANO DEL MUNICIPIO DE SOCORRO, SANTANDER</v>
          </cell>
          <cell r="C11">
            <v>26537113862</v>
          </cell>
          <cell r="D11">
            <v>26537113862</v>
          </cell>
          <cell r="E11">
            <v>0</v>
          </cell>
          <cell r="F11">
            <v>1612680939</v>
          </cell>
          <cell r="G11">
            <v>1612680939</v>
          </cell>
          <cell r="H11">
            <v>0</v>
          </cell>
          <cell r="I11">
            <v>0</v>
          </cell>
          <cell r="J11">
            <v>562995896.01999998</v>
          </cell>
          <cell r="K11">
            <v>574485608</v>
          </cell>
          <cell r="L11">
            <v>0</v>
          </cell>
          <cell r="M11">
            <v>41222</v>
          </cell>
          <cell r="N11" t="str">
            <v>Contrato No. 036 de 2012
CDP 274712
16 Fondos Especiales</v>
          </cell>
          <cell r="O11" t="str">
            <v>Contrato No. 036 de 2012
CDP 274712
16 Fondos Especiales</v>
          </cell>
          <cell r="P11" t="str">
            <v>Contrato No. 036 de 2012
CDP 274712
16 Fondos Especiales</v>
          </cell>
          <cell r="Q11" t="str">
            <v>GRUPO 1</v>
          </cell>
          <cell r="R11" t="str">
            <v>CONSORCIO ALIANZA YDM SOCORRO
YAMIL SABAAGH CONSTRUCCIONES  S.A.S.
CONSTRUCCIONES NAMUS S.A.
CONSTRUCCIONES CIVILES PORTUARIAS S.A.
D&amp;S S.A.</v>
          </cell>
          <cell r="S11">
            <v>900581329</v>
          </cell>
          <cell r="T11">
            <v>41271</v>
          </cell>
          <cell r="U11">
            <v>26140330594</v>
          </cell>
          <cell r="V11">
            <v>26140330594</v>
          </cell>
          <cell r="W11">
            <v>0</v>
          </cell>
          <cell r="X11">
            <v>1591395300</v>
          </cell>
          <cell r="Y11">
            <v>1591395300</v>
          </cell>
          <cell r="Z11">
            <v>0</v>
          </cell>
          <cell r="AA11">
            <v>0</v>
          </cell>
          <cell r="AB11" t="str">
            <v>SOCORRO</v>
          </cell>
          <cell r="AC11" t="str">
            <v>SANTANDER</v>
          </cell>
          <cell r="AD11">
            <v>41303</v>
          </cell>
          <cell r="AE11">
            <v>22</v>
          </cell>
          <cell r="AF11">
            <v>0</v>
          </cell>
          <cell r="AG11">
            <v>7842099178.1999998</v>
          </cell>
        </row>
        <row r="12">
          <cell r="A12" t="str">
            <v>PAF-ATF-009-2012</v>
          </cell>
          <cell r="B12" t="str">
            <v>CONSTRUCCIÓN ALCANTARILLADO SANITARIO EN EL MUNICIPIO DE LOS SANTOS SANTANDER</v>
          </cell>
          <cell r="C12">
            <v>4303834880</v>
          </cell>
          <cell r="D12">
            <v>4303834880</v>
          </cell>
          <cell r="E12">
            <v>0</v>
          </cell>
          <cell r="F12">
            <v>301268442</v>
          </cell>
          <cell r="G12">
            <v>301268442</v>
          </cell>
          <cell r="H12">
            <v>0</v>
          </cell>
          <cell r="I12">
            <v>0</v>
          </cell>
          <cell r="J12">
            <v>92102066.439999998</v>
          </cell>
          <cell r="K12">
            <v>93981700</v>
          </cell>
          <cell r="L12">
            <v>0</v>
          </cell>
          <cell r="M12">
            <v>41222</v>
          </cell>
          <cell r="N12" t="str">
            <v>Contrato No. 036 de 2012
CDP 274712
16 Fondos Especiales</v>
          </cell>
          <cell r="O12" t="str">
            <v>Contrato No. 036 de 2012
CDP 274712
16 Fondos Especiales</v>
          </cell>
          <cell r="P12" t="str">
            <v>Contrato No. 036 de 2012
CDP 274712
16 Fondos Especiales</v>
          </cell>
          <cell r="Q12" t="str">
            <v>GRUPO 1</v>
          </cell>
          <cell r="R12" t="str">
            <v xml:space="preserve">CONSTRUCCIONES E INVERSIONES BETA S.A.S.
CONSTRUCCIONES E INVERSIONES BETA S.A.S.
</v>
          </cell>
          <cell r="S12">
            <v>890108661</v>
          </cell>
          <cell r="T12">
            <v>41271</v>
          </cell>
          <cell r="U12">
            <v>4221438949</v>
          </cell>
          <cell r="V12">
            <v>4221438949</v>
          </cell>
          <cell r="W12">
            <v>0</v>
          </cell>
          <cell r="X12">
            <v>296266320</v>
          </cell>
          <cell r="Y12">
            <v>296266320</v>
          </cell>
          <cell r="Z12">
            <v>0</v>
          </cell>
          <cell r="AA12">
            <v>0</v>
          </cell>
          <cell r="AB12" t="str">
            <v>LOS SANTOS</v>
          </cell>
          <cell r="AC12" t="str">
            <v>SANTANDER</v>
          </cell>
          <cell r="AD12">
            <v>41303</v>
          </cell>
          <cell r="AE12">
            <v>9</v>
          </cell>
          <cell r="AF12">
            <v>0</v>
          </cell>
          <cell r="AG12">
            <v>1266431684.7</v>
          </cell>
        </row>
        <row r="13">
          <cell r="A13" t="str">
            <v>PAF-ATF-010-2012</v>
          </cell>
          <cell r="B13" t="str">
            <v>CONSTRUCCIÓN, OPTIMIZACIÓN Y AUTOMATIZACIÓN PLANTA DE TRATAMIENTO DE AGUA POTABLE –PTAP, MUNICIPIO DE SAN GIL”.</v>
          </cell>
          <cell r="C13">
            <v>10395936387</v>
          </cell>
          <cell r="D13">
            <v>10395936387</v>
          </cell>
          <cell r="E13">
            <v>0</v>
          </cell>
          <cell r="F13">
            <v>727715547</v>
          </cell>
          <cell r="G13">
            <v>727715547</v>
          </cell>
          <cell r="H13">
            <v>0</v>
          </cell>
          <cell r="I13">
            <v>0</v>
          </cell>
          <cell r="J13">
            <v>222473038.68000001</v>
          </cell>
          <cell r="K13">
            <v>227013305</v>
          </cell>
          <cell r="L13">
            <v>0</v>
          </cell>
          <cell r="M13">
            <v>0</v>
          </cell>
          <cell r="N13" t="str">
            <v>Contrato No. 036 de 2012 
CDP 274712
10 Recursos Corrientes</v>
          </cell>
          <cell r="O13" t="str">
            <v>Contrato 036 de 2012
CDP 316212
13 Nación</v>
          </cell>
          <cell r="P13" t="str">
            <v>Contrato No. 036 de 2012 
CDP 274712
10 Recursos Corrientes</v>
          </cell>
          <cell r="Q13" t="str">
            <v>GRUPO 1</v>
          </cell>
          <cell r="R13" t="str">
            <v>CONSTRUCCIONES OBRAS SAN GIL
JORGE TRIANA &amp; CIA LTDA
COINGENIERIA
EDUARDO GIRONZA</v>
          </cell>
          <cell r="S13">
            <v>900638748</v>
          </cell>
          <cell r="T13">
            <v>41463</v>
          </cell>
          <cell r="U13">
            <v>9858424464</v>
          </cell>
          <cell r="V13">
            <v>9858424464</v>
          </cell>
          <cell r="W13">
            <v>0</v>
          </cell>
          <cell r="X13">
            <v>698760800</v>
          </cell>
          <cell r="Y13">
            <v>698760800</v>
          </cell>
          <cell r="Z13">
            <v>0</v>
          </cell>
          <cell r="AA13">
            <v>0</v>
          </cell>
          <cell r="AB13" t="str">
            <v>SAN GIL</v>
          </cell>
          <cell r="AC13" t="str">
            <v>SANTANDER</v>
          </cell>
          <cell r="AD13">
            <v>41477</v>
          </cell>
          <cell r="AE13">
            <v>11</v>
          </cell>
          <cell r="AF13">
            <v>0</v>
          </cell>
          <cell r="AG13">
            <v>2957527339.1999998</v>
          </cell>
        </row>
        <row r="14">
          <cell r="A14" t="str">
            <v>PAF-ATF-011-2012</v>
          </cell>
          <cell r="B14" t="str">
            <v>CONSTRUCCIÓN DE LAS LÍNEAS DE CONDUCCIÓN VEREDAS LAGUNA VERDE, LAGUNAS, SAN ANDRÉS Y ALTO DEL TIGRE DEL MUNICIPIO DE LA MESA Y VEREDAS LA CHICA Y EL HIGUERÓN DEL MUNICIPIO DE ANAPOIMA</v>
          </cell>
          <cell r="C14">
            <v>4569415997</v>
          </cell>
          <cell r="D14">
            <v>4569415997</v>
          </cell>
          <cell r="E14">
            <v>0</v>
          </cell>
          <cell r="F14">
            <v>319859120</v>
          </cell>
          <cell r="G14">
            <v>319859120</v>
          </cell>
          <cell r="H14">
            <v>0</v>
          </cell>
          <cell r="I14">
            <v>0</v>
          </cell>
          <cell r="J14">
            <v>97785502.340000004</v>
          </cell>
          <cell r="K14">
            <v>99781125</v>
          </cell>
          <cell r="L14">
            <v>0</v>
          </cell>
          <cell r="M14">
            <v>41222</v>
          </cell>
          <cell r="N14" t="str">
            <v>Contrato No. 036 de 2012
CDP 274712
16 Fondos Especiales</v>
          </cell>
          <cell r="O14" t="str">
            <v>Contrato No. 036 de 2012
CDP 274712
16 Fondos Especiales</v>
          </cell>
          <cell r="P14" t="str">
            <v>Contrato No. 036 de 2012
CDP 274712
16 Fondos Especiales</v>
          </cell>
          <cell r="Q14" t="str">
            <v>GRUPO 1</v>
          </cell>
          <cell r="R14" t="str">
            <v>CONSTRUCCIONES E INVERSIONES BETA S.A.S.
CONSTRUCCIONES E INVERSIONES BETA S.A.S.</v>
          </cell>
          <cell r="S14">
            <v>890108661</v>
          </cell>
          <cell r="T14">
            <v>41271</v>
          </cell>
          <cell r="U14">
            <v>4479229199</v>
          </cell>
          <cell r="V14">
            <v>4479229199</v>
          </cell>
          <cell r="W14">
            <v>0</v>
          </cell>
          <cell r="X14">
            <v>316022280</v>
          </cell>
          <cell r="Y14">
            <v>316022280</v>
          </cell>
          <cell r="Z14">
            <v>0</v>
          </cell>
          <cell r="AA14">
            <v>0</v>
          </cell>
          <cell r="AB14" t="str">
            <v>LA MESA ANAPOIMA</v>
          </cell>
          <cell r="AC14" t="str">
            <v>CUNDINAMARCA</v>
          </cell>
          <cell r="AD14">
            <v>41296</v>
          </cell>
          <cell r="AE14">
            <v>7</v>
          </cell>
          <cell r="AF14">
            <v>0</v>
          </cell>
          <cell r="AG14">
            <v>1343768759.7</v>
          </cell>
        </row>
        <row r="15">
          <cell r="A15" t="str">
            <v>PAF-ATF-012-2012</v>
          </cell>
          <cell r="B15" t="str">
            <v>AMPLIACIÓN RED DE ACUEDUCTO TANQUES CHARRASQUERO I Y II Y LÍNEA DE DISTRIBUCIÓN VÍA NARIÑO EN EL MUNICIPIO DE GIRARDOT</v>
          </cell>
          <cell r="C15">
            <v>8396127793</v>
          </cell>
          <cell r="D15">
            <v>8396127793</v>
          </cell>
          <cell r="E15">
            <v>0</v>
          </cell>
          <cell r="F15">
            <v>587728945</v>
          </cell>
          <cell r="G15">
            <v>587728945</v>
          </cell>
          <cell r="H15">
            <v>0</v>
          </cell>
          <cell r="I15">
            <v>0</v>
          </cell>
          <cell r="J15">
            <v>179677134.75999999</v>
          </cell>
          <cell r="K15">
            <v>183344015</v>
          </cell>
          <cell r="L15">
            <v>0</v>
          </cell>
          <cell r="M15">
            <v>41222</v>
          </cell>
          <cell r="N15" t="str">
            <v>Contrato No. 036 de 2012 
CDP 274712
10 Recursos Corrientes</v>
          </cell>
          <cell r="O15" t="str">
            <v>Contrato No. 036 de 2012 
CDP 274712
10 Recursos Corrientes</v>
          </cell>
          <cell r="P15" t="str">
            <v>Contrato No. 036 de 2012 
CDP 274712
10 Recursos Corrientes</v>
          </cell>
          <cell r="Q15" t="str">
            <v>GRUPO 1</v>
          </cell>
          <cell r="R15" t="str">
            <v>CONSTRUCCIONES E INVERSIONES BETA S.A.S.
CONSTRUCCIONES E INVERSIONES BETA S.A.S.</v>
          </cell>
          <cell r="S15">
            <v>890108661</v>
          </cell>
          <cell r="T15">
            <v>41271</v>
          </cell>
          <cell r="U15">
            <v>8281900353</v>
          </cell>
          <cell r="V15">
            <v>8281900353</v>
          </cell>
          <cell r="W15">
            <v>0</v>
          </cell>
          <cell r="X15">
            <v>546029400</v>
          </cell>
          <cell r="Y15">
            <v>546029400</v>
          </cell>
          <cell r="Z15">
            <v>0</v>
          </cell>
          <cell r="AA15">
            <v>0</v>
          </cell>
          <cell r="AB15" t="str">
            <v>GIRARDOT</v>
          </cell>
          <cell r="AC15" t="str">
            <v>CUNDINAMARCA</v>
          </cell>
          <cell r="AD15">
            <v>41296</v>
          </cell>
          <cell r="AE15">
            <v>6</v>
          </cell>
          <cell r="AF15">
            <v>0</v>
          </cell>
          <cell r="AG15">
            <v>2484570105.9000001</v>
          </cell>
        </row>
        <row r="16">
          <cell r="A16" t="str">
            <v>PAF-ATF-013-2012</v>
          </cell>
          <cell r="B16" t="str">
            <v>OPTIMIZACIÓN DE UNIDADES DE FILTRACIÓN PLANTA DE TRATAMIENTO DE AGUA POTABLE –PTAP CENTENARIO MUNICIPIO DE PASTO</v>
          </cell>
          <cell r="C16">
            <v>6918165118</v>
          </cell>
          <cell r="D16">
            <v>6918165118</v>
          </cell>
          <cell r="E16">
            <v>0</v>
          </cell>
          <cell r="F16">
            <v>484271558</v>
          </cell>
          <cell r="G16">
            <v>484271558</v>
          </cell>
          <cell r="H16">
            <v>0</v>
          </cell>
          <cell r="I16">
            <v>0</v>
          </cell>
          <cell r="J16">
            <v>148048733.52000001</v>
          </cell>
          <cell r="K16">
            <v>151070136</v>
          </cell>
          <cell r="L16">
            <v>0</v>
          </cell>
          <cell r="M16">
            <v>41222</v>
          </cell>
          <cell r="N16" t="str">
            <v>Contrato No. 036 de 2012
CDP 274712
16 Fondos Especiales</v>
          </cell>
          <cell r="O16" t="str">
            <v>Contrato No. 036 de 2012
CDP 274712
16 Fondos Especiales</v>
          </cell>
          <cell r="P16" t="str">
            <v>Contrato No. 036 de 2012
CDP 274712
16 Fondos Especiales</v>
          </cell>
          <cell r="Q16" t="str">
            <v xml:space="preserve">GRUPO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R16" t="str">
            <v>CONSORCIO OBRAS HIDAULICAS CENTENARIO PASTO
COINGENIERIA S.A.
EDUARDO GIRONZA LOZANO
JORGE TRIANA Y COMPANIA LTDA</v>
          </cell>
          <cell r="S16">
            <v>900587111</v>
          </cell>
          <cell r="T16">
            <v>41271</v>
          </cell>
          <cell r="U16">
            <v>6739826740</v>
          </cell>
          <cell r="V16">
            <v>6739826740</v>
          </cell>
          <cell r="W16">
            <v>0</v>
          </cell>
          <cell r="X16">
            <v>460056000</v>
          </cell>
          <cell r="Y16">
            <v>460056000</v>
          </cell>
          <cell r="Z16">
            <v>0</v>
          </cell>
          <cell r="AA16">
            <v>0</v>
          </cell>
          <cell r="AB16" t="str">
            <v>PASTO</v>
          </cell>
          <cell r="AC16" t="str">
            <v>NARIÑO</v>
          </cell>
          <cell r="AD16">
            <v>41304</v>
          </cell>
          <cell r="AE16">
            <v>15</v>
          </cell>
          <cell r="AF16">
            <v>0</v>
          </cell>
          <cell r="AG16">
            <v>2021948022</v>
          </cell>
        </row>
        <row r="17">
          <cell r="A17" t="str">
            <v>PAF-ATF-014-2012</v>
          </cell>
          <cell r="B17" t="str">
            <v>CONSTRUCCIÓN RED ALCANTARILLADO CALLE 20 ENTRE CARRERAS 19 Y 30 MUNICIPIO DE PASTO</v>
          </cell>
          <cell r="C17">
            <v>4782944758</v>
          </cell>
          <cell r="D17">
            <v>4782944758</v>
          </cell>
          <cell r="E17">
            <v>0</v>
          </cell>
          <cell r="F17">
            <v>334806133</v>
          </cell>
          <cell r="G17">
            <v>334806133</v>
          </cell>
          <cell r="H17">
            <v>0</v>
          </cell>
          <cell r="I17">
            <v>0</v>
          </cell>
          <cell r="J17">
            <v>102355017.82000001</v>
          </cell>
          <cell r="K17">
            <v>104443896</v>
          </cell>
          <cell r="L17">
            <v>0</v>
          </cell>
          <cell r="M17">
            <v>41222</v>
          </cell>
          <cell r="N17" t="str">
            <v>Contrato No. 036 de 2012
CDP 274712
16 Fondos Especiales</v>
          </cell>
          <cell r="O17" t="str">
            <v>Contrato No. 036 de 2012
CDP 274712
16 Fondos Especiales</v>
          </cell>
          <cell r="P17" t="str">
            <v>Contrato No. 036 de 2012
CDP 274712
16 Fondos Especiales</v>
          </cell>
          <cell r="Q17" t="str">
            <v>GRUPO 1</v>
          </cell>
          <cell r="R17" t="str">
            <v>CONSORCIO REDES PASTO
INGEAGUAS S.A.S.
ESPINA Y DELFIN COLOMBIA</v>
          </cell>
          <cell r="S17">
            <v>900583103</v>
          </cell>
          <cell r="T17">
            <v>41271</v>
          </cell>
          <cell r="U17">
            <v>4549768116</v>
          </cell>
          <cell r="V17">
            <v>4549768116</v>
          </cell>
          <cell r="W17">
            <v>0</v>
          </cell>
          <cell r="X17">
            <v>318072000</v>
          </cell>
          <cell r="Y17">
            <v>318072000</v>
          </cell>
          <cell r="Z17">
            <v>0</v>
          </cell>
          <cell r="AA17">
            <v>0</v>
          </cell>
          <cell r="AB17" t="str">
            <v>PASTO</v>
          </cell>
          <cell r="AC17" t="str">
            <v>NARIÑO</v>
          </cell>
          <cell r="AD17">
            <v>41304</v>
          </cell>
          <cell r="AE17">
            <v>4</v>
          </cell>
          <cell r="AF17">
            <v>0</v>
          </cell>
          <cell r="AG17">
            <v>1364930434.8</v>
          </cell>
        </row>
        <row r="18">
          <cell r="A18" t="str">
            <v>PAF-ATF-015-2012</v>
          </cell>
          <cell r="B18" t="str">
            <v>MODERNIZACIÓN DE LA PLANTA DE TRATAMIENTO DE AGUAS RESIDUALES RÍO FRÍO II ETAPA FASE 2 - REACTOR UASB No. 5 MUNICIPIO SAN JUAN DE GIRON</v>
          </cell>
          <cell r="C18">
            <v>13760573907</v>
          </cell>
          <cell r="D18">
            <v>13760573907</v>
          </cell>
          <cell r="E18">
            <v>0</v>
          </cell>
          <cell r="F18">
            <v>963240173</v>
          </cell>
          <cell r="G18">
            <v>963240173</v>
          </cell>
          <cell r="H18">
            <v>0</v>
          </cell>
          <cell r="I18">
            <v>0</v>
          </cell>
          <cell r="J18">
            <v>294476281.60000002</v>
          </cell>
          <cell r="K18">
            <v>300486002</v>
          </cell>
          <cell r="L18">
            <v>0</v>
          </cell>
          <cell r="M18">
            <v>0</v>
          </cell>
          <cell r="N18" t="str">
            <v>Contrato No. 036 de 2012 
CDP 274712
10 Recursos Corrientes</v>
          </cell>
          <cell r="O18" t="str">
            <v>Contrato No. 036 de 2012 
CDP 274712
10 Recursos Corrientes</v>
          </cell>
          <cell r="P18" t="str">
            <v>Contrato No. 036 de 2012 
CDP 274712
10 Recursos Corrientes</v>
          </cell>
          <cell r="Q18" t="str">
            <v>GRUPO 1</v>
          </cell>
          <cell r="R18" t="str">
            <v>CONSORCIO ALIANZA YDN GIRON
YAMIL SABAAGH SOLANO
YS CAPITAL S.A.S.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D&amp;S S.A.</v>
          </cell>
          <cell r="S18">
            <v>900600469</v>
          </cell>
          <cell r="T18">
            <v>41333</v>
          </cell>
          <cell r="U18">
            <v>13523411339</v>
          </cell>
          <cell r="V18">
            <v>13523411339</v>
          </cell>
          <cell r="W18">
            <v>0</v>
          </cell>
          <cell r="X18">
            <v>958500750</v>
          </cell>
          <cell r="Y18">
            <v>958500750</v>
          </cell>
          <cell r="Z18">
            <v>0</v>
          </cell>
          <cell r="AA18">
            <v>0</v>
          </cell>
          <cell r="AB18" t="str">
            <v>SAN JUAN DE GIRON</v>
          </cell>
          <cell r="AC18" t="str">
            <v>SANTANDER</v>
          </cell>
          <cell r="AD18">
            <v>41337</v>
          </cell>
          <cell r="AE18">
            <v>15</v>
          </cell>
          <cell r="AF18">
            <v>0</v>
          </cell>
          <cell r="AG18">
            <v>4057023401.6999998</v>
          </cell>
        </row>
        <row r="19">
          <cell r="A19" t="str">
            <v>PAF-ATF-016-2012</v>
          </cell>
          <cell r="B19" t="str">
            <v>CONSTRUCCIÓN COLECTOR NORTE DEL MUNICIPIO DE ESPINAL</v>
          </cell>
          <cell r="C19">
            <v>7242451114</v>
          </cell>
          <cell r="D19">
            <v>7242451114</v>
          </cell>
          <cell r="E19">
            <v>0</v>
          </cell>
          <cell r="F19">
            <v>506971578</v>
          </cell>
          <cell r="G19">
            <v>506971578</v>
          </cell>
          <cell r="H19">
            <v>0</v>
          </cell>
          <cell r="I19">
            <v>0</v>
          </cell>
          <cell r="J19">
            <v>154988453.84</v>
          </cell>
          <cell r="K19">
            <v>158151484</v>
          </cell>
          <cell r="L19">
            <v>0</v>
          </cell>
          <cell r="M19">
            <v>41222</v>
          </cell>
          <cell r="N19" t="str">
            <v>Contrato No. 036 de 2012
CDP 274712
16 Fondos Especiales</v>
          </cell>
          <cell r="O19" t="str">
            <v>Contrato No. 036 de 2012
CDP 274712
16 Fondos Especiales</v>
          </cell>
          <cell r="P19" t="str">
            <v>Contrato No. 036 de 2012
CDP 274712
16 Fondos Especiales</v>
          </cell>
          <cell r="Q19" t="str">
            <v>GRUPO 1</v>
          </cell>
          <cell r="R19" t="str">
            <v>CONSORCIO AGUA CLARA
CICON S.A.
KMA CONSTRUCCIONES S.A</v>
          </cell>
          <cell r="S19">
            <v>900582962</v>
          </cell>
          <cell r="T19">
            <v>41271</v>
          </cell>
          <cell r="U19">
            <v>7105543081</v>
          </cell>
          <cell r="V19">
            <v>7105543081</v>
          </cell>
          <cell r="W19">
            <v>0</v>
          </cell>
          <cell r="X19">
            <v>501968250</v>
          </cell>
          <cell r="Y19">
            <v>501968250</v>
          </cell>
          <cell r="Z19">
            <v>0</v>
          </cell>
          <cell r="AA19">
            <v>0</v>
          </cell>
          <cell r="AB19" t="str">
            <v>EL ESPINAL</v>
          </cell>
          <cell r="AC19" t="str">
            <v>TOLIMA</v>
          </cell>
          <cell r="AD19">
            <v>41296</v>
          </cell>
          <cell r="AE19">
            <v>9</v>
          </cell>
          <cell r="AF19">
            <v>0</v>
          </cell>
          <cell r="AG19">
            <v>2131662924.3</v>
          </cell>
        </row>
        <row r="20">
          <cell r="A20" t="str">
            <v>PAF-ATF-017-2012
PAF-ATF-039-2013
PAF-ATF-075-2013
PAF-ATF-087-2013
PAF-ATF-099-2013</v>
          </cell>
          <cell r="B20" t="str">
            <v>OPTIMIZACIÓN SISTEMA DE ALCANTARILLADO Y CONSTRUCCIÓN PLANTA DE TRATAMIENTO DE AGUAS RESIDUALES -PTAR EN EL MUNICIPIO DE BAJO BAUDÓ”</v>
          </cell>
          <cell r="C20">
            <v>8093728373</v>
          </cell>
          <cell r="D20">
            <v>8093728373</v>
          </cell>
          <cell r="E20">
            <v>0</v>
          </cell>
          <cell r="F20">
            <v>566560986</v>
          </cell>
          <cell r="G20">
            <v>566560986</v>
          </cell>
          <cell r="H20">
            <v>0</v>
          </cell>
          <cell r="I20">
            <v>0</v>
          </cell>
          <cell r="J20">
            <v>173205787.18000001</v>
          </cell>
          <cell r="K20">
            <v>176740599</v>
          </cell>
          <cell r="L20">
            <v>0</v>
          </cell>
          <cell r="M20" t="str">
            <v xml:space="preserve">09-11-2012
08-01-2013
06-03-2013
19-04-2013
</v>
          </cell>
          <cell r="N20" t="str">
            <v>Contrato No. 036 de 2012
CDP 274712
16 Fondos Especiales</v>
          </cell>
          <cell r="O20" t="str">
            <v>Contrato No. 036 de 2012
CDP 274712
16 Fondos Especiales</v>
          </cell>
          <cell r="P20" t="str">
            <v>Contrato No. 036 de 2012
CDP 274712
16 Fondos Especiales</v>
          </cell>
          <cell r="Q20" t="str">
            <v>GRUPO 1
GRUPO 1A
GRUPO 2A
GRUPO 3A
GRUPO 4A</v>
          </cell>
          <cell r="R20" t="str">
            <v>CONSORCIO CONSTRUYENDO BAJO BAUDO</v>
          </cell>
          <cell r="S20">
            <v>900656298</v>
          </cell>
          <cell r="T20">
            <v>41522</v>
          </cell>
          <cell r="U20">
            <v>7955474832</v>
          </cell>
          <cell r="V20">
            <v>7955474832</v>
          </cell>
          <cell r="W20">
            <v>0</v>
          </cell>
          <cell r="X20">
            <v>538235360</v>
          </cell>
          <cell r="Y20">
            <v>538235360</v>
          </cell>
          <cell r="Z20">
            <v>0</v>
          </cell>
          <cell r="AA20">
            <v>0</v>
          </cell>
          <cell r="AB20" t="str">
            <v>BAJO BAUDO</v>
          </cell>
          <cell r="AC20" t="str">
            <v>CHOCO</v>
          </cell>
          <cell r="AD20">
            <v>41530</v>
          </cell>
          <cell r="AE20">
            <v>8</v>
          </cell>
          <cell r="AF20">
            <v>0</v>
          </cell>
          <cell r="AG20">
            <v>2386642449.5999999</v>
          </cell>
        </row>
        <row r="21">
          <cell r="A21" t="str">
            <v>PAF-ATF-018-2012
PAF-ATF-040-2012</v>
          </cell>
          <cell r="B21" t="str">
            <v>OPTIMIZACIÓN DEL SISTEMA DE ALCANTARILLADO Y CONSTRUCCIÓN DE PLANTA DE TRATAMIENTO DE AGUAS RESIDUALES –PTAR- EN EL MUNICIPIO DE LLORÓ”</v>
          </cell>
          <cell r="C21">
            <v>6198706333</v>
          </cell>
          <cell r="D21">
            <v>6198706333</v>
          </cell>
          <cell r="E21">
            <v>0</v>
          </cell>
          <cell r="F21">
            <v>433909443</v>
          </cell>
          <cell r="G21">
            <v>433909443</v>
          </cell>
          <cell r="H21">
            <v>0</v>
          </cell>
          <cell r="I21">
            <v>0</v>
          </cell>
          <cell r="J21">
            <v>132652315.52</v>
          </cell>
          <cell r="K21">
            <v>135359506</v>
          </cell>
          <cell r="L21">
            <v>0</v>
          </cell>
          <cell r="M21" t="str">
            <v>09-11-2012
08-01-2013</v>
          </cell>
          <cell r="N21" t="str">
            <v>Contrato No. 036 de 2012
CDP 274712
16 Fondos Especiales</v>
          </cell>
          <cell r="O21" t="str">
            <v>Contrato No. 036 de 2012
CDP 274712
16 Fondos Especiales</v>
          </cell>
          <cell r="P21" t="str">
            <v>Contrato No. 036 de 2012
CDP 274712
16 Fondos Especiales</v>
          </cell>
          <cell r="Q21" t="str">
            <v>GRUPO 1
GRUPO 1A</v>
          </cell>
          <cell r="R21" t="str">
            <v>CONSORCIO LLORÓ
INVERSIONES JACUR &amp; CIA LTDA
INVESAKK LTDA</v>
          </cell>
          <cell r="S21">
            <v>900598284</v>
          </cell>
          <cell r="T21">
            <v>41333</v>
          </cell>
          <cell r="U21">
            <v>6182253474</v>
          </cell>
          <cell r="V21">
            <v>6182253474</v>
          </cell>
          <cell r="W21">
            <v>0</v>
          </cell>
          <cell r="X21">
            <v>412212960</v>
          </cell>
          <cell r="Y21">
            <v>412212960</v>
          </cell>
          <cell r="Z21">
            <v>0</v>
          </cell>
          <cell r="AA21">
            <v>0</v>
          </cell>
          <cell r="AB21" t="str">
            <v>LLORÓ</v>
          </cell>
          <cell r="AC21" t="str">
            <v>CHOCO</v>
          </cell>
          <cell r="AD21">
            <v>41333</v>
          </cell>
          <cell r="AE21">
            <v>12</v>
          </cell>
          <cell r="AF21">
            <v>0</v>
          </cell>
          <cell r="AG21">
            <v>1854676042.2</v>
          </cell>
        </row>
        <row r="22">
          <cell r="A22" t="str">
            <v>PAF-ATF-019-2012</v>
          </cell>
          <cell r="B22" t="str">
            <v>CONSTRUCCIÓN DEL SISTEMA DE ACUEDUCTO PARA EL MUNICIPIO DE PROVIDENCIA Y SANTA CATALINA FASE I</v>
          </cell>
          <cell r="C22">
            <v>15153312565</v>
          </cell>
          <cell r="D22">
            <v>15153312565</v>
          </cell>
          <cell r="E22">
            <v>0</v>
          </cell>
          <cell r="F22">
            <v>1060731880</v>
          </cell>
          <cell r="G22">
            <v>1060731880</v>
          </cell>
          <cell r="H22">
            <v>0</v>
          </cell>
          <cell r="I22">
            <v>0</v>
          </cell>
          <cell r="J22">
            <v>324280888.90000004</v>
          </cell>
          <cell r="K22">
            <v>330898866</v>
          </cell>
          <cell r="L22">
            <v>0</v>
          </cell>
          <cell r="M22">
            <v>41222</v>
          </cell>
          <cell r="N22" t="str">
            <v>Contrato No. 036 de 2012
CDP 274712
16 Fondos Especiales</v>
          </cell>
          <cell r="O22" t="str">
            <v>Contrato No. 036 de 2012
CDP 274712
16 Fondos Especiales</v>
          </cell>
          <cell r="P22" t="str">
            <v>Contrato No. 036 de 2012
CDP 274712
16 Fondos Especiales</v>
          </cell>
          <cell r="Q22" t="str">
            <v>GRUPO 1</v>
          </cell>
          <cell r="R22" t="str">
            <v>VALORES Y CONTRATOS S.A.
VALORES Y CONTRATOS S.A.</v>
          </cell>
          <cell r="S22">
            <v>800182330</v>
          </cell>
          <cell r="T22">
            <v>41271</v>
          </cell>
          <cell r="U22">
            <v>14957103560</v>
          </cell>
          <cell r="V22">
            <v>14957103560</v>
          </cell>
          <cell r="W22">
            <v>0</v>
          </cell>
          <cell r="X22">
            <v>1047932400</v>
          </cell>
          <cell r="Y22">
            <v>1047932400</v>
          </cell>
          <cell r="Z22">
            <v>0</v>
          </cell>
          <cell r="AA22">
            <v>0</v>
          </cell>
          <cell r="AB22" t="str">
            <v>PROVIDENCIA Y SANTA CATALINA</v>
          </cell>
          <cell r="AC22" t="str">
            <v>SAN ANDRES</v>
          </cell>
          <cell r="AD22">
            <v>41323</v>
          </cell>
          <cell r="AE22">
            <v>14</v>
          </cell>
          <cell r="AF22">
            <v>0</v>
          </cell>
          <cell r="AG22">
            <v>4487131068</v>
          </cell>
        </row>
        <row r="23">
          <cell r="A23" t="str">
            <v>PAF-ATF-020-2012</v>
          </cell>
          <cell r="B23" t="str">
            <v>CONSTRUCCIÓN Y OPTIMIZACIÓN PLAN MAESTRO DE ALCANTARILLADO PLUVIAL DEL MUNICIPIO DE EL ROSAL</v>
          </cell>
          <cell r="C23">
            <v>5190391851</v>
          </cell>
          <cell r="D23">
            <v>5190391851</v>
          </cell>
          <cell r="E23">
            <v>0</v>
          </cell>
          <cell r="F23">
            <v>363327430</v>
          </cell>
          <cell r="G23">
            <v>363327430</v>
          </cell>
          <cell r="H23">
            <v>0</v>
          </cell>
          <cell r="I23">
            <v>0</v>
          </cell>
          <cell r="J23">
            <v>111074385.62</v>
          </cell>
          <cell r="K23">
            <v>113341210</v>
          </cell>
          <cell r="L23">
            <v>0</v>
          </cell>
          <cell r="M23">
            <v>41222</v>
          </cell>
          <cell r="N23" t="str">
            <v>Contrato No. 036 de 2012
CDP 274712
16 Fondos Especiales</v>
          </cell>
          <cell r="O23" t="str">
            <v>Contrato No. 036 de 2012
CDP 274712
16 Fondos Especiales</v>
          </cell>
          <cell r="P23" t="str">
            <v>Contrato No. 036 de 2012
CDP 274712
16 Fondos Especiales</v>
          </cell>
          <cell r="Q23" t="str">
            <v>GRUPO 1</v>
          </cell>
          <cell r="R23" t="str">
            <v>CONSORCIO BETA -DJG EL ROSAL
DIEGO JARAMILLO GOMEZ
CONSTRUCCIONES E INVERSIONES BETA S.A.S.</v>
          </cell>
          <cell r="S23">
            <v>900586017</v>
          </cell>
          <cell r="T23">
            <v>41271</v>
          </cell>
          <cell r="U23">
            <v>5116545294</v>
          </cell>
          <cell r="V23">
            <v>5116545294</v>
          </cell>
          <cell r="W23">
            <v>0</v>
          </cell>
          <cell r="X23">
            <v>357622200</v>
          </cell>
          <cell r="Y23">
            <v>357622200</v>
          </cell>
          <cell r="Z23">
            <v>0</v>
          </cell>
          <cell r="AA23">
            <v>0</v>
          </cell>
          <cell r="AB23" t="str">
            <v>EL ROSAL</v>
          </cell>
          <cell r="AC23" t="str">
            <v>CUNDINAMARCA</v>
          </cell>
          <cell r="AD23">
            <v>41296</v>
          </cell>
          <cell r="AE23">
            <v>6</v>
          </cell>
          <cell r="AF23">
            <v>0</v>
          </cell>
          <cell r="AG23">
            <v>1534963588.2</v>
          </cell>
        </row>
        <row r="24">
          <cell r="A24" t="str">
            <v>PAF-ATF-021-2012</v>
          </cell>
          <cell r="B24" t="str">
            <v>CONSTRUCCION DE LA FASE II Y OBRAS COMPLEMENTARIAS PARA LA CULMINACION DE LA TRINCHERA 5 DEL RELLENO SANITARIO, MUNICIPIO DE LETICIA</v>
          </cell>
          <cell r="C24">
            <v>4316271667</v>
          </cell>
          <cell r="D24">
            <v>2501456853</v>
          </cell>
          <cell r="E24">
            <v>1814814815</v>
          </cell>
          <cell r="F24">
            <v>345301733</v>
          </cell>
          <cell r="G24">
            <v>200116548</v>
          </cell>
          <cell r="H24">
            <v>145185185</v>
          </cell>
          <cell r="I24" t="str">
            <v>AUDIENCIAS PUBLICAS PDA (RESOLUCIÓN 378 DEL 25-06-2012)
$2.000.000.000: 
OBRA CIVIL $ 1.814.814.815
INTERVENTORIA $145.185.185
SEGUIMIENTO $40.000.000</v>
          </cell>
          <cell r="J24">
            <v>93231468.019999996</v>
          </cell>
          <cell r="K24">
            <v>95134151</v>
          </cell>
          <cell r="L24">
            <v>40000000</v>
          </cell>
          <cell r="M24">
            <v>41247</v>
          </cell>
          <cell r="N24" t="str">
            <v>Contrato No. 036 de 2012
CDP 274712
16 Fondos Especiales</v>
          </cell>
          <cell r="O24" t="str">
            <v>Contrato No. 036 de 2012
CDP 274712
16 Fondos Especiales</v>
          </cell>
          <cell r="P24" t="str">
            <v>Contrato No. 036 de 2012
CDP 274712
16 Fondos Especiales</v>
          </cell>
          <cell r="Q24" t="str">
            <v>GRUPO 2</v>
          </cell>
          <cell r="R24" t="str">
            <v>CONSORCIO CPV
GUSTAVO HERNAN VELANDIA POVEDA
JULIO CESAR CASTRO
ANTONIO MARIA PUENTES</v>
          </cell>
          <cell r="S24">
            <v>900601479</v>
          </cell>
          <cell r="T24">
            <v>41326</v>
          </cell>
          <cell r="U24">
            <v>4186933219</v>
          </cell>
          <cell r="V24">
            <v>2372118404</v>
          </cell>
          <cell r="W24">
            <v>1814814815</v>
          </cell>
          <cell r="X24">
            <v>336571680</v>
          </cell>
          <cell r="Y24">
            <v>191386495</v>
          </cell>
          <cell r="Z24">
            <v>145185185</v>
          </cell>
          <cell r="AA24">
            <v>0</v>
          </cell>
          <cell r="AB24" t="str">
            <v>LETICIA</v>
          </cell>
          <cell r="AC24" t="str">
            <v>AMAZONAS</v>
          </cell>
          <cell r="AD24">
            <v>41348</v>
          </cell>
          <cell r="AE24">
            <v>8</v>
          </cell>
          <cell r="AF24">
            <v>0</v>
          </cell>
          <cell r="AG24">
            <v>1256079965.7</v>
          </cell>
        </row>
        <row r="25">
          <cell r="A25" t="str">
            <v>PAF-ATF-022-2012</v>
          </cell>
          <cell r="B25" t="str">
            <v>CONSTRUCCIÓN Y OPTIMIZACIÓN DEL SISTEMA DE ALCANTARILLADO SANITARIO” FIRAVITOBA - BOYACA</v>
          </cell>
          <cell r="C25">
            <v>3646760374</v>
          </cell>
          <cell r="D25">
            <v>3646760374</v>
          </cell>
          <cell r="E25">
            <v>0</v>
          </cell>
          <cell r="F25">
            <v>242558377</v>
          </cell>
          <cell r="G25">
            <v>242558377</v>
          </cell>
          <cell r="H25">
            <v>0</v>
          </cell>
          <cell r="I25">
            <v>0</v>
          </cell>
          <cell r="J25">
            <v>77786375.019999996</v>
          </cell>
          <cell r="K25">
            <v>79373852</v>
          </cell>
          <cell r="L25">
            <v>0</v>
          </cell>
          <cell r="M25">
            <v>41247</v>
          </cell>
          <cell r="N25" t="str">
            <v>Contrato No. 036 de 2012
CDP 274712
16 Fondos Especiales</v>
          </cell>
          <cell r="O25" t="str">
            <v>Contrato 036 de 2012
CDP 316212
13 Nación</v>
          </cell>
          <cell r="P25" t="str">
            <v>Contrato No. 036 de 2012
CDP 304012
11 Nación</v>
          </cell>
          <cell r="Q25" t="str">
            <v>GRUPO 2</v>
          </cell>
          <cell r="R25" t="str">
            <v>CONSORCIO AGUAS BOYACA
PROINARK S.A.
AISAR SALIM FARAH BUELVAS
EXCAVACIONES JOBEPA S.L.
ROSEMBERTH LOPEZ</v>
          </cell>
          <cell r="S25">
            <v>900598309</v>
          </cell>
          <cell r="T25">
            <v>41332</v>
          </cell>
          <cell r="U25">
            <v>3577826242</v>
          </cell>
          <cell r="V25">
            <v>3577826242</v>
          </cell>
          <cell r="W25">
            <v>0</v>
          </cell>
          <cell r="X25">
            <v>237463020</v>
          </cell>
          <cell r="Y25">
            <v>237463020</v>
          </cell>
          <cell r="Z25">
            <v>0</v>
          </cell>
          <cell r="AA25">
            <v>0</v>
          </cell>
          <cell r="AB25" t="str">
            <v>FIRAVITOBA</v>
          </cell>
          <cell r="AC25" t="str">
            <v>BOYACA</v>
          </cell>
          <cell r="AD25">
            <v>41338</v>
          </cell>
          <cell r="AE25">
            <v>6</v>
          </cell>
          <cell r="AF25">
            <v>0</v>
          </cell>
          <cell r="AG25">
            <v>1073347872.5999999</v>
          </cell>
        </row>
        <row r="26">
          <cell r="A26" t="str">
            <v>PAF-ATF-023-2012</v>
          </cell>
          <cell r="B26" t="str">
            <v>CONSTRUCCIÓN DE ACUEDUCTO Y ALCANTARILLADO SANITARIO EN EL SECTOR SANTA HELENA SANTA MARTA MAGDALENA</v>
          </cell>
          <cell r="C26">
            <v>7309439550</v>
          </cell>
          <cell r="D26">
            <v>7309439550</v>
          </cell>
          <cell r="E26">
            <v>0</v>
          </cell>
          <cell r="F26">
            <v>503047725</v>
          </cell>
          <cell r="G26">
            <v>503047725</v>
          </cell>
          <cell r="H26">
            <v>0</v>
          </cell>
          <cell r="I26">
            <v>0</v>
          </cell>
          <cell r="J26">
            <v>156249745.5</v>
          </cell>
          <cell r="K26">
            <v>159438517</v>
          </cell>
          <cell r="L26">
            <v>0</v>
          </cell>
          <cell r="M26">
            <v>41247</v>
          </cell>
          <cell r="N26" t="str">
            <v>Contrato No. 036 de 2012
CDP 304012
11 Nación</v>
          </cell>
          <cell r="O26" t="str">
            <v>Contrato No. 036 de 2012
CDP 304012
11 Nación</v>
          </cell>
          <cell r="P26" t="str">
            <v>Contrato No. 036 de 2012
CDP 304012
11 Nación</v>
          </cell>
          <cell r="Q26" t="str">
            <v>GRUPO 2</v>
          </cell>
          <cell r="R26" t="str">
            <v>CONSORCIO CHBJ-023
BERNARDO ENRIQUE BRAVO PEREZ
CONEQUIPOS ING LTDA
JJ INGENIERIA Y CONSTRUCCIONES SAS</v>
          </cell>
          <cell r="S26">
            <v>900599926</v>
          </cell>
          <cell r="T26">
            <v>41327</v>
          </cell>
          <cell r="U26">
            <v>7163627678</v>
          </cell>
          <cell r="V26">
            <v>7163627678</v>
          </cell>
          <cell r="W26">
            <v>0</v>
          </cell>
          <cell r="X26">
            <v>501990000</v>
          </cell>
          <cell r="Y26">
            <v>501990000</v>
          </cell>
          <cell r="Z26">
            <v>0</v>
          </cell>
          <cell r="AA26">
            <v>0</v>
          </cell>
          <cell r="AB26" t="str">
            <v>SANTA MARTA</v>
          </cell>
          <cell r="AC26" t="str">
            <v>MAGDALENA</v>
          </cell>
          <cell r="AD26">
            <v>41342</v>
          </cell>
          <cell r="AE26">
            <v>12</v>
          </cell>
          <cell r="AF26">
            <v>0</v>
          </cell>
          <cell r="AG26">
            <v>2149088303.4000001</v>
          </cell>
        </row>
        <row r="27">
          <cell r="A27" t="str">
            <v>PAF-ATF-024-2012</v>
          </cell>
          <cell r="B27" t="str">
            <v>OPTIMIZACIÓN ALCANTARILLADO CARRERA 3 ETAPA II, MUNICIPIO DE IPIALES”</v>
          </cell>
          <cell r="C27">
            <v>4307026770</v>
          </cell>
          <cell r="D27">
            <v>4307026770</v>
          </cell>
          <cell r="E27">
            <v>0</v>
          </cell>
          <cell r="F27">
            <v>286156970</v>
          </cell>
          <cell r="G27">
            <v>286156970</v>
          </cell>
          <cell r="H27">
            <v>0</v>
          </cell>
          <cell r="I27">
            <v>0</v>
          </cell>
          <cell r="J27">
            <v>91863674.799999997</v>
          </cell>
          <cell r="K27">
            <v>93738444</v>
          </cell>
          <cell r="L27">
            <v>0</v>
          </cell>
          <cell r="M27">
            <v>41247</v>
          </cell>
          <cell r="N27" t="str">
            <v>Contrato No. 036 de 2012
CDP 274712
16 Fondos Especiales</v>
          </cell>
          <cell r="O27" t="str">
            <v>Contrato No. 036 de 2012
CDP 274712
16 Fondos Especiales</v>
          </cell>
          <cell r="P27" t="str">
            <v>Contrato No. 036 de 2012
CDP 274712
16 Fondos Especiales</v>
          </cell>
          <cell r="Q27" t="str">
            <v>GRUPO 2</v>
          </cell>
          <cell r="R27" t="str">
            <v>CONSORCIO SANEAMIENTO IPIALES
CASS CONSTRUCTORES &amp; CIA S.C.A.
CARLOS ALBERTO SOLARTE SOLARTE
ORLANDO FAJARDO CASTILLO
LUIS GABRIEL NIETO GARCIA</v>
          </cell>
          <cell r="S27">
            <v>900602755</v>
          </cell>
          <cell r="T27">
            <v>41332</v>
          </cell>
          <cell r="U27">
            <v>4260700397</v>
          </cell>
          <cell r="V27">
            <v>4260700397</v>
          </cell>
          <cell r="W27">
            <v>0</v>
          </cell>
          <cell r="X27">
            <v>271857600</v>
          </cell>
          <cell r="Y27">
            <v>271857600</v>
          </cell>
          <cell r="Z27">
            <v>0</v>
          </cell>
          <cell r="AA27">
            <v>0</v>
          </cell>
          <cell r="AB27" t="str">
            <v>IPIALES</v>
          </cell>
          <cell r="AC27" t="str">
            <v>NARIÑO</v>
          </cell>
          <cell r="AD27">
            <v>41352</v>
          </cell>
          <cell r="AE27">
            <v>8</v>
          </cell>
          <cell r="AF27">
            <v>0</v>
          </cell>
          <cell r="AG27">
            <v>1278210119.0999999</v>
          </cell>
        </row>
        <row r="28">
          <cell r="A28" t="str">
            <v>PAF-ATF-025-2012</v>
          </cell>
          <cell r="B28" t="str">
            <v>SISTEMA DE ABASTECIMIENTO QUEBRADA PIEDRAS FASE II, MUNICIPIO DE SAN JUAN DE PASTO</v>
          </cell>
          <cell r="C28">
            <v>27195834365</v>
          </cell>
          <cell r="D28">
            <v>23091385366</v>
          </cell>
          <cell r="E28">
            <v>4104448999</v>
          </cell>
          <cell r="F28">
            <v>1834092509</v>
          </cell>
          <cell r="G28">
            <v>1834092509</v>
          </cell>
          <cell r="H28">
            <v>0</v>
          </cell>
          <cell r="I28" t="str">
            <v>CONVENIO INTERADMINISTRATIVO                                                                                                                                                                                                                                                                   31-12-2012                                                                                                                                                                                                                                                         EMPOPASTO $4.104.448.999
ACTA JUNTA DIRECTIVA  27/11/2012 VIGENCIAS FUTURAS</v>
          </cell>
          <cell r="J28">
            <v>580598537.48000002</v>
          </cell>
          <cell r="K28">
            <v>508683222</v>
          </cell>
          <cell r="L28">
            <v>0</v>
          </cell>
          <cell r="M28">
            <v>41247</v>
          </cell>
          <cell r="N28" t="str">
            <v>Contrato No. 036 de 2012
CDP 274712
16 Fondos Especiales</v>
          </cell>
          <cell r="O28" t="str">
            <v>Contrato No. 036 de 2012
CDP 274712
16 Fondos Especiales</v>
          </cell>
          <cell r="P28" t="str">
            <v>Contrato No. 036 de 2012
CDP 274712
16 Fondos Especiales</v>
          </cell>
          <cell r="Q28" t="str">
            <v>GRUPO 2</v>
          </cell>
          <cell r="R28" t="str">
            <v>UNION TEMPORAL FASE 2
ORTIZ CONSTRUCCIONES Y PROYECTOS S.A. SUCURSAL COLOMBIA
PROYECTOS CIVILES E HIDRAULICOS S.A.S.</v>
          </cell>
          <cell r="S28">
            <v>900599458</v>
          </cell>
          <cell r="T28">
            <v>41332</v>
          </cell>
          <cell r="U28">
            <v>26765328534</v>
          </cell>
          <cell r="V28">
            <v>22660879535</v>
          </cell>
          <cell r="W28">
            <v>4104448999</v>
          </cell>
          <cell r="X28">
            <v>1742388440</v>
          </cell>
          <cell r="Y28">
            <v>1742388440</v>
          </cell>
          <cell r="Z28">
            <v>0</v>
          </cell>
          <cell r="AA28">
            <v>0</v>
          </cell>
          <cell r="AB28" t="str">
            <v xml:space="preserve"> PASTO</v>
          </cell>
          <cell r="AC28" t="str">
            <v>NARIÑO</v>
          </cell>
          <cell r="AD28">
            <v>41366</v>
          </cell>
          <cell r="AE28">
            <v>13</v>
          </cell>
          <cell r="AF28">
            <v>0</v>
          </cell>
          <cell r="AG28">
            <v>8029598560.1999998</v>
          </cell>
        </row>
        <row r="29">
          <cell r="A29" t="str">
            <v>PAF-ATF-026-2012</v>
          </cell>
          <cell r="B29" t="str">
            <v>CONSTRUCCIÓN SISTEMA MAESTRO INTERCEPTOR RIO CHIQUITO, TEJAR Y SAN CAYETANO, TERMINACIÓN INTERCEPTOR RIO TEJO Y CONTINUACIÓN SISTEMA PRINCIPAL HATILLO-FILIPOTE, INCLUIDO EL SISTEMA DE TRATAMIENTO DE AGUAS RESIDUALES DENTRO DEL PLAN MAESTRO DE ALCANTARILLADO, MUNICIPIO DE OCAÑA”</v>
          </cell>
          <cell r="C29">
            <v>21166434793</v>
          </cell>
          <cell r="D29">
            <v>20926434793</v>
          </cell>
          <cell r="E29">
            <v>240000000</v>
          </cell>
          <cell r="F29">
            <v>1621315424</v>
          </cell>
          <cell r="G29">
            <v>1621315424</v>
          </cell>
          <cell r="H29">
            <v>0</v>
          </cell>
          <cell r="I29" t="str">
            <v xml:space="preserve">CONVENIO INTERADMINISTRATIVO        
$240.000.000       OBRA CIVIL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J29">
            <v>455755004.34000003</v>
          </cell>
          <cell r="K29">
            <v>460158168</v>
          </cell>
          <cell r="L29">
            <v>0</v>
          </cell>
          <cell r="M29">
            <v>41247</v>
          </cell>
          <cell r="N29" t="str">
            <v xml:space="preserve">CDP 235012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NACIÓN 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PRESUPUESTO ANUAL DE GASTOS E INVERSIONES DEL MUNICIPIO                                                                                                                                                </v>
          </cell>
          <cell r="O29" t="str">
            <v>Contrato No. 036 de 2012
CDP 304012
11 Nación</v>
          </cell>
          <cell r="P29" t="str">
            <v>Contrato No. 036 de 2012
CDP 304012
11 Nación</v>
          </cell>
          <cell r="Q29" t="str">
            <v>GRUPO 2</v>
          </cell>
          <cell r="R29" t="str">
            <v>CONSORCIO OCAÑA
HIDROPROYECTOS S.A. SUCURSAL COLOMBIA
INGENIEROS GF S.A.S.
CONSICAL LTDA ING LTDA
CONEQUIPOS</v>
          </cell>
          <cell r="S29">
            <v>900606713</v>
          </cell>
          <cell r="T29">
            <v>41348</v>
          </cell>
          <cell r="U29">
            <v>20930517750</v>
          </cell>
          <cell r="V29">
            <v>20690517750</v>
          </cell>
          <cell r="W29">
            <v>240000000</v>
          </cell>
          <cell r="X29">
            <v>1570698000</v>
          </cell>
          <cell r="Y29">
            <v>1570698000</v>
          </cell>
          <cell r="Z29">
            <v>0</v>
          </cell>
          <cell r="AA29">
            <v>0</v>
          </cell>
          <cell r="AB29" t="str">
            <v>OCAÑA</v>
          </cell>
          <cell r="AC29" t="str">
            <v>NORTE DE SANTANDER</v>
          </cell>
          <cell r="AD29">
            <v>41365</v>
          </cell>
          <cell r="AE29">
            <v>18</v>
          </cell>
          <cell r="AF29">
            <v>0</v>
          </cell>
          <cell r="AG29">
            <v>6279155325</v>
          </cell>
        </row>
        <row r="30">
          <cell r="A30" t="str">
            <v>PAF-ATF-027-2012</v>
          </cell>
          <cell r="B30" t="str">
            <v>CONSTRUCCIÓN, OPTIMIZACIÓN Y MEJORAMIENTO DE OBRAS COMPLEMENTARIAS DEL PLAN MAESTRO DE ACUEDUCTO, MUNICIPIO DE DOSQUEBRADAS”</v>
          </cell>
          <cell r="C30">
            <v>6776215059</v>
          </cell>
          <cell r="D30">
            <v>6696215059</v>
          </cell>
          <cell r="E30">
            <v>80000000</v>
          </cell>
          <cell r="F30">
            <v>438123476</v>
          </cell>
          <cell r="G30">
            <v>438123476</v>
          </cell>
          <cell r="H30">
            <v>0</v>
          </cell>
          <cell r="I30" t="str">
            <v xml:space="preserve">CONVENIO INTERADMINISTRATIVO $80.000.000 EQUIVALENTE AL 1%  OBRA CIVIL
EJECUTOR SERVICIUDAD E.S.P.
</v>
          </cell>
          <cell r="J30">
            <v>144286770.70000002</v>
          </cell>
          <cell r="K30">
            <v>147231399</v>
          </cell>
          <cell r="L30">
            <v>0</v>
          </cell>
          <cell r="M30">
            <v>41247</v>
          </cell>
          <cell r="N30" t="str">
            <v>Contrato No. 036 de 2012
CDP 304012
11 Nación</v>
          </cell>
          <cell r="O30" t="str">
            <v>Contrato No. 036 de 2012
CDP 304012
11 Nación</v>
          </cell>
          <cell r="P30" t="str">
            <v>Contrato No. 036 de 2012
CDP 304012
11 Nación</v>
          </cell>
          <cell r="Q30" t="str">
            <v>GRUPO 2</v>
          </cell>
          <cell r="R30" t="str">
            <v>UNION TEMPORAL DOSQUEBRADAS 2013
VIÑAS RUSSI S.A.S.
JIMENEZ INGENIERIA S.A.S
FRANCISCO RIOS DANIES
CASTRO TCHERASSI S.A.</v>
          </cell>
          <cell r="S30">
            <v>900598971</v>
          </cell>
          <cell r="T30">
            <v>41332</v>
          </cell>
          <cell r="U30">
            <v>6646571702</v>
          </cell>
          <cell r="V30">
            <v>6566571702</v>
          </cell>
          <cell r="W30">
            <v>80000000</v>
          </cell>
          <cell r="X30">
            <v>416219600</v>
          </cell>
          <cell r="Y30">
            <v>416219600</v>
          </cell>
          <cell r="Z30">
            <v>0</v>
          </cell>
          <cell r="AA30">
            <v>0</v>
          </cell>
          <cell r="AB30" t="str">
            <v>DOSQUEBRADAS</v>
          </cell>
          <cell r="AC30" t="str">
            <v>RISARALDA</v>
          </cell>
          <cell r="AD30">
            <v>41339</v>
          </cell>
          <cell r="AE30">
            <v>10</v>
          </cell>
          <cell r="AF30">
            <v>0</v>
          </cell>
          <cell r="AG30">
            <v>1993971510.5999999</v>
          </cell>
        </row>
        <row r="31">
          <cell r="A31" t="str">
            <v>PAF-ATF-028-2012</v>
          </cell>
          <cell r="B31" t="str">
            <v>CONSTRUCCIÓN DEL COLECTOR POZO 7 PLAN DE SANEAMIENTO HÍDRICO, MUNICIPIO DE BARRANCABERMEJA</v>
          </cell>
          <cell r="C31">
            <v>6082894525</v>
          </cell>
          <cell r="D31">
            <v>4878342109</v>
          </cell>
          <cell r="E31">
            <v>1204552416</v>
          </cell>
          <cell r="F31">
            <v>389536478</v>
          </cell>
          <cell r="G31">
            <v>0</v>
          </cell>
          <cell r="H31">
            <v>389536478</v>
          </cell>
          <cell r="I31" t="str">
            <v>CONVENIO INTERADMINISTRATIVO  OBRA CIVIL $ 1.204.552.416
INTERVENTORIA $ 389.536.478 
TOTAL $1.594.088.894</v>
          </cell>
          <cell r="J31">
            <v>129448620.06</v>
          </cell>
          <cell r="K31">
            <v>99558002</v>
          </cell>
          <cell r="L31">
            <v>0</v>
          </cell>
          <cell r="M31">
            <v>41247</v>
          </cell>
          <cell r="N31" t="str">
            <v>Contrato No. 036 de 2012
CDP 290212
11 Recursos del Tesoro</v>
          </cell>
          <cell r="O31" t="str">
            <v>CONTRAPARTIDA</v>
          </cell>
          <cell r="P31" t="str">
            <v>Contrato No. 036 de 2012
CDP 290212
11 Recursos del Tesoro</v>
          </cell>
          <cell r="Q31" t="str">
            <v>GRUPO 2</v>
          </cell>
          <cell r="R31" t="str">
            <v>CONSORCIO BARRANCA 028
GUTEMBERG JOSE GONZALEZ PEREZ
SAIN ESPINOZA MURCIA
CONALRED S.A.S.
OINCO LTDA</v>
          </cell>
          <cell r="S31">
            <v>900599235</v>
          </cell>
          <cell r="T31">
            <v>41333</v>
          </cell>
          <cell r="U31">
            <v>5981924700</v>
          </cell>
          <cell r="V31">
            <v>4777372284</v>
          </cell>
          <cell r="W31">
            <v>1204552416</v>
          </cell>
          <cell r="X31">
            <v>384592200</v>
          </cell>
          <cell r="Y31">
            <v>0</v>
          </cell>
          <cell r="Z31">
            <v>384592200</v>
          </cell>
          <cell r="AA31">
            <v>0</v>
          </cell>
          <cell r="AB31" t="str">
            <v>BARRANCABERMEJA</v>
          </cell>
          <cell r="AC31" t="str">
            <v>SANTANDER</v>
          </cell>
          <cell r="AD31">
            <v>41337</v>
          </cell>
          <cell r="AE31">
            <v>12</v>
          </cell>
          <cell r="AF31">
            <v>0</v>
          </cell>
          <cell r="AG31">
            <v>1794577410</v>
          </cell>
        </row>
        <row r="32">
          <cell r="A32" t="str">
            <v>PAF-ATF-029-2012
PAF-ATF-076-2013</v>
          </cell>
          <cell r="B32" t="str">
            <v>CONSTRUCCIÓN LÍNEA DE CONDUCCIÓN TRAMO II DESDE LA ESTACIÓN DE COROZAL HASTA LA ESTACIÓN DE REBOMBEO SINCELEJO, DESDE K4+300 HASTA K8+770; CONSTRUCCIÓN DEL POZO PROFUNDO No. 50 CON SU EQUIPAMIENTO Y LÍNEA DE ADUCCIÓN, SECTOR PALMITOS; CONSTRUCCIÓN DEL POZO PROFUNDO No. 51 CON SU EQUIPAMENTO Y LÍNEA DE ADUCCIÓN, SECTOR PALMITOS Y CONSTRUCCIÓN REDES MATRICES ACUEDUCTO FASE III, MUNICIPIO DE SINCELEJO</v>
          </cell>
          <cell r="C32">
            <v>26793973094</v>
          </cell>
          <cell r="D32">
            <v>26793973094</v>
          </cell>
          <cell r="E32">
            <v>0</v>
          </cell>
          <cell r="F32">
            <v>1482982548</v>
          </cell>
          <cell r="G32">
            <v>1482982548</v>
          </cell>
          <cell r="H32">
            <v>0</v>
          </cell>
          <cell r="I32">
            <v>0</v>
          </cell>
          <cell r="J32">
            <v>565539112.84000003</v>
          </cell>
          <cell r="K32">
            <v>577080727</v>
          </cell>
          <cell r="L32">
            <v>0</v>
          </cell>
          <cell r="M32" t="str">
            <v xml:space="preserve">04-12-2012
06-03-2013
</v>
          </cell>
          <cell r="N32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Vigencias Futuras 2013</v>
          </cell>
          <cell r="O32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P32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32" t="str">
            <v>GRUPO 2
GRUPO 2A</v>
          </cell>
          <cell r="R32" t="str">
            <v xml:space="preserve">CONSORCIO INGENIAR
E-CON S.A.S
HORACIO MENDOZA MARTINEZ
</v>
          </cell>
          <cell r="S32">
            <v>900610587</v>
          </cell>
          <cell r="T32">
            <v>41381</v>
          </cell>
          <cell r="U32">
            <v>24122452506</v>
          </cell>
          <cell r="V32">
            <v>24122452506</v>
          </cell>
          <cell r="W32">
            <v>0</v>
          </cell>
          <cell r="X32">
            <v>1482741000</v>
          </cell>
          <cell r="Y32">
            <v>1482741000</v>
          </cell>
          <cell r="Z32">
            <v>0</v>
          </cell>
          <cell r="AA32">
            <v>0</v>
          </cell>
          <cell r="AB32" t="str">
            <v>SINCELEJO</v>
          </cell>
          <cell r="AC32" t="str">
            <v>SUCRE</v>
          </cell>
          <cell r="AD32">
            <v>41383</v>
          </cell>
          <cell r="AE32">
            <v>13</v>
          </cell>
          <cell r="AF32">
            <v>0</v>
          </cell>
          <cell r="AG32">
            <v>7236735751.8000002</v>
          </cell>
        </row>
        <row r="33">
          <cell r="A33" t="str">
            <v>PAF-ATF-030-2012</v>
          </cell>
          <cell r="B33" t="str">
            <v>CONSTRUCCIÓN DE PLANTA DE TRATAMIENTO DE AGUA POTABLE DE 400 LPS Y SUMINISTRO E INSTALACIÓN DE BOMBA DE RESERVA EN LA ESTACIÓN GAMBOTE” ARJONA- TURBACO</v>
          </cell>
          <cell r="C33">
            <v>10033153982</v>
          </cell>
          <cell r="D33">
            <v>10033153982</v>
          </cell>
          <cell r="E33">
            <v>0</v>
          </cell>
          <cell r="F33">
            <v>601989239</v>
          </cell>
          <cell r="G33">
            <v>601989239</v>
          </cell>
          <cell r="H33">
            <v>0</v>
          </cell>
          <cell r="I33">
            <v>0</v>
          </cell>
          <cell r="J33">
            <v>212702864.42000002</v>
          </cell>
          <cell r="K33">
            <v>217043739</v>
          </cell>
          <cell r="L33">
            <v>0</v>
          </cell>
          <cell r="M33">
            <v>41254</v>
          </cell>
          <cell r="N33" t="str">
            <v>Contrato No. 036 de 2012 
CDP 274712
10 Recursos Corrientes</v>
          </cell>
          <cell r="O33" t="str">
            <v>Contrato No. 036 de 2012 
CDP 274712
10 Recursos Corrientes</v>
          </cell>
          <cell r="P33" t="str">
            <v>Contrato No. 036 de 2012 
CDP 274712
10 Recursos Corrientes</v>
          </cell>
          <cell r="Q33" t="str">
            <v>GRUPO 3</v>
          </cell>
          <cell r="R33" t="str">
            <v xml:space="preserve">CONSORCIO EHP GAMBOTE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PROYECTAR INGENIERIA S.A.S                                                                                                                                                                                                                                                             ELECTROHIDRAULICA S.A. REPRESENTACIONES                        </v>
          </cell>
          <cell r="S33">
            <v>900611538</v>
          </cell>
          <cell r="T33">
            <v>41355</v>
          </cell>
          <cell r="U33">
            <v>9665235505</v>
          </cell>
          <cell r="V33">
            <v>9665235505</v>
          </cell>
          <cell r="W33">
            <v>0</v>
          </cell>
          <cell r="X33">
            <v>554126200</v>
          </cell>
          <cell r="Y33">
            <v>554126200</v>
          </cell>
          <cell r="Z33">
            <v>0</v>
          </cell>
          <cell r="AA33">
            <v>0</v>
          </cell>
          <cell r="AB33" t="str">
            <v>ARJONA- TURBACO</v>
          </cell>
          <cell r="AC33" t="str">
            <v>BOLIVAR</v>
          </cell>
          <cell r="AD33">
            <v>41383</v>
          </cell>
          <cell r="AE33">
            <v>10</v>
          </cell>
          <cell r="AF33">
            <v>0</v>
          </cell>
          <cell r="AG33">
            <v>2899570651.5</v>
          </cell>
        </row>
        <row r="34">
          <cell r="A34" t="str">
            <v>PAF-ATF-031-2012</v>
          </cell>
          <cell r="B34" t="str">
            <v>CONSTRUCCIÓN COLECTOR ORIENTAL DE AGUAS SERVIDAS VALLEDUPAR</v>
          </cell>
          <cell r="C34">
            <v>11120459735</v>
          </cell>
          <cell r="D34">
            <v>11120459735</v>
          </cell>
          <cell r="E34">
            <v>0</v>
          </cell>
          <cell r="F34">
            <v>642311492</v>
          </cell>
          <cell r="G34">
            <v>642311492</v>
          </cell>
          <cell r="H34">
            <v>0</v>
          </cell>
          <cell r="I34">
            <v>0</v>
          </cell>
          <cell r="J34">
            <v>235255424.53999999</v>
          </cell>
          <cell r="K34">
            <v>240056556</v>
          </cell>
          <cell r="L34">
            <v>0</v>
          </cell>
          <cell r="M34">
            <v>41254</v>
          </cell>
          <cell r="N34" t="str">
            <v>Contrato No. 036 de 2012 
CDP 274712
10 Recursos Corrientes</v>
          </cell>
          <cell r="O34" t="str">
            <v>Contrato No. 036 de 2012 
CDP 274712
10 Recursos Corrientes</v>
          </cell>
          <cell r="P34" t="str">
            <v>Contrato No. 036 de 2012 
CDP 274712
10 Recursos Corrientes</v>
          </cell>
          <cell r="Q34" t="str">
            <v>GRUPO 3</v>
          </cell>
          <cell r="R34" t="str">
            <v>UNION TEMPORAL AGUAS DE VALLEDUPAR
ORTIZ CONSTRUCCIONES Y PROYECTOS S.A.  - SUCURSAL COLOMBIA
PROYECTOS CIVILES E HIDRAULICOS S.A.S.</v>
          </cell>
          <cell r="S34">
            <v>900599461</v>
          </cell>
          <cell r="T34">
            <v>41332</v>
          </cell>
          <cell r="U34">
            <v>10907307908</v>
          </cell>
          <cell r="V34">
            <v>10907307908</v>
          </cell>
          <cell r="W34">
            <v>0</v>
          </cell>
          <cell r="X34">
            <v>559849640</v>
          </cell>
          <cell r="Y34">
            <v>559849640</v>
          </cell>
          <cell r="Z34">
            <v>0</v>
          </cell>
          <cell r="AA34">
            <v>0</v>
          </cell>
          <cell r="AB34" t="str">
            <v>VALLEDUPAR</v>
          </cell>
          <cell r="AC34" t="str">
            <v>CESAR</v>
          </cell>
          <cell r="AD34">
            <v>41348</v>
          </cell>
          <cell r="AE34">
            <v>10</v>
          </cell>
          <cell r="AF34">
            <v>0</v>
          </cell>
          <cell r="AG34">
            <v>3272192372.4000001</v>
          </cell>
        </row>
        <row r="35">
          <cell r="A35" t="str">
            <v>PAF-ATF-032-2012</v>
          </cell>
          <cell r="B35" t="str">
            <v>CONSTRUCCIÓN PLAN MAESTRO DE ALCANTARILLADO SANITARIO ETAPA 2 VILLA DEL ROSARIO- NORTE DE SANTANDER</v>
          </cell>
          <cell r="C35">
            <v>14792816249</v>
          </cell>
          <cell r="D35">
            <v>14792816249</v>
          </cell>
          <cell r="E35">
            <v>0</v>
          </cell>
          <cell r="F35">
            <v>998337136</v>
          </cell>
          <cell r="G35">
            <v>998337136</v>
          </cell>
          <cell r="H35">
            <v>0</v>
          </cell>
          <cell r="I35">
            <v>0</v>
          </cell>
          <cell r="J35">
            <v>315823067.69999999</v>
          </cell>
          <cell r="K35">
            <v>322268436</v>
          </cell>
          <cell r="L35">
            <v>0</v>
          </cell>
          <cell r="M35">
            <v>41254</v>
          </cell>
          <cell r="N35" t="str">
            <v>Contrato No. 036 de 2012 
CDP 274712
10 Recursos Corrientes</v>
          </cell>
          <cell r="O35" t="str">
            <v>Contrato 036 de 2012
CDP 316212
13 Nación</v>
          </cell>
          <cell r="P35" t="str">
            <v>Contrato No. 036 de 2012 
CDP 274712
10 Recursos Corrientes</v>
          </cell>
          <cell r="Q35" t="str">
            <v>GRUPO 3</v>
          </cell>
          <cell r="R35" t="str">
            <v>UNION TEMPORAL REDES DE SANTANDER 2013
CONSTRUCTORA YACAMAN VIVERO S.A.
CONHYDRA S.A. E.S.P.</v>
          </cell>
          <cell r="S35">
            <v>900596761</v>
          </cell>
          <cell r="T35">
            <v>41326</v>
          </cell>
          <cell r="U35">
            <v>14511795864</v>
          </cell>
          <cell r="V35">
            <v>14511795864</v>
          </cell>
          <cell r="W35">
            <v>0</v>
          </cell>
          <cell r="X35">
            <v>960415040</v>
          </cell>
          <cell r="Y35">
            <v>960415040</v>
          </cell>
          <cell r="Z35">
            <v>0</v>
          </cell>
          <cell r="AA35">
            <v>0</v>
          </cell>
          <cell r="AB35" t="str">
            <v>VILLA DEL ROSARIO</v>
          </cell>
          <cell r="AC35" t="str">
            <v>NORTE DE SANTANDER</v>
          </cell>
          <cell r="AD35">
            <v>41340</v>
          </cell>
          <cell r="AE35">
            <v>12</v>
          </cell>
          <cell r="AF35">
            <v>0</v>
          </cell>
          <cell r="AG35">
            <v>4353538759.1999998</v>
          </cell>
        </row>
        <row r="36">
          <cell r="A36" t="str">
            <v>PAF-ATF-033-2012
PAF-ATF-074-2013</v>
          </cell>
          <cell r="B36" t="str">
            <v>CONSTRUCCIÓN NIVEL B TERRAZA 12 Y PLANTA DE TRATAMIENTO DE LIXIVIADOS RELLENO SANITARIO REGIONAL TERRAZA DEL PORVENIR” DEL MUNICIPIO DE SOGAMOSO, BOYACA</v>
          </cell>
          <cell r="C36">
            <v>2872946494</v>
          </cell>
          <cell r="D36">
            <v>2872946494</v>
          </cell>
          <cell r="E36">
            <v>0</v>
          </cell>
          <cell r="F36">
            <v>229835719</v>
          </cell>
          <cell r="G36">
            <v>229835719</v>
          </cell>
          <cell r="H36">
            <v>0</v>
          </cell>
          <cell r="I36">
            <v>0</v>
          </cell>
          <cell r="J36">
            <v>62055644.259999998</v>
          </cell>
          <cell r="K36">
            <v>62055646</v>
          </cell>
          <cell r="L36">
            <v>0</v>
          </cell>
          <cell r="M36" t="str">
            <v>11-12-2012
06-03-2013</v>
          </cell>
          <cell r="N36" t="str">
            <v>Contrato No. 036 de 2012
CDP 274712
11 Recursos del Tesoro</v>
          </cell>
          <cell r="O36" t="str">
            <v>Contrato No. 036 de 2012
CDP 274712
11 Recursos del Tesoro</v>
          </cell>
          <cell r="P36" t="str">
            <v>Contrato No. 036 de 2012
CDP 274712
11 Recursos del Tesoro</v>
          </cell>
          <cell r="Q36" t="str">
            <v>GRUPO 3
GRUPO 2A</v>
          </cell>
          <cell r="R36" t="str">
            <v xml:space="preserve">CONSORCIO ABC
GUSTAVO H. VELANDIA POVEDA
RB DE COLOMBIA
</v>
          </cell>
          <cell r="S36">
            <v>900609954</v>
          </cell>
          <cell r="T36">
            <v>41376</v>
          </cell>
          <cell r="U36">
            <v>2657018468</v>
          </cell>
          <cell r="V36">
            <v>2657018468</v>
          </cell>
          <cell r="W36">
            <v>0</v>
          </cell>
          <cell r="X36">
            <v>229230500</v>
          </cell>
          <cell r="Y36">
            <v>229230500</v>
          </cell>
          <cell r="Z36">
            <v>0</v>
          </cell>
          <cell r="AA36">
            <v>0</v>
          </cell>
          <cell r="AB36" t="str">
            <v>SOGAMOSO</v>
          </cell>
          <cell r="AC36" t="str">
            <v>BOYACA</v>
          </cell>
          <cell r="AD36">
            <v>41388</v>
          </cell>
          <cell r="AE36">
            <v>12</v>
          </cell>
          <cell r="AF36">
            <v>0</v>
          </cell>
          <cell r="AG36">
            <v>797105540.39999998</v>
          </cell>
        </row>
        <row r="37">
          <cell r="A37" t="str">
            <v>PAF-ATF-034-2012</v>
          </cell>
          <cell r="B37" t="str">
            <v>MEJORAMIENTO HIDRÁULICO DE COLECTORES PARA MITIGAR INUNDACIONES EN EL CASCO ANTIGÜO DE LA CIUDAD DE SANTIAGO DE CALI</v>
          </cell>
          <cell r="C37">
            <v>7936480877</v>
          </cell>
          <cell r="D37">
            <v>7936480877</v>
          </cell>
          <cell r="E37">
            <v>3462319910</v>
          </cell>
          <cell r="F37">
            <v>555553661</v>
          </cell>
          <cell r="G37">
            <v>555553661</v>
          </cell>
          <cell r="H37">
            <v>0</v>
          </cell>
          <cell r="I37" t="str">
            <v>CONTRAPARTIDA DE EMCALI POR MAYOR VALOR DE OBRA</v>
          </cell>
          <cell r="J37">
            <v>239087088.96000001</v>
          </cell>
          <cell r="K37">
            <v>173306827</v>
          </cell>
          <cell r="L37">
            <v>0</v>
          </cell>
          <cell r="M37">
            <v>41254</v>
          </cell>
          <cell r="N37" t="str">
            <v>Contrato No. 036 de 2012 
CDP 274712
10 Recursos Corrientes</v>
          </cell>
          <cell r="O37" t="str">
            <v>Contrato 036 de 2012
CDP 316212
13 Nación</v>
          </cell>
          <cell r="P37" t="str">
            <v>Contrato No. 036 de 2012 
CDP 274712
10 Recursos Corrientes</v>
          </cell>
          <cell r="Q37" t="str">
            <v>GRUPO 3</v>
          </cell>
          <cell r="R37" t="str">
            <v>FAGAR SERVICIOS 97 S.L SUCURSAL COLOMBIA
FAGAR SERVICIOS 97 S.L. SUCURSAL COLOMBIA</v>
          </cell>
          <cell r="S37">
            <v>900400391</v>
          </cell>
          <cell r="T37">
            <v>41332</v>
          </cell>
          <cell r="U37">
            <v>7809547237</v>
          </cell>
          <cell r="V37">
            <v>7809547237</v>
          </cell>
          <cell r="W37">
            <v>3462319910</v>
          </cell>
          <cell r="X37">
            <v>540776340</v>
          </cell>
          <cell r="Y37">
            <v>540776340</v>
          </cell>
          <cell r="Z37">
            <v>0</v>
          </cell>
          <cell r="AA37">
            <v>0</v>
          </cell>
          <cell r="AB37" t="str">
            <v>SANTIAGO DE CALI</v>
          </cell>
          <cell r="AC37" t="str">
            <v>VALLE DEL CAUCA</v>
          </cell>
          <cell r="AD37">
            <v>41341</v>
          </cell>
          <cell r="AE37">
            <v>18</v>
          </cell>
          <cell r="AF37">
            <v>0</v>
          </cell>
          <cell r="AG37">
            <v>2342864171.0999999</v>
          </cell>
        </row>
        <row r="38">
          <cell r="A38" t="str">
            <v>PAF-ATF-035-2012***</v>
          </cell>
          <cell r="B38" t="str">
            <v>SISTEMA DE ALCANTARILLADO IV ETAPA BOJACA CUNDINAMARCA</v>
          </cell>
          <cell r="C38">
            <v>1522665444</v>
          </cell>
          <cell r="D38">
            <v>1522665444</v>
          </cell>
          <cell r="E38">
            <v>0</v>
          </cell>
          <cell r="F38">
            <v>106570943</v>
          </cell>
          <cell r="G38">
            <v>106570943</v>
          </cell>
          <cell r="H38">
            <v>0</v>
          </cell>
          <cell r="I38">
            <v>0</v>
          </cell>
          <cell r="J38">
            <v>32584727.740000002</v>
          </cell>
          <cell r="K38">
            <v>33249722</v>
          </cell>
          <cell r="L38">
            <v>0</v>
          </cell>
          <cell r="M38">
            <v>41254</v>
          </cell>
          <cell r="N38" t="str">
            <v>Contrato No. 036 de 2012
CDP 274712
16 Fondos Especiales</v>
          </cell>
          <cell r="O38" t="str">
            <v>Contrato No. 036 de 2012
CDP 274712
16 Fondos Especiales</v>
          </cell>
          <cell r="P38" t="str">
            <v>Contrato No. 136 de 2012
CDP 274712
10 Recursos Corrientes
CDP 290212
11 Recursos del Tesoro</v>
          </cell>
          <cell r="Q38" t="str">
            <v>GRUPO 3</v>
          </cell>
          <cell r="R38" t="str">
            <v>JOSE FERNANDO SUAREZ DUQUE
JOSE FERNANDO SUAREZ DUQUE</v>
          </cell>
          <cell r="S38">
            <v>10116218</v>
          </cell>
          <cell r="T38">
            <v>41332</v>
          </cell>
          <cell r="U38">
            <v>1494060395</v>
          </cell>
          <cell r="V38">
            <v>1494060395</v>
          </cell>
          <cell r="W38">
            <v>0</v>
          </cell>
          <cell r="X38">
            <v>106251360</v>
          </cell>
          <cell r="Y38">
            <v>106251360</v>
          </cell>
          <cell r="Z38">
            <v>0</v>
          </cell>
          <cell r="AA38">
            <v>0</v>
          </cell>
          <cell r="AB38" t="str">
            <v>BOJACA</v>
          </cell>
          <cell r="AC38" t="str">
            <v>CUNDINAMARCA</v>
          </cell>
          <cell r="AD38">
            <v>41348</v>
          </cell>
          <cell r="AE38">
            <v>8</v>
          </cell>
          <cell r="AF38">
            <v>0</v>
          </cell>
          <cell r="AG38">
            <v>448218118.5</v>
          </cell>
        </row>
        <row r="39">
          <cell r="A39" t="str">
            <v>PAF-ATF-036-2012</v>
          </cell>
          <cell r="B39" t="str">
            <v>OPTIMIZACIÓN REDES DEL SISTEMA DE ACUEDUCTO DE LA CABECERA MUNICIPAL DE QUIBDÓ – CHOCÓ”</v>
          </cell>
          <cell r="C39">
            <v>43234509200</v>
          </cell>
          <cell r="D39">
            <v>25941239265</v>
          </cell>
          <cell r="E39">
            <v>17293269935</v>
          </cell>
          <cell r="F39">
            <v>3458760736</v>
          </cell>
          <cell r="G39">
            <v>3458760736</v>
          </cell>
          <cell r="H39">
            <v>0</v>
          </cell>
          <cell r="I39" t="str">
            <v xml:space="preserve">CONVENIO INTERADMINISTRATIVO 
OCAD PACIFICO$17.293.269.935 SISTEMA GENERAL DE REGALIAS MHCP OBRA CIVIL
</v>
          </cell>
          <cell r="J39">
            <v>933865398.72000003</v>
          </cell>
          <cell r="K39">
            <v>600000000</v>
          </cell>
          <cell r="L39">
            <v>0</v>
          </cell>
          <cell r="M39">
            <v>41269</v>
          </cell>
          <cell r="N39" t="str">
            <v>Contrato No. 036 de 2012
CDP 274712
16 Fondos Especiales</v>
          </cell>
          <cell r="O39" t="str">
            <v>Contrato No. 036 de 2012
CDP 274712
16 Fondos Especiales</v>
          </cell>
          <cell r="P39" t="str">
            <v>Contrato No. 036 de 2012
CDP 274712
16 Fondos Especiales</v>
          </cell>
          <cell r="Q39" t="str">
            <v>GRUPO 4</v>
          </cell>
          <cell r="R39" t="str">
            <v>UNION TEMPORAL REDES CHOCÓ 2013
SOLARTE NACIONAL DE CONSTRUCCIONES S.A.S.
SERGIO TORRES REATIGA</v>
          </cell>
          <cell r="S39">
            <v>900602996</v>
          </cell>
          <cell r="T39">
            <v>41333</v>
          </cell>
          <cell r="U39">
            <v>42556467071</v>
          </cell>
          <cell r="V39">
            <v>25263197136</v>
          </cell>
          <cell r="W39">
            <v>17293269935</v>
          </cell>
          <cell r="X39">
            <v>3366904640</v>
          </cell>
          <cell r="Y39">
            <v>3366904640</v>
          </cell>
          <cell r="Z39">
            <v>0</v>
          </cell>
          <cell r="AA39">
            <v>0</v>
          </cell>
          <cell r="AB39" t="str">
            <v>QUIBDO</v>
          </cell>
          <cell r="AC39" t="str">
            <v>CHOCO</v>
          </cell>
          <cell r="AD39">
            <v>41333</v>
          </cell>
          <cell r="AE39">
            <v>24</v>
          </cell>
          <cell r="AF39">
            <v>0</v>
          </cell>
          <cell r="AG39">
            <v>12766940121.299999</v>
          </cell>
        </row>
        <row r="40">
          <cell r="A40" t="str">
            <v>PAF-ATF-037-2012</v>
          </cell>
          <cell r="B40" t="str">
            <v>CONSTRUCCIÓN AMPLIACIÓN SISTEMA DE ALCANTARILLADO COMBINADO Y PLUVIAL, SECTOR CARRERA 15 Y 17 ENTRE CALLES 1B Y 1D BARRIO SAN CARLOS E INTERCEPTOR QUEBRADA LA PALMIRA ENTRE LOS BARRIOS VILLAS DE SAN JUAN Y PASEO CATALUÑA DEL MUNICIPIO DE PIEDECUESTA SANTANDER</v>
          </cell>
          <cell r="C40">
            <v>1826252770</v>
          </cell>
          <cell r="D40">
            <v>1826252770</v>
          </cell>
          <cell r="E40">
            <v>0</v>
          </cell>
          <cell r="F40">
            <v>144967887</v>
          </cell>
          <cell r="G40">
            <v>144967887</v>
          </cell>
          <cell r="H40">
            <v>0</v>
          </cell>
          <cell r="I40">
            <v>0</v>
          </cell>
          <cell r="J40">
            <v>39424413.140000001</v>
          </cell>
          <cell r="K40">
            <v>40228993</v>
          </cell>
          <cell r="L40">
            <v>0</v>
          </cell>
          <cell r="M40">
            <v>41269</v>
          </cell>
          <cell r="N40" t="str">
            <v>Contrato No. 036 de 2012
CDP 274712
16 Fondos Especiales</v>
          </cell>
          <cell r="O40" t="str">
            <v>Contrato No. 036 de 2012
CDP 274712
16 Fondos Especiales</v>
          </cell>
          <cell r="P40" t="str">
            <v>Contrato No. 36 de 2012
CDP 304012
11 Recursos del Tesoro</v>
          </cell>
          <cell r="Q40" t="str">
            <v>GRUPO 4</v>
          </cell>
          <cell r="R40" t="str">
            <v xml:space="preserve">CONSORCIO PROYECTOS ING
TECNICAS Y CONSTRUCCIONES CIVILES S.A. TECNICIVILES S.A.
DISEÑO E INGENIERIA ESPECIALIZADA S.A.S.
</v>
          </cell>
          <cell r="S40">
            <v>900599814</v>
          </cell>
          <cell r="T40">
            <v>41333</v>
          </cell>
          <cell r="U40">
            <v>1795167424</v>
          </cell>
          <cell r="V40">
            <v>1795167424</v>
          </cell>
          <cell r="W40">
            <v>0</v>
          </cell>
          <cell r="X40">
            <v>142710160</v>
          </cell>
          <cell r="Y40">
            <v>142710160</v>
          </cell>
          <cell r="Z40">
            <v>0</v>
          </cell>
          <cell r="AA40">
            <v>0</v>
          </cell>
          <cell r="AB40" t="str">
            <v>PIEDECUESTA</v>
          </cell>
          <cell r="AC40" t="str">
            <v>SANTANDER</v>
          </cell>
          <cell r="AD40">
            <v>41337</v>
          </cell>
          <cell r="AE40">
            <v>8</v>
          </cell>
          <cell r="AF40">
            <v>0</v>
          </cell>
          <cell r="AG40">
            <v>538550227.19999993</v>
          </cell>
        </row>
        <row r="41">
          <cell r="A41" t="str">
            <v>PAF-ATF-038-2012</v>
          </cell>
          <cell r="B41" t="str">
            <v>OPTIMIZACIÓN Y AMPLIACIÓN DEL SISTEMA DE ACUEDUCTO DE LA CABECERA MUNICIPAL DEL MUNICIPIO DE OVEJAS, DEPARTAMENTO DE SUCRE”</v>
          </cell>
          <cell r="C41">
            <v>6811030992</v>
          </cell>
          <cell r="D41">
            <v>6811030992</v>
          </cell>
          <cell r="E41">
            <v>0</v>
          </cell>
          <cell r="F41">
            <v>510076154</v>
          </cell>
          <cell r="G41">
            <v>510076154</v>
          </cell>
          <cell r="H41">
            <v>0</v>
          </cell>
          <cell r="I41">
            <v>0</v>
          </cell>
          <cell r="J41">
            <v>146422142.92000002</v>
          </cell>
          <cell r="K41">
            <v>149410350</v>
          </cell>
          <cell r="L41">
            <v>0</v>
          </cell>
          <cell r="M41">
            <v>41269</v>
          </cell>
          <cell r="N41" t="str">
            <v>Contrato No. 036 de 2012 
CDP 274712
10 Recursos Corrientes</v>
          </cell>
          <cell r="O41" t="str">
            <v>Contrato No. 036 de 2012 
CDP 274712
10 Recursos Corrientes</v>
          </cell>
          <cell r="P41" t="str">
            <v>Contrato No. 036 de 2012 
CDP 274712
10 Recursos Corrientes</v>
          </cell>
          <cell r="Q41" t="str">
            <v>GRUPO 4</v>
          </cell>
          <cell r="R41" t="str">
            <v xml:space="preserve">CONSORCIO 038 SUCRE
MEJIA VILLEGAS CONSTRUCCIONES S.A
DIEGO JARAMILLO GÓMEZ
</v>
          </cell>
          <cell r="S41">
            <v>900612095</v>
          </cell>
          <cell r="T41">
            <v>41355</v>
          </cell>
          <cell r="U41">
            <v>6620474198</v>
          </cell>
          <cell r="V41">
            <v>6620474198</v>
          </cell>
          <cell r="W41">
            <v>0</v>
          </cell>
          <cell r="X41">
            <v>493707600</v>
          </cell>
          <cell r="Y41">
            <v>493707600</v>
          </cell>
          <cell r="Z41">
            <v>0</v>
          </cell>
          <cell r="AA41">
            <v>0</v>
          </cell>
          <cell r="AB41" t="str">
            <v>OVEJAS</v>
          </cell>
          <cell r="AC41" t="str">
            <v>SUCRE</v>
          </cell>
          <cell r="AD41">
            <v>41383</v>
          </cell>
          <cell r="AE41">
            <v>16</v>
          </cell>
          <cell r="AF41">
            <v>0</v>
          </cell>
          <cell r="AG41">
            <v>1986142259.3999999</v>
          </cell>
        </row>
        <row r="42">
          <cell r="A42" t="str">
            <v>PAF-ATF-042-2013</v>
          </cell>
          <cell r="B42" t="str">
            <v>CONSTRUCCIÓN DE REDES DE ALCANTARILLADO EN DIFERENTES SITIOS DE LA ZONA URBANA DEL MUNICIPIO DE ENVIGADO-ANTIOQUIA”</v>
          </cell>
          <cell r="C42">
            <v>5143077886</v>
          </cell>
          <cell r="D42">
            <v>5143077886</v>
          </cell>
          <cell r="E42">
            <v>0</v>
          </cell>
          <cell r="F42">
            <v>347341120</v>
          </cell>
          <cell r="G42">
            <v>347341120</v>
          </cell>
          <cell r="H42">
            <v>0</v>
          </cell>
          <cell r="I42">
            <v>0</v>
          </cell>
          <cell r="J42">
            <v>109808380.12</v>
          </cell>
          <cell r="K42">
            <v>112049367</v>
          </cell>
          <cell r="L42">
            <v>0</v>
          </cell>
          <cell r="M42">
            <v>41306</v>
          </cell>
          <cell r="N42" t="str">
            <v>Contrato No. 159 de 2013
CDP 22813
11 Recursos del Tesoro</v>
          </cell>
          <cell r="O42" t="str">
            <v>Contrato No. 159 de 2013
CDP 22813
11 Recursos del Tesoro</v>
          </cell>
          <cell r="P42" t="str">
            <v>Contrato No. 159 de 2013
CDP 22813
11 Recursos del Tesoro</v>
          </cell>
          <cell r="Q42" t="str">
            <v>GRUPO 5</v>
          </cell>
          <cell r="R42" t="str">
            <v>CONSORCIO PROSPERIDAD 2013
LA MACUIRA INVERSIONES Y CONSTRUCCIONES S.A.
VNF S.A.
HORACIO VEGA CARDENAS</v>
          </cell>
          <cell r="S42">
            <v>900606407</v>
          </cell>
          <cell r="T42">
            <v>41355</v>
          </cell>
          <cell r="U42">
            <v>4824119373</v>
          </cell>
          <cell r="V42">
            <v>4824119373</v>
          </cell>
          <cell r="W42">
            <v>0</v>
          </cell>
          <cell r="X42">
            <v>319175160</v>
          </cell>
          <cell r="Y42">
            <v>319175160</v>
          </cell>
          <cell r="Z42">
            <v>0</v>
          </cell>
          <cell r="AA42">
            <v>0</v>
          </cell>
          <cell r="AB42" t="str">
            <v>ENVIGADO</v>
          </cell>
          <cell r="AC42" t="str">
            <v>ANTIOQUIA</v>
          </cell>
          <cell r="AD42">
            <v>41376</v>
          </cell>
          <cell r="AE42">
            <v>6</v>
          </cell>
          <cell r="AF42">
            <v>0</v>
          </cell>
          <cell r="AG42">
            <v>1447235811.8999999</v>
          </cell>
        </row>
        <row r="43">
          <cell r="A43" t="str">
            <v>PAF-ATF-043-2013</v>
          </cell>
          <cell r="B43" t="str">
            <v>CONSTRUCCIÓN DE REDES DE ACUEDUCTO Y ALCANTARILLADO PARA LA VEREDA SANTA CATALINA EN EL MUNICIPIO DE ENVIGADO – ETAPA III”</v>
          </cell>
          <cell r="C43">
            <v>4923378401</v>
          </cell>
          <cell r="D43">
            <v>4923378401</v>
          </cell>
          <cell r="E43">
            <v>0</v>
          </cell>
          <cell r="F43">
            <v>332332076</v>
          </cell>
          <cell r="G43">
            <v>332332076</v>
          </cell>
          <cell r="H43">
            <v>0</v>
          </cell>
          <cell r="I43">
            <v>0</v>
          </cell>
          <cell r="J43">
            <v>105114209.54000001</v>
          </cell>
          <cell r="K43">
            <v>107259397</v>
          </cell>
          <cell r="L43">
            <v>0</v>
          </cell>
          <cell r="M43">
            <v>41306</v>
          </cell>
          <cell r="N43" t="str">
            <v>Contrato No. 159 de 2013
CDP 22813
11 Recursos del Tesoro</v>
          </cell>
          <cell r="O43" t="str">
            <v>Contrato No. 159 de 2013
CDP 22813
11 Recursos del Tesoro</v>
          </cell>
          <cell r="P43" t="str">
            <v>Contrato No. 159 de 2013
CDP 22813
11 Recursos del Tesoro</v>
          </cell>
          <cell r="Q43" t="str">
            <v>GRUPO 5</v>
          </cell>
          <cell r="R43" t="str">
            <v>CONSORCIO REDES NORTE
INGEAGUAS S.A.S
CONSTRUCCIONES PIEDRA S.A.
CONSTRUCCIONES LUJAN S.A.</v>
          </cell>
          <cell r="S43">
            <v>900605747</v>
          </cell>
          <cell r="T43">
            <v>41355</v>
          </cell>
          <cell r="U43">
            <v>4676302180</v>
          </cell>
          <cell r="V43">
            <v>4676302180</v>
          </cell>
          <cell r="W43">
            <v>0</v>
          </cell>
          <cell r="X43">
            <v>309891680</v>
          </cell>
          <cell r="Y43">
            <v>309891680</v>
          </cell>
          <cell r="Z43">
            <v>0</v>
          </cell>
          <cell r="AA43">
            <v>0</v>
          </cell>
          <cell r="AB43" t="str">
            <v>ENVIGADO</v>
          </cell>
          <cell r="AC43" t="str">
            <v>ANTIOQUIA</v>
          </cell>
          <cell r="AD43">
            <v>41376</v>
          </cell>
          <cell r="AE43">
            <v>8</v>
          </cell>
          <cell r="AF43">
            <v>0</v>
          </cell>
          <cell r="AG43">
            <v>1402890654</v>
          </cell>
        </row>
        <row r="44">
          <cell r="A44" t="str">
            <v>PAF-ATF-044-2013</v>
          </cell>
          <cell r="B44" t="str">
            <v>CONSTRUCCIÓN PLANTA DE TRATAMIENTO DE AGUAS RESIDUALES DOMESTICAS (PTAR) EN EL MUNICIPIO DE CHIQUINQUIRÁ - BOYACA”</v>
          </cell>
          <cell r="C44">
            <v>22089959824</v>
          </cell>
          <cell r="D44">
            <v>19655556088</v>
          </cell>
          <cell r="E44">
            <v>2434403736</v>
          </cell>
          <cell r="F44">
            <v>1767196786</v>
          </cell>
          <cell r="G44">
            <v>1767196786</v>
          </cell>
          <cell r="H44">
            <v>0</v>
          </cell>
          <cell r="I44" t="str">
            <v>CORPORACIÓN AUTONOMA REGIONAL DE CUNDINAMARCA $2.434.403.736</v>
          </cell>
          <cell r="J44">
            <v>477143132.19999999</v>
          </cell>
          <cell r="K44">
            <v>437199038</v>
          </cell>
          <cell r="L44">
            <v>0</v>
          </cell>
          <cell r="M44">
            <v>41306</v>
          </cell>
          <cell r="N44" t="str">
            <v>Contrato No. 159 de 2013
CDP 22813
11 Recursos del Tesoro</v>
          </cell>
          <cell r="O44" t="str">
            <v>Contrato No. 159 de 2013
CDP 22813
11 Recursos del Tesoro</v>
          </cell>
          <cell r="P44" t="str">
            <v>Contrato No. 159 de 2013
CDP 22813
11 Recursos del Tesoro</v>
          </cell>
          <cell r="Q44" t="str">
            <v>GRUPO 5</v>
          </cell>
          <cell r="R44" t="str">
            <v>CONSORCIO ALIANZA YDN CHIQUINQUIRA
YAMIL SABBAGH SOLANO
NOARCO S.A.</v>
          </cell>
          <cell r="S44">
            <v>900606472</v>
          </cell>
          <cell r="T44">
            <v>41355</v>
          </cell>
          <cell r="U44">
            <v>21142407457</v>
          </cell>
          <cell r="V44">
            <v>18708003721</v>
          </cell>
          <cell r="W44">
            <v>2434403736</v>
          </cell>
          <cell r="X44">
            <v>1633271880</v>
          </cell>
          <cell r="Y44">
            <v>1633271880</v>
          </cell>
          <cell r="Z44">
            <v>0</v>
          </cell>
          <cell r="AA44">
            <v>0</v>
          </cell>
          <cell r="AB44" t="str">
            <v>CHIQUINQUIRA</v>
          </cell>
          <cell r="AC44" t="str">
            <v>BOYACA</v>
          </cell>
          <cell r="AD44">
            <v>41366</v>
          </cell>
          <cell r="AE44">
            <v>24</v>
          </cell>
          <cell r="AF44">
            <v>0</v>
          </cell>
          <cell r="AG44">
            <v>6342722237.0999994</v>
          </cell>
        </row>
        <row r="45">
          <cell r="A45" t="str">
            <v>PAF-ATF-045-2013</v>
          </cell>
          <cell r="B45" t="str">
            <v>OPTIMIZACIÓN PLANTA NIZA Y CONSTRUCCIÓN DE LÍNEAS DE BY PASS EN EL SECTOR DE LA PLANTA DE TRATAMIENTO DE AGUA POTABLE LUÍS PRIETO GÓMEZ, DEL MUNICIPIO DE MANIZALES”</v>
          </cell>
          <cell r="C45">
            <v>11843415012</v>
          </cell>
          <cell r="D45">
            <v>7381072589</v>
          </cell>
          <cell r="E45">
            <v>4462342424</v>
          </cell>
          <cell r="F45">
            <v>736379128</v>
          </cell>
          <cell r="G45">
            <v>458927411</v>
          </cell>
          <cell r="H45">
            <v>277451716</v>
          </cell>
          <cell r="I45" t="str">
            <v xml:space="preserve">MUNICIPIO $4.739.794.140 
OBRA CIVIL $4.462.342.424
INTERVENTORIA $277.451.716
</v>
          </cell>
          <cell r="J45">
            <v>251595882.80000001</v>
          </cell>
          <cell r="K45">
            <v>160000000</v>
          </cell>
          <cell r="L45">
            <v>0</v>
          </cell>
          <cell r="M45">
            <v>41306</v>
          </cell>
          <cell r="N45" t="str">
            <v>Contrato No. 159 de 2013
CDP 22813
11 Recursos del Tesoro</v>
          </cell>
          <cell r="O45" t="str">
            <v>Contrato No. 159 de 2013
CDP 22813
11 Recursos del Tesoro</v>
          </cell>
          <cell r="P45" t="str">
            <v>Contrato No. 159 de 2013
CDP 22813
11 Recursos del Tesoro</v>
          </cell>
          <cell r="Q45" t="str">
            <v>GRUPO 5</v>
          </cell>
          <cell r="R45" t="str">
            <v xml:space="preserve">CONSORCIO CONSTRUCTOR MANIZALES
Z.R. INGENIERIA S.A.
KONIDOL S.A
INGEAGUAS S.A.S.
</v>
          </cell>
          <cell r="S45">
            <v>900605737</v>
          </cell>
          <cell r="T45">
            <v>41355</v>
          </cell>
          <cell r="U45">
            <v>11286774436</v>
          </cell>
          <cell r="V45">
            <v>6824432012</v>
          </cell>
          <cell r="W45">
            <v>4462342424</v>
          </cell>
          <cell r="X45">
            <v>684679560</v>
          </cell>
          <cell r="Y45">
            <v>407227844</v>
          </cell>
          <cell r="Z45">
            <v>277451716</v>
          </cell>
          <cell r="AA45">
            <v>0</v>
          </cell>
          <cell r="AB45" t="str">
            <v>MANIZALES</v>
          </cell>
          <cell r="AC45" t="str">
            <v>CALDAS</v>
          </cell>
          <cell r="AD45">
            <v>41373</v>
          </cell>
          <cell r="AE45">
            <v>12</v>
          </cell>
          <cell r="AF45">
            <v>0</v>
          </cell>
          <cell r="AG45">
            <v>3386032330.7999997</v>
          </cell>
        </row>
        <row r="46">
          <cell r="A46" t="str">
            <v>PAF-ATF-046-2013</v>
          </cell>
          <cell r="B46" t="str">
            <v>CONSTRUCCIÓN DE REDES DE ACUEDUCTO Y ALCANTARILLADO SANITARIO DEL PROYECTO URBANÍSTICO DE INTERÉS SOCIAL ALTOS DE SAN LUÍS, MUNICIPIO DE SANTANDER DE QUILICHAO”</v>
          </cell>
          <cell r="C46">
            <v>1542209588</v>
          </cell>
          <cell r="D46">
            <v>1542209588</v>
          </cell>
          <cell r="E46">
            <v>0</v>
          </cell>
          <cell r="F46">
            <v>103015358</v>
          </cell>
          <cell r="G46">
            <v>103015358</v>
          </cell>
          <cell r="H46">
            <v>0</v>
          </cell>
          <cell r="I46">
            <v>0</v>
          </cell>
          <cell r="J46">
            <v>32904498.920000002</v>
          </cell>
          <cell r="K46">
            <v>33576019</v>
          </cell>
          <cell r="L46">
            <v>0</v>
          </cell>
          <cell r="M46">
            <v>41306</v>
          </cell>
          <cell r="N46" t="str">
            <v>Contrato No. 036 de 2012 
CDP 274712
10 Recursos Corrientes</v>
          </cell>
          <cell r="O46" t="str">
            <v>Contrato No. 036 de 2012 
CDP 274712
10 Recursos Corrientes</v>
          </cell>
          <cell r="P46" t="str">
            <v>Contrato No. 036 de 2012 
CDP 274712
10 Recursos Corrientes</v>
          </cell>
          <cell r="Q46" t="str">
            <v>GRUPO 5</v>
          </cell>
          <cell r="R46" t="str">
            <v>JOSE FERNANDO SUAREZ DUQUE</v>
          </cell>
          <cell r="S46">
            <v>10116218</v>
          </cell>
          <cell r="T46">
            <v>41355</v>
          </cell>
          <cell r="U46">
            <v>1479289443</v>
          </cell>
          <cell r="V46">
            <v>1479289443</v>
          </cell>
          <cell r="W46">
            <v>0</v>
          </cell>
          <cell r="X46">
            <v>95423775</v>
          </cell>
          <cell r="Y46">
            <v>95423775</v>
          </cell>
          <cell r="Z46">
            <v>0</v>
          </cell>
          <cell r="AA46">
            <v>0</v>
          </cell>
          <cell r="AB46" t="str">
            <v>SANTANDER DE QUILICHAO</v>
          </cell>
          <cell r="AC46" t="str">
            <v>CAUCA</v>
          </cell>
          <cell r="AD46">
            <v>41381</v>
          </cell>
          <cell r="AE46">
            <v>5</v>
          </cell>
          <cell r="AF46">
            <v>0</v>
          </cell>
          <cell r="AG46">
            <v>443786832.89999998</v>
          </cell>
        </row>
        <row r="47">
          <cell r="A47" t="str">
            <v>PAF-ATF-047-2013</v>
          </cell>
          <cell r="B47" t="str">
            <v>CONSTRUCCIÓN PLANTA DE TRATAMIENTO DE AGUA POTABLE LA NUEVA AURORA Y OBRAS COMPLEMENTARIAS MUNICIPIO DE PEREIRA”</v>
          </cell>
          <cell r="C47">
            <v>11416051890</v>
          </cell>
          <cell r="D47">
            <v>6816051890</v>
          </cell>
          <cell r="E47">
            <v>4600000000</v>
          </cell>
          <cell r="F47">
            <v>799123632</v>
          </cell>
          <cell r="G47">
            <v>799123632</v>
          </cell>
          <cell r="H47">
            <v>0</v>
          </cell>
          <cell r="I47" t="str">
            <v>CONVENIO INTERADMINISTRATIVO                                                                                                                                                                                                                                   
 EAAA PEREIRA S.A. E.S.P$4.600.000.000</v>
          </cell>
          <cell r="J47">
            <v>244303510.44</v>
          </cell>
          <cell r="K47">
            <v>155411745</v>
          </cell>
          <cell r="L47">
            <v>0</v>
          </cell>
          <cell r="M47">
            <v>41306</v>
          </cell>
          <cell r="N47" t="str">
            <v>Contrato No. 159 de 2013
CDP 22813
11 Recursos del Tesoro</v>
          </cell>
          <cell r="O47" t="str">
            <v>Contrato No. 159 de 2013
CDP 22813
11 Recursos del Tesoro</v>
          </cell>
          <cell r="P47" t="str">
            <v>Contrato No. 159 de 2013
CDP 22813
11 Recursos del Tesoro</v>
          </cell>
          <cell r="Q47" t="str">
            <v>GRUPO 5</v>
          </cell>
          <cell r="R47" t="str">
            <v>CONSORCIO CONSTRUCTOR NUEVA AURORA
Z.R. INGENIERIA S.A.
MEYAN S.A.</v>
          </cell>
          <cell r="S47">
            <v>900605771</v>
          </cell>
          <cell r="T47">
            <v>41355</v>
          </cell>
          <cell r="U47">
            <v>10976002611</v>
          </cell>
          <cell r="V47">
            <v>6376002611</v>
          </cell>
          <cell r="W47">
            <v>4600000000</v>
          </cell>
          <cell r="X47">
            <v>733455704</v>
          </cell>
          <cell r="Y47">
            <v>733455704</v>
          </cell>
          <cell r="Z47">
            <v>0</v>
          </cell>
          <cell r="AA47">
            <v>0</v>
          </cell>
          <cell r="AB47" t="str">
            <v>PEREIRA</v>
          </cell>
          <cell r="AC47" t="str">
            <v>RISARALDA</v>
          </cell>
          <cell r="AD47">
            <v>41373</v>
          </cell>
          <cell r="AE47">
            <v>8</v>
          </cell>
          <cell r="AF47">
            <v>0</v>
          </cell>
          <cell r="AG47">
            <v>3292800783.2999997</v>
          </cell>
        </row>
        <row r="48">
          <cell r="A48" t="str">
            <v>PAF-ATF-048-2013</v>
          </cell>
          <cell r="B48" t="str">
            <v>“CONSTRUCCIÓN OBRAS PRIORITARIAS DE ACUEDUCTO FASE I DEL MUNICIPIO DE ESPINAL”</v>
          </cell>
          <cell r="C48">
            <v>7698080646</v>
          </cell>
          <cell r="D48">
            <v>7698080646</v>
          </cell>
          <cell r="E48">
            <v>0</v>
          </cell>
          <cell r="F48">
            <v>538865645</v>
          </cell>
          <cell r="G48">
            <v>538865645</v>
          </cell>
          <cell r="H48">
            <v>0</v>
          </cell>
          <cell r="I48">
            <v>0</v>
          </cell>
          <cell r="J48">
            <v>164738925.81999999</v>
          </cell>
          <cell r="K48">
            <v>168100945</v>
          </cell>
          <cell r="L48">
            <v>0</v>
          </cell>
          <cell r="M48">
            <v>41306</v>
          </cell>
          <cell r="N48" t="str">
            <v>Contrato No. 159 de 2013
CDP 22813
11 Recursos del Tesoro</v>
          </cell>
          <cell r="O48" t="str">
            <v>Contrato No. 159 de 2013
CDP 22813
11 Recursos del Tesoro</v>
          </cell>
          <cell r="P48" t="str">
            <v>Contrato No. 159 de 2013
CDP 22813
11 Recursos del Tesoro</v>
          </cell>
          <cell r="Q48" t="str">
            <v>GRUPO 5</v>
          </cell>
          <cell r="R48" t="str">
            <v>CONSORCIO REDES ESPINAL
ESPINA Y DELFIN COLOMBIA
INGEAGUAS S.A.S.</v>
          </cell>
          <cell r="S48">
            <v>900605763</v>
          </cell>
          <cell r="T48">
            <v>41355</v>
          </cell>
          <cell r="U48">
            <v>7395718728</v>
          </cell>
          <cell r="V48">
            <v>7395718728</v>
          </cell>
          <cell r="W48">
            <v>0</v>
          </cell>
          <cell r="X48">
            <v>533223174</v>
          </cell>
          <cell r="Y48">
            <v>533223174</v>
          </cell>
          <cell r="Z48">
            <v>0</v>
          </cell>
          <cell r="AA48">
            <v>0</v>
          </cell>
          <cell r="AB48" t="str">
            <v>EL ESPINAL</v>
          </cell>
          <cell r="AC48" t="str">
            <v>TOLIMA</v>
          </cell>
          <cell r="AD48">
            <v>41375</v>
          </cell>
          <cell r="AE48">
            <v>22</v>
          </cell>
          <cell r="AF48">
            <v>0</v>
          </cell>
          <cell r="AG48">
            <v>2218715618.4000001</v>
          </cell>
        </row>
        <row r="49">
          <cell r="A49" t="str">
            <v>PAF-ATF-049-2013</v>
          </cell>
          <cell r="B49" t="str">
            <v>“CONSTRUCCIÓN DE LA PRIMERA ETAPA DEL SISTEMA DE ALCANTARILLADO PARA LA URBANIZACIÓN MUNDO FELIZ Y EL BARRIO LAS PETRONITAS DE GALAPA- ATLANTICO”</v>
          </cell>
          <cell r="C49">
            <v>6721160647</v>
          </cell>
          <cell r="D49">
            <v>6721160647</v>
          </cell>
          <cell r="E49">
            <v>0</v>
          </cell>
          <cell r="F49">
            <v>468653962</v>
          </cell>
          <cell r="G49">
            <v>468653962</v>
          </cell>
          <cell r="H49">
            <v>0</v>
          </cell>
          <cell r="I49">
            <v>0</v>
          </cell>
          <cell r="J49">
            <v>143796292.18000001</v>
          </cell>
          <cell r="K49">
            <v>146730910</v>
          </cell>
          <cell r="L49">
            <v>0</v>
          </cell>
          <cell r="M49">
            <v>41317</v>
          </cell>
          <cell r="N49" t="str">
            <v>Contrato No. 159 de 2013
CDP 22813
11 Recursos del Tesoro</v>
          </cell>
          <cell r="O49" t="str">
            <v>Contrato No. 159 de 2013
CDP 22813
11 Recursos del Tesoro</v>
          </cell>
          <cell r="P49" t="str">
            <v>Contrato No. 159 de 2013
CDP 22813
11 Recursos del Tesoro</v>
          </cell>
          <cell r="Q49" t="str">
            <v>GRUPO 6</v>
          </cell>
          <cell r="R49" t="str">
            <v>UNION AGUAS DEL CARIBE
LA MACUIRA INVERSIONES Y CONSTRUCCIONES S.A.
CONSTRUCTORA YACAMAN VIVERO S.A.</v>
          </cell>
          <cell r="S49">
            <v>900610016</v>
          </cell>
          <cell r="T49">
            <v>41380</v>
          </cell>
          <cell r="U49">
            <v>6465372449</v>
          </cell>
          <cell r="V49">
            <v>6465372449</v>
          </cell>
          <cell r="W49">
            <v>0</v>
          </cell>
          <cell r="X49">
            <v>468066343</v>
          </cell>
          <cell r="Y49">
            <v>468066343</v>
          </cell>
          <cell r="Z49">
            <v>0</v>
          </cell>
          <cell r="AA49">
            <v>0</v>
          </cell>
          <cell r="AB49" t="str">
            <v>GALAPA</v>
          </cell>
          <cell r="AC49" t="str">
            <v>ATLANTICO</v>
          </cell>
          <cell r="AD49">
            <v>41384</v>
          </cell>
          <cell r="AE49">
            <v>12</v>
          </cell>
          <cell r="AF49">
            <v>0</v>
          </cell>
          <cell r="AG49">
            <v>1939611734.6999998</v>
          </cell>
        </row>
        <row r="50">
          <cell r="A50" t="str">
            <v>PAF-ATF-050-2013</v>
          </cell>
          <cell r="B50" t="str">
            <v>“OPTIMIZACION Y AMPLIACION DEL SISTEMA DE ACUEDUCTO CASCO URBANO MUNICIPIO DE EL CARMEN DE BOLIVAR- BOLIVAR”</v>
          </cell>
          <cell r="C50">
            <v>35529038286</v>
          </cell>
          <cell r="D50">
            <v>20000000000</v>
          </cell>
          <cell r="E50">
            <v>15529038296</v>
          </cell>
          <cell r="F50">
            <v>2487032680</v>
          </cell>
          <cell r="G50">
            <v>2487032680</v>
          </cell>
          <cell r="H50">
            <v>0</v>
          </cell>
          <cell r="I50" t="str">
            <v xml:space="preserve">CONVENIO INTERADMINISTRATIVO                                                                                                                                                                                                                                      
$15.529.038.286 OBRA CIVIL
CONTRAPARTIDA DEPARTAMENTO
</v>
          </cell>
          <cell r="J50">
            <v>760321419.51999998</v>
          </cell>
          <cell r="K50">
            <v>458919034</v>
          </cell>
          <cell r="L50">
            <v>0</v>
          </cell>
          <cell r="M50">
            <v>41317</v>
          </cell>
          <cell r="N50" t="str">
            <v>Contrato No. 036 de 2012
CDP 274712
16 Fondos Especiales</v>
          </cell>
          <cell r="O50" t="str">
            <v>Contrato No. 036 de 2012
CDP 274712
16 Fondos Especiales</v>
          </cell>
          <cell r="P50" t="str">
            <v>Contrato No. 036 de 2012
CDP 274712
16 Fondos Especiales</v>
          </cell>
          <cell r="Q50" t="str">
            <v>GRUPO 6</v>
          </cell>
          <cell r="R50" t="str">
            <v xml:space="preserve">CONSORCIO ALIANZA YDN CARMEN
YAMIL SABAAGH CONSTRUCCIONES S.A.S
D&amp; S S.A.
EDIFICACIONES TRIVAL S.A. C.V.
</v>
          </cell>
          <cell r="S50">
            <v>900620386</v>
          </cell>
          <cell r="T50">
            <v>41412</v>
          </cell>
          <cell r="U50">
            <v>34089877852</v>
          </cell>
          <cell r="V50">
            <v>18560839556</v>
          </cell>
          <cell r="W50">
            <v>15529038296</v>
          </cell>
          <cell r="X50">
            <v>2309830520</v>
          </cell>
          <cell r="Y50">
            <v>2309830520</v>
          </cell>
          <cell r="Z50">
            <v>0</v>
          </cell>
          <cell r="AA50">
            <v>0</v>
          </cell>
          <cell r="AB50" t="str">
            <v>CARMEN DE BOLIVAR</v>
          </cell>
          <cell r="AC50" t="str">
            <v>BOLIVAR</v>
          </cell>
          <cell r="AD50">
            <v>41417</v>
          </cell>
          <cell r="AE50">
            <v>9</v>
          </cell>
          <cell r="AF50">
            <v>0</v>
          </cell>
          <cell r="AG50">
            <v>10226963355.6</v>
          </cell>
        </row>
        <row r="51">
          <cell r="A51" t="str">
            <v>PAF-ATF-051-2013</v>
          </cell>
          <cell r="B51" t="str">
            <v>“OPTIMIZACIÓN, CONSTRUCCIÓN Y/O AMPLIACIÓN SISTEMA DE ACUEDUCTO MUNICIPIO DE MAGANGUÉ- BOLIVAR”</v>
          </cell>
          <cell r="C51">
            <v>7774573674</v>
          </cell>
          <cell r="D51">
            <v>7774573674</v>
          </cell>
          <cell r="E51">
            <v>0</v>
          </cell>
          <cell r="F51">
            <v>554220157</v>
          </cell>
          <cell r="G51">
            <v>554220157</v>
          </cell>
          <cell r="H51">
            <v>0</v>
          </cell>
          <cell r="I51">
            <v>0</v>
          </cell>
          <cell r="J51">
            <v>166575876.62</v>
          </cell>
          <cell r="K51">
            <v>169771303</v>
          </cell>
          <cell r="L51">
            <v>0</v>
          </cell>
          <cell r="M51">
            <v>41317</v>
          </cell>
          <cell r="N51" t="str">
            <v>Contrato No. 036 de 2012
CDP 274712
16 Fondos Especiales</v>
          </cell>
          <cell r="O51" t="str">
            <v>Contrato No. 036 de 2012
CDP 274712
16 Fondos Especiales</v>
          </cell>
          <cell r="P51" t="str">
            <v>Contrato No. 159 de 2013
CDP 22813
11 Recursos del tesoro</v>
          </cell>
          <cell r="Q51" t="str">
            <v>GRUPO 6</v>
          </cell>
          <cell r="R51" t="str">
            <v>VALORES Y CONTRATOS S.A.</v>
          </cell>
          <cell r="S51">
            <v>800182330</v>
          </cell>
          <cell r="T51">
            <v>41380</v>
          </cell>
          <cell r="U51">
            <v>7596432647</v>
          </cell>
          <cell r="V51">
            <v>7596432647</v>
          </cell>
          <cell r="W51">
            <v>0</v>
          </cell>
          <cell r="X51">
            <v>493174000</v>
          </cell>
          <cell r="Y51">
            <v>493174000</v>
          </cell>
          <cell r="Z51">
            <v>0</v>
          </cell>
          <cell r="AA51">
            <v>0</v>
          </cell>
          <cell r="AB51" t="str">
            <v>MAGANGUE</v>
          </cell>
          <cell r="AC51" t="str">
            <v>BOLIVAR</v>
          </cell>
          <cell r="AD51">
            <v>41417</v>
          </cell>
          <cell r="AE51">
            <v>8</v>
          </cell>
          <cell r="AF51">
            <v>0</v>
          </cell>
          <cell r="AG51">
            <v>2278929794.0999999</v>
          </cell>
        </row>
        <row r="52">
          <cell r="A52" t="str">
            <v>PAF-ATF-052-2013</v>
          </cell>
          <cell r="B52" t="str">
            <v>“MEJORAMIENTO REDES DE ALCANTARILLADO BARRIO LAS FERIAS DEL MUNICIPIO DE LA DORADA - CALDAS FASE II”</v>
          </cell>
          <cell r="C52">
            <v>3602567426</v>
          </cell>
          <cell r="D52">
            <v>3602567426</v>
          </cell>
          <cell r="E52">
            <v>0</v>
          </cell>
          <cell r="F52">
            <v>288205394</v>
          </cell>
          <cell r="G52">
            <v>288205394</v>
          </cell>
          <cell r="H52">
            <v>0</v>
          </cell>
          <cell r="I52">
            <v>0</v>
          </cell>
          <cell r="J52">
            <v>77815456.400000006</v>
          </cell>
          <cell r="K52">
            <v>79403527</v>
          </cell>
          <cell r="L52">
            <v>0</v>
          </cell>
          <cell r="M52">
            <v>41317</v>
          </cell>
          <cell r="N52" t="str">
            <v>Contrato No. 159 de 2013
CDP 22813
11 Recursos del Tesoro</v>
          </cell>
          <cell r="O52" t="str">
            <v>Contrato No. 159 de 2013
CDP 22813
11 Recursos del Tesoro</v>
          </cell>
          <cell r="P52" t="str">
            <v>Contrato No. 159 de 2013
CDP 22813
11 Recursos del Tesoro</v>
          </cell>
          <cell r="Q52" t="str">
            <v>GRUPO 6</v>
          </cell>
          <cell r="R52" t="str">
            <v>CONSORCIO ALCANTARILLADO DORADA 2013
JAIRO EFRÁIN CERON MARTINEZ
ING. CIVILES ASOCIADOS CONSTRUCCIONES S.A.S.</v>
          </cell>
          <cell r="S52">
            <v>900611967</v>
          </cell>
          <cell r="T52">
            <v>41380</v>
          </cell>
          <cell r="U52">
            <v>3908439344</v>
          </cell>
          <cell r="V52">
            <v>3908439344</v>
          </cell>
          <cell r="W52">
            <v>0</v>
          </cell>
          <cell r="X52">
            <v>286011464</v>
          </cell>
          <cell r="Y52">
            <v>286011464</v>
          </cell>
          <cell r="Z52">
            <v>0</v>
          </cell>
          <cell r="AA52">
            <v>0</v>
          </cell>
          <cell r="AB52" t="str">
            <v>LA DORADA</v>
          </cell>
          <cell r="AC52" t="str">
            <v>CALDAS</v>
          </cell>
          <cell r="AD52">
            <v>41387</v>
          </cell>
          <cell r="AE52">
            <v>6</v>
          </cell>
          <cell r="AF52">
            <v>0</v>
          </cell>
          <cell r="AG52">
            <v>1172531803.2</v>
          </cell>
        </row>
        <row r="53">
          <cell r="A53" t="str">
            <v>PAF-ATF-053-2013
PAF-ATF-102-2013</v>
          </cell>
          <cell r="B53" t="str">
            <v>“ACUEDUCTO REGIONAL INTERDEPARTAMENTAL”</v>
          </cell>
          <cell r="C53">
            <v>32937853075</v>
          </cell>
          <cell r="D53">
            <v>32937853075</v>
          </cell>
          <cell r="E53">
            <v>0</v>
          </cell>
          <cell r="F53">
            <v>1279077857</v>
          </cell>
          <cell r="G53">
            <v>1279077857</v>
          </cell>
          <cell r="H53">
            <v>0</v>
          </cell>
          <cell r="I53">
            <v>0</v>
          </cell>
          <cell r="J53">
            <v>684338618.63999999</v>
          </cell>
          <cell r="K53">
            <v>713107774.56000006</v>
          </cell>
          <cell r="L53">
            <v>0</v>
          </cell>
          <cell r="M53">
            <v>41317</v>
          </cell>
          <cell r="N53" t="str">
            <v>Contrato No. 159 de 2013
CDP 22813
11 Recursos del Tesoro</v>
          </cell>
          <cell r="O53" t="str">
            <v>Contrato No. 159 de 2013
CDP 22813
11 Recursos del Tesoro</v>
          </cell>
          <cell r="P53" t="str">
            <v>Contrato No. 159 de 2013
CDP 22813
11 Recursos del Tesoro</v>
          </cell>
          <cell r="Q53" t="str">
            <v>GRUPO 6
GRUPO 14</v>
          </cell>
          <cell r="R53" t="str">
            <v>CONSTRUCTORA CONCRETO S.A.</v>
          </cell>
          <cell r="S53">
            <v>890901110</v>
          </cell>
          <cell r="T53">
            <v>41558</v>
          </cell>
          <cell r="U53">
            <v>26350344906</v>
          </cell>
          <cell r="V53">
            <v>26350344906</v>
          </cell>
          <cell r="W53">
            <v>0</v>
          </cell>
          <cell r="X53">
            <v>1227716160</v>
          </cell>
          <cell r="Y53">
            <v>1227716160</v>
          </cell>
          <cell r="Z53">
            <v>0</v>
          </cell>
          <cell r="AA53">
            <v>0</v>
          </cell>
          <cell r="AB53" t="str">
            <v>GUACHENÈ, PADILLA,PUERTO TEJADA, VILLA RICA</v>
          </cell>
          <cell r="AC53" t="str">
            <v>VALLE DEL CAUCA</v>
          </cell>
          <cell r="AD53">
            <v>41576</v>
          </cell>
          <cell r="AE53">
            <v>12</v>
          </cell>
          <cell r="AF53">
            <v>0</v>
          </cell>
          <cell r="AG53">
            <v>7905103471.7999992</v>
          </cell>
        </row>
        <row r="54">
          <cell r="A54" t="str">
            <v>PAF-ATF-054-2013</v>
          </cell>
          <cell r="B54" t="str">
            <v>“OPTIMIZACIÓN DEL SISTEMA DE ALCANTARILLADO Y PTAR DEL MUNICIPIO DE JURADÓ - CHOCO”</v>
          </cell>
          <cell r="C54">
            <v>4423249680</v>
          </cell>
          <cell r="D54">
            <v>4423249680</v>
          </cell>
          <cell r="E54">
            <v>0</v>
          </cell>
          <cell r="F54">
            <v>353859974</v>
          </cell>
          <cell r="G54">
            <v>353859974</v>
          </cell>
          <cell r="H54">
            <v>0</v>
          </cell>
          <cell r="I54">
            <v>0</v>
          </cell>
          <cell r="J54">
            <v>95542193.079999998</v>
          </cell>
          <cell r="K54">
            <v>97492034</v>
          </cell>
          <cell r="L54">
            <v>0</v>
          </cell>
          <cell r="M54">
            <v>41317</v>
          </cell>
          <cell r="N54" t="str">
            <v>Contrato No. 159 de 2013
CDP 22813
11 Recursos del Tesoro</v>
          </cell>
          <cell r="O54" t="str">
            <v>Contrato No. 159 de 2013
CDP 22813
11 Recursos del Tesoro</v>
          </cell>
          <cell r="P54" t="str">
            <v>Contrato No. 159 de 2013
CDP 22813
11 Recursos del Tesoro</v>
          </cell>
          <cell r="Q54" t="str">
            <v>GRUPO 6</v>
          </cell>
          <cell r="R54" t="str">
            <v>UNION TEMPORAL JURADO 2013
CONSTRUCTORA SINATEL LTDA
LUIS EDUARDO SALDAÑA RODRIGUEZ
LUIS ARNULFO TELLEZ QUITIAN</v>
          </cell>
          <cell r="S54">
            <v>900613028</v>
          </cell>
          <cell r="T54">
            <v>41380</v>
          </cell>
          <cell r="U54">
            <v>4342419969</v>
          </cell>
          <cell r="V54">
            <v>4342419969</v>
          </cell>
          <cell r="W54">
            <v>0</v>
          </cell>
          <cell r="X54">
            <v>351127781</v>
          </cell>
          <cell r="Y54">
            <v>351127781</v>
          </cell>
          <cell r="Z54">
            <v>0</v>
          </cell>
          <cell r="AA54">
            <v>0</v>
          </cell>
          <cell r="AB54" t="str">
            <v>JURADO</v>
          </cell>
          <cell r="AC54" t="str">
            <v>CHOCO</v>
          </cell>
          <cell r="AD54">
            <v>41393</v>
          </cell>
          <cell r="AE54">
            <v>8</v>
          </cell>
          <cell r="AF54">
            <v>0</v>
          </cell>
          <cell r="AG54">
            <v>1302725990.7</v>
          </cell>
        </row>
        <row r="55">
          <cell r="A55" t="str">
            <v>PAF-ATF-055-2013</v>
          </cell>
          <cell r="B55" t="str">
            <v>“CONSTRUCCIÓN RED DE ALCANTARILLADO INTERCEPTOR EL YULO MUNCIPIO DE RICAURTE"</v>
          </cell>
          <cell r="C55">
            <v>4130668670</v>
          </cell>
          <cell r="D55">
            <v>4130668670</v>
          </cell>
          <cell r="E55">
            <v>0</v>
          </cell>
          <cell r="F55">
            <v>330453494</v>
          </cell>
          <cell r="G55">
            <v>330453494</v>
          </cell>
          <cell r="H55">
            <v>0</v>
          </cell>
          <cell r="I55">
            <v>0</v>
          </cell>
          <cell r="J55">
            <v>89222443.280000001</v>
          </cell>
          <cell r="K55">
            <v>91043309</v>
          </cell>
          <cell r="L55">
            <v>0</v>
          </cell>
          <cell r="M55">
            <v>41317</v>
          </cell>
          <cell r="N55" t="str">
            <v>Contrato No. 159 de 2013
CDP 22813
11 Recursos del Tesoro</v>
          </cell>
          <cell r="O55" t="str">
            <v>Contrato No. 159 de 2013
CDP 22813
11 Recursos del Tesoro</v>
          </cell>
          <cell r="P55" t="str">
            <v>Contrato No. 159 de 2013
CDP 22813
11 Recursos del Tesoro</v>
          </cell>
          <cell r="Q55" t="str">
            <v>GRUPO 6</v>
          </cell>
          <cell r="R55" t="str">
            <v>CONSORCIO PROSPERIDAD 2013
LA MACUIRA INVERSIONES Y CONSTRUCCIONES
VNF S.A.
HORACIO VEGA CARDENAS</v>
          </cell>
          <cell r="S55">
            <v>900606407</v>
          </cell>
          <cell r="T55">
            <v>41380</v>
          </cell>
          <cell r="U55">
            <v>3788023833</v>
          </cell>
          <cell r="V55">
            <v>3788023833</v>
          </cell>
          <cell r="W55">
            <v>0</v>
          </cell>
          <cell r="X55">
            <v>327767491</v>
          </cell>
          <cell r="Y55">
            <v>327767491</v>
          </cell>
          <cell r="Z55">
            <v>0</v>
          </cell>
          <cell r="AA55">
            <v>0</v>
          </cell>
          <cell r="AB55" t="str">
            <v>RICAURTE</v>
          </cell>
          <cell r="AC55" t="str">
            <v>CUNDINAMARCA</v>
          </cell>
          <cell r="AD55">
            <v>41387</v>
          </cell>
          <cell r="AE55">
            <v>6</v>
          </cell>
          <cell r="AF55">
            <v>0</v>
          </cell>
          <cell r="AG55">
            <v>1136407149.8999999</v>
          </cell>
        </row>
        <row r="56">
          <cell r="A56" t="str">
            <v>PAF-ATF-056-2013</v>
          </cell>
          <cell r="B56" t="str">
            <v>“CONSTRUCCIÓN PRIMERA ETAPA DESCOLE ALCANTARILLADO COMBINADO CORREGIMIENTO DE JOSÉ MARÍA HERNÁNDEZ, MUNICIPIO DE PUPIALES- NARIÑO”</v>
          </cell>
          <cell r="C56">
            <v>998148083</v>
          </cell>
          <cell r="D56">
            <v>998148083</v>
          </cell>
          <cell r="E56">
            <v>0</v>
          </cell>
          <cell r="F56">
            <v>79851847</v>
          </cell>
          <cell r="G56">
            <v>79851847</v>
          </cell>
          <cell r="H56">
            <v>0</v>
          </cell>
          <cell r="I56">
            <v>0</v>
          </cell>
          <cell r="J56">
            <v>21559998.600000001</v>
          </cell>
          <cell r="K56">
            <v>22000000</v>
          </cell>
          <cell r="L56">
            <v>0</v>
          </cell>
          <cell r="M56">
            <v>41317</v>
          </cell>
          <cell r="N56" t="str">
            <v>Contrato No. 036 de 2012 
CDP 274712
10 Recursos Corrientes</v>
          </cell>
          <cell r="O56" t="str">
            <v>Contrato No. 036 de 2012 
CDP 274712
10 Recursos Corrientes</v>
          </cell>
          <cell r="P56" t="str">
            <v>Contrato No. 036 de 2012 
CDP 274712
10 Recursos Corrientes</v>
          </cell>
          <cell r="Q56" t="str">
            <v>GRUPO 6</v>
          </cell>
          <cell r="R56" t="str">
            <v xml:space="preserve">CONSORCIO CONSTRUCCIONES CIVILES 4
CALDERON INGENIEROS S.A.
CARLOS HERNAN ARIAS BETANCOURTH
JUAN CARLOS SANCHEZ GALVEZ
</v>
          </cell>
          <cell r="S56">
            <v>900608515</v>
          </cell>
          <cell r="T56">
            <v>41380</v>
          </cell>
          <cell r="U56">
            <v>979452918</v>
          </cell>
          <cell r="V56">
            <v>979452918</v>
          </cell>
          <cell r="W56">
            <v>0</v>
          </cell>
          <cell r="X56">
            <v>79279354</v>
          </cell>
          <cell r="Y56">
            <v>79279354</v>
          </cell>
          <cell r="Z56">
            <v>0</v>
          </cell>
          <cell r="AA56">
            <v>0</v>
          </cell>
          <cell r="AB56" t="str">
            <v>PUPIALES</v>
          </cell>
          <cell r="AC56" t="str">
            <v>NARIÑO</v>
          </cell>
          <cell r="AD56">
            <v>41390</v>
          </cell>
          <cell r="AE56">
            <v>8</v>
          </cell>
          <cell r="AF56">
            <v>0</v>
          </cell>
          <cell r="AG56">
            <v>293835875.39999998</v>
          </cell>
        </row>
        <row r="57">
          <cell r="A57" t="str">
            <v>PAF-ATF-057-2013</v>
          </cell>
          <cell r="B57" t="str">
            <v>“CONSTRUCCIÓN DE ALCANTARILLADO SANITARIO, SISTEMA DE TRATAMIENTO DE AGUAS RESIDUALES VEREDA MOHECHIZA MUNICIPIO DE YACUANQUER- NARIÑO”</v>
          </cell>
          <cell r="C57">
            <v>559826471</v>
          </cell>
          <cell r="D57">
            <v>559826471</v>
          </cell>
          <cell r="E57">
            <v>0</v>
          </cell>
          <cell r="F57">
            <v>27991324</v>
          </cell>
          <cell r="G57">
            <v>27991324</v>
          </cell>
          <cell r="H57">
            <v>0</v>
          </cell>
          <cell r="I57">
            <v>0</v>
          </cell>
          <cell r="J57">
            <v>11756355.9</v>
          </cell>
          <cell r="K57">
            <v>11996282</v>
          </cell>
          <cell r="L57">
            <v>0</v>
          </cell>
          <cell r="M57">
            <v>41317</v>
          </cell>
          <cell r="N57" t="str">
            <v>Contrato No. 036 de 2012 
CDP 274712
10 Recursos Corrientes</v>
          </cell>
          <cell r="O57" t="str">
            <v>Contrato No. 036 de 2012 
CDP 274712
10 Recursos Corrientes</v>
          </cell>
          <cell r="P57" t="str">
            <v>Contrato No. 036 de 2012 
CDP 274712
10 Recursos Corrientes</v>
          </cell>
          <cell r="Q57" t="str">
            <v>GRUPO 6</v>
          </cell>
          <cell r="R57" t="str">
            <v>CONSORCIO NARIÑO 2013
MIGUEL FERNANDO BURBANO MERA
EDILBERTO IBARRA DELGADO
SERGIO ARMANDO PANTOJA ORTIZ
FRANCISCO JAVIER VIVEROS PAZ
JHON JAIRO GALINDEZ SANTANDER</v>
          </cell>
          <cell r="S57">
            <v>900611068</v>
          </cell>
          <cell r="T57">
            <v>41380</v>
          </cell>
          <cell r="U57">
            <v>546465278</v>
          </cell>
          <cell r="V57">
            <v>546465278</v>
          </cell>
          <cell r="W57">
            <v>0</v>
          </cell>
          <cell r="X57">
            <v>27944865</v>
          </cell>
          <cell r="Y57">
            <v>27944865</v>
          </cell>
          <cell r="Z57">
            <v>0</v>
          </cell>
          <cell r="AA57">
            <v>0</v>
          </cell>
          <cell r="AB57" t="str">
            <v>YACUANQUER</v>
          </cell>
          <cell r="AC57" t="str">
            <v>NARIÑO</v>
          </cell>
          <cell r="AD57">
            <v>41381</v>
          </cell>
          <cell r="AE57">
            <v>6</v>
          </cell>
          <cell r="AF57">
            <v>41443</v>
          </cell>
          <cell r="AG57">
            <v>163939583.40000001</v>
          </cell>
        </row>
        <row r="58">
          <cell r="A58" t="str">
            <v>PAF-ATF-058-2013</v>
          </cell>
          <cell r="B58" t="str">
            <v>“OPTIMIZACIÓN Y AMPLIACIÓN DEL SISTEMA DE ACUEDUCTO DE LA CABECERA MUNICIPAL DE LOS PALMITOS- SUCRE”</v>
          </cell>
          <cell r="C58">
            <v>3938914151</v>
          </cell>
          <cell r="D58">
            <v>3938914151</v>
          </cell>
          <cell r="E58">
            <v>0</v>
          </cell>
          <cell r="F58">
            <v>300454097</v>
          </cell>
          <cell r="G58">
            <v>300454097</v>
          </cell>
          <cell r="H58">
            <v>0</v>
          </cell>
          <cell r="I58">
            <v>0</v>
          </cell>
          <cell r="J58">
            <v>84787364.960000008</v>
          </cell>
          <cell r="K58">
            <v>86517719</v>
          </cell>
          <cell r="L58">
            <v>0</v>
          </cell>
          <cell r="M58">
            <v>41317</v>
          </cell>
          <cell r="N58" t="str">
            <v>Contrato No. 036 de 2012
CDP 274712
16 Fondos Especiales</v>
          </cell>
          <cell r="O58" t="str">
            <v>Contrato No. 036 de 2012
CDP 274712
16 Fondos Especiales</v>
          </cell>
          <cell r="P58" t="str">
            <v>Contrato No. 036 de 2012
CDP 274712
16 Fondos Especiales</v>
          </cell>
          <cell r="Q58" t="str">
            <v>GRUPO 6</v>
          </cell>
          <cell r="R58" t="str">
            <v>CONSORCIO POZOS DE SUCRE 2013
CONSTRUCTORA INCO S.A.S.
GONZALO GONZALEZ VIANA
DANIEL ENRIQUE NUÑEZ GUERRA</v>
          </cell>
          <cell r="S58">
            <v>900612237</v>
          </cell>
          <cell r="T58">
            <v>41380</v>
          </cell>
          <cell r="U58">
            <v>3820158240</v>
          </cell>
          <cell r="V58">
            <v>3820158240</v>
          </cell>
          <cell r="W58">
            <v>0</v>
          </cell>
          <cell r="X58">
            <v>298015295</v>
          </cell>
          <cell r="Y58">
            <v>298015295</v>
          </cell>
          <cell r="Z58">
            <v>0</v>
          </cell>
          <cell r="AA58">
            <v>0</v>
          </cell>
          <cell r="AB58" t="str">
            <v>PALMITOS</v>
          </cell>
          <cell r="AC58" t="str">
            <v>SUCRE</v>
          </cell>
          <cell r="AD58">
            <v>41383</v>
          </cell>
          <cell r="AE58">
            <v>9</v>
          </cell>
          <cell r="AF58">
            <v>0</v>
          </cell>
          <cell r="AG58">
            <v>1146047472</v>
          </cell>
        </row>
        <row r="59">
          <cell r="A59" t="str">
            <v>PAF-ATF-059-2013</v>
          </cell>
          <cell r="B59" t="str">
            <v>OPTIMIZACIÓN Y AMPLIACIÓN DEL SISTEMA DE ALCANTARILLADO DE AGUAS RESIDUALES DEL CORREGIMIENTO EL REPOSO, MUNICIPIO DE APARTADÓ (ANTIOQUIA)”</v>
          </cell>
          <cell r="C59">
            <v>8139603820</v>
          </cell>
          <cell r="D59">
            <v>8139603820</v>
          </cell>
          <cell r="E59">
            <v>0</v>
          </cell>
          <cell r="F59">
            <v>569772267</v>
          </cell>
          <cell r="G59">
            <v>569772267</v>
          </cell>
          <cell r="H59">
            <v>0</v>
          </cell>
          <cell r="I59">
            <v>0</v>
          </cell>
          <cell r="J59">
            <v>174187521.74000001</v>
          </cell>
          <cell r="K59">
            <v>177742369</v>
          </cell>
          <cell r="L59">
            <v>0</v>
          </cell>
          <cell r="M59">
            <v>41339</v>
          </cell>
          <cell r="N59" t="str">
            <v>Contrato No. 159 de 2013
CDP 22813
11 Recursos del Tesoro</v>
          </cell>
          <cell r="O59" t="str">
            <v>Contrato No. 159 de 2013
CDP 22813
11 Recursos del Tesoro</v>
          </cell>
          <cell r="P59" t="str">
            <v>Contrato No. 159 de 2013
CDP 22813
11 Recursos del Tesoro</v>
          </cell>
          <cell r="Q59" t="str">
            <v>GRUPO 7</v>
          </cell>
          <cell r="R59" t="str">
            <v xml:space="preserve">CONSORCIO EL REPOSO
SANEAR S.A.
PAECIA S.A.S
RODRIGO LENIS SUCERQUIA
</v>
          </cell>
          <cell r="S59">
            <v>900629533</v>
          </cell>
          <cell r="T59">
            <v>41425</v>
          </cell>
          <cell r="U59">
            <v>7735362060</v>
          </cell>
          <cell r="V59">
            <v>7735362060</v>
          </cell>
          <cell r="W59">
            <v>0</v>
          </cell>
          <cell r="X59">
            <v>510574000</v>
          </cell>
          <cell r="Y59">
            <v>510574000</v>
          </cell>
          <cell r="Z59">
            <v>0</v>
          </cell>
          <cell r="AA59">
            <v>0</v>
          </cell>
          <cell r="AB59" t="str">
            <v>APARTADO</v>
          </cell>
          <cell r="AC59" t="str">
            <v>ANTIOQUIA</v>
          </cell>
          <cell r="AD59">
            <v>41452</v>
          </cell>
          <cell r="AE59">
            <v>10</v>
          </cell>
          <cell r="AF59">
            <v>0</v>
          </cell>
          <cell r="AG59">
            <v>2320608618</v>
          </cell>
        </row>
        <row r="60">
          <cell r="A60" t="str">
            <v>PAF-ATF-060-2013</v>
          </cell>
          <cell r="B60" t="str">
            <v>“CONSTRUCCIÓN DE LA ETAPA FINAL DE LA RED MATRIZ DE DISTRIBUCIÓN DEL SISTEMA DE ACUEDUCTO EN EL MUNICIPIO DE ARAUCA”</v>
          </cell>
          <cell r="C60">
            <v>8303396564</v>
          </cell>
          <cell r="D60">
            <v>8303396564</v>
          </cell>
          <cell r="E60">
            <v>0</v>
          </cell>
          <cell r="F60">
            <v>470504566</v>
          </cell>
          <cell r="G60">
            <v>470504566</v>
          </cell>
          <cell r="H60">
            <v>0</v>
          </cell>
          <cell r="I60">
            <v>0</v>
          </cell>
          <cell r="J60">
            <v>175478022.59999999</v>
          </cell>
          <cell r="K60">
            <v>179059207</v>
          </cell>
          <cell r="L60">
            <v>0</v>
          </cell>
          <cell r="M60">
            <v>41339</v>
          </cell>
          <cell r="N60" t="str">
            <v>Contrato No. 159 de 2013
CDP 22813
11 Recursos del Tesoro</v>
          </cell>
          <cell r="O60" t="str">
            <v>Contrato No. 159 de 2013
CDP 22813
11 Recursos del Tesoro</v>
          </cell>
          <cell r="P60" t="str">
            <v>Contrato No. 159 de 2013
CDP 22813
11 Recursos del Tesoro</v>
          </cell>
          <cell r="Q60" t="str">
            <v>GRUPO 7</v>
          </cell>
          <cell r="R60" t="str">
            <v>ANDINA DE CONSTRUCCIONES Y ASOCIADOS S.A.</v>
          </cell>
          <cell r="S60">
            <v>890918866</v>
          </cell>
          <cell r="T60">
            <v>41390</v>
          </cell>
          <cell r="U60">
            <v>8004497648</v>
          </cell>
          <cell r="V60">
            <v>8004497648</v>
          </cell>
          <cell r="W60">
            <v>0</v>
          </cell>
          <cell r="X60">
            <v>436804960</v>
          </cell>
          <cell r="Y60">
            <v>436804960</v>
          </cell>
          <cell r="Z60">
            <v>0</v>
          </cell>
          <cell r="AA60">
            <v>0</v>
          </cell>
          <cell r="AB60" t="str">
            <v>ARAUCA</v>
          </cell>
          <cell r="AC60" t="str">
            <v>ARAUCA</v>
          </cell>
          <cell r="AD60">
            <v>41394</v>
          </cell>
          <cell r="AE60">
            <v>10</v>
          </cell>
          <cell r="AF60">
            <v>0</v>
          </cell>
          <cell r="AG60">
            <v>2401349294.4000001</v>
          </cell>
        </row>
        <row r="61">
          <cell r="A61" t="str">
            <v>PAF-ATF-061-2013</v>
          </cell>
          <cell r="B61" t="str">
            <v>“AMPLIACIÓN REDES DE ALCANTARILLADO SANITARIO CABECERA MUNIICPAL DE SABANALARGA CUENCA NORORIENTAL SEGUNDA ETAPA BARRIOS: 7 DE AGOSTO, VILLA BELÉN Y LAS AMÉRICAS, Y AMPLIACIÓN DE REDES DE ACUEDUCTO BARRIO 7 DE AGOSTO, SABANALARGA (ATLÁNTICO)”</v>
          </cell>
          <cell r="C61">
            <v>2556163202</v>
          </cell>
          <cell r="D61">
            <v>2556163202</v>
          </cell>
          <cell r="E61">
            <v>0</v>
          </cell>
          <cell r="F61">
            <v>161337689</v>
          </cell>
          <cell r="G61">
            <v>161337689</v>
          </cell>
          <cell r="H61">
            <v>0</v>
          </cell>
          <cell r="I61">
            <v>0</v>
          </cell>
          <cell r="J61">
            <v>54350017.82</v>
          </cell>
          <cell r="K61">
            <v>55459202</v>
          </cell>
          <cell r="L61">
            <v>0</v>
          </cell>
          <cell r="M61">
            <v>41339</v>
          </cell>
          <cell r="N61" t="str">
            <v>Contrato No. 036 de 2012
CDP 274712
16 Fondos Especiales</v>
          </cell>
          <cell r="O61" t="str">
            <v>Contrato No. 036 de 2012
CDP 274712
16 Fondos Especiales</v>
          </cell>
          <cell r="P61" t="str">
            <v>Contrato No. 036 de 2012
CDP 274712
16 Fondos Especiales</v>
          </cell>
          <cell r="Q61" t="str">
            <v>GRUPO 7</v>
          </cell>
          <cell r="R61" t="str">
            <v>MEJIA VILLEGAS CONSTRUCTORES
CARLOS ALBERTO VILLEGAS LINARES</v>
          </cell>
          <cell r="S61">
            <v>890406491</v>
          </cell>
          <cell r="T61">
            <v>41390</v>
          </cell>
          <cell r="U61">
            <v>2482904239</v>
          </cell>
          <cell r="V61">
            <v>2482904239</v>
          </cell>
          <cell r="W61">
            <v>0</v>
          </cell>
          <cell r="X61">
            <v>159319040</v>
          </cell>
          <cell r="Y61">
            <v>159319040</v>
          </cell>
          <cell r="Z61">
            <v>0</v>
          </cell>
          <cell r="AA61">
            <v>0</v>
          </cell>
          <cell r="AB61" t="str">
            <v>SABANALARGA</v>
          </cell>
          <cell r="AC61" t="str">
            <v>ATLANTICO</v>
          </cell>
          <cell r="AD61">
            <v>41404</v>
          </cell>
          <cell r="AE61">
            <v>6</v>
          </cell>
          <cell r="AF61">
            <v>0</v>
          </cell>
          <cell r="AG61">
            <v>744871271.69999993</v>
          </cell>
        </row>
        <row r="62">
          <cell r="A62" t="str">
            <v>PAF-ATF-062-2013</v>
          </cell>
          <cell r="B62" t="str">
            <v>"CONSTRUCCIÓN PLAN MAESTRO ALCANTARILLADO, DEPARTANENTO DE BOYACA, MUNICIPIO DE GARAGOA"</v>
          </cell>
          <cell r="C62">
            <v>11821252114</v>
          </cell>
          <cell r="D62">
            <v>11821252114</v>
          </cell>
          <cell r="E62">
            <v>0</v>
          </cell>
          <cell r="F62">
            <v>711151277</v>
          </cell>
          <cell r="G62">
            <v>711151277</v>
          </cell>
          <cell r="H62">
            <v>0</v>
          </cell>
          <cell r="I62">
            <v>0</v>
          </cell>
          <cell r="J62">
            <v>250648067.81999999</v>
          </cell>
          <cell r="K62">
            <v>255763335</v>
          </cell>
          <cell r="L62">
            <v>0</v>
          </cell>
          <cell r="M62">
            <v>41339</v>
          </cell>
          <cell r="N62" t="str">
            <v>Contrato No. 159 de 2013
CDP 22813
11 Recursos del Tesoro</v>
          </cell>
          <cell r="O62" t="str">
            <v>Contrato No. 159 de 2013
CDP 22813
11 Recursos del Tesoro</v>
          </cell>
          <cell r="P62" t="str">
            <v>Contrato No. 159 de 2013
CDP 22813
11 Recursos del Tesoro</v>
          </cell>
          <cell r="Q62" t="str">
            <v>GRUPO 7</v>
          </cell>
          <cell r="R62" t="str">
            <v>CONSORCIO PLAN MAESTRO GARAGOA
ORLANDO FAJARDO CASTILLO
LUIS GABRIEL NIETO GARCIA
SERAVEZZA LIMITADA</v>
          </cell>
          <cell r="S62">
            <v>900616034</v>
          </cell>
          <cell r="T62">
            <v>41390</v>
          </cell>
          <cell r="U62">
            <v>11285343555</v>
          </cell>
          <cell r="V62">
            <v>11285343555</v>
          </cell>
          <cell r="W62">
            <v>0</v>
          </cell>
          <cell r="X62">
            <v>685513600</v>
          </cell>
          <cell r="Y62">
            <v>685513600</v>
          </cell>
          <cell r="Z62">
            <v>0</v>
          </cell>
          <cell r="AA62">
            <v>0</v>
          </cell>
          <cell r="AB62" t="str">
            <v>GARAGOA</v>
          </cell>
          <cell r="AC62" t="str">
            <v>BOYACA</v>
          </cell>
          <cell r="AD62">
            <v>41396</v>
          </cell>
          <cell r="AE62">
            <v>12</v>
          </cell>
          <cell r="AF62">
            <v>0</v>
          </cell>
          <cell r="AG62">
            <v>3385603066.5</v>
          </cell>
        </row>
        <row r="63">
          <cell r="A63" t="str">
            <v>PAF-ATF-063-2013</v>
          </cell>
          <cell r="B63" t="str">
            <v>"CONSTRUCCIÓN DEL INTERCEPTOR VILLA JARDIN CASCO URBANO, DEPARTAMENTO DE BOYACA MUNICIPIO DE PAIPA"</v>
          </cell>
          <cell r="C63">
            <v>13116560966</v>
          </cell>
          <cell r="D63">
            <v>13116560966</v>
          </cell>
          <cell r="E63">
            <v>0</v>
          </cell>
          <cell r="F63">
            <v>803399050</v>
          </cell>
          <cell r="G63">
            <v>803399050</v>
          </cell>
          <cell r="H63">
            <v>0</v>
          </cell>
          <cell r="I63">
            <v>0</v>
          </cell>
          <cell r="J63">
            <v>278399200.31999999</v>
          </cell>
          <cell r="K63">
            <v>284080817</v>
          </cell>
          <cell r="L63">
            <v>0</v>
          </cell>
          <cell r="M63">
            <v>41339</v>
          </cell>
          <cell r="N63" t="str">
            <v>Contrato No. 159 de 2013
CDP 22813
11 Recursos del Tesoro</v>
          </cell>
          <cell r="O63" t="str">
            <v>Contrato No. 159 de 2013
CDP 22813
11 Recursos del Tesoro</v>
          </cell>
          <cell r="P63" t="str">
            <v>Contrato No. 159 de 2013
CDP 22813
11 Recursos del Tesoro</v>
          </cell>
          <cell r="Q63" t="str">
            <v>GRUPO 7</v>
          </cell>
          <cell r="R63" t="str">
            <v xml:space="preserve">CONSORCIO INTERCEPTOR BICENTENERIO PAIPA
ORLANDO FAJARDO CASTILLO
CONSTRUCTORA FAJARDO NIETO LIMITADA
LUIS GABRIEL NIETO GARCIA
</v>
          </cell>
          <cell r="S63">
            <v>900616041</v>
          </cell>
          <cell r="T63">
            <v>41390</v>
          </cell>
          <cell r="U63">
            <v>12404840019</v>
          </cell>
          <cell r="V63">
            <v>12404840019</v>
          </cell>
          <cell r="W63">
            <v>0</v>
          </cell>
          <cell r="X63">
            <v>744418400</v>
          </cell>
          <cell r="Y63">
            <v>744418400</v>
          </cell>
          <cell r="Z63">
            <v>0</v>
          </cell>
          <cell r="AA63">
            <v>0</v>
          </cell>
          <cell r="AB63" t="str">
            <v>PAIPA</v>
          </cell>
          <cell r="AC63" t="str">
            <v>BOYACA</v>
          </cell>
          <cell r="AD63">
            <v>41396</v>
          </cell>
          <cell r="AE63">
            <v>12</v>
          </cell>
          <cell r="AF63">
            <v>0</v>
          </cell>
          <cell r="AG63">
            <v>3721452005.6999998</v>
          </cell>
        </row>
        <row r="64">
          <cell r="A64" t="str">
            <v>PAF-ATF-064-2013</v>
          </cell>
          <cell r="B64" t="str">
            <v>"OPTIMIZACIÓN DEL SISTEMA DE ACUEDUCTO Y ALCANTARILLADO DE LA ZONA CENTRO, SUR Y BARRIO LOS ANDES DEPARTAMENTO DE CALDAS, MUNICIPIO DE LA DORADA"</v>
          </cell>
          <cell r="C64">
            <v>19031313903</v>
          </cell>
          <cell r="D64">
            <v>19031313903</v>
          </cell>
          <cell r="E64">
            <v>0</v>
          </cell>
          <cell r="F64">
            <v>1332191973</v>
          </cell>
          <cell r="G64">
            <v>1332191973</v>
          </cell>
          <cell r="H64">
            <v>0</v>
          </cell>
          <cell r="I64">
            <v>0</v>
          </cell>
          <cell r="J64">
            <v>407270117.51999998</v>
          </cell>
          <cell r="K64">
            <v>415581753</v>
          </cell>
          <cell r="L64">
            <v>0</v>
          </cell>
          <cell r="M64">
            <v>41339</v>
          </cell>
          <cell r="N64" t="str">
            <v>Contrato No. 159 de 2013
CDP 22813
11 Recursos del Tesoro</v>
          </cell>
          <cell r="O64" t="str">
            <v>Contrato No. 159 de 2013
CDP 22813
11 Recursos del Tesoro</v>
          </cell>
          <cell r="P64" t="str">
            <v>Contrato No. 159 de 2013
CDP 22813
11 Recursos del Tesoro</v>
          </cell>
          <cell r="Q64" t="str">
            <v>GRUPO 7</v>
          </cell>
          <cell r="R64" t="str">
            <v>CONSORCIO LA DORADA 64
CONEQUIPOS ING LTDA
INGENIEROS G.F. S.A.S
CONSICAL LTDA</v>
          </cell>
          <cell r="S64">
            <v>900614114</v>
          </cell>
          <cell r="T64">
            <v>41384</v>
          </cell>
          <cell r="U64">
            <v>17416344907</v>
          </cell>
          <cell r="V64">
            <v>17416344907</v>
          </cell>
          <cell r="W64">
            <v>0</v>
          </cell>
          <cell r="X64">
            <v>1229599536</v>
          </cell>
          <cell r="Y64">
            <v>1229599536</v>
          </cell>
          <cell r="Z64">
            <v>0</v>
          </cell>
          <cell r="AA64">
            <v>0</v>
          </cell>
          <cell r="AB64" t="str">
            <v>LA DORADA</v>
          </cell>
          <cell r="AC64" t="str">
            <v>CALDAS</v>
          </cell>
          <cell r="AD64">
            <v>41387</v>
          </cell>
          <cell r="AE64">
            <v>10</v>
          </cell>
          <cell r="AF64">
            <v>0</v>
          </cell>
          <cell r="AG64">
            <v>5224903472.0999994</v>
          </cell>
        </row>
        <row r="65">
          <cell r="A65" t="str">
            <v>PAF-ATF-065-2013</v>
          </cell>
          <cell r="B65" t="str">
            <v>"AMPLIACIÓN DEL SITEMA DE ALCANTARILLADO SANITARIO PARA LA CONEXIÓN DE LOS BARRIOS YOVANNI SOTO, EL PRADO Y MARIA CONCEPCIÓN, DEPARTAMENTO DEL CESAR MUNICIPIO DE PUEBLO BELLO"</v>
          </cell>
          <cell r="C65">
            <v>961916124</v>
          </cell>
          <cell r="D65">
            <v>961916124</v>
          </cell>
          <cell r="E65">
            <v>0</v>
          </cell>
          <cell r="F65">
            <v>57714967</v>
          </cell>
          <cell r="G65">
            <v>57714967</v>
          </cell>
          <cell r="H65">
            <v>0</v>
          </cell>
          <cell r="I65">
            <v>0</v>
          </cell>
          <cell r="J65">
            <v>20392621.82</v>
          </cell>
          <cell r="K65">
            <v>20808798</v>
          </cell>
          <cell r="L65">
            <v>0</v>
          </cell>
          <cell r="M65">
            <v>41339</v>
          </cell>
          <cell r="N65" t="str">
            <v>Contrato No. 159 de 2013
CDP 22813
11 Recursos del Tesoro</v>
          </cell>
          <cell r="O65" t="str">
            <v>Contrato No. 159 de 2013
CDP 22813
11 Recursos del Tesoro</v>
          </cell>
          <cell r="P65" t="str">
            <v>Contrato No. 159 de 2013
CDP 22813
11 Recursos del Tesoro</v>
          </cell>
          <cell r="Q65" t="str">
            <v>GRUPO 7</v>
          </cell>
          <cell r="R65" t="str">
            <v>UNION TEMPORAL ALCANTARILLADOS 2013
PAECIA S.A.S.
AGUIDEL S.A.S.</v>
          </cell>
          <cell r="S65">
            <v>900618176</v>
          </cell>
          <cell r="T65">
            <v>41394</v>
          </cell>
          <cell r="U65">
            <v>936682914</v>
          </cell>
          <cell r="V65">
            <v>936682914</v>
          </cell>
          <cell r="W65">
            <v>0</v>
          </cell>
          <cell r="X65">
            <v>53592000</v>
          </cell>
          <cell r="Y65">
            <v>53592000</v>
          </cell>
          <cell r="Z65">
            <v>0</v>
          </cell>
          <cell r="AA65">
            <v>0</v>
          </cell>
          <cell r="AB65" t="str">
            <v>PUEBLO BELLO</v>
          </cell>
          <cell r="AC65" t="str">
            <v>CESAR</v>
          </cell>
          <cell r="AD65">
            <v>41404</v>
          </cell>
          <cell r="AE65">
            <v>5</v>
          </cell>
          <cell r="AF65">
            <v>0</v>
          </cell>
          <cell r="AG65">
            <v>281004874.19999999</v>
          </cell>
        </row>
        <row r="66">
          <cell r="A66" t="str">
            <v>PAF-ATF-066-2013</v>
          </cell>
          <cell r="B66" t="str">
            <v>"CONSTRUCCIÓN DE LA PLANTA DE TRATAMIENTO DE AGUAS RESIDUALES Y TERMINACIÓN DE LAS REDES COLECTORAS DEL SISTEMA DE ALCANTARILLADO EN CIUDAD MUTIS CABECERA MUNICIPAL, DEPARTAMENTO DEL CHOCO MUNICIPIO DE BAHIA SOLANO"</v>
          </cell>
          <cell r="C66">
            <v>9400454197</v>
          </cell>
          <cell r="D66">
            <v>9400454197</v>
          </cell>
          <cell r="E66">
            <v>0</v>
          </cell>
          <cell r="F66">
            <v>709792392</v>
          </cell>
          <cell r="G66">
            <v>709792392</v>
          </cell>
          <cell r="H66">
            <v>0</v>
          </cell>
          <cell r="I66">
            <v>0</v>
          </cell>
          <cell r="J66">
            <v>202204931.78</v>
          </cell>
          <cell r="K66">
            <v>206331563</v>
          </cell>
          <cell r="L66">
            <v>0</v>
          </cell>
          <cell r="M66">
            <v>41339</v>
          </cell>
          <cell r="N66" t="str">
            <v>Contrato No. 159 de 2013
CDP 22813
11 Recursos del Tesoro</v>
          </cell>
          <cell r="O66" t="str">
            <v>Contrato No. 159 de 2013
CDP 22813
11 Recursos del Tesoro</v>
          </cell>
          <cell r="P66" t="str">
            <v>Contrato No. 159 de 2013
CDP 22813
11 Recursos del Tesoro</v>
          </cell>
          <cell r="Q66" t="str">
            <v>GRUPO 7</v>
          </cell>
          <cell r="R66" t="str">
            <v>TSK ELECTRONICA Y ELECTRICIDAD S.A</v>
          </cell>
          <cell r="S66">
            <v>480359017</v>
          </cell>
          <cell r="T66">
            <v>41390</v>
          </cell>
          <cell r="U66">
            <v>8897698625</v>
          </cell>
          <cell r="V66">
            <v>8897698625</v>
          </cell>
          <cell r="W66">
            <v>0</v>
          </cell>
          <cell r="X66">
            <v>662093200</v>
          </cell>
          <cell r="Y66">
            <v>662093200</v>
          </cell>
          <cell r="Z66">
            <v>0</v>
          </cell>
          <cell r="AA66">
            <v>0</v>
          </cell>
          <cell r="AB66" t="str">
            <v>BAHIA SOLANO</v>
          </cell>
          <cell r="AC66" t="str">
            <v>CHOCO</v>
          </cell>
          <cell r="AD66">
            <v>41411</v>
          </cell>
          <cell r="AE66">
            <v>12</v>
          </cell>
          <cell r="AF66">
            <v>0</v>
          </cell>
          <cell r="AG66">
            <v>2669309587.5</v>
          </cell>
        </row>
        <row r="67">
          <cell r="A67" t="str">
            <v>PAF-ATF-067-2013</v>
          </cell>
          <cell r="B67" t="str">
            <v>"CONSTRUCCIÓN DEL EMBALSE SANTA MARTA DEL SISTEMA DE ACUEDUCTO, DEPARTAMENTO DE CUNDIBNAMARCA, MUNICIPIO DE FACATATIVA"</v>
          </cell>
          <cell r="C67">
            <v>8396396047</v>
          </cell>
          <cell r="D67">
            <v>8396396047</v>
          </cell>
          <cell r="E67">
            <v>0</v>
          </cell>
          <cell r="F67">
            <v>581928439</v>
          </cell>
          <cell r="G67">
            <v>581928439</v>
          </cell>
          <cell r="H67">
            <v>0</v>
          </cell>
          <cell r="I67">
            <v>0</v>
          </cell>
          <cell r="J67">
            <v>179566489.72</v>
          </cell>
          <cell r="K67">
            <v>183231112</v>
          </cell>
          <cell r="L67">
            <v>0</v>
          </cell>
          <cell r="M67">
            <v>41339</v>
          </cell>
          <cell r="N67" t="str">
            <v>Contrato No. 159 de 2013
CDP 22813
11 Recursos del Tesoro</v>
          </cell>
          <cell r="O67" t="str">
            <v>Contrato No. 159 de 2013
CDP 22813
11 Recursos del Tesoro</v>
          </cell>
          <cell r="P67" t="str">
            <v>Contrato No. 159 de 2013
CDP 22813
11 Recursos del Tesoro</v>
          </cell>
          <cell r="Q67" t="str">
            <v>GRUPO 7</v>
          </cell>
          <cell r="R67" t="str">
            <v xml:space="preserve">CONSORCIO EMBALSE FACATATIVA
ALDO GUTIERREZ FRANCO
EDUARDO GIRONZA
</v>
          </cell>
          <cell r="S67">
            <v>900617780</v>
          </cell>
          <cell r="T67">
            <v>41390</v>
          </cell>
          <cell r="U67">
            <v>7959981888</v>
          </cell>
          <cell r="V67">
            <v>7959981888</v>
          </cell>
          <cell r="W67">
            <v>0</v>
          </cell>
          <cell r="X67">
            <v>552960400</v>
          </cell>
          <cell r="Y67">
            <v>552960400</v>
          </cell>
          <cell r="Z67">
            <v>0</v>
          </cell>
          <cell r="AA67">
            <v>0</v>
          </cell>
          <cell r="AB67" t="str">
            <v>FACATATIVA</v>
          </cell>
          <cell r="AC67" t="str">
            <v>CUNDINAMARCA</v>
          </cell>
          <cell r="AD67">
            <v>41403</v>
          </cell>
          <cell r="AE67">
            <v>12</v>
          </cell>
          <cell r="AF67">
            <v>0</v>
          </cell>
          <cell r="AG67">
            <v>2387994566.4000001</v>
          </cell>
        </row>
        <row r="68">
          <cell r="A68" t="str">
            <v>PAF-ATF-068-2013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PAF-ATF-088-2013</v>
          </cell>
          <cell r="B68" t="str">
            <v>"AMPLIACIÓN Y OPTIMIZACIÓN DEL ACUEDUCTO DE LOS CORREGIMIENTOS DE ISLAS DEL ROSARIO, PALMIRA Y TASAJERA, DEPARTAMENTO DEL MAGDALENA, MUNICIPIO DE PUEBLO VIEJO"</v>
          </cell>
          <cell r="C68">
            <v>5297308498</v>
          </cell>
          <cell r="D68">
            <v>5297308498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105946169.96000001</v>
          </cell>
          <cell r="K68">
            <v>114731521</v>
          </cell>
          <cell r="L68">
            <v>0</v>
          </cell>
          <cell r="M68">
            <v>41339</v>
          </cell>
          <cell r="N68" t="str">
            <v>Contrato No. 159 de 2013
CDP 22813
16 Fondos Especiales</v>
          </cell>
          <cell r="O68" t="str">
            <v>Contrato No. 159 de 2013
CDP 22813
16 Fondos Especiales</v>
          </cell>
          <cell r="P68" t="str">
            <v>Contrato No. 159 de 2013
CDP 22813
16 Fondos Especiales</v>
          </cell>
          <cell r="Q68" t="str">
            <v>GRUPO 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GRUPO 3A</v>
          </cell>
          <cell r="R68">
            <v>0</v>
          </cell>
          <cell r="S68">
            <v>0</v>
          </cell>
          <cell r="T68" t="str">
            <v>SUSPENSIÓN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 t="str">
            <v>PUEBLO VIEJO</v>
          </cell>
          <cell r="AC68" t="str">
            <v>MAGDALENA</v>
          </cell>
          <cell r="AD68">
            <v>0</v>
          </cell>
          <cell r="AE68">
            <v>9</v>
          </cell>
          <cell r="AF68">
            <v>0</v>
          </cell>
          <cell r="AG68">
            <v>0</v>
          </cell>
        </row>
        <row r="69">
          <cell r="A69" t="str">
            <v>PAF-ATF-069-2013</v>
          </cell>
          <cell r="B69" t="str">
            <v>"CONSTRUCCIÓN DEL ALCANTARILLADO SANITARIO URBANIZACIÓN 20 DE JULIO VEREDA DE LA AGUADA Y CONSTRUCCIÓN DEL ALCANTARILLADO SANITARIO Y SISTEMA DE TRATAMIENTO DE AGUAS RESIDUALES VEREDA TASNAQUE, DEPARTAMENTO DE NARIÑO, MUNICIPIO DE YACUANQUER".</v>
          </cell>
          <cell r="C69">
            <v>582617660</v>
          </cell>
          <cell r="D69">
            <v>582617660</v>
          </cell>
          <cell r="E69">
            <v>0</v>
          </cell>
          <cell r="F69">
            <v>29130883</v>
          </cell>
          <cell r="G69">
            <v>29130883</v>
          </cell>
          <cell r="H69">
            <v>0</v>
          </cell>
          <cell r="I69">
            <v>0</v>
          </cell>
          <cell r="J69">
            <v>12234970.859999999</v>
          </cell>
          <cell r="K69">
            <v>12484664</v>
          </cell>
          <cell r="L69">
            <v>0</v>
          </cell>
          <cell r="M69">
            <v>41339</v>
          </cell>
          <cell r="N69" t="str">
            <v>Contrato No. 036 de 2012 
CDP 274712
10 Recursos Corrientes</v>
          </cell>
          <cell r="O69" t="str">
            <v>Contrato 036 de 2012
CDP 316212
13 Nación</v>
          </cell>
          <cell r="P69" t="str">
            <v>Contrato No. 036 de 2012 
CDP 274712
10 Recursos Corrientes</v>
          </cell>
          <cell r="Q69" t="str">
            <v>GRUPO 7</v>
          </cell>
          <cell r="R69" t="str">
            <v>CONSORCIO ALCANTARILLADO 20 DE JULIO
HECTOR JULIO CASAS ORDOÑEZ
PROMOTORA NACIONAL DE CONSTRUCCIONES PRONACON S.A.S.</v>
          </cell>
          <cell r="S69">
            <v>900620547</v>
          </cell>
          <cell r="T69">
            <v>41394</v>
          </cell>
          <cell r="U69">
            <v>536256101</v>
          </cell>
          <cell r="V69">
            <v>536256101</v>
          </cell>
          <cell r="W69">
            <v>0</v>
          </cell>
          <cell r="X69">
            <v>29064960</v>
          </cell>
          <cell r="Y69">
            <v>29064960</v>
          </cell>
          <cell r="Z69">
            <v>0</v>
          </cell>
          <cell r="AA69">
            <v>0</v>
          </cell>
          <cell r="AB69" t="str">
            <v>YACUANQUER</v>
          </cell>
          <cell r="AC69" t="str">
            <v>NARIÑO</v>
          </cell>
          <cell r="AD69">
            <v>41414</v>
          </cell>
          <cell r="AE69">
            <v>6</v>
          </cell>
          <cell r="AF69">
            <v>0</v>
          </cell>
          <cell r="AG69">
            <v>160876830.29999998</v>
          </cell>
        </row>
        <row r="70">
          <cell r="A70" t="str">
            <v>PAF-ATF-070-2013</v>
          </cell>
          <cell r="B70" t="str">
            <v>“CONSTRUCCIÓN SISTEMA DE ALCANTARILLADO PLUVIAL SECTORES CALLE 9 Y 8 ENTRE CARRERAS 12D Y 2 Y CALLE 7 ENTRE CARRERA 7 Y 2 DEL MUNICIPIO DE CIMITARRA (SANTANDER)”</v>
          </cell>
          <cell r="C70">
            <v>4439473895</v>
          </cell>
          <cell r="D70">
            <v>4439473895</v>
          </cell>
          <cell r="E70">
            <v>0</v>
          </cell>
          <cell r="F70">
            <v>318298585</v>
          </cell>
          <cell r="G70">
            <v>318298585</v>
          </cell>
          <cell r="H70">
            <v>0</v>
          </cell>
          <cell r="I70">
            <v>0</v>
          </cell>
          <cell r="J70">
            <v>95155449.600000009</v>
          </cell>
          <cell r="K70">
            <v>97097398</v>
          </cell>
          <cell r="L70">
            <v>0</v>
          </cell>
          <cell r="M70">
            <v>41339</v>
          </cell>
          <cell r="N70" t="str">
            <v>Contrato No. 159 de 2013
CDP 22813
16 Fondos Especiales</v>
          </cell>
          <cell r="O70" t="str">
            <v>Contrato No. 159 de 2013
CDP 22813
16 Fondos Especiales</v>
          </cell>
          <cell r="P70" t="str">
            <v>Contrato No. 159 de 2013
CDP 22813
16 Fondos Especiales</v>
          </cell>
          <cell r="Q70" t="str">
            <v>GRUPO 7</v>
          </cell>
          <cell r="R70" t="str">
            <v>UNION TEMPORAL ALCANTARILLADOS
DAVID VEGA LUNA
GAMA INGENIEROS Y ARQUITECTOS S.A.S.</v>
          </cell>
          <cell r="S70">
            <v>900614538</v>
          </cell>
          <cell r="T70">
            <v>41394</v>
          </cell>
          <cell r="U70">
            <v>4161410913</v>
          </cell>
          <cell r="V70">
            <v>4161410913</v>
          </cell>
          <cell r="W70">
            <v>0</v>
          </cell>
          <cell r="X70">
            <v>317115000</v>
          </cell>
          <cell r="Y70">
            <v>317115000</v>
          </cell>
          <cell r="Z70">
            <v>0</v>
          </cell>
          <cell r="AA70">
            <v>0</v>
          </cell>
          <cell r="AB70" t="str">
            <v>CIMITARRA</v>
          </cell>
          <cell r="AC70" t="str">
            <v>SANTANDER</v>
          </cell>
          <cell r="AD70">
            <v>41401</v>
          </cell>
          <cell r="AE70">
            <v>8</v>
          </cell>
          <cell r="AF70">
            <v>0</v>
          </cell>
          <cell r="AG70">
            <v>1248423273.8999999</v>
          </cell>
        </row>
        <row r="71">
          <cell r="A71" t="str">
            <v>PAF-ATF-071-2013</v>
          </cell>
          <cell r="B71" t="str">
            <v>“OPTIMIZACIÓN DEL SISTEMA DE ALCANTARILLADO CASCO URBANO FASE I MUNICIPIO DE FALAN (TOLIMA)”</v>
          </cell>
          <cell r="C71">
            <v>1812681048</v>
          </cell>
          <cell r="D71">
            <v>1812681048</v>
          </cell>
          <cell r="E71">
            <v>0</v>
          </cell>
          <cell r="F71">
            <v>116070952</v>
          </cell>
          <cell r="G71">
            <v>116070952</v>
          </cell>
          <cell r="H71">
            <v>0</v>
          </cell>
          <cell r="I71">
            <v>0</v>
          </cell>
          <cell r="J71">
            <v>38575040</v>
          </cell>
          <cell r="K71">
            <v>39362286</v>
          </cell>
          <cell r="L71">
            <v>0</v>
          </cell>
          <cell r="M71">
            <v>41339</v>
          </cell>
          <cell r="N71" t="str">
            <v>Contrato No. 159 de 2013
CDP 22813
16 Fondos Especiales</v>
          </cell>
          <cell r="O71" t="str">
            <v>Contrato No. 159 de 2013
CDP 22813
16 Fondos Especiales</v>
          </cell>
          <cell r="P71" t="str">
            <v>Contrato No. 159 de 2013
CDP 22813
16 Fondos Especiales</v>
          </cell>
          <cell r="Q71" t="str">
            <v>GRUPO 7</v>
          </cell>
          <cell r="R71" t="str">
            <v xml:space="preserve">CONSORCIO MEGA REDES CARIBE
UCO S.A.
VIRGILIO ENRIQUE OSORIO TORRES
LUIS VALDIMIR PEÑALOZA FUENTES
</v>
          </cell>
          <cell r="S71">
            <v>900616495</v>
          </cell>
          <cell r="T71">
            <v>41394</v>
          </cell>
          <cell r="U71">
            <v>1745528248</v>
          </cell>
          <cell r="V71">
            <v>1745528248</v>
          </cell>
          <cell r="W71">
            <v>0</v>
          </cell>
          <cell r="X71">
            <v>114666000</v>
          </cell>
          <cell r="Y71">
            <v>114666000</v>
          </cell>
          <cell r="Z71">
            <v>0</v>
          </cell>
          <cell r="AA71">
            <v>0</v>
          </cell>
          <cell r="AB71" t="str">
            <v>FALAN</v>
          </cell>
          <cell r="AC71" t="str">
            <v>TOLIMA</v>
          </cell>
          <cell r="AD71">
            <v>41403</v>
          </cell>
          <cell r="AE71">
            <v>4</v>
          </cell>
          <cell r="AF71">
            <v>0</v>
          </cell>
          <cell r="AG71">
            <v>523658474.39999998</v>
          </cell>
        </row>
        <row r="72">
          <cell r="A72" t="str">
            <v>PAF-ATF-072-2013</v>
          </cell>
          <cell r="B72" t="str">
            <v>“CONSTRUCCIÓN ALCANTARILLADO CASCO URBANO MUNICIPIO DE PRADERA (VALLE DEL CAUCA)”</v>
          </cell>
          <cell r="C72">
            <v>9851829083</v>
          </cell>
          <cell r="D72">
            <v>9851829083</v>
          </cell>
          <cell r="E72">
            <v>0</v>
          </cell>
          <cell r="F72">
            <v>603131105</v>
          </cell>
          <cell r="G72">
            <v>603131105</v>
          </cell>
          <cell r="H72">
            <v>0</v>
          </cell>
          <cell r="I72">
            <v>0</v>
          </cell>
          <cell r="J72">
            <v>209099203.75999999</v>
          </cell>
          <cell r="K72">
            <v>213366534</v>
          </cell>
          <cell r="L72">
            <v>0</v>
          </cell>
          <cell r="M72">
            <v>41339</v>
          </cell>
          <cell r="N72" t="str">
            <v>Contrato No. 159 de 2013
CDP 22813
16 Fondos Especiales</v>
          </cell>
          <cell r="O72" t="str">
            <v>Contrato No. 159 de 2013
CDP 22813
16 Fondos Especiales</v>
          </cell>
          <cell r="P72" t="str">
            <v>Contrato No. 159 de 2013
CDP 22813
16 Fondos Especiales</v>
          </cell>
          <cell r="Q72" t="str">
            <v>GRUPO 7</v>
          </cell>
          <cell r="R72" t="str">
            <v>INGENIERIA Y CONTRATOS S.A.S.</v>
          </cell>
          <cell r="S72">
            <v>800011651</v>
          </cell>
          <cell r="T72">
            <v>41394</v>
          </cell>
          <cell r="U72">
            <v>9240156121</v>
          </cell>
          <cell r="V72">
            <v>9240156121</v>
          </cell>
          <cell r="W72">
            <v>0</v>
          </cell>
          <cell r="X72">
            <v>561042816</v>
          </cell>
          <cell r="Y72">
            <v>561042816</v>
          </cell>
          <cell r="Z72">
            <v>0</v>
          </cell>
          <cell r="AA72">
            <v>0</v>
          </cell>
          <cell r="AB72" t="str">
            <v>PRADERA</v>
          </cell>
          <cell r="AC72" t="str">
            <v>VALLE DEL CAUCA</v>
          </cell>
          <cell r="AD72">
            <v>41402</v>
          </cell>
          <cell r="AE72">
            <v>10</v>
          </cell>
          <cell r="AF72">
            <v>0</v>
          </cell>
          <cell r="AG72">
            <v>2772046836.2999997</v>
          </cell>
        </row>
        <row r="73">
          <cell r="A73" t="str">
            <v>PAF-ATF-073-2013</v>
          </cell>
          <cell r="B73" t="str">
            <v>“CONSTRUCCIÓN CLAUSURA DEL SITIO DE DISPOSICIÓN FINAL DE NAVARRO EN EL MUNICIPIO DE SANTIAGO DE CALI (VALLE DEL CAUCA)”</v>
          </cell>
          <cell r="C73">
            <v>5444444445</v>
          </cell>
          <cell r="D73">
            <v>5444444445</v>
          </cell>
          <cell r="E73">
            <v>0</v>
          </cell>
          <cell r="F73">
            <v>435555555</v>
          </cell>
          <cell r="G73">
            <v>435555555</v>
          </cell>
          <cell r="H73">
            <v>0</v>
          </cell>
          <cell r="I73">
            <v>0</v>
          </cell>
          <cell r="J73">
            <v>117600000</v>
          </cell>
          <cell r="K73">
            <v>120000000</v>
          </cell>
          <cell r="L73">
            <v>0</v>
          </cell>
          <cell r="M73">
            <v>41339</v>
          </cell>
          <cell r="N73" t="str">
            <v xml:space="preserve">CDP 152012  
SEGUN MAIL REMITIDO DEL MVCT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O73" t="str">
            <v>Contrato No. 036 de 2012
CDP 274712
16 Fondos Especiales</v>
          </cell>
          <cell r="P73" t="str">
            <v>Contrato No. 036 de 2012
CDP 274712
16 Fondos Especiales</v>
          </cell>
          <cell r="Q73" t="str">
            <v>GRUPO 7</v>
          </cell>
          <cell r="R73" t="str">
            <v>OMAR VELEZ HOYOS</v>
          </cell>
          <cell r="S73">
            <v>19130521</v>
          </cell>
          <cell r="T73">
            <v>41394</v>
          </cell>
          <cell r="U73">
            <v>4895672808</v>
          </cell>
          <cell r="V73">
            <v>4895672808</v>
          </cell>
          <cell r="W73">
            <v>0</v>
          </cell>
          <cell r="X73">
            <v>428272000</v>
          </cell>
          <cell r="Y73">
            <v>428272000</v>
          </cell>
          <cell r="Z73">
            <v>0</v>
          </cell>
          <cell r="AA73">
            <v>0</v>
          </cell>
          <cell r="AB73" t="str">
            <v>SANTIAGO DE CALI</v>
          </cell>
          <cell r="AC73" t="str">
            <v>VALLE DEL CAUCA</v>
          </cell>
          <cell r="AD73">
            <v>41402</v>
          </cell>
          <cell r="AE73">
            <v>12</v>
          </cell>
          <cell r="AF73">
            <v>0</v>
          </cell>
          <cell r="AG73">
            <v>1468701842.3999999</v>
          </cell>
        </row>
        <row r="74">
          <cell r="A74" t="str">
            <v>PAF-ATF-077-2013</v>
          </cell>
          <cell r="B74" t="str">
            <v>“OPTIMIZACIÓN DE LOS COMPONENTES DEL SISTEMA DE ACUEDUCTO DEL CASCO URBANO DEL MUNICIPIO DE PARATEBUENO - DEPARTAMENTO DE CUNDINAMARCA”</v>
          </cell>
          <cell r="C74">
            <v>3533642021</v>
          </cell>
          <cell r="D74">
            <v>3533642021</v>
          </cell>
          <cell r="E74">
            <v>0</v>
          </cell>
          <cell r="F74">
            <v>247354941</v>
          </cell>
          <cell r="G74">
            <v>247354941</v>
          </cell>
          <cell r="H74">
            <v>0</v>
          </cell>
          <cell r="I74">
            <v>0</v>
          </cell>
          <cell r="J74">
            <v>75619939.239999995</v>
          </cell>
          <cell r="K74">
            <v>77163203</v>
          </cell>
          <cell r="L74">
            <v>0</v>
          </cell>
          <cell r="M74">
            <v>41355</v>
          </cell>
          <cell r="N74" t="str">
            <v>Contrato No. 036 de 2012
CDP 274712
16 Fondos Especiales</v>
          </cell>
          <cell r="O74" t="str">
            <v>Contrato No. 036 de 2012
CDP 274712
16 Fondos Especiales</v>
          </cell>
          <cell r="P74" t="str">
            <v>-</v>
          </cell>
          <cell r="Q74" t="str">
            <v xml:space="preserve">GRUPO 8 </v>
          </cell>
          <cell r="R74" t="str">
            <v>CONSORCIO MEDELLIN
SANEAR S.A.
PAECIA S.A.</v>
          </cell>
          <cell r="S74">
            <v>900629172</v>
          </cell>
          <cell r="T74">
            <v>41425</v>
          </cell>
          <cell r="U74">
            <v>3334942716</v>
          </cell>
          <cell r="V74">
            <v>3334942716</v>
          </cell>
          <cell r="W74">
            <v>0</v>
          </cell>
          <cell r="X74">
            <v>246553360</v>
          </cell>
          <cell r="Y74">
            <v>246553360</v>
          </cell>
          <cell r="Z74">
            <v>0</v>
          </cell>
          <cell r="AA74">
            <v>0</v>
          </cell>
          <cell r="AB74" t="str">
            <v>PARATABUENO</v>
          </cell>
          <cell r="AC74" t="str">
            <v>CUNDINAMARCA</v>
          </cell>
          <cell r="AD74">
            <v>41449</v>
          </cell>
          <cell r="AE74">
            <v>10</v>
          </cell>
          <cell r="AF74">
            <v>0</v>
          </cell>
          <cell r="AG74">
            <v>1000482814.8</v>
          </cell>
        </row>
        <row r="75">
          <cell r="A75" t="str">
            <v>PAF-ATF-078-2013</v>
          </cell>
          <cell r="B75" t="str">
            <v>"CONSTRUCCIÓN DE ESTACIÓN DE BOMBEO DE AGUA POTABLE EN LA PLANTA DE TRATAMIENTO – MUNICIPIO DE TUMACO- DEPARTAMENTO DE NARIÑO”</v>
          </cell>
          <cell r="C75">
            <v>1763388542</v>
          </cell>
          <cell r="D75">
            <v>1763388542</v>
          </cell>
          <cell r="E75">
            <v>0</v>
          </cell>
          <cell r="F75">
            <v>123437198</v>
          </cell>
          <cell r="G75">
            <v>123437198</v>
          </cell>
          <cell r="H75">
            <v>0</v>
          </cell>
          <cell r="I75" t="str">
            <v>ESTUDIOS Y DISEÑOS POR VALOR DE $58.632.669</v>
          </cell>
          <cell r="J75">
            <v>37736514.800000004</v>
          </cell>
          <cell r="K75">
            <v>38506648</v>
          </cell>
          <cell r="L75">
            <v>0</v>
          </cell>
          <cell r="M75">
            <v>41355</v>
          </cell>
          <cell r="N75" t="str">
            <v>Contrato No. 159 de 2013
CDP 22813
16 Fondos Especiales</v>
          </cell>
          <cell r="O75" t="str">
            <v>Contrato No. 159 de 2013
CDP 22813
16 Fondos Especiales</v>
          </cell>
          <cell r="P75">
            <v>0</v>
          </cell>
          <cell r="Q75" t="str">
            <v xml:space="preserve">GRUPO 8 </v>
          </cell>
          <cell r="R75" t="str">
            <v>ELECTRO HIDRAULICA S.A.</v>
          </cell>
          <cell r="S75">
            <v>860513276</v>
          </cell>
          <cell r="T75">
            <v>41425</v>
          </cell>
          <cell r="U75">
            <v>1669319108</v>
          </cell>
          <cell r="V75">
            <v>1669319108</v>
          </cell>
          <cell r="W75">
            <v>0</v>
          </cell>
          <cell r="X75">
            <v>119016000</v>
          </cell>
          <cell r="Y75">
            <v>119016000</v>
          </cell>
          <cell r="Z75">
            <v>0</v>
          </cell>
          <cell r="AA75">
            <v>0</v>
          </cell>
          <cell r="AB75" t="str">
            <v>TUMACO</v>
          </cell>
          <cell r="AC75" t="str">
            <v>NARIÑO</v>
          </cell>
          <cell r="AD75">
            <v>41444</v>
          </cell>
          <cell r="AE75">
            <v>8</v>
          </cell>
          <cell r="AF75">
            <v>0</v>
          </cell>
          <cell r="AG75">
            <v>500795732.39999998</v>
          </cell>
        </row>
        <row r="76">
          <cell r="A76" t="str">
            <v>PAF-ATF-079-2013</v>
          </cell>
          <cell r="B76" t="str">
            <v>“CONSTRUCCIÓN PLANTA DE TRATAMIENTO DE AGUAS RESIDUALES LA MARINA, MUNICIPIO DE ARMENIA, DEPARTAMENTO DEL QUINDÍO”</v>
          </cell>
          <cell r="C76">
            <v>16344974341</v>
          </cell>
          <cell r="D76">
            <v>16344974341</v>
          </cell>
          <cell r="E76">
            <v>0</v>
          </cell>
          <cell r="F76">
            <v>1307597947</v>
          </cell>
          <cell r="G76">
            <v>1307597947</v>
          </cell>
          <cell r="H76">
            <v>0</v>
          </cell>
          <cell r="I76">
            <v>0</v>
          </cell>
          <cell r="J76">
            <v>353051445.75999999</v>
          </cell>
          <cell r="K76">
            <v>360256578</v>
          </cell>
          <cell r="L76">
            <v>0</v>
          </cell>
          <cell r="M76">
            <v>41355</v>
          </cell>
          <cell r="N76" t="str">
            <v>Contrato No. 159 de 2013
CDP 22813
16 Fondos Especiales</v>
          </cell>
          <cell r="O76" t="str">
            <v>Contrato No. 159 de 2013
CDP 22813
16 Fondos Especiales</v>
          </cell>
          <cell r="P76">
            <v>0</v>
          </cell>
          <cell r="Q76" t="str">
            <v xml:space="preserve">GRUPO 8 </v>
          </cell>
          <cell r="R76" t="str">
            <v>CONSORCIO PTAR S.A.
RB DE COLOMBIA S.A.
HIDROPROYECTOS S.A. SUCURSAL COLOMBIA</v>
          </cell>
          <cell r="S76">
            <v>900627520</v>
          </cell>
          <cell r="T76">
            <v>41425</v>
          </cell>
          <cell r="U76">
            <v>15690167695</v>
          </cell>
          <cell r="V76">
            <v>15690167695</v>
          </cell>
          <cell r="W76">
            <v>0</v>
          </cell>
          <cell r="X76">
            <v>1285103680</v>
          </cell>
          <cell r="Y76">
            <v>1285103680</v>
          </cell>
          <cell r="Z76">
            <v>0</v>
          </cell>
          <cell r="AA76">
            <v>0</v>
          </cell>
          <cell r="AB76" t="str">
            <v>ARMENIA</v>
          </cell>
          <cell r="AC76" t="str">
            <v>QUINDIO</v>
          </cell>
          <cell r="AD76">
            <v>41444</v>
          </cell>
          <cell r="AE76">
            <v>12</v>
          </cell>
          <cell r="AF76">
            <v>0</v>
          </cell>
          <cell r="AG76">
            <v>4707050308.5</v>
          </cell>
        </row>
        <row r="77">
          <cell r="A77" t="str">
            <v>PAF-ATF-080-2013</v>
          </cell>
          <cell r="B77" t="str">
            <v>“OPTIMIZACIÓN SISTEMA DE TRATAMIENTO DE AGUA POTABLE Y CONSTRUCCION DEL TANQUE DE ALMACENAMIENTO DEL MUNICIPIO DE SALENTO Y CONSTRUCCIÓN DEL TANQUE DE ALMACENAMIENTO DEL MUNICIPIO DE PIJAO- SALENTO DEPARTAMENTO DEL QUINDIO”</v>
          </cell>
          <cell r="C77">
            <v>995082415</v>
          </cell>
          <cell r="D77">
            <v>995082415</v>
          </cell>
          <cell r="E77">
            <v>0</v>
          </cell>
          <cell r="F77">
            <v>69257737</v>
          </cell>
          <cell r="G77">
            <v>69257737</v>
          </cell>
          <cell r="H77">
            <v>0</v>
          </cell>
          <cell r="I77">
            <v>0</v>
          </cell>
          <cell r="J77">
            <v>21286803.039999999</v>
          </cell>
          <cell r="K77">
            <v>21721227</v>
          </cell>
          <cell r="L77">
            <v>0</v>
          </cell>
          <cell r="M77">
            <v>41383</v>
          </cell>
          <cell r="N77" t="str">
            <v>Contrato No. 159 de 2013
CDP 22813
16 Fondos Especiales</v>
          </cell>
          <cell r="O77" t="str">
            <v>Contrato No. 159 de 2013
CDP 22813
16 Fondos Especiales</v>
          </cell>
          <cell r="P77">
            <v>0</v>
          </cell>
          <cell r="Q77" t="str">
            <v xml:space="preserve">GRUPO 8 </v>
          </cell>
          <cell r="R77" t="str">
            <v>SANEAR S.A.
PRONACON S.A.S.
HECTOR JULIO CASALLAS ORDOÑEZ
JHON WILLIAM CASALLAS JURADO</v>
          </cell>
          <cell r="S77">
            <v>890928186</v>
          </cell>
          <cell r="T77">
            <v>41467</v>
          </cell>
          <cell r="U77">
            <v>946658831</v>
          </cell>
          <cell r="V77">
            <v>946658831</v>
          </cell>
          <cell r="W77">
            <v>0</v>
          </cell>
          <cell r="X77">
            <v>65772000</v>
          </cell>
          <cell r="Y77">
            <v>65772000</v>
          </cell>
          <cell r="Z77">
            <v>0</v>
          </cell>
          <cell r="AA77">
            <v>0</v>
          </cell>
          <cell r="AB77" t="str">
            <v>PIJAO
SALENTO</v>
          </cell>
          <cell r="AC77" t="str">
            <v>QUINDIO</v>
          </cell>
          <cell r="AD77">
            <v>41473</v>
          </cell>
          <cell r="AE77">
            <v>8</v>
          </cell>
          <cell r="AF77">
            <v>0</v>
          </cell>
          <cell r="AG77">
            <v>283997649.30000001</v>
          </cell>
        </row>
        <row r="78">
          <cell r="A78" t="str">
            <v>PAF-ATF-081-2013</v>
          </cell>
          <cell r="B78" t="str">
            <v>“OPTIMIZACIÓN DE SUMINISTRO DE AGUA PARA EL ACUEDUCTO DEL MUNICIPIO DE EL GUAMO DEPARTAMENTO DEL TOLIMA”</v>
          </cell>
          <cell r="C78">
            <v>9702013130</v>
          </cell>
          <cell r="D78">
            <v>9702013130</v>
          </cell>
          <cell r="E78">
            <v>0</v>
          </cell>
          <cell r="F78">
            <v>679140919</v>
          </cell>
          <cell r="G78">
            <v>679140919</v>
          </cell>
          <cell r="H78">
            <v>0</v>
          </cell>
          <cell r="I78">
            <v>0</v>
          </cell>
          <cell r="J78">
            <v>207623080.98000002</v>
          </cell>
          <cell r="K78">
            <v>211860287</v>
          </cell>
          <cell r="L78">
            <v>0</v>
          </cell>
          <cell r="M78">
            <v>41355</v>
          </cell>
          <cell r="N78" t="str">
            <v>Contrato No. 159 de 2013
CDP 22813
16 Fondos Especiales</v>
          </cell>
          <cell r="O78" t="str">
            <v>Contrato No. 159 de 2013
CDP 22813
16 Fondos Especiales</v>
          </cell>
          <cell r="P78">
            <v>0</v>
          </cell>
          <cell r="Q78" t="str">
            <v xml:space="preserve">GRUPO 8 </v>
          </cell>
          <cell r="R78" t="str">
            <v>CONSORCIO ACUEDUCTO PARA EL GUAMO
VILLA HERNANDEZ Y CIA S.A.S
VIC S.A.S.
PABLO MAURICIO CASTRO AVILA</v>
          </cell>
          <cell r="S78">
            <v>900627487</v>
          </cell>
          <cell r="T78">
            <v>41425</v>
          </cell>
          <cell r="U78">
            <v>9323971866</v>
          </cell>
          <cell r="V78">
            <v>9323971866</v>
          </cell>
          <cell r="W78">
            <v>0</v>
          </cell>
          <cell r="X78">
            <v>643340060</v>
          </cell>
          <cell r="Y78">
            <v>643340060</v>
          </cell>
          <cell r="Z78">
            <v>0</v>
          </cell>
          <cell r="AA78">
            <v>0</v>
          </cell>
          <cell r="AB78" t="str">
            <v>EL GUAMO</v>
          </cell>
          <cell r="AC78" t="str">
            <v>TOLIMA</v>
          </cell>
          <cell r="AD78">
            <v>41444</v>
          </cell>
          <cell r="AE78">
            <v>9</v>
          </cell>
          <cell r="AF78">
            <v>0</v>
          </cell>
          <cell r="AG78">
            <v>2797191559.7999997</v>
          </cell>
        </row>
        <row r="79">
          <cell r="A79" t="str">
            <v>PAF-ATF-082-2013</v>
          </cell>
          <cell r="B79" t="str">
            <v>“CONSTRUCCIÓN OPTIMIZACIÓN SISTEMAS DE ACUEDUCTO Y ALCANTARILLADO DEL MUNICIPIO DE CAROLINA DEL PRINCIPE ETAPA 1”</v>
          </cell>
          <cell r="C79">
            <v>582971568</v>
          </cell>
          <cell r="D79">
            <v>582971568</v>
          </cell>
          <cell r="E79">
            <v>0</v>
          </cell>
          <cell r="F79">
            <v>46637725</v>
          </cell>
          <cell r="G79">
            <v>46637725</v>
          </cell>
          <cell r="H79">
            <v>0</v>
          </cell>
          <cell r="I79">
            <v>0</v>
          </cell>
          <cell r="J79">
            <v>12592185.859999999</v>
          </cell>
          <cell r="K79">
            <v>12849169</v>
          </cell>
          <cell r="L79">
            <v>0</v>
          </cell>
          <cell r="M79">
            <v>41383</v>
          </cell>
          <cell r="N79" t="str">
            <v>Contrato No. 159 de 2013
CDP 22813
16 Fondos Especiales</v>
          </cell>
          <cell r="O79" t="str">
            <v>Contrato No. 159 de 2013
CDP 22813
16 Fondos Especiales</v>
          </cell>
          <cell r="P79">
            <v>0</v>
          </cell>
          <cell r="Q79" t="str">
            <v>GRUPO 9</v>
          </cell>
          <cell r="R79" t="str">
            <v xml:space="preserve">CONSORCIO INGMAR
INGENIEROS ELECTRICISTAS Y CIVILES ASOCIADOS S.A.S
MIGUEL ANGEL DAVILA REYES
</v>
          </cell>
          <cell r="S79">
            <v>900637062</v>
          </cell>
          <cell r="T79">
            <v>41467</v>
          </cell>
          <cell r="U79">
            <v>555217311</v>
          </cell>
          <cell r="V79">
            <v>555217311</v>
          </cell>
          <cell r="W79">
            <v>0</v>
          </cell>
          <cell r="X79">
            <v>45863500</v>
          </cell>
          <cell r="Y79">
            <v>45863500</v>
          </cell>
          <cell r="Z79">
            <v>0</v>
          </cell>
          <cell r="AA79">
            <v>0</v>
          </cell>
          <cell r="AB79" t="str">
            <v>CAROLINA DEL PRINCIPE</v>
          </cell>
          <cell r="AC79" t="str">
            <v>ANTIOQUIA</v>
          </cell>
          <cell r="AD79">
            <v>41473</v>
          </cell>
          <cell r="AE79">
            <v>2</v>
          </cell>
          <cell r="AF79">
            <v>0</v>
          </cell>
          <cell r="AG79">
            <v>166565193.29999998</v>
          </cell>
        </row>
        <row r="80">
          <cell r="A80" t="str">
            <v>PAF-ATF-083-2013</v>
          </cell>
          <cell r="B80" t="str">
            <v>“CONSTRUCCIÓN SISTEMA DE ALCANTARILLADO SANITARIO Y DE TRATAMIENTO DE AGUAS RESIDUALES DEL MUNICIPIO DE USIACURÍ PRIMERA ETAPA”</v>
          </cell>
          <cell r="C80">
            <v>16569173738</v>
          </cell>
          <cell r="D80">
            <v>16569173738</v>
          </cell>
          <cell r="E80">
            <v>0</v>
          </cell>
          <cell r="F80">
            <v>1253669004</v>
          </cell>
          <cell r="G80">
            <v>1253669004</v>
          </cell>
          <cell r="H80">
            <v>0</v>
          </cell>
          <cell r="I80">
            <v>0</v>
          </cell>
          <cell r="J80">
            <v>356456854.84000003</v>
          </cell>
          <cell r="K80">
            <v>363731485</v>
          </cell>
          <cell r="L80">
            <v>0</v>
          </cell>
          <cell r="M80">
            <v>41383</v>
          </cell>
          <cell r="N80" t="str">
            <v>Contrato No. 159 de 2013
CDP 22813
16 Fondos Especiales</v>
          </cell>
          <cell r="O80" t="str">
            <v>Contrato No. 159 de 2013
CDP 22813
16 Fondos Especiales</v>
          </cell>
          <cell r="P80">
            <v>0</v>
          </cell>
          <cell r="Q80" t="str">
            <v>GRUPO 9</v>
          </cell>
          <cell r="R80" t="str">
            <v xml:space="preserve">CONSORCIO AGUAS ATLANTICO
CORPORACIÓN AMBIENTE COLOMBIA - CORAMCOL
R &amp; M INGENIERIA S.A.S.
LINA JISELA MURCIA CUELLAR
DIEGO JARAMILLO GÓMEZ
</v>
          </cell>
          <cell r="S80">
            <v>900641566</v>
          </cell>
          <cell r="T80">
            <v>41481</v>
          </cell>
          <cell r="U80">
            <v>15654555401</v>
          </cell>
          <cell r="V80">
            <v>15654555401</v>
          </cell>
          <cell r="W80">
            <v>0</v>
          </cell>
          <cell r="X80">
            <v>1214087900</v>
          </cell>
          <cell r="Y80">
            <v>1214087900</v>
          </cell>
          <cell r="Z80">
            <v>0</v>
          </cell>
          <cell r="AA80">
            <v>0</v>
          </cell>
          <cell r="AB80" t="str">
            <v>USIACURÍ</v>
          </cell>
          <cell r="AC80" t="str">
            <v>ATLANTICO</v>
          </cell>
          <cell r="AD80">
            <v>41486</v>
          </cell>
          <cell r="AE80">
            <v>18</v>
          </cell>
          <cell r="AF80">
            <v>0</v>
          </cell>
          <cell r="AG80">
            <v>4696366620.3000002</v>
          </cell>
        </row>
        <row r="81">
          <cell r="A81" t="str">
            <v>PAF-ATF-084-2013</v>
          </cell>
          <cell r="B81" t="str">
            <v>“CONSTRUCCIÓN DE ALCANTARILLADO SANITARIO EN LA CABECERA MUNICIPAL DE MARÍA LA BAJA (BOLÍVAR)”</v>
          </cell>
          <cell r="C81">
            <v>17310102555</v>
          </cell>
          <cell r="D81">
            <v>17310102555</v>
          </cell>
          <cell r="E81">
            <v>0</v>
          </cell>
          <cell r="F81">
            <v>1137797114</v>
          </cell>
          <cell r="G81">
            <v>1137797114</v>
          </cell>
          <cell r="H81">
            <v>0</v>
          </cell>
          <cell r="I81">
            <v>0</v>
          </cell>
          <cell r="J81">
            <v>368957993.38</v>
          </cell>
          <cell r="K81">
            <v>376487748</v>
          </cell>
          <cell r="L81">
            <v>0</v>
          </cell>
          <cell r="M81">
            <v>41383</v>
          </cell>
          <cell r="N81" t="str">
            <v>Contrato No. 036 de 2012
CDP 274712
16 Fondos Especiales</v>
          </cell>
          <cell r="O81" t="str">
            <v>Contrato No. 036 de 2012
CDP 274712
16 Fondos Especiales</v>
          </cell>
          <cell r="P81" t="str">
            <v>-</v>
          </cell>
          <cell r="Q81" t="str">
            <v>GRUPO 9</v>
          </cell>
          <cell r="R81" t="str">
            <v xml:space="preserve">CONSORCIO ALIANZA YDN- MARIA LA BAJA
YAMIL SABBAGH SOLANO
CONSTRUCCIONES NAMUS S.A.
ASOCIADOS MARIN VALENCIA A.M.V. - S.A.
</v>
          </cell>
          <cell r="S81">
            <v>900620376</v>
          </cell>
          <cell r="T81">
            <v>41416</v>
          </cell>
          <cell r="U81">
            <v>16804192647</v>
          </cell>
          <cell r="V81">
            <v>16804192647</v>
          </cell>
          <cell r="W81">
            <v>0</v>
          </cell>
          <cell r="X81">
            <v>1081169300</v>
          </cell>
          <cell r="Y81">
            <v>1081169300</v>
          </cell>
          <cell r="Z81">
            <v>0</v>
          </cell>
          <cell r="AA81">
            <v>0</v>
          </cell>
          <cell r="AB81" t="str">
            <v>MARIA LA BAJA</v>
          </cell>
          <cell r="AC81" t="str">
            <v>BOLIVAR</v>
          </cell>
          <cell r="AD81">
            <v>41417</v>
          </cell>
          <cell r="AE81">
            <v>18</v>
          </cell>
          <cell r="AF81">
            <v>0</v>
          </cell>
          <cell r="AG81">
            <v>5041257794.0999994</v>
          </cell>
        </row>
        <row r="82">
          <cell r="A82" t="str">
            <v>PAF-ATF-085-2013</v>
          </cell>
          <cell r="B82" t="str">
            <v>“CONSTRUCCIÓN OPTIMIZACIÓN RED DE CONDUCCIÓN PARA EL SISTEMA DE ACUEDUCTO URBANO DEL MUNICIPIO DE GUATEQUE (BOYACÁ)”</v>
          </cell>
          <cell r="C82">
            <v>4460908475</v>
          </cell>
          <cell r="D82">
            <v>4460908475</v>
          </cell>
          <cell r="E82">
            <v>0</v>
          </cell>
          <cell r="F82">
            <v>289231603</v>
          </cell>
          <cell r="G82">
            <v>289231603</v>
          </cell>
          <cell r="H82">
            <v>0</v>
          </cell>
          <cell r="I82">
            <v>0</v>
          </cell>
          <cell r="J82">
            <v>95002801.560000002</v>
          </cell>
          <cell r="K82">
            <v>96941634</v>
          </cell>
          <cell r="L82">
            <v>0</v>
          </cell>
          <cell r="M82">
            <v>41383</v>
          </cell>
          <cell r="N82" t="str">
            <v>Contrato No. 159 de 2013
CDP 22813
16 Fondos Especiales</v>
          </cell>
          <cell r="O82" t="str">
            <v>Contrato No. 159 de 2013
CDP 22813
16 Fondos Especiales</v>
          </cell>
          <cell r="P82">
            <v>0</v>
          </cell>
          <cell r="Q82" t="str">
            <v>GRUPO 9</v>
          </cell>
          <cell r="R82" t="str">
            <v>UNION TEMPORAL PAIN 085
INGECOL S.A.
PAVIMENTOS ANDINOS S.A.</v>
          </cell>
          <cell r="S82">
            <v>900638230</v>
          </cell>
          <cell r="T82">
            <v>41463</v>
          </cell>
          <cell r="U82">
            <v>4251534413</v>
          </cell>
          <cell r="V82">
            <v>4251534413</v>
          </cell>
          <cell r="W82">
            <v>0</v>
          </cell>
          <cell r="X82">
            <v>277118200</v>
          </cell>
          <cell r="Y82">
            <v>277118200</v>
          </cell>
          <cell r="Z82">
            <v>0</v>
          </cell>
          <cell r="AA82">
            <v>0</v>
          </cell>
          <cell r="AB82" t="str">
            <v>GUATEQUE</v>
          </cell>
          <cell r="AC82" t="str">
            <v>BOYACA</v>
          </cell>
          <cell r="AD82">
            <v>41474</v>
          </cell>
          <cell r="AE82">
            <v>5</v>
          </cell>
          <cell r="AF82">
            <v>0</v>
          </cell>
          <cell r="AG82">
            <v>1275460323.8999999</v>
          </cell>
        </row>
        <row r="83">
          <cell r="A83" t="str">
            <v>PAF-ATF-086-2013</v>
          </cell>
          <cell r="B83" t="str">
            <v>“CONSTRUCCIÓN CANAL DE AGUAS LLUVIAS CARRERA 24 - DIAGONAL 44 Y CARRERA 23 ENTRE CALLE 51 Y RÍO LA CEIBAS COMUNA 2 DEL MUNICIPIO DE NEIVA (HUILA)”</v>
          </cell>
          <cell r="C83">
            <v>2252282916</v>
          </cell>
          <cell r="D83">
            <v>2252282916</v>
          </cell>
          <cell r="E83">
            <v>0</v>
          </cell>
          <cell r="F83">
            <v>180182633</v>
          </cell>
          <cell r="G83">
            <v>180182633</v>
          </cell>
          <cell r="H83">
            <v>0</v>
          </cell>
          <cell r="I83">
            <v>0</v>
          </cell>
          <cell r="J83">
            <v>48649310.980000004</v>
          </cell>
          <cell r="K83">
            <v>49642154</v>
          </cell>
          <cell r="L83">
            <v>0</v>
          </cell>
          <cell r="M83">
            <v>41383</v>
          </cell>
          <cell r="N83" t="str">
            <v>Contrato No. 036 de 2012
CDP 274712
16 Fondos Especiales</v>
          </cell>
          <cell r="O83" t="str">
            <v>Contrato No. 036 de 2012
CDP 274712
16 Fondos Especiales</v>
          </cell>
          <cell r="P83" t="str">
            <v>-</v>
          </cell>
          <cell r="Q83" t="str">
            <v>GRUPO 9</v>
          </cell>
          <cell r="R83" t="str">
            <v>UNION TEMPORAL NEIVA 086
LYDCO INGENIERIA S.A.S.
CONSTRUSOCIAL S.A.S.
GERMAN VILLANUEVA CALDERON</v>
          </cell>
          <cell r="S83">
            <v>900636934</v>
          </cell>
          <cell r="T83">
            <v>41463</v>
          </cell>
          <cell r="U83">
            <v>2142514400</v>
          </cell>
          <cell r="V83">
            <v>2142514400</v>
          </cell>
          <cell r="W83">
            <v>0</v>
          </cell>
          <cell r="X83">
            <v>176566500</v>
          </cell>
          <cell r="Y83">
            <v>176566500</v>
          </cell>
          <cell r="Z83">
            <v>0</v>
          </cell>
          <cell r="AA83">
            <v>0</v>
          </cell>
          <cell r="AB83" t="str">
            <v>NEIVA</v>
          </cell>
          <cell r="AC83" t="str">
            <v>HUILA</v>
          </cell>
          <cell r="AD83">
            <v>41473</v>
          </cell>
          <cell r="AE83">
            <v>10</v>
          </cell>
          <cell r="AF83">
            <v>0</v>
          </cell>
          <cell r="AG83">
            <v>642754320</v>
          </cell>
        </row>
        <row r="84">
          <cell r="A84" t="str">
            <v>PAF-ATF-089-2013</v>
          </cell>
          <cell r="B84" t="str">
            <v>“OPTIMIZACIÓN DE LAGUNAS DE OXIDACIÓN MÓDULOS 4 Y 5 DE LA PLANTA DE TRATAMIENTO DE AGUAS RESIDUALES EL PUEBLO TERCERA ETAPA, BARRANQUILLA”.</v>
          </cell>
          <cell r="C84">
            <v>34819859512</v>
          </cell>
          <cell r="D84">
            <v>34819859512</v>
          </cell>
          <cell r="E84">
            <v>0</v>
          </cell>
          <cell r="F84">
            <v>2785588760.96</v>
          </cell>
          <cell r="G84">
            <v>2785588760.96</v>
          </cell>
          <cell r="H84">
            <v>0</v>
          </cell>
          <cell r="I84">
            <v>0</v>
          </cell>
          <cell r="J84">
            <v>752108965.45920002</v>
          </cell>
          <cell r="K84">
            <v>752108965.46000004</v>
          </cell>
          <cell r="L84">
            <v>0</v>
          </cell>
          <cell r="M84">
            <v>41409</v>
          </cell>
          <cell r="N84">
            <v>0</v>
          </cell>
          <cell r="O84">
            <v>0</v>
          </cell>
          <cell r="P84">
            <v>0</v>
          </cell>
          <cell r="Q84" t="str">
            <v>GRUPO 10</v>
          </cell>
          <cell r="R84">
            <v>0</v>
          </cell>
          <cell r="S84">
            <v>0</v>
          </cell>
          <cell r="T84" t="str">
            <v>SUSPENSIÓN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 t="str">
            <v>BARRANQUILLA</v>
          </cell>
          <cell r="AC84" t="str">
            <v>ATLANTICO</v>
          </cell>
          <cell r="AD84">
            <v>0</v>
          </cell>
          <cell r="AE84">
            <v>10</v>
          </cell>
          <cell r="AF84">
            <v>0</v>
          </cell>
          <cell r="AG84">
            <v>0</v>
          </cell>
        </row>
        <row r="85">
          <cell r="A85" t="str">
            <v>PAF-ATF-090-2013</v>
          </cell>
          <cell r="B85" t="str">
            <v>“CONSTRUCCIÓN DEL POZO 3, SEGUNDO TANQUE EN EL CERRO EL GOLERO, SISTEMA DE CLORACIÓN EN LA EBAP 2 Y LA OPTIMIZACIÓN DE LAS EBAPS 2 Y 3 DEL SISTEMA DE ACUEDUCTO DEL MUNICIPIO DE ARIGUANÍ”.</v>
          </cell>
          <cell r="C85">
            <v>3393896869</v>
          </cell>
          <cell r="D85">
            <v>3393896869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 t="str">
            <v>AGUAS DEL MAGDALENA S.A. E.S.P. GESTOR DEL PDA</v>
          </cell>
          <cell r="J85">
            <v>67877937.379999995</v>
          </cell>
          <cell r="K85">
            <v>69263202</v>
          </cell>
          <cell r="L85">
            <v>0</v>
          </cell>
          <cell r="M85">
            <v>41409</v>
          </cell>
          <cell r="N85" t="str">
            <v>Contrato No. 159 de 2013
CDP 22813
16 Fondos Especiales</v>
          </cell>
          <cell r="O85" t="str">
            <v>Contrato No. 159 de 2013
CDP 22813
16 Fondos Especiales</v>
          </cell>
          <cell r="P85">
            <v>0</v>
          </cell>
          <cell r="Q85" t="str">
            <v>GRUPO 10</v>
          </cell>
          <cell r="R85" t="str">
            <v>CONSORCIO POZOS DEL MAGDALENA
CONSTRUCTORA INCO S.A.S.
GONZALO GONZALES VIANA
DANIEL ENRIQUE NUÑEZ GUERRA</v>
          </cell>
          <cell r="S85">
            <v>900641621</v>
          </cell>
          <cell r="T85">
            <v>41474</v>
          </cell>
          <cell r="U85">
            <v>3280567270</v>
          </cell>
          <cell r="V85">
            <v>3280567270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 t="str">
            <v>ARIGUANI</v>
          </cell>
          <cell r="AC85" t="str">
            <v>MAGDALENA</v>
          </cell>
          <cell r="AD85" t="str">
            <v>31-07-2013</v>
          </cell>
          <cell r="AE85">
            <v>10</v>
          </cell>
          <cell r="AF85">
            <v>0</v>
          </cell>
          <cell r="AG85">
            <v>984170181</v>
          </cell>
        </row>
        <row r="86">
          <cell r="A86" t="str">
            <v>PAF-ATF-091-2013</v>
          </cell>
          <cell r="B86" t="str">
            <v>“OPTIMIZACIÓN SISTEMA DE ALCANTARILLADO BARRIO VALLES DEL MIRADOR MUNICIPIO DE LOS PATIOS”.</v>
          </cell>
          <cell r="C86">
            <v>1049356214</v>
          </cell>
          <cell r="D86">
            <v>1049356214</v>
          </cell>
          <cell r="E86">
            <v>0</v>
          </cell>
          <cell r="F86">
            <v>83948497</v>
          </cell>
          <cell r="G86">
            <v>83948497</v>
          </cell>
          <cell r="H86">
            <v>0</v>
          </cell>
          <cell r="I86">
            <v>0</v>
          </cell>
          <cell r="J86">
            <v>22666094.219999999</v>
          </cell>
          <cell r="K86">
            <v>23128668</v>
          </cell>
          <cell r="L86">
            <v>0</v>
          </cell>
          <cell r="M86">
            <v>41409</v>
          </cell>
          <cell r="N86" t="str">
            <v>Contrato No. 159 de 2013
CDP 22813
16 Fondos Especiales</v>
          </cell>
          <cell r="O86" t="str">
            <v>Contrato No. 159 de 2013
CDP 22813
16 Fondos Especiales</v>
          </cell>
          <cell r="P86">
            <v>0</v>
          </cell>
          <cell r="Q86" t="str">
            <v>GRUPO 10</v>
          </cell>
          <cell r="R86" t="str">
            <v>JOSE MARIO GIRALDO ENCISO</v>
          </cell>
          <cell r="S86">
            <v>10243741</v>
          </cell>
          <cell r="T86">
            <v>41480</v>
          </cell>
          <cell r="U86">
            <v>977368357</v>
          </cell>
          <cell r="V86">
            <v>977368357</v>
          </cell>
          <cell r="W86">
            <v>0</v>
          </cell>
          <cell r="X86">
            <v>83070500</v>
          </cell>
          <cell r="Y86">
            <v>83070500</v>
          </cell>
          <cell r="Z86">
            <v>0</v>
          </cell>
          <cell r="AA86">
            <v>0</v>
          </cell>
          <cell r="AB86" t="str">
            <v>LOS PATIOS</v>
          </cell>
          <cell r="AC86" t="str">
            <v>NORTE DE SANTANDER</v>
          </cell>
          <cell r="AD86" t="str">
            <v>26-07-2013</v>
          </cell>
          <cell r="AE86">
            <v>10</v>
          </cell>
          <cell r="AF86">
            <v>0</v>
          </cell>
          <cell r="AG86">
            <v>293210507.09999996</v>
          </cell>
        </row>
        <row r="87">
          <cell r="A87" t="str">
            <v>PAF-ATF-092-2013</v>
          </cell>
          <cell r="B87" t="str">
            <v>“CONSTRUCCIÓN DE REDES DE CONDUCCIÓN Y OPTIMIZACIÓN DEL ACUEDUCTO MUNICIPIO DE BARBOSA- SANTANDER ”.</v>
          </cell>
          <cell r="C87">
            <v>7665826501</v>
          </cell>
          <cell r="D87">
            <v>7665826501</v>
          </cell>
          <cell r="E87">
            <v>0</v>
          </cell>
          <cell r="F87">
            <v>613266120.08000004</v>
          </cell>
          <cell r="G87">
            <v>613266120.08000004</v>
          </cell>
          <cell r="H87">
            <v>0</v>
          </cell>
          <cell r="I87">
            <v>0</v>
          </cell>
          <cell r="J87">
            <v>165581852.42160001</v>
          </cell>
          <cell r="K87">
            <v>165581852.42000002</v>
          </cell>
          <cell r="L87">
            <v>0</v>
          </cell>
          <cell r="M87">
            <v>0</v>
          </cell>
          <cell r="N87" t="str">
            <v>Contrato No. 159 de 2013
CDP 155913
11 Nación</v>
          </cell>
          <cell r="O87" t="str">
            <v>Contrato No. 159 de 2013
CDP 155913
11 Nación</v>
          </cell>
          <cell r="P87">
            <v>0</v>
          </cell>
          <cell r="Q87" t="str">
            <v>GRUPO 10</v>
          </cell>
          <cell r="R87">
            <v>0</v>
          </cell>
          <cell r="S87">
            <v>0</v>
          </cell>
          <cell r="T87" t="str">
            <v>APLAZADO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 t="str">
            <v>BARBOSA</v>
          </cell>
          <cell r="AC87" t="str">
            <v>SANTANDER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</row>
        <row r="88">
          <cell r="A88" t="str">
            <v>PAF-ATF-093-2013</v>
          </cell>
          <cell r="B88" t="str">
            <v>“CONSTRUCCIÓN TERCERA ETAPA PLAN MAESTRO DE ACUEDUCTO Y ALCANTARILLADO ZONA URBANA MUNICIPIO DE SANTO DOMINGO”</v>
          </cell>
          <cell r="C88">
            <v>7387717783</v>
          </cell>
          <cell r="D88">
            <v>7387717783</v>
          </cell>
          <cell r="E88">
            <v>0</v>
          </cell>
          <cell r="F88">
            <v>538509899</v>
          </cell>
          <cell r="G88">
            <v>538509899</v>
          </cell>
          <cell r="H88">
            <v>0</v>
          </cell>
          <cell r="I88">
            <v>0</v>
          </cell>
          <cell r="J88">
            <v>158524553.64000002</v>
          </cell>
          <cell r="K88">
            <v>161759746</v>
          </cell>
          <cell r="L88">
            <v>0</v>
          </cell>
          <cell r="M88">
            <v>41460</v>
          </cell>
          <cell r="N88" t="str">
            <v>Contrato No. 036 de 2012
CDP 274712
16 Fondos Especiales</v>
          </cell>
          <cell r="O88" t="str">
            <v>Contrato No. 036 de 2012
CDP 274712
16 Fondos Especiales</v>
          </cell>
          <cell r="P88">
            <v>0</v>
          </cell>
          <cell r="Q88" t="str">
            <v>GRUPO 11</v>
          </cell>
          <cell r="R88" t="str">
            <v>UNION TEMPORAL REDES 2013
HAPIL INGENIERIA S.A.S
R.M Y CIA S.A.S.</v>
          </cell>
          <cell r="S88">
            <v>900646804</v>
          </cell>
          <cell r="T88">
            <v>41501</v>
          </cell>
          <cell r="U88">
            <v>6987778860</v>
          </cell>
          <cell r="V88">
            <v>6987778860</v>
          </cell>
          <cell r="W88">
            <v>0</v>
          </cell>
          <cell r="X88">
            <v>518083840</v>
          </cell>
          <cell r="Y88">
            <v>518083840</v>
          </cell>
          <cell r="Z88">
            <v>0</v>
          </cell>
          <cell r="AA88">
            <v>0</v>
          </cell>
          <cell r="AB88" t="str">
            <v>SANTO DOMINGO</v>
          </cell>
          <cell r="AC88" t="str">
            <v>ANTIOQUIA</v>
          </cell>
          <cell r="AD88" t="str">
            <v>22-08-2013</v>
          </cell>
          <cell r="AE88">
            <v>6</v>
          </cell>
          <cell r="AF88">
            <v>0</v>
          </cell>
          <cell r="AG88">
            <v>2096333658</v>
          </cell>
        </row>
        <row r="89">
          <cell r="A89" t="str">
            <v>PAF-ATF-094-2013</v>
          </cell>
          <cell r="B89" t="str">
            <v>“CONSTRUCCIÓN DEL PLAN MAESTRO DE ACUEDUCTO Y ALCANTARILLADO DEL MUNICIPIO DE SAN VICENTE DE FERRER”</v>
          </cell>
          <cell r="C89">
            <v>8163598710</v>
          </cell>
          <cell r="D89">
            <v>8163598710</v>
          </cell>
          <cell r="E89">
            <v>0</v>
          </cell>
          <cell r="F89">
            <v>581017604</v>
          </cell>
          <cell r="G89">
            <v>581017604</v>
          </cell>
          <cell r="H89">
            <v>0</v>
          </cell>
          <cell r="I89">
            <v>0</v>
          </cell>
          <cell r="J89">
            <v>174892326.28</v>
          </cell>
          <cell r="K89">
            <v>179674406</v>
          </cell>
          <cell r="L89">
            <v>0</v>
          </cell>
          <cell r="M89">
            <v>41460</v>
          </cell>
          <cell r="N89" t="str">
            <v>SALDOS CONTRATO 036 DE 2012
TODOS LOS CDP VER RELACIÓN ANEXA</v>
          </cell>
          <cell r="O89" t="str">
            <v>Contrato No. 036 de 2012
CDP 290212
11 Recursos del Tesoro
Contrato 036 de 2012
CDP 1413 
Vigencias Futuras 2013</v>
          </cell>
          <cell r="P89">
            <v>0</v>
          </cell>
          <cell r="Q89" t="str">
            <v>GRUPO 11</v>
          </cell>
          <cell r="R89" t="str">
            <v>CONSORCIO AGUAS SAN VICENTE
PROINARK S.A.
EXCAVACIONES JOBEPA SUCURSAL COLOMBIA
EPROCON S.A.</v>
          </cell>
          <cell r="S89">
            <v>900646147</v>
          </cell>
          <cell r="T89">
            <v>41501</v>
          </cell>
          <cell r="U89">
            <v>7733328619</v>
          </cell>
          <cell r="V89">
            <v>7733328619</v>
          </cell>
          <cell r="W89">
            <v>0</v>
          </cell>
          <cell r="X89">
            <v>552276000</v>
          </cell>
          <cell r="Y89">
            <v>552276000</v>
          </cell>
          <cell r="Z89">
            <v>0</v>
          </cell>
          <cell r="AA89">
            <v>0</v>
          </cell>
          <cell r="AB89" t="str">
            <v>SAN VICENTE DE FERRER</v>
          </cell>
          <cell r="AC89" t="str">
            <v>ANTIOQUIA</v>
          </cell>
          <cell r="AD89">
            <v>41509</v>
          </cell>
          <cell r="AE89">
            <v>10</v>
          </cell>
          <cell r="AF89">
            <v>0</v>
          </cell>
          <cell r="AG89">
            <v>2319998585.6999998</v>
          </cell>
        </row>
        <row r="90">
          <cell r="A90" t="str">
            <v>PAF-ATF-095-2013</v>
          </cell>
          <cell r="B90" t="str">
            <v>PLAN DE MANEJO AMBIENTAL PARA EL CIERRE DEL ANTIGUO BOTADERO A CIELO ABIERTO EL MIRADOR DEL MUNICIPIO DE MANZANARES</v>
          </cell>
          <cell r="C90">
            <v>216330796</v>
          </cell>
          <cell r="D90">
            <v>216330796</v>
          </cell>
          <cell r="E90">
            <v>0</v>
          </cell>
          <cell r="F90">
            <v>15143156</v>
          </cell>
          <cell r="G90">
            <v>15143156</v>
          </cell>
          <cell r="H90">
            <v>0</v>
          </cell>
          <cell r="I90">
            <v>0</v>
          </cell>
          <cell r="J90">
            <v>4629479.04</v>
          </cell>
          <cell r="K90">
            <v>4414914</v>
          </cell>
          <cell r="L90">
            <v>0</v>
          </cell>
          <cell r="M90">
            <v>41464</v>
          </cell>
          <cell r="N90" t="str">
            <v>Contrato No. 159 de 2013
CDP 137513
11 Nación</v>
          </cell>
          <cell r="O90" t="str">
            <v>Contrato No. 159 de 2013
CDP 137513
11 Nación</v>
          </cell>
          <cell r="P90">
            <v>0</v>
          </cell>
          <cell r="Q90" t="str">
            <v>GRUPO 11</v>
          </cell>
          <cell r="R90">
            <v>0</v>
          </cell>
          <cell r="S90">
            <v>0</v>
          </cell>
          <cell r="T90" t="str">
            <v>DESIERTO</v>
          </cell>
          <cell r="U90">
            <v>0</v>
          </cell>
          <cell r="V90">
            <v>0</v>
          </cell>
          <cell r="W90">
            <v>0</v>
          </cell>
          <cell r="X90">
            <v>14261248.800000001</v>
          </cell>
          <cell r="Y90">
            <v>14261248.800000001</v>
          </cell>
          <cell r="Z90">
            <v>0</v>
          </cell>
          <cell r="AA90">
            <v>0</v>
          </cell>
          <cell r="AB90" t="str">
            <v>MANZANARES</v>
          </cell>
          <cell r="AC90" t="str">
            <v>CALDAS</v>
          </cell>
          <cell r="AD90">
            <v>0</v>
          </cell>
          <cell r="AE90">
            <v>7</v>
          </cell>
          <cell r="AF90">
            <v>0</v>
          </cell>
          <cell r="AG90">
            <v>0</v>
          </cell>
        </row>
        <row r="91">
          <cell r="A91" t="str">
            <v>PAF-ATF-096-2013</v>
          </cell>
          <cell r="B91" t="str">
            <v>OPTIMIZACIÓN RELLENO SANITARIO LA VEGA DEL ALTO ORIENTE DE CALDAS MUNICIPIO DE MARQUETALIA</v>
          </cell>
          <cell r="C91">
            <v>1047507561</v>
          </cell>
          <cell r="D91">
            <v>1047507561</v>
          </cell>
          <cell r="E91">
            <v>0</v>
          </cell>
          <cell r="F91">
            <v>73325529</v>
          </cell>
          <cell r="G91">
            <v>73325529</v>
          </cell>
          <cell r="H91">
            <v>0</v>
          </cell>
          <cell r="I91">
            <v>0</v>
          </cell>
          <cell r="J91">
            <v>22416661.800000001</v>
          </cell>
          <cell r="K91">
            <v>22874145</v>
          </cell>
          <cell r="L91">
            <v>0</v>
          </cell>
          <cell r="M91">
            <v>41464</v>
          </cell>
          <cell r="N91" t="str">
            <v>Contrato No. 159 de 2013
CDP 137513
11 Nación</v>
          </cell>
          <cell r="O91" t="str">
            <v>Contrato No. 159 de 2013
CDP 137513
11 Nación</v>
          </cell>
          <cell r="P91">
            <v>0</v>
          </cell>
          <cell r="Q91" t="str">
            <v>GRUPO 11</v>
          </cell>
          <cell r="R91" t="str">
            <v xml:space="preserve">CONSORCIO CAAN
INGENIEROS CIVILES Y ASOCIADOS LIMITADA CASI LTDA
JHONN JAIRO ANDRADE SERRANO
</v>
          </cell>
          <cell r="S91">
            <v>900649725</v>
          </cell>
          <cell r="T91">
            <v>41509</v>
          </cell>
          <cell r="U91">
            <v>962247823</v>
          </cell>
          <cell r="V91">
            <v>962247823</v>
          </cell>
          <cell r="W91">
            <v>0</v>
          </cell>
          <cell r="X91">
            <v>72201416</v>
          </cell>
          <cell r="Y91">
            <v>72201416</v>
          </cell>
          <cell r="Z91">
            <v>0</v>
          </cell>
          <cell r="AA91">
            <v>0</v>
          </cell>
          <cell r="AB91" t="str">
            <v>MARQUETALIA</v>
          </cell>
          <cell r="AC91" t="str">
            <v>CALDAS</v>
          </cell>
          <cell r="AD91">
            <v>41519</v>
          </cell>
          <cell r="AE91">
            <v>12</v>
          </cell>
          <cell r="AF91">
            <v>0</v>
          </cell>
          <cell r="AG91">
            <v>288674346.89999998</v>
          </cell>
        </row>
        <row r="92">
          <cell r="A92" t="str">
            <v>PAF-ATF-097-2013</v>
          </cell>
          <cell r="B92" t="str">
            <v>OPTIMIZACIÓN RELLENO SANITARIO EL EDÉN DEL MUNICIPIO DE SAMANÁ</v>
          </cell>
          <cell r="C92">
            <v>708307979</v>
          </cell>
          <cell r="D92">
            <v>708307979</v>
          </cell>
          <cell r="E92">
            <v>0</v>
          </cell>
          <cell r="F92">
            <v>49581559</v>
          </cell>
          <cell r="G92">
            <v>49581559</v>
          </cell>
          <cell r="H92">
            <v>0</v>
          </cell>
          <cell r="I92">
            <v>0</v>
          </cell>
          <cell r="J92">
            <v>15157790.76</v>
          </cell>
          <cell r="K92">
            <v>15467133</v>
          </cell>
          <cell r="L92">
            <v>0</v>
          </cell>
          <cell r="M92">
            <v>41464</v>
          </cell>
          <cell r="N92" t="str">
            <v>Contrato No. 159 de 2013
CDP 137513
11 Nación</v>
          </cell>
          <cell r="O92" t="str">
            <v>Contrato No. 159 de 2013
CDP 137513
11 Nación</v>
          </cell>
          <cell r="P92">
            <v>0</v>
          </cell>
          <cell r="Q92" t="str">
            <v>GRUPO 11</v>
          </cell>
          <cell r="R92" t="str">
            <v xml:space="preserve">CONSORCIO CAAN
INGENIEROS CIVILES Y ASOCIADOS LIMITADA CASI LTDA
JHONN JAIRO ANDRADE SERRANO
</v>
          </cell>
          <cell r="S92">
            <v>900649725</v>
          </cell>
          <cell r="T92">
            <v>41509</v>
          </cell>
          <cell r="U92">
            <v>657164410</v>
          </cell>
          <cell r="V92">
            <v>657164410</v>
          </cell>
          <cell r="W92">
            <v>0</v>
          </cell>
          <cell r="X92">
            <v>49325752</v>
          </cell>
          <cell r="Y92">
            <v>49325752</v>
          </cell>
          <cell r="Z92">
            <v>0</v>
          </cell>
          <cell r="AA92">
            <v>0</v>
          </cell>
          <cell r="AB92" t="str">
            <v>SAMANA</v>
          </cell>
          <cell r="AC92" t="str">
            <v>CALDAS</v>
          </cell>
          <cell r="AD92">
            <v>41519</v>
          </cell>
          <cell r="AE92">
            <v>12</v>
          </cell>
          <cell r="AF92">
            <v>0</v>
          </cell>
          <cell r="AG92">
            <v>197149323</v>
          </cell>
        </row>
        <row r="93">
          <cell r="A93" t="str">
            <v>PAF-ATF-098-2013</v>
          </cell>
          <cell r="B93" t="str">
            <v>“CONSTRUCCIÓN, AMPLIACIÓN Y OPTIMIZACIÓN DEL SISTEMA DE ACUEDUCTO URBANO, MUNICIPIO DE CISNEROS”</v>
          </cell>
          <cell r="C93">
            <v>2530989988</v>
          </cell>
          <cell r="D93">
            <v>2530989988</v>
          </cell>
          <cell r="E93">
            <v>0</v>
          </cell>
          <cell r="F93">
            <v>202479199</v>
          </cell>
          <cell r="G93">
            <v>202479199</v>
          </cell>
          <cell r="H93">
            <v>0</v>
          </cell>
          <cell r="I93">
            <v>0</v>
          </cell>
          <cell r="J93">
            <v>54669383.740000002</v>
          </cell>
          <cell r="K93">
            <v>57548351</v>
          </cell>
          <cell r="L93">
            <v>0</v>
          </cell>
          <cell r="M93">
            <v>41467</v>
          </cell>
          <cell r="N93" t="str">
            <v>Contrato No. 159 de 2013
CDP 155913
11 Nación</v>
          </cell>
          <cell r="O93" t="str">
            <v>Contrato No. 159 de 2013
CDP 155913
11 Nación</v>
          </cell>
          <cell r="P93">
            <v>0</v>
          </cell>
          <cell r="Q93" t="str">
            <v>GRUPO 12</v>
          </cell>
          <cell r="R93" t="str">
            <v>CONSORCIO ACUEDUCTO MUNICIPIO DE CISNEROS</v>
          </cell>
          <cell r="S93">
            <v>900654141</v>
          </cell>
          <cell r="T93">
            <v>41522</v>
          </cell>
          <cell r="U93">
            <v>2376790278</v>
          </cell>
          <cell r="V93">
            <v>2376790278</v>
          </cell>
          <cell r="W93">
            <v>0</v>
          </cell>
          <cell r="X93">
            <v>192756852</v>
          </cell>
          <cell r="Y93">
            <v>192756852</v>
          </cell>
          <cell r="Z93">
            <v>0</v>
          </cell>
          <cell r="AA93">
            <v>0</v>
          </cell>
          <cell r="AB93" t="str">
            <v>CISNEROS</v>
          </cell>
          <cell r="AC93" t="str">
            <v>ANTIOQUIA</v>
          </cell>
          <cell r="AD93">
            <v>41530</v>
          </cell>
          <cell r="AE93">
            <v>7</v>
          </cell>
          <cell r="AF93">
            <v>0</v>
          </cell>
          <cell r="AG93">
            <v>713037083.39999998</v>
          </cell>
        </row>
        <row r="94">
          <cell r="A94" t="str">
            <v>PAF-ATF-100-2013</v>
          </cell>
          <cell r="B94" t="str">
            <v>“REHABILITACIÓN DEL SISTEMA DE BOMBEO DE LOS POZOS NUMERO UNO Y DOS DEL SISTEMA DE ACUEDUCTO DEL MUNICIPIO DE ARIGUANÍ”</v>
          </cell>
          <cell r="C94">
            <v>204463749</v>
          </cell>
          <cell r="D94">
            <v>204463749</v>
          </cell>
          <cell r="E94">
            <v>0</v>
          </cell>
          <cell r="F94">
            <v>14312463</v>
          </cell>
          <cell r="G94">
            <v>14312463</v>
          </cell>
          <cell r="H94">
            <v>0</v>
          </cell>
          <cell r="I94">
            <v>0</v>
          </cell>
          <cell r="J94">
            <v>4375524.24</v>
          </cell>
          <cell r="K94">
            <v>4464821</v>
          </cell>
          <cell r="L94">
            <v>0</v>
          </cell>
          <cell r="M94">
            <v>41487</v>
          </cell>
          <cell r="N94" t="str">
            <v>Contrato No. 159 de 2013
CDP 155913
11 Nación</v>
          </cell>
          <cell r="O94" t="str">
            <v>Contrato No. 159 de 2013
CDP 155913
11 Nación</v>
          </cell>
          <cell r="P94">
            <v>0</v>
          </cell>
          <cell r="Q94" t="str">
            <v>GRUPO 13</v>
          </cell>
          <cell r="R94" t="str">
            <v>CONSTRUCCIONES INCO S.A.S.</v>
          </cell>
          <cell r="S94">
            <v>806008712</v>
          </cell>
          <cell r="T94">
            <v>41200</v>
          </cell>
          <cell r="U94">
            <v>199302163</v>
          </cell>
          <cell r="V94">
            <v>199302163</v>
          </cell>
          <cell r="W94">
            <v>0</v>
          </cell>
          <cell r="X94">
            <v>14050500</v>
          </cell>
          <cell r="Y94">
            <v>14050500</v>
          </cell>
          <cell r="Z94">
            <v>0</v>
          </cell>
          <cell r="AA94">
            <v>0</v>
          </cell>
          <cell r="AB94" t="str">
            <v>ARIGUANI</v>
          </cell>
          <cell r="AC94" t="str">
            <v>MAGDALENA</v>
          </cell>
          <cell r="AD94">
            <v>41590</v>
          </cell>
          <cell r="AE94">
            <v>1</v>
          </cell>
          <cell r="AF94">
            <v>0</v>
          </cell>
          <cell r="AG94">
            <v>0</v>
          </cell>
        </row>
        <row r="95">
          <cell r="A95" t="str">
            <v>PAF-ATF-101-2013</v>
          </cell>
          <cell r="B95" t="str">
            <v>AMPLIACIÓN DEL RELLENO SANITARIO DEL MUNICIPIO DE MÁLAGA”</v>
          </cell>
          <cell r="C95">
            <v>1310069787</v>
          </cell>
          <cell r="D95">
            <v>1310069787</v>
          </cell>
          <cell r="E95">
            <v>0</v>
          </cell>
          <cell r="F95">
            <v>131006979</v>
          </cell>
          <cell r="G95">
            <v>131006979</v>
          </cell>
          <cell r="H95">
            <v>0</v>
          </cell>
          <cell r="I95">
            <v>0</v>
          </cell>
          <cell r="J95">
            <v>28821535.32</v>
          </cell>
          <cell r="K95">
            <v>33641535</v>
          </cell>
          <cell r="L95">
            <v>0</v>
          </cell>
          <cell r="M95">
            <v>41487</v>
          </cell>
          <cell r="N95" t="str">
            <v>Contrato No. 159 de 2013
CDP 137513
11 Nación</v>
          </cell>
          <cell r="O95" t="str">
            <v>Contrato No. 159 de 2013
CDP 137513
11 Nación</v>
          </cell>
          <cell r="P95">
            <v>0</v>
          </cell>
          <cell r="Q95" t="str">
            <v>GRUPO 13</v>
          </cell>
          <cell r="R95" t="str">
            <v>INGENIERO CARLOS MANRIQUE SAAVEDRA</v>
          </cell>
          <cell r="S95">
            <v>12130133</v>
          </cell>
          <cell r="T95">
            <v>41522</v>
          </cell>
          <cell r="U95">
            <v>1260787500</v>
          </cell>
          <cell r="V95">
            <v>1260787500</v>
          </cell>
          <cell r="W95">
            <v>0</v>
          </cell>
          <cell r="X95">
            <v>124691532</v>
          </cell>
          <cell r="Y95">
            <v>124691532</v>
          </cell>
          <cell r="Z95">
            <v>0</v>
          </cell>
          <cell r="AA95">
            <v>0</v>
          </cell>
          <cell r="AB95" t="str">
            <v>MALAGA</v>
          </cell>
          <cell r="AC95" t="str">
            <v>SANTANDER</v>
          </cell>
          <cell r="AD95">
            <v>41530</v>
          </cell>
          <cell r="AE95">
            <v>5</v>
          </cell>
          <cell r="AF95">
            <v>0</v>
          </cell>
          <cell r="AG95">
            <v>0</v>
          </cell>
        </row>
        <row r="96">
          <cell r="A96" t="str">
            <v>PAF-ATF-103-2013</v>
          </cell>
          <cell r="B96" t="str">
            <v>“CONSTRUCCION DEL SISTEMA DE ALCANTARILLADO SANITARIO DEL DISTRITO No. 4 (INCLUYE ESTACION DE BOMBEO Y REDES SECUNDARIAS)”</v>
          </cell>
          <cell r="C96">
            <v>25920090921</v>
          </cell>
          <cell r="D96">
            <v>11572440312</v>
          </cell>
          <cell r="E96">
            <v>14347650609</v>
          </cell>
          <cell r="F96">
            <v>1897839332</v>
          </cell>
          <cell r="G96">
            <v>1897839332</v>
          </cell>
          <cell r="H96">
            <v>0</v>
          </cell>
          <cell r="I96">
            <v>0</v>
          </cell>
          <cell r="J96">
            <v>556358605.06000006</v>
          </cell>
          <cell r="K96">
            <v>567900035</v>
          </cell>
          <cell r="L96">
            <v>0</v>
          </cell>
          <cell r="M96">
            <v>41487</v>
          </cell>
          <cell r="N96" t="str">
            <v>Contrato No. 159 de 2013
CDP 155913
11 Nación</v>
          </cell>
          <cell r="O96" t="str">
            <v>Contrato No. 159 de 2013
CDP 155913
11 Nación</v>
          </cell>
          <cell r="P96">
            <v>0</v>
          </cell>
          <cell r="Q96" t="str">
            <v>GRUPO 15</v>
          </cell>
          <cell r="R96" t="str">
            <v>INGEMAS S.A.</v>
          </cell>
          <cell r="S96" t="str">
            <v>A33613308</v>
          </cell>
          <cell r="T96">
            <v>41600</v>
          </cell>
          <cell r="U96">
            <v>24637944872</v>
          </cell>
          <cell r="V96">
            <v>10290294263</v>
          </cell>
          <cell r="W96">
            <v>14347650609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 t="str">
            <v>SAN ANDRES</v>
          </cell>
          <cell r="AC96" t="str">
            <v>SAN ANDRES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</row>
        <row r="97">
          <cell r="A97">
            <v>0</v>
          </cell>
          <cell r="B97">
            <v>0</v>
          </cell>
          <cell r="C97">
            <v>829645077870</v>
          </cell>
          <cell r="D97">
            <v>702343817902</v>
          </cell>
          <cell r="E97">
            <v>69332841140</v>
          </cell>
          <cell r="F97">
            <v>51333721180.080002</v>
          </cell>
          <cell r="G97">
            <v>49636850660.080002</v>
          </cell>
          <cell r="H97">
            <v>1696870519</v>
          </cell>
          <cell r="I97" t="e">
            <v>#VALUE!</v>
          </cell>
          <cell r="J97">
            <v>0</v>
          </cell>
          <cell r="K97">
            <v>16285027233.98</v>
          </cell>
          <cell r="L97">
            <v>40000000</v>
          </cell>
          <cell r="M97">
            <v>3387970</v>
          </cell>
          <cell r="N97" t="e">
            <v>#VALUE!</v>
          </cell>
          <cell r="O97" t="e">
            <v>#VALUE!</v>
          </cell>
          <cell r="P97" t="e">
            <v>#VALUE!</v>
          </cell>
          <cell r="Q97" t="e">
            <v>#VALUE!</v>
          </cell>
          <cell r="R97" t="e">
            <v>#VALUE!</v>
          </cell>
          <cell r="S97">
            <v>0</v>
          </cell>
          <cell r="T97" t="e">
            <v>#VALUE!</v>
          </cell>
          <cell r="U97">
            <v>722723336554</v>
          </cell>
          <cell r="V97">
            <v>656852815324</v>
          </cell>
          <cell r="W97">
            <v>69332841140</v>
          </cell>
          <cell r="X97">
            <v>48722070238.800003</v>
          </cell>
          <cell r="Y97">
            <v>47030143997.800003</v>
          </cell>
          <cell r="Z97">
            <v>807229101</v>
          </cell>
          <cell r="AA97">
            <v>40000000</v>
          </cell>
          <cell r="AB97">
            <v>0</v>
          </cell>
          <cell r="AC97">
            <v>0</v>
          </cell>
          <cell r="AD97">
            <v>3518119</v>
          </cell>
          <cell r="AE97">
            <v>928</v>
          </cell>
          <cell r="AF97">
            <v>41443</v>
          </cell>
          <cell r="AG97">
            <v>216735447773.09991</v>
          </cell>
        </row>
        <row r="98">
          <cell r="C98">
            <v>829645077870</v>
          </cell>
          <cell r="D98">
            <v>763534556652</v>
          </cell>
          <cell r="E98">
            <v>66110521230</v>
          </cell>
          <cell r="F98">
            <v>56176180920.040001</v>
          </cell>
          <cell r="G98">
            <v>54479310400.040001</v>
          </cell>
          <cell r="H98">
            <v>1696870519</v>
          </cell>
          <cell r="I98">
            <v>0</v>
          </cell>
          <cell r="J98">
            <v>17037136199.440001</v>
          </cell>
          <cell r="K98">
            <v>40000000</v>
          </cell>
          <cell r="S98">
            <v>723712280077</v>
          </cell>
          <cell r="T98">
            <v>657601758847</v>
          </cell>
          <cell r="U98">
            <v>66110521230</v>
          </cell>
          <cell r="V98">
            <v>48722070238.800003</v>
          </cell>
          <cell r="W98">
            <v>47030143997.800003</v>
          </cell>
          <cell r="X98">
            <v>1691926241</v>
          </cell>
          <cell r="Y98">
            <v>40000000</v>
          </cell>
          <cell r="AE98">
            <v>216735447773.09991</v>
          </cell>
          <cell r="AF98">
            <v>169333026044.60001</v>
          </cell>
        </row>
      </sheetData>
      <sheetData sheetId="46"/>
      <sheetData sheetId="47"/>
      <sheetData sheetId="48"/>
      <sheetData sheetId="49"/>
      <sheetData sheetId="50" refreshError="1"/>
      <sheetData sheetId="51"/>
      <sheetData sheetId="5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RESUMEN"/>
      <sheetName val="Contrapartidas"/>
      <sheetName val="Contrato 036"/>
      <sheetName val="Contrato 159"/>
      <sheetName val="CONVOCATORIA GRUPO 1"/>
      <sheetName val="INTERAGUAS"/>
      <sheetName val="CONVOCATORIA GRUPO 2"/>
      <sheetName val="IEH GRUCON S.A."/>
      <sheetName val="HMV INGENIEROS LTDA"/>
      <sheetName val="CONVOCATORIA GRUPO 3"/>
      <sheetName val="CONSORCIO PROSPERIDAD"/>
      <sheetName val="CONVOCATORIA GRUPO 4"/>
      <sheetName val="CONVOCATORIA GRUPO 1A"/>
      <sheetName val="CONVOCATORIA GRUPO 5"/>
      <sheetName val="AGUAS DE COLOMBIA S.A."/>
      <sheetName val="CONVOCATORIA GRUPO 6"/>
      <sheetName val="CONSORCIO MAB-GIS"/>
      <sheetName val="CONVOCATORIA GRUPO 7"/>
      <sheetName val="CONSORCIO ACUEDUCTO Y SANEA"/>
      <sheetName val="CONVOCATORIA GRUPO 8"/>
      <sheetName val="UT SAN ISIDRO ZONA 2"/>
      <sheetName val="CONVOCATORIA GRUPO 9"/>
      <sheetName val="CONSORCIO HICON"/>
      <sheetName val="CONVOCATORIA GRUPO 10"/>
      <sheetName val="CONSORCIO EHSB"/>
      <sheetName val="CONVOCATORIA GRUPO 11"/>
      <sheetName val="CONTRATO FIRMADO"/>
      <sheetName val="Resumen 159 Original"/>
      <sheetName val="R. Contrato 036 Original"/>
      <sheetName val="FC MAYO (036)"/>
      <sheetName val="FC MAYO (159)"/>
      <sheetName val="FCaja Proyectado Contrato 036"/>
      <sheetName val="FCaja Proyectado Contrato 159"/>
      <sheetName val="CONVOCATORIA GRUPO 12"/>
      <sheetName val="CONVOCATORIA GRUPO 13"/>
      <sheetName val="Hoja3"/>
      <sheetName val="Resumen 036 Junio 12"/>
      <sheetName val="Resumen 159 Junio 12"/>
      <sheetName val="CONVOCATORIA GRUPO 15"/>
      <sheetName val="INTERV GRUPO 15"/>
      <sheetName val="PAGOS OBRA"/>
      <sheetName val="FIN EJEC. INTEGRAL"/>
      <sheetName val="TDR"/>
      <sheetName val="PAGOS INTERVENTORIA"/>
      <sheetName val="FACTURA FIND OBRA"/>
      <sheetName val="FACTURA FIND INTERV"/>
      <sheetName val="CONSOLIDADO"/>
      <sheetName val="INFORME MINISTERIO"/>
      <sheetName val="SEGUIMIENTO PN-PJ"/>
      <sheetName val="Hoja2"/>
      <sheetName val="SIMULACIÓN SEGUIMIENTO"/>
      <sheetName val="Hoja4"/>
      <sheetName val="TDR - EJEC INT"/>
      <sheetName val="Hoja1"/>
      <sheetName val="SEGUIMIENTO 159"/>
      <sheetName val="SEGUIMIENTO 03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>
        <row r="3">
          <cell r="A3" t="str">
            <v>CONVOCATORIA</v>
          </cell>
          <cell r="B3" t="str">
            <v>FUENTE DE RECURSOS</v>
          </cell>
        </row>
        <row r="4">
          <cell r="A4" t="str">
            <v>PAF-ATF-001-2012</v>
          </cell>
          <cell r="B4" t="str">
            <v>Contrato No. 036 de 2012
CDP 274712
11 Recursos del Tesoro</v>
          </cell>
        </row>
        <row r="5">
          <cell r="A5" t="str">
            <v>PAF-ATF-002-2012</v>
          </cell>
          <cell r="B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</row>
        <row r="6">
          <cell r="A6" t="str">
            <v>PAF-ATF-003-2012
PAF-ATF-041-2012</v>
          </cell>
          <cell r="B6" t="str">
            <v>Contrato No. 036 de 2012 
CDP 274712
10 Recursos Corrientes</v>
          </cell>
        </row>
        <row r="7">
          <cell r="A7" t="str">
            <v>PAF-ATF-004-2012</v>
          </cell>
          <cell r="B7" t="str">
            <v>Contrato No. 036 de 2012
CDP 274712
11 Recursos del Tesoro</v>
          </cell>
        </row>
        <row r="8">
          <cell r="A8" t="str">
            <v>PAF-ATF-005-2012</v>
          </cell>
          <cell r="B8" t="str">
            <v>Contrato No. 036 de 2012
CDP 274712
11 Recursos del Tesoro</v>
          </cell>
        </row>
        <row r="9">
          <cell r="A9" t="str">
            <v>PAF-ATF-006-2012</v>
          </cell>
          <cell r="B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Vigencias Futuras 2013</v>
          </cell>
        </row>
        <row r="10">
          <cell r="A10" t="str">
            <v>PAF-ATF-007-2012</v>
          </cell>
          <cell r="B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Vigencias Futuras 2013</v>
          </cell>
        </row>
        <row r="11">
          <cell r="A11" t="str">
            <v>PAF-ATF-008-2012</v>
          </cell>
          <cell r="B11" t="str">
            <v>Contrato No. 036 de 2012
CDP 274712
16 Fondos Especiales</v>
          </cell>
        </row>
        <row r="12">
          <cell r="A12" t="str">
            <v>PAF-ATF-PJ-006
SIN NUMERO</v>
          </cell>
          <cell r="B12">
            <v>0</v>
          </cell>
        </row>
        <row r="13">
          <cell r="A13" t="str">
            <v>PAF-ATF-009-2012</v>
          </cell>
          <cell r="B13" t="str">
            <v>Contrato No. 036 de 2012
CDP 274712
16 Fondos Especiales</v>
          </cell>
        </row>
        <row r="14">
          <cell r="A14" t="str">
            <v>PAF-ATF-010-2012</v>
          </cell>
          <cell r="B14" t="str">
            <v>Contrato No. 036 de 2012 
CDP 274712
10 Recursos Corrientes</v>
          </cell>
        </row>
        <row r="15">
          <cell r="A15" t="str">
            <v>PAF-ATF-011-2012</v>
          </cell>
          <cell r="B15" t="str">
            <v>Contrato No. 036 de 2012
CDP 274712
16 Fondos Especiales</v>
          </cell>
        </row>
        <row r="16">
          <cell r="A16" t="str">
            <v>PAF-ATF-012-2012</v>
          </cell>
          <cell r="B16" t="str">
            <v>Contrato No. 036 de 2012 
CDP 274712
10 Recursos Corrientes</v>
          </cell>
        </row>
        <row r="17">
          <cell r="A17" t="str">
            <v>PAF-ATF-013-2012</v>
          </cell>
          <cell r="B17" t="str">
            <v>Contrato No. 036 de 2012
CDP 274712
16 Fondos Especiales</v>
          </cell>
        </row>
        <row r="18">
          <cell r="A18" t="str">
            <v>PAF-ATF-014-2012</v>
          </cell>
          <cell r="B18" t="str">
            <v>Contrato No. 036 de 2012
CDP 274712
16 Fondos Especiales</v>
          </cell>
        </row>
        <row r="19">
          <cell r="A19" t="str">
            <v>PAF-ATF-015-2012</v>
          </cell>
          <cell r="B19" t="str">
            <v>Contrato No. 036 de 2012 
CDP 274712
10 Recursos Corrientes</v>
          </cell>
        </row>
        <row r="20">
          <cell r="A20" t="str">
            <v>PAF-ATF-016-2012</v>
          </cell>
          <cell r="B20" t="str">
            <v>Contrato No. 036 de 2012
CDP 274712
16 Fondos Especiales</v>
          </cell>
        </row>
        <row r="21">
          <cell r="A21" t="str">
            <v>PAF-ATF-017-2012
PAF-ATF-039-2013
PAF-ATF-075-2013
PAF-ATF-087-2013
PAF-ATF-099-2013</v>
          </cell>
          <cell r="B21" t="str">
            <v>Contrato No. 036 de 2012
CDP 274712
16 Fondos Especiales</v>
          </cell>
        </row>
        <row r="22">
          <cell r="A22" t="str">
            <v>PAF-ATF-018-2012
PAF-ATF-040-2012</v>
          </cell>
          <cell r="B22" t="str">
            <v>Contrato No. 036 de 2012
CDP 274712
16 Fondos Especiales</v>
          </cell>
        </row>
        <row r="23">
          <cell r="A23" t="str">
            <v>PAF-ATF-019-2012</v>
          </cell>
          <cell r="B23" t="str">
            <v>Contrato No. 036 de 2012
CDP 274712
16 Fondos Especiales</v>
          </cell>
        </row>
        <row r="24">
          <cell r="A24" t="str">
            <v>PAF-ATF-020-2012</v>
          </cell>
          <cell r="B24" t="str">
            <v>Contrato No. 036 de 2012
CDP 274712
16 Fondos Especiales</v>
          </cell>
        </row>
        <row r="25">
          <cell r="A25" t="str">
            <v>PAF-ATF-021-2012</v>
          </cell>
          <cell r="B25" t="str">
            <v>Contrato No. 036 de 2012
CDP 274712
16 Fondos Especiales</v>
          </cell>
        </row>
        <row r="26">
          <cell r="A26" t="str">
            <v>PAF-ATF-022-2012</v>
          </cell>
          <cell r="B26" t="str">
            <v>Contrato No. 036 de 2012
CDP 274712
16 Fondos Especiales</v>
          </cell>
        </row>
        <row r="27">
          <cell r="A27" t="str">
            <v>PAF-ATF-023-2012</v>
          </cell>
          <cell r="B27" t="str">
            <v>Contrato No. 036 de 2012
CDP 304012
11 Nación</v>
          </cell>
        </row>
        <row r="28">
          <cell r="A28" t="str">
            <v>PAF-ATF-024-2012</v>
          </cell>
          <cell r="B28" t="str">
            <v>Contrato No. 036 de 2012
CDP 274712
16 Fondos Especiales</v>
          </cell>
        </row>
        <row r="29">
          <cell r="A29" t="str">
            <v>PAF-ATF-025-2012</v>
          </cell>
          <cell r="B29" t="str">
            <v>Contrato No. 036 de 2012
CDP 274712
16 Fondos Especiales</v>
          </cell>
        </row>
        <row r="30">
          <cell r="A30" t="str">
            <v>PAF-ATF-026-2012</v>
          </cell>
          <cell r="B30" t="str">
            <v xml:space="preserve">CDP 235012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NACIÓN 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PRESUPUESTO ANUAL DE GASTOS E INVERSIONES DEL MUNICIPIO                                                                                                                                                </v>
          </cell>
        </row>
        <row r="31">
          <cell r="A31" t="str">
            <v>PAF-ATF-027-2012</v>
          </cell>
          <cell r="B31" t="str">
            <v>Contrato No. 036 de 2012
CDP 304012
11 Nación</v>
          </cell>
        </row>
        <row r="32">
          <cell r="A32" t="str">
            <v>PAF-ATF-028-2012</v>
          </cell>
          <cell r="B32" t="str">
            <v>Contrato No. 036 de 2012
CDP 290212
11 Recursos del Tesoro</v>
          </cell>
        </row>
        <row r="33">
          <cell r="A33" t="str">
            <v>PAF-ATF-029-2012
PAF-ATF-076-2013</v>
          </cell>
          <cell r="B33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Vigencias Futuras 2013</v>
          </cell>
        </row>
        <row r="34">
          <cell r="A34" t="str">
            <v>PAF-ATF-030-2012</v>
          </cell>
          <cell r="B34" t="str">
            <v>Contrato No. 036 de 2012 
CDP 274712
10 Recursos Corrientes</v>
          </cell>
        </row>
        <row r="35">
          <cell r="A35" t="str">
            <v>PAF-ATF-031-2012</v>
          </cell>
          <cell r="B35" t="str">
            <v>Contrato No. 036 de 2012 
CDP 274712
10 Recursos Corrientes</v>
          </cell>
        </row>
        <row r="36">
          <cell r="A36" t="str">
            <v>PAF-ATF-032-2012</v>
          </cell>
          <cell r="B36" t="str">
            <v>Contrato No. 036 de 2012 
CDP 274712
10 Recursos Corrientes</v>
          </cell>
        </row>
        <row r="37">
          <cell r="A37" t="str">
            <v>PAF-ATF-033-2012
PAF-ATF-074-2013</v>
          </cell>
          <cell r="B37" t="str">
            <v>Contrato No. 036 de 2012
CDP 274712
11 Recursos del Tesoro</v>
          </cell>
        </row>
        <row r="38">
          <cell r="A38" t="str">
            <v>PAF-ATF-034-2012</v>
          </cell>
          <cell r="B38" t="str">
            <v>Contrato No. 036 de 2012 
CDP 274712
10 Recursos Corrientes</v>
          </cell>
        </row>
        <row r="39">
          <cell r="A39" t="str">
            <v>PAF-ATF-035-2012***</v>
          </cell>
          <cell r="B39" t="str">
            <v>Contrato No. 036 de 2012
CDP 274712
16 Fondos Especiales</v>
          </cell>
        </row>
        <row r="40">
          <cell r="A40" t="str">
            <v>PAF-ATF-036-2012</v>
          </cell>
          <cell r="B40" t="str">
            <v>Contrato No. 036 de 2012
CDP 274712
16 Fondos Especiales</v>
          </cell>
        </row>
        <row r="41">
          <cell r="A41" t="str">
            <v>PAF-ATF-037-2012</v>
          </cell>
          <cell r="B41" t="str">
            <v>Contrato No. 036 de 2012
CDP 274712
16 Fondos Especiales</v>
          </cell>
        </row>
        <row r="42">
          <cell r="A42" t="str">
            <v>PAF-ATF-038-2012</v>
          </cell>
          <cell r="B42" t="str">
            <v>Contrato No. 036 de 2012 
CDP 274712
10 Recursos Corrientes</v>
          </cell>
        </row>
        <row r="43">
          <cell r="A43" t="str">
            <v>PAF-ATF-042-2013</v>
          </cell>
          <cell r="B43" t="str">
            <v>Contrato No. 159 de 2013
CDP 22813
11 Recursos del Tesoro</v>
          </cell>
        </row>
        <row r="44">
          <cell r="A44" t="str">
            <v>PAF-ATF-043-2013</v>
          </cell>
          <cell r="B44" t="str">
            <v>Contrato No. 159 de 2013
CDP 22813
11 Recursos del Tesoro</v>
          </cell>
        </row>
        <row r="45">
          <cell r="A45" t="str">
            <v>PAF-ATF-044-2013</v>
          </cell>
          <cell r="B45" t="str">
            <v>Contrato No. 159 de 2013
CDP 22813
11 Recursos del Tesoro</v>
          </cell>
        </row>
        <row r="46">
          <cell r="A46" t="str">
            <v>PAF-ATF-045-2013</v>
          </cell>
          <cell r="B46" t="str">
            <v>Contrato No. 159 de 2013
CDP 22813
11 Recursos del Tesoro</v>
          </cell>
        </row>
        <row r="47">
          <cell r="A47" t="str">
            <v>PAF-ATF-046-2013</v>
          </cell>
          <cell r="B47" t="str">
            <v>Contrato No. 036 de 2012 
CDP 274712
10 Recursos Corrientes</v>
          </cell>
        </row>
        <row r="48">
          <cell r="A48" t="str">
            <v>PAF-ATF-047-2013</v>
          </cell>
          <cell r="B48" t="str">
            <v>Contrato No. 159 de 2013
CDP 22813
11 Recursos del Tesoro</v>
          </cell>
        </row>
        <row r="49">
          <cell r="A49" t="str">
            <v>PAF-ATF-048-2013</v>
          </cell>
          <cell r="B49" t="str">
            <v>Contrato No. 159 de 2013
CDP 22813
11 Recursos del Tesoro</v>
          </cell>
        </row>
        <row r="50">
          <cell r="A50" t="str">
            <v>PAF-ATF-049-2013</v>
          </cell>
          <cell r="B50" t="str">
            <v>Contrato No. 159 de 2013
CDP 22813
11 Recursos del Tesoro</v>
          </cell>
        </row>
        <row r="51">
          <cell r="A51" t="str">
            <v>PAF-ATF-050-2013</v>
          </cell>
          <cell r="B51" t="str">
            <v>Contrato No. 036 de 2012
CDP 274712
16 Fondos Especiales</v>
          </cell>
        </row>
        <row r="52">
          <cell r="A52" t="str">
            <v>PAF-ATF-051-2013</v>
          </cell>
          <cell r="B52" t="str">
            <v>Contrato No. 036 de 2012
CDP 274712
16 Fondos Especiales</v>
          </cell>
        </row>
        <row r="53">
          <cell r="A53" t="str">
            <v>PAF-ATF-052-2013</v>
          </cell>
          <cell r="B53" t="str">
            <v>Contrato No. 159 de 2013
CDP 22813
11 Recursos del Tesoro</v>
          </cell>
        </row>
        <row r="54">
          <cell r="A54" t="str">
            <v>PAF-ATF-053-2013
PAF-ATF-102-2013</v>
          </cell>
          <cell r="B54" t="str">
            <v>Contrato No. 159 de 2013
CDP 22813
11 Recursos del Tesoro</v>
          </cell>
        </row>
        <row r="55">
          <cell r="A55" t="str">
            <v>PAF-ATF-054-2013</v>
          </cell>
          <cell r="B55" t="str">
            <v>Contrato No. 159 de 2013
CDP 22813
11 Recursos del Tesoro</v>
          </cell>
        </row>
        <row r="56">
          <cell r="A56" t="str">
            <v>PAF-ATF-055-2013</v>
          </cell>
          <cell r="B56" t="str">
            <v>Contrato No. 159 de 2013
CDP 22813
11 Recursos del Tesoro</v>
          </cell>
        </row>
        <row r="57">
          <cell r="A57" t="str">
            <v>PAF-ATF-056-2013</v>
          </cell>
          <cell r="B57" t="str">
            <v>Contrato No. 036 de 2012 
CDP 274712
10 Recursos Corrientes</v>
          </cell>
        </row>
        <row r="58">
          <cell r="A58" t="str">
            <v>PAF-ATF-057-2013</v>
          </cell>
          <cell r="B58" t="str">
            <v>Contrato No. 036 de 2012 
CDP 274712
10 Recursos Corrientes</v>
          </cell>
        </row>
        <row r="59">
          <cell r="A59" t="str">
            <v>PAF-ATF-058-2013</v>
          </cell>
          <cell r="B59" t="str">
            <v>Contrato No. 036 de 2012
CDP 274712
16 Fondos Especiales</v>
          </cell>
        </row>
        <row r="60">
          <cell r="A60" t="str">
            <v>PAF-ATF-059-2013</v>
          </cell>
          <cell r="B60" t="str">
            <v>Contrato No. 159 de 2013
CDP 22813
11 Recursos del Tesoro</v>
          </cell>
        </row>
        <row r="61">
          <cell r="A61" t="str">
            <v>PAF-ATF-060-2013</v>
          </cell>
          <cell r="B61" t="str">
            <v>Contrato No. 159 de 2013
CDP 22813
11 Recursos del Tesoro</v>
          </cell>
        </row>
        <row r="62">
          <cell r="A62" t="str">
            <v>PAF-ATF-061-2013</v>
          </cell>
          <cell r="B62" t="str">
            <v>Contrato No. 036 de 2012
CDP 274712
16 Fondos Especiales</v>
          </cell>
        </row>
        <row r="63">
          <cell r="A63" t="str">
            <v>PAF-ATF-062-2013</v>
          </cell>
          <cell r="B63" t="str">
            <v>Contrato No. 159 de 2013
CDP 22813
11 Recursos del Tesoro</v>
          </cell>
        </row>
        <row r="64">
          <cell r="A64" t="str">
            <v>PAF-ATF-063-2013</v>
          </cell>
          <cell r="B64" t="str">
            <v>Contrato No. 159 de 2013
CDP 22813
11 Recursos del Tesoro</v>
          </cell>
        </row>
        <row r="65">
          <cell r="A65" t="str">
            <v>PAF-ATF-064-2013</v>
          </cell>
          <cell r="B65" t="str">
            <v>Contrato No. 159 de 2013
CDP 22813
11 Recursos del Tesoro</v>
          </cell>
        </row>
        <row r="66">
          <cell r="A66" t="str">
            <v>PAF-ATF-065-2013</v>
          </cell>
          <cell r="B66" t="str">
            <v>Contrato No. 159 de 2013
CDP 22813
11 Recursos del Tesoro</v>
          </cell>
        </row>
        <row r="67">
          <cell r="A67" t="str">
            <v>PAF-ATF-066-2013</v>
          </cell>
          <cell r="B67" t="str">
            <v>Contrato No. 159 de 2013
CDP 22813
11 Recursos del Tesoro</v>
          </cell>
        </row>
        <row r="68">
          <cell r="A68" t="str">
            <v>PAF-ATF-067-2013</v>
          </cell>
          <cell r="B68" t="str">
            <v>Contrato No. 159 de 2013
CDP 22813
11 Recursos del Tesoro</v>
          </cell>
        </row>
        <row r="69">
          <cell r="A69" t="str">
            <v>PAF-ATF-069-2013</v>
          </cell>
          <cell r="B69" t="str">
            <v>Contrato No. 036 de 2012 
CDP 274712
10 Recursos Corrientes</v>
          </cell>
        </row>
        <row r="70">
          <cell r="A70" t="str">
            <v>PAF-ATF-070-2013</v>
          </cell>
          <cell r="B70" t="str">
            <v>Contrato No. 159 de 2013
CDP 22813
16 Fondos Especiales</v>
          </cell>
        </row>
        <row r="71">
          <cell r="A71" t="str">
            <v>PAF-ATF-071-2013</v>
          </cell>
          <cell r="B71" t="str">
            <v>Contrato No. 159 de 2013
CDP 22813
16 Fondos Especiales</v>
          </cell>
        </row>
        <row r="72">
          <cell r="A72" t="str">
            <v>PAF-ATF-072-2013</v>
          </cell>
          <cell r="B72" t="str">
            <v>Contrato No. 159 de 2013
CDP 22813
16 Fondos Especiales</v>
          </cell>
        </row>
        <row r="73">
          <cell r="A73" t="str">
            <v>PAF-ATF-073-2013</v>
          </cell>
          <cell r="B73" t="str">
            <v xml:space="preserve">CDP 152012  
SEGUN MAIL REMITIDO DEL MVCT                                                                                                                                                                                                                                                 </v>
          </cell>
        </row>
        <row r="74">
          <cell r="A74" t="str">
            <v>PAF-ATF-077-2013</v>
          </cell>
          <cell r="B74" t="str">
            <v>Contrato No. 036 de 2012
CDP 274712
16 Fondos Especiales</v>
          </cell>
        </row>
        <row r="75">
          <cell r="A75" t="str">
            <v>PAF-ATF-078-2013</v>
          </cell>
          <cell r="B75" t="str">
            <v>Contrato No. 159 de 2013
CDP 22813
16 Fondos Especiales</v>
          </cell>
        </row>
        <row r="76">
          <cell r="A76" t="str">
            <v>PAF-ATF-079-2013</v>
          </cell>
          <cell r="B76" t="str">
            <v>Contrato No. 159 de 2013
CDP 22813
16 Fondos Especiales</v>
          </cell>
        </row>
        <row r="77">
          <cell r="A77" t="str">
            <v>PAF-ATF-080-2013</v>
          </cell>
          <cell r="B77" t="str">
            <v>Contrato No. 159 de 2013
CDP 22813
16 Fondos Especiales</v>
          </cell>
        </row>
        <row r="78">
          <cell r="A78" t="str">
            <v>PAF-ATF-081-2013</v>
          </cell>
          <cell r="B78" t="str">
            <v>Contrato No. 159 de 2013
CDP 22813
16 Fondos Especiales</v>
          </cell>
        </row>
        <row r="79">
          <cell r="A79" t="str">
            <v>PAF-ATF-082-2013</v>
          </cell>
          <cell r="B79" t="str">
            <v>Contrato No. 159 de 2013
CDP 22813
16 Fondos Especiales</v>
          </cell>
        </row>
        <row r="80">
          <cell r="A80" t="str">
            <v>PAF-ATF-083-2013</v>
          </cell>
          <cell r="B80" t="str">
            <v>Contrato No. 159 de 2013
CDP 22813
16 Fondos Especiales</v>
          </cell>
        </row>
        <row r="81">
          <cell r="A81" t="str">
            <v>PAF-ATF-084-2013</v>
          </cell>
          <cell r="B81" t="str">
            <v>Contrato No. 036 de 2012
CDP 274712
16 Fondos Especiales</v>
          </cell>
        </row>
        <row r="82">
          <cell r="A82" t="str">
            <v>PAF-ATF-085-2013</v>
          </cell>
          <cell r="B82" t="str">
            <v>Contrato No. 159 de 2013
CDP 22813
16 Fondos Especiales</v>
          </cell>
        </row>
        <row r="83">
          <cell r="A83" t="str">
            <v>PAF-ATF-086-2013</v>
          </cell>
          <cell r="B83" t="str">
            <v>Contrato No. 036 de 2012
CDP 274712
16 Fondos Especiales</v>
          </cell>
        </row>
        <row r="84">
          <cell r="A84" t="str">
            <v>PAF-ATF-090-2013</v>
          </cell>
          <cell r="B84" t="str">
            <v>Contrato No. 159 de 2013
CDP 22813
16 Fondos Especiales</v>
          </cell>
        </row>
        <row r="85">
          <cell r="A85" t="str">
            <v>PAF-ATF-091-2013</v>
          </cell>
          <cell r="B85" t="str">
            <v>Contrato No. 159 de 2013
CDP 22813
16 Fondos Especiales</v>
          </cell>
        </row>
        <row r="86">
          <cell r="A86" t="str">
            <v>PAF-ATF-093-2013</v>
          </cell>
          <cell r="B86" t="str">
            <v>Contrato No. 036 de 2012
CDP 274712
16 Fondos Especiales</v>
          </cell>
        </row>
        <row r="87">
          <cell r="A87" t="str">
            <v>PAF-ATF-094-2013</v>
          </cell>
          <cell r="B87" t="str">
            <v>SALDOS CONTRATO 036 DE 2012
TODOS LOS CDP VER RELACIÓN ANEXA</v>
          </cell>
        </row>
        <row r="88">
          <cell r="A88" t="str">
            <v>PAF-ATF-095-2013</v>
          </cell>
          <cell r="B88" t="str">
            <v>Contrato No. 159 de 2013
CDP 137513
11 Nación</v>
          </cell>
        </row>
        <row r="89">
          <cell r="A89" t="str">
            <v>PAF-ATF-096-2013</v>
          </cell>
          <cell r="B89" t="str">
            <v>Contrato No. 159 de 2013
CDP 137513
11 Nación</v>
          </cell>
        </row>
        <row r="90">
          <cell r="A90" t="str">
            <v>PAF-ATF-097-2013</v>
          </cell>
          <cell r="B90" t="str">
            <v>Contrato No. 159 de 2013
CDP 137513
11 Nación</v>
          </cell>
        </row>
        <row r="91">
          <cell r="A91" t="str">
            <v>PAF-ATF-098-2013</v>
          </cell>
          <cell r="B91" t="str">
            <v>Contrato No. 159 de 2013
CDP 155913
11 Nación</v>
          </cell>
        </row>
        <row r="92">
          <cell r="A92" t="str">
            <v>PAF-ATF-100-2013</v>
          </cell>
          <cell r="B92" t="str">
            <v>Contrato No. 159 de 2013
CDP 155913
11 Nación</v>
          </cell>
        </row>
        <row r="93">
          <cell r="A93" t="str">
            <v>PAF-ATF-101-2013</v>
          </cell>
          <cell r="B93" t="str">
            <v>Contrato No. 159 de 2013
CDP 137513
11 Nación</v>
          </cell>
        </row>
        <row r="94">
          <cell r="A94" t="str">
            <v>PAF-ATF-103-2013</v>
          </cell>
          <cell r="B94" t="str">
            <v>Contrato No. 159 de 2013
CDP 155913
11 Nación</v>
          </cell>
        </row>
      </sheetData>
      <sheetData sheetId="41"/>
      <sheetData sheetId="42"/>
      <sheetData sheetId="43"/>
      <sheetData sheetId="44">
        <row r="3">
          <cell r="A3" t="str">
            <v>CONVOCATORIA</v>
          </cell>
        </row>
      </sheetData>
      <sheetData sheetId="45">
        <row r="3">
          <cell r="A3" t="str">
            <v>CONVOCATORIA</v>
          </cell>
        </row>
      </sheetData>
      <sheetData sheetId="46" refreshError="1">
        <row r="3">
          <cell r="A3" t="str">
            <v>CONVOCATORIA</v>
          </cell>
          <cell r="B3" t="str">
            <v>CONCEPTO</v>
          </cell>
          <cell r="C3" t="str">
            <v>PRESUPUESTO OBRA</v>
          </cell>
          <cell r="D3" t="str">
            <v>PRESUPUESTO OBRA NACIÓN</v>
          </cell>
          <cell r="E3" t="str">
            <v>CONTRAPARTIDA OBRA</v>
          </cell>
          <cell r="F3" t="str">
            <v>PRESUPUESTO INTERVENTORIA</v>
          </cell>
          <cell r="G3" t="str">
            <v>INTERVENTORIA NACIÓN</v>
          </cell>
          <cell r="H3" t="str">
            <v>CONTRAPARTIDA INTERVENTORIA</v>
          </cell>
          <cell r="I3" t="str">
            <v>ENTIDADES RESPONSABLES CONTRAPARTIDAS</v>
          </cell>
          <cell r="J3" t="str">
            <v>SEGUIMIENTO (MTSJ)</v>
          </cell>
          <cell r="K3" t="str">
            <v>SEGUIMIENTO (VIABILIZACIÓN)/ASEGURAMIENTO</v>
          </cell>
          <cell r="L3" t="str">
            <v>CONTRAPARTIDA SEGUIMIENTO (VIABILIZACIÓN)</v>
          </cell>
          <cell r="M3" t="str">
            <v>FECHA APERTURA</v>
          </cell>
          <cell r="N3" t="str">
            <v>FUENTE DE RECURSOS OBRA ASIGNADO MTSJ</v>
          </cell>
          <cell r="O3" t="str">
            <v>FUENTE DE RECURSOS INTERVENTORIA ASIGNADO</v>
          </cell>
          <cell r="P3" t="str">
            <v>FUENTE DE RECURSOS OBRA MVCT</v>
          </cell>
          <cell r="Q3" t="str">
            <v>GRUPO</v>
          </cell>
          <cell r="R3" t="str">
            <v>PROPONENTES</v>
          </cell>
          <cell r="S3" t="str">
            <v>IDENTIFICACIÓN (NIT)</v>
          </cell>
          <cell r="T3" t="str">
            <v>FECHA ADJUDICACIÓN</v>
          </cell>
          <cell r="U3" t="str">
            <v>MONTO ADJUDICADO OBRA</v>
          </cell>
          <cell r="V3" t="str">
            <v>MONTO ADJUDICADO OBRA (NACIÓN)</v>
          </cell>
          <cell r="W3" t="str">
            <v>CONTRAPARTIDA OBRA</v>
          </cell>
          <cell r="X3" t="str">
            <v>MONTO ADJUDICADO INTERVENTORIA</v>
          </cell>
          <cell r="Y3" t="str">
            <v>MONTO ADJUDICADO INTERVENTORIA (NACIÓN)</v>
          </cell>
          <cell r="Z3" t="str">
            <v>INTERVENTORIA CONTRAPARTIDA</v>
          </cell>
          <cell r="AA3" t="str">
            <v>CONTRAPARTIDA SEGUIMIENTO</v>
          </cell>
          <cell r="AB3" t="str">
            <v>MUNICIPIO</v>
          </cell>
          <cell r="AC3" t="str">
            <v>DEPARTAMENTO</v>
          </cell>
          <cell r="AD3" t="str">
            <v>FECHA SUSCRIPCIÓN DEL CONTRATO</v>
          </cell>
          <cell r="AE3" t="str">
            <v>PLAZO DE EJECUCIÓN (MESES)</v>
          </cell>
          <cell r="AF3" t="str">
            <v>FECHA ACTA DE INCIO</v>
          </cell>
          <cell r="AG3" t="str">
            <v>ANTICIPO OBRA</v>
          </cell>
          <cell r="AH3" t="str">
            <v>MONTO GIRADO</v>
          </cell>
          <cell r="AI3" t="str">
            <v>FECHA DE GIRO</v>
          </cell>
        </row>
        <row r="4">
          <cell r="A4" t="str">
            <v>PAF-ATF-001-2012</v>
          </cell>
          <cell r="B4" t="str">
            <v>CONSTRUCCIÓN DE LA INFRAESTRUCTURA MATRIZ PARA EL SUMINISTRO DE AGUA POTABLE AL PROYECTO CIUDAD DEL  BICENTENARIO ETAPA 1 FASE 2B</v>
          </cell>
          <cell r="C4">
            <v>10256430884</v>
          </cell>
          <cell r="D4">
            <v>10256430884</v>
          </cell>
          <cell r="E4">
            <v>0</v>
          </cell>
          <cell r="F4">
            <v>615385853</v>
          </cell>
          <cell r="G4">
            <v>0</v>
          </cell>
          <cell r="H4">
            <v>615385853</v>
          </cell>
          <cell r="I4" t="str">
            <v xml:space="preserve">CONVENIO INTERADMINISTRATIVO 131           ACUACAR S.A. E.S.P.                                                                                                                                                                                                                                               31-12-2012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$824.700.769
</v>
          </cell>
          <cell r="J4">
            <v>217436334.74000001</v>
          </cell>
          <cell r="K4">
            <v>209314916</v>
          </cell>
          <cell r="L4">
            <v>0</v>
          </cell>
          <cell r="M4">
            <v>41222</v>
          </cell>
          <cell r="N4" t="str">
            <v>Contrato No. 036 de 2012
CDP 274712
11 Recursos del Tesoro</v>
          </cell>
          <cell r="O4" t="str">
            <v>Contrato No. 036 de 2012
CDP 274712
11 Recursos del Tesoro</v>
          </cell>
          <cell r="P4" t="str">
            <v>Contrato No. 036 de 2012
CDP 274712
11 Recursos del Tesoro</v>
          </cell>
          <cell r="Q4" t="str">
            <v>GRUPO 1</v>
          </cell>
          <cell r="R4" t="str">
            <v xml:space="preserve">U.T ACUEDUCTO 2012
CONSTRUCCIONES E INVERSIONES BETA S.A.S.
PROMOTORA EL CAMPIN S.A.
</v>
          </cell>
          <cell r="S4">
            <v>900587967</v>
          </cell>
          <cell r="T4">
            <v>41271</v>
          </cell>
          <cell r="U4">
            <v>9999927181</v>
          </cell>
          <cell r="V4">
            <v>9999927181</v>
          </cell>
          <cell r="W4">
            <v>0</v>
          </cell>
          <cell r="X4">
            <v>615385853</v>
          </cell>
          <cell r="Y4">
            <v>0</v>
          </cell>
          <cell r="Z4">
            <v>615385853</v>
          </cell>
          <cell r="AA4">
            <v>0</v>
          </cell>
          <cell r="AB4" t="str">
            <v>CARTAGENA D.T.</v>
          </cell>
          <cell r="AC4" t="str">
            <v>BOLIVAR</v>
          </cell>
          <cell r="AD4">
            <v>41297</v>
          </cell>
          <cell r="AE4">
            <v>10</v>
          </cell>
          <cell r="AF4">
            <v>0</v>
          </cell>
          <cell r="AG4">
            <v>2999978154.2999997</v>
          </cell>
          <cell r="AH4">
            <v>2999978154.2999997</v>
          </cell>
          <cell r="AI4">
            <v>41368</v>
          </cell>
        </row>
        <row r="5">
          <cell r="A5" t="str">
            <v>PAF-ATF-002-2012</v>
          </cell>
          <cell r="B5" t="str">
            <v>CONSTRUCCIÓN OBRAS DE OPTIMIZACIÓN DE REDES DE ACUEDUCTO PARA LA PIMERA ETAPA DEL SISTEMA ESTRATEGICO DE TRANSPORTE PUBLICO DEL MUNICIPIO DE POPAYAN"</v>
          </cell>
          <cell r="C5">
            <v>10115388621</v>
          </cell>
          <cell r="D5">
            <v>10115388621</v>
          </cell>
          <cell r="E5">
            <v>0</v>
          </cell>
          <cell r="F5">
            <v>539287636</v>
          </cell>
          <cell r="G5">
            <v>539287636</v>
          </cell>
          <cell r="H5">
            <v>0</v>
          </cell>
          <cell r="I5">
            <v>0</v>
          </cell>
          <cell r="J5">
            <v>213093525.14000002</v>
          </cell>
          <cell r="K5">
            <v>217662781</v>
          </cell>
          <cell r="L5">
            <v>0</v>
          </cell>
          <cell r="M5">
            <v>41222</v>
          </cell>
          <cell r="N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Vigencias Futuras 2013</v>
          </cell>
          <cell r="O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Vigencias Futuras 2013</v>
          </cell>
          <cell r="P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5" t="str">
            <v>GRUPO 1</v>
          </cell>
          <cell r="R5" t="str">
            <v>FAGAR SERVICIOS
FAGAR SERVICIOS  97 S. L.  SUCURSAL COLOMBIA</v>
          </cell>
          <cell r="S5">
            <v>900400391</v>
          </cell>
          <cell r="T5">
            <v>41271</v>
          </cell>
          <cell r="U5">
            <v>10022371708</v>
          </cell>
          <cell r="V5">
            <v>10022371708</v>
          </cell>
          <cell r="W5">
            <v>0</v>
          </cell>
          <cell r="X5">
            <v>512323280</v>
          </cell>
          <cell r="Y5">
            <v>512323280</v>
          </cell>
          <cell r="Z5">
            <v>0</v>
          </cell>
          <cell r="AA5">
            <v>0</v>
          </cell>
          <cell r="AB5" t="str">
            <v>POPAYAN</v>
          </cell>
          <cell r="AC5" t="str">
            <v>CAUCA</v>
          </cell>
          <cell r="AD5">
            <v>41304</v>
          </cell>
          <cell r="AE5">
            <v>14</v>
          </cell>
          <cell r="AF5">
            <v>0</v>
          </cell>
          <cell r="AG5">
            <v>3006711512.4000001</v>
          </cell>
          <cell r="AH5">
            <v>3006711512.4000001</v>
          </cell>
          <cell r="AI5">
            <v>41409</v>
          </cell>
        </row>
        <row r="6">
          <cell r="A6" t="str">
            <v>PAF-ATF-003-2012
PAF-ATF-041-2012</v>
          </cell>
          <cell r="B6" t="str">
            <v>CONSTRUCCIÓN OBRAS DE OPTIMIZACIÓN REDES DE ALCANTARILLADO PRIMERA ETAPA DEL SISTEMA ESTRATÉGICO DE TRANSPORTE PÚBLICO DEL MUNICIPIO DE POPAYÁN</v>
          </cell>
          <cell r="C6">
            <v>7826096261</v>
          </cell>
          <cell r="D6">
            <v>7826096261</v>
          </cell>
          <cell r="E6">
            <v>0</v>
          </cell>
          <cell r="F6">
            <v>501934144</v>
          </cell>
          <cell r="G6">
            <v>501934144</v>
          </cell>
          <cell r="H6">
            <v>0</v>
          </cell>
          <cell r="I6">
            <v>0</v>
          </cell>
          <cell r="J6">
            <v>166560608.09999999</v>
          </cell>
          <cell r="K6">
            <v>169959804</v>
          </cell>
          <cell r="L6">
            <v>0</v>
          </cell>
          <cell r="M6" t="str">
            <v>09-11-2012
08-01-2013</v>
          </cell>
          <cell r="N6" t="str">
            <v>Contrato No. 036 de 2012 
CDP 274712
10 Recursos Corrientes</v>
          </cell>
          <cell r="O6" t="str">
            <v>Contrato No. 036 de 2012 
CDP 274712
10 Recursos Corrientes</v>
          </cell>
          <cell r="P6" t="str">
            <v>Contrato No. 036 de 2012 
CDP 274712
10 Recursos Corrientes</v>
          </cell>
          <cell r="Q6" t="str">
            <v>GRUPO 1</v>
          </cell>
          <cell r="R6" t="str">
            <v>CONSORCIO REDES ALCANTARILLADO POPAYAN
JUAN CARLOS CANENCIO SANCHEZ
ESPINA Y DELFIN COLOMBIA</v>
          </cell>
          <cell r="S6">
            <v>900600452</v>
          </cell>
          <cell r="T6">
            <v>41332</v>
          </cell>
          <cell r="U6">
            <v>7720288571</v>
          </cell>
          <cell r="V6">
            <v>7720288571</v>
          </cell>
          <cell r="W6">
            <v>0</v>
          </cell>
          <cell r="X6">
            <v>476843520</v>
          </cell>
          <cell r="Y6">
            <v>476843520</v>
          </cell>
          <cell r="Z6">
            <v>0</v>
          </cell>
          <cell r="AA6">
            <v>40000000</v>
          </cell>
          <cell r="AB6" t="str">
            <v>POPAYAN</v>
          </cell>
          <cell r="AC6" t="str">
            <v>CAUCA</v>
          </cell>
          <cell r="AD6">
            <v>41353</v>
          </cell>
          <cell r="AE6">
            <v>18</v>
          </cell>
          <cell r="AF6">
            <v>0</v>
          </cell>
          <cell r="AG6">
            <v>2316086571.2999997</v>
          </cell>
          <cell r="AH6">
            <v>2316086571.2999997</v>
          </cell>
          <cell r="AI6">
            <v>41382</v>
          </cell>
        </row>
        <row r="7">
          <cell r="A7" t="str">
            <v>PAF-ATF-004-2012</v>
          </cell>
          <cell r="B7" t="str">
            <v>CONSTRUCCIÓN DEL INTERCEPTOR RANCHO GRANDE EN EL MUNICIPIO DE MONTERIA</v>
          </cell>
          <cell r="C7">
            <v>2604552906</v>
          </cell>
          <cell r="D7">
            <v>2604552906</v>
          </cell>
          <cell r="E7">
            <v>0</v>
          </cell>
          <cell r="F7">
            <v>92807928</v>
          </cell>
          <cell r="G7">
            <v>0</v>
          </cell>
          <cell r="H7">
            <v>92807928</v>
          </cell>
          <cell r="I7" t="str">
            <v xml:space="preserve">PROACTIVA S.A. ESP               $92.807.928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J7">
            <v>53947216.68</v>
          </cell>
          <cell r="K7">
            <v>53154141</v>
          </cell>
          <cell r="L7">
            <v>0</v>
          </cell>
          <cell r="M7">
            <v>41222</v>
          </cell>
          <cell r="N7" t="str">
            <v>Contrato No. 036 de 2012
CDP 274712
11 Recursos del Tesoro</v>
          </cell>
          <cell r="O7" t="str">
            <v>Contrato No. 036 de 2012
CDP 274712
11 Recursos del Tesoro</v>
          </cell>
          <cell r="P7" t="str">
            <v>Contrato No. 036 de 2012
CDP 274712
11 Recursos del Tesoro</v>
          </cell>
          <cell r="Q7" t="str">
            <v>GRUPO 1</v>
          </cell>
          <cell r="R7" t="str">
            <v>CONSORCIO RANCHO GRANDE MV-LM
MEJIA VILLEGAS CONSTRUCCIONES S.A.
LUIS FERNANDO MESA BALLESTEROS</v>
          </cell>
          <cell r="S7">
            <v>900583182</v>
          </cell>
          <cell r="T7">
            <v>41271</v>
          </cell>
          <cell r="U7">
            <v>2545265423</v>
          </cell>
          <cell r="V7">
            <v>2545265423</v>
          </cell>
          <cell r="W7">
            <v>0</v>
          </cell>
          <cell r="X7">
            <v>92807928</v>
          </cell>
          <cell r="Y7">
            <v>0</v>
          </cell>
          <cell r="Z7">
            <v>92807928</v>
          </cell>
          <cell r="AA7">
            <v>0</v>
          </cell>
          <cell r="AB7" t="str">
            <v>MONTERIA</v>
          </cell>
          <cell r="AC7" t="str">
            <v>CORDOBA</v>
          </cell>
          <cell r="AD7">
            <v>41305</v>
          </cell>
          <cell r="AE7">
            <v>8</v>
          </cell>
          <cell r="AF7">
            <v>0</v>
          </cell>
          <cell r="AG7">
            <v>763579626.89999998</v>
          </cell>
          <cell r="AH7">
            <v>763579626.89999998</v>
          </cell>
          <cell r="AI7">
            <v>41369</v>
          </cell>
        </row>
        <row r="8">
          <cell r="A8" t="str">
            <v>PAF-ATF-005-2012</v>
          </cell>
          <cell r="B8" t="str">
            <v>EXTENSIÓN DE REDES DE ALCANTARILLADO SANITARIO EN LOS BARRIOS VILLA MARGARITA ETAPA III Y COMUNA 6 SECTOR 4 DE LA CIUDAD DE MONTERIA</v>
          </cell>
          <cell r="C8">
            <v>4604435444</v>
          </cell>
          <cell r="D8">
            <v>4604435444</v>
          </cell>
          <cell r="E8">
            <v>0</v>
          </cell>
          <cell r="F8">
            <v>176503359</v>
          </cell>
          <cell r="G8">
            <v>0</v>
          </cell>
          <cell r="H8">
            <v>176503359</v>
          </cell>
          <cell r="I8" t="str">
            <v xml:space="preserve">PROACTIVA S.A. ESP     $176.503.359                                                                                                                                                                                                                                                                          
 </v>
          </cell>
          <cell r="J8">
            <v>95618776.060000002</v>
          </cell>
          <cell r="K8">
            <v>93968070</v>
          </cell>
          <cell r="L8">
            <v>0</v>
          </cell>
          <cell r="M8">
            <v>41222</v>
          </cell>
          <cell r="N8" t="str">
            <v>Contrato No. 036 de 2012
CDP 274712
11 Recursos del Tesoro</v>
          </cell>
          <cell r="O8" t="str">
            <v>Contrato No. 036 de 2012
CDP 274712
11 Recursos del Tesoro</v>
          </cell>
          <cell r="P8" t="str">
            <v>Contrato No. 036 de 2012
CDP 274712
11 Recursos del Tesoro</v>
          </cell>
          <cell r="Q8" t="str">
            <v>GRUPO 1</v>
          </cell>
          <cell r="R8" t="str">
            <v>CONSORCIO SANEAMIENTO MONTERIA
ORLANDO FAJARDO CASTILLO
LUIS GABRIEL NIETO GARCIA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CONSTRUCTORA FAJARDO NIETO LIMITADA</v>
          </cell>
          <cell r="S8">
            <v>900583845</v>
          </cell>
          <cell r="T8">
            <v>41271</v>
          </cell>
          <cell r="U8">
            <v>4500586137</v>
          </cell>
          <cell r="V8">
            <v>4500586137</v>
          </cell>
          <cell r="W8">
            <v>0</v>
          </cell>
          <cell r="X8">
            <v>176503359</v>
          </cell>
          <cell r="Y8">
            <v>0</v>
          </cell>
          <cell r="Z8">
            <v>176503359</v>
          </cell>
          <cell r="AA8">
            <v>0</v>
          </cell>
          <cell r="AB8" t="str">
            <v>MONTERIA</v>
          </cell>
          <cell r="AC8" t="str">
            <v>CORDOBA</v>
          </cell>
          <cell r="AD8">
            <v>41305</v>
          </cell>
          <cell r="AE8">
            <v>8</v>
          </cell>
          <cell r="AF8">
            <v>0</v>
          </cell>
          <cell r="AG8">
            <v>1350175841.0999999</v>
          </cell>
          <cell r="AH8">
            <v>1350175841.0999999</v>
          </cell>
          <cell r="AI8">
            <v>41368</v>
          </cell>
        </row>
        <row r="9">
          <cell r="A9" t="str">
            <v>PAF-ATF-006-2012</v>
          </cell>
          <cell r="B9" t="str">
            <v>OPTIMIZACIÓN Y AMPLIACIÓN DEL SISTEMA DE ACUEDUCTO EN EL MUNICIPIO DE SAHAGUN CORDOBA</v>
          </cell>
          <cell r="C9">
            <v>11337319249</v>
          </cell>
          <cell r="D9">
            <v>11337319249</v>
          </cell>
          <cell r="E9">
            <v>0</v>
          </cell>
          <cell r="F9">
            <v>793612347</v>
          </cell>
          <cell r="G9">
            <v>793612347</v>
          </cell>
          <cell r="H9">
            <v>0</v>
          </cell>
          <cell r="I9">
            <v>0</v>
          </cell>
          <cell r="J9">
            <v>242618631.92000002</v>
          </cell>
          <cell r="K9">
            <v>247570033</v>
          </cell>
          <cell r="L9">
            <v>0</v>
          </cell>
          <cell r="M9">
            <v>41222</v>
          </cell>
          <cell r="N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O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P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9" t="str">
            <v>GRUPO 1</v>
          </cell>
          <cell r="R9" t="str">
            <v>UNION TEMPORAL ACUEDUCTO SAHAGUN
INGECOL S.A.
OINCO LTDA
LYDCO INGENIERIA S.A.S.
CONALRED S.A.S.
CONSTRUSOCIAL S.A.S.</v>
          </cell>
          <cell r="S9">
            <v>900584606</v>
          </cell>
          <cell r="T9">
            <v>41271</v>
          </cell>
          <cell r="U9">
            <v>11136353815</v>
          </cell>
          <cell r="V9">
            <v>11136353815</v>
          </cell>
          <cell r="W9">
            <v>0</v>
          </cell>
          <cell r="X9">
            <v>690432000</v>
          </cell>
          <cell r="Y9">
            <v>690432000</v>
          </cell>
          <cell r="Z9">
            <v>0</v>
          </cell>
          <cell r="AA9">
            <v>0</v>
          </cell>
          <cell r="AB9" t="str">
            <v>SAHAGUN</v>
          </cell>
          <cell r="AC9" t="str">
            <v>CORDOBA</v>
          </cell>
          <cell r="AD9">
            <v>41305</v>
          </cell>
          <cell r="AE9">
            <v>6</v>
          </cell>
          <cell r="AF9">
            <v>0</v>
          </cell>
          <cell r="AG9">
            <v>3340906144.5</v>
          </cell>
          <cell r="AH9">
            <v>3340906144.5</v>
          </cell>
          <cell r="AI9">
            <v>41373</v>
          </cell>
        </row>
        <row r="10">
          <cell r="A10" t="str">
            <v>PAF-ATF-007-2012</v>
          </cell>
          <cell r="B10" t="str">
            <v>CONSTRUCCIÓN COLECTORES REGIONAL LOS OLIVOS Y REDES SECUNDARIAS DE ALCANTARILLADO SANITARIO EN EL MUNICIPIO DE SAN JUAN DEL CESAR, GUAJIRA</v>
          </cell>
          <cell r="C10">
            <v>11252844580</v>
          </cell>
          <cell r="D10">
            <v>11252844580</v>
          </cell>
          <cell r="E10">
            <v>0</v>
          </cell>
          <cell r="F10">
            <v>787699122</v>
          </cell>
          <cell r="G10">
            <v>787699122</v>
          </cell>
          <cell r="H10">
            <v>0</v>
          </cell>
          <cell r="I10">
            <v>0</v>
          </cell>
          <cell r="J10">
            <v>240810874.03999999</v>
          </cell>
          <cell r="K10">
            <v>245725382</v>
          </cell>
          <cell r="L10">
            <v>0</v>
          </cell>
          <cell r="M10">
            <v>41222</v>
          </cell>
          <cell r="N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O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P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10" t="str">
            <v>GRUPO 1</v>
          </cell>
          <cell r="R10" t="str">
            <v>CONSORCIO AGUA CLARA
KMA CONSTRUCCIONES S.A.
CICON S.A.</v>
          </cell>
          <cell r="S10">
            <v>900582961</v>
          </cell>
          <cell r="T10">
            <v>41271</v>
          </cell>
          <cell r="U10">
            <v>11043891234</v>
          </cell>
          <cell r="V10">
            <v>11043891234</v>
          </cell>
          <cell r="W10">
            <v>0</v>
          </cell>
          <cell r="X10">
            <v>777809000</v>
          </cell>
          <cell r="Y10">
            <v>777809000</v>
          </cell>
          <cell r="Z10">
            <v>0</v>
          </cell>
          <cell r="AA10">
            <v>0</v>
          </cell>
          <cell r="AB10" t="str">
            <v>SAN JUAN DEL CESAR</v>
          </cell>
          <cell r="AC10" t="str">
            <v>GUAJIRA</v>
          </cell>
          <cell r="AD10">
            <v>41303</v>
          </cell>
          <cell r="AE10">
            <v>11</v>
          </cell>
          <cell r="AF10">
            <v>0</v>
          </cell>
          <cell r="AG10">
            <v>3313167370.1999998</v>
          </cell>
          <cell r="AH10">
            <v>3313167370.1999998</v>
          </cell>
          <cell r="AI10">
            <v>41375</v>
          </cell>
        </row>
        <row r="11">
          <cell r="A11" t="str">
            <v>PAF-ATF-008-2012</v>
          </cell>
          <cell r="B11" t="str">
            <v>CONSTRUCCIÓN DE LA LÍNEA DE ABASTECIMIENTO DESDE LA QUEBRADA CINCO MIL, OPTIMIZACIÓN DEL SISTEMA DE TRATAMIENTO Y ALMACENAMIENTO DEL ACUEDUCTO URBANO DEL MUNICIPIO DE SOCORRO, SANTANDER</v>
          </cell>
          <cell r="C11">
            <v>26537113862</v>
          </cell>
          <cell r="D11">
            <v>26537113862</v>
          </cell>
          <cell r="E11">
            <v>0</v>
          </cell>
          <cell r="F11">
            <v>1612680939</v>
          </cell>
          <cell r="G11">
            <v>1612680939</v>
          </cell>
          <cell r="H11">
            <v>0</v>
          </cell>
          <cell r="I11">
            <v>0</v>
          </cell>
          <cell r="J11">
            <v>562995896.01999998</v>
          </cell>
          <cell r="K11">
            <v>574485608</v>
          </cell>
          <cell r="L11">
            <v>0</v>
          </cell>
          <cell r="M11">
            <v>41222</v>
          </cell>
          <cell r="N11" t="str">
            <v>Contrato No. 036 de 2012
CDP 274712
16 Fondos Especiales</v>
          </cell>
          <cell r="O11" t="str">
            <v>Contrato No. 036 de 2012
CDP 274712
16 Fondos Especiales</v>
          </cell>
          <cell r="P11" t="str">
            <v>Contrato No. 036 de 2012
CDP 274712
16 Fondos Especiales</v>
          </cell>
          <cell r="Q11" t="str">
            <v>GRUPO 1</v>
          </cell>
          <cell r="R11" t="str">
            <v>CONSORCIO ALIANZA YDM SOCORRO
YAMIL SABAAGH CONSTRUCCIONES  S.A.S.
CONSTRUCCIONES NAMUS S.A.
CONSTRUCCIONES CIVILES PORTUARIAS S.A.
D&amp;S S.A.</v>
          </cell>
          <cell r="S11">
            <v>900581329</v>
          </cell>
          <cell r="T11">
            <v>41271</v>
          </cell>
          <cell r="U11">
            <v>26140330594</v>
          </cell>
          <cell r="V11">
            <v>26140330594</v>
          </cell>
          <cell r="W11">
            <v>0</v>
          </cell>
          <cell r="X11">
            <v>1591395300</v>
          </cell>
          <cell r="Y11">
            <v>1591395300</v>
          </cell>
          <cell r="Z11">
            <v>0</v>
          </cell>
          <cell r="AA11">
            <v>0</v>
          </cell>
          <cell r="AB11" t="str">
            <v>SOCORRO</v>
          </cell>
          <cell r="AC11" t="str">
            <v>SANTANDER</v>
          </cell>
          <cell r="AD11">
            <v>41303</v>
          </cell>
          <cell r="AE11">
            <v>22</v>
          </cell>
          <cell r="AF11">
            <v>0</v>
          </cell>
          <cell r="AG11">
            <v>7842099178.1999998</v>
          </cell>
          <cell r="AH11">
            <v>7842099178.1999998</v>
          </cell>
          <cell r="AI11">
            <v>41381</v>
          </cell>
        </row>
        <row r="12">
          <cell r="A12" t="str">
            <v>PAF-ATF-009-2012</v>
          </cell>
          <cell r="B12" t="str">
            <v>CONSTRUCCIÓN ALCANTARILLADO SANITARIO EN EL MUNICIPIO DE LOS SANTOS SANTANDER</v>
          </cell>
          <cell r="C12">
            <v>4303834880</v>
          </cell>
          <cell r="D12">
            <v>4303834880</v>
          </cell>
          <cell r="E12">
            <v>0</v>
          </cell>
          <cell r="F12">
            <v>301268442</v>
          </cell>
          <cell r="G12">
            <v>301268442</v>
          </cell>
          <cell r="H12">
            <v>0</v>
          </cell>
          <cell r="I12">
            <v>0</v>
          </cell>
          <cell r="J12">
            <v>92102066.439999998</v>
          </cell>
          <cell r="K12">
            <v>93981700</v>
          </cell>
          <cell r="L12">
            <v>0</v>
          </cell>
          <cell r="M12">
            <v>41222</v>
          </cell>
          <cell r="N12" t="str">
            <v>Contrato No. 036 de 2012
CDP 274712
16 Fondos Especiales</v>
          </cell>
          <cell r="O12" t="str">
            <v>Contrato No. 036 de 2012
CDP 274712
16 Fondos Especiales</v>
          </cell>
          <cell r="P12" t="str">
            <v>Contrato No. 036 de 2012
CDP 274712
16 Fondos Especiales</v>
          </cell>
          <cell r="Q12" t="str">
            <v>GRUPO 1</v>
          </cell>
          <cell r="R12" t="str">
            <v xml:space="preserve">CONSTRUCCIONES E INVERSIONES BETA S.A.S.
CONSTRUCCIONES E INVERSIONES BETA S.A.S.
</v>
          </cell>
          <cell r="S12">
            <v>890108661</v>
          </cell>
          <cell r="T12">
            <v>41271</v>
          </cell>
          <cell r="U12">
            <v>4221438949</v>
          </cell>
          <cell r="V12">
            <v>4221438949</v>
          </cell>
          <cell r="W12">
            <v>0</v>
          </cell>
          <cell r="X12">
            <v>296266320</v>
          </cell>
          <cell r="Y12">
            <v>296266320</v>
          </cell>
          <cell r="Z12">
            <v>0</v>
          </cell>
          <cell r="AA12">
            <v>0</v>
          </cell>
          <cell r="AB12" t="str">
            <v>LOS SANTOS</v>
          </cell>
          <cell r="AC12" t="str">
            <v>SANTANDER</v>
          </cell>
          <cell r="AD12">
            <v>41303</v>
          </cell>
          <cell r="AE12">
            <v>9</v>
          </cell>
          <cell r="AF12">
            <v>0</v>
          </cell>
          <cell r="AG12">
            <v>1266431684.7</v>
          </cell>
          <cell r="AH12">
            <v>1266431684.7</v>
          </cell>
          <cell r="AI12">
            <v>41381</v>
          </cell>
        </row>
        <row r="13">
          <cell r="A13" t="str">
            <v>PAF-ATF-010-2012</v>
          </cell>
          <cell r="B13" t="str">
            <v>CONSTRUCCIÓN, OPTIMIZACIÓN Y AUTOMATIZACIÓN PLANTA DE TRATAMIENTO DE AGUA POTABLE –PTAP, MUNICIPIO DE SAN GIL”.</v>
          </cell>
          <cell r="C13">
            <v>10395936387</v>
          </cell>
          <cell r="D13">
            <v>10395936387</v>
          </cell>
          <cell r="E13">
            <v>0</v>
          </cell>
          <cell r="F13">
            <v>727715547</v>
          </cell>
          <cell r="G13">
            <v>727715547</v>
          </cell>
          <cell r="H13">
            <v>0</v>
          </cell>
          <cell r="I13">
            <v>0</v>
          </cell>
          <cell r="J13">
            <v>222473038.68000001</v>
          </cell>
          <cell r="K13">
            <v>227013305</v>
          </cell>
          <cell r="L13">
            <v>0</v>
          </cell>
          <cell r="M13">
            <v>0</v>
          </cell>
          <cell r="N13" t="str">
            <v>Contrato No. 036 de 2012 
CDP 274712
10 Recursos Corrientes</v>
          </cell>
          <cell r="O13" t="str">
            <v>Contrato 036 de 2012
CDP 316212
13 Nación</v>
          </cell>
          <cell r="P13" t="str">
            <v>Contrato No. 036 de 2012 
CDP 274712
10 Recursos Corrientes</v>
          </cell>
          <cell r="Q13" t="str">
            <v>GRUPO 1</v>
          </cell>
          <cell r="R13" t="str">
            <v>CONSTRUCCIONES OBRAS SAN GIL
JORGE TRIANA &amp; CIA LTDA
COINGENIERIA
EDUARDO GIRONZA</v>
          </cell>
          <cell r="S13">
            <v>900638748</v>
          </cell>
          <cell r="T13">
            <v>41463</v>
          </cell>
          <cell r="U13">
            <v>9858424464</v>
          </cell>
          <cell r="V13">
            <v>9858424464</v>
          </cell>
          <cell r="W13">
            <v>0</v>
          </cell>
          <cell r="X13">
            <v>698760800</v>
          </cell>
          <cell r="Y13">
            <v>698760800</v>
          </cell>
          <cell r="Z13">
            <v>0</v>
          </cell>
          <cell r="AA13">
            <v>0</v>
          </cell>
          <cell r="AB13" t="str">
            <v>SAN GIL</v>
          </cell>
          <cell r="AC13" t="str">
            <v>SANTANDER</v>
          </cell>
          <cell r="AD13">
            <v>41477</v>
          </cell>
          <cell r="AE13">
            <v>11</v>
          </cell>
          <cell r="AF13">
            <v>0</v>
          </cell>
          <cell r="AG13">
            <v>2957527339.1999998</v>
          </cell>
          <cell r="AH13">
            <v>2957527339.1999998</v>
          </cell>
          <cell r="AI13">
            <v>41607</v>
          </cell>
        </row>
        <row r="14">
          <cell r="A14" t="str">
            <v>PAF-ATF-011-2012</v>
          </cell>
          <cell r="B14" t="str">
            <v>CONSTRUCCIÓN DE LAS LÍNEAS DE CONDUCCIÓN VEREDAS LAGUNA VERDE, LAGUNAS, SAN ANDRÉS Y ALTO DEL TIGRE DEL MUNICIPIO DE LA MESA Y VEREDAS LA CHICA Y EL HIGUERÓN DEL MUNICIPIO DE ANAPOIMA</v>
          </cell>
          <cell r="C14">
            <v>4569415997</v>
          </cell>
          <cell r="D14">
            <v>4569415997</v>
          </cell>
          <cell r="E14">
            <v>0</v>
          </cell>
          <cell r="F14">
            <v>319859120</v>
          </cell>
          <cell r="G14">
            <v>319859120</v>
          </cell>
          <cell r="H14">
            <v>0</v>
          </cell>
          <cell r="I14">
            <v>0</v>
          </cell>
          <cell r="J14">
            <v>97785502.340000004</v>
          </cell>
          <cell r="K14">
            <v>99781125</v>
          </cell>
          <cell r="L14">
            <v>0</v>
          </cell>
          <cell r="M14">
            <v>41222</v>
          </cell>
          <cell r="N14" t="str">
            <v>Contrato No. 036 de 2012
CDP 274712
16 Fondos Especiales</v>
          </cell>
          <cell r="O14" t="str">
            <v>Contrato No. 036 de 2012
CDP 274712
16 Fondos Especiales</v>
          </cell>
          <cell r="P14" t="str">
            <v>Contrato No. 036 de 2012
CDP 274712
16 Fondos Especiales</v>
          </cell>
          <cell r="Q14" t="str">
            <v>GRUPO 1</v>
          </cell>
          <cell r="R14" t="str">
            <v>CONSTRUCCIONES E INVERSIONES BETA S.A.S.
CONSTRUCCIONES E INVERSIONES BETA S.A.S.</v>
          </cell>
          <cell r="S14">
            <v>890108661</v>
          </cell>
          <cell r="T14">
            <v>41271</v>
          </cell>
          <cell r="U14">
            <v>4479229199</v>
          </cell>
          <cell r="V14">
            <v>4479229199</v>
          </cell>
          <cell r="W14">
            <v>0</v>
          </cell>
          <cell r="X14">
            <v>316022280</v>
          </cell>
          <cell r="Y14">
            <v>316022280</v>
          </cell>
          <cell r="Z14">
            <v>0</v>
          </cell>
          <cell r="AA14">
            <v>0</v>
          </cell>
          <cell r="AB14" t="str">
            <v>LA MESA ANAPOIMA</v>
          </cell>
          <cell r="AC14" t="str">
            <v>CUNDINAMARCA</v>
          </cell>
          <cell r="AD14">
            <v>41296</v>
          </cell>
          <cell r="AE14">
            <v>7</v>
          </cell>
          <cell r="AF14">
            <v>0</v>
          </cell>
          <cell r="AG14">
            <v>1343768759.7</v>
          </cell>
          <cell r="AH14">
            <v>1343768759.7</v>
          </cell>
          <cell r="AI14">
            <v>41374</v>
          </cell>
        </row>
        <row r="15">
          <cell r="A15" t="str">
            <v>PAF-ATF-012-2012</v>
          </cell>
          <cell r="B15" t="str">
            <v>AMPLIACIÓN RED DE ACUEDUCTO TANQUES CHARRASQUERO I Y II Y LÍNEA DE DISTRIBUCIÓN VÍA NARIÑO EN EL MUNICIPIO DE GIRARDOT</v>
          </cell>
          <cell r="C15">
            <v>8396127793</v>
          </cell>
          <cell r="D15">
            <v>8396127793</v>
          </cell>
          <cell r="E15">
            <v>0</v>
          </cell>
          <cell r="F15">
            <v>587728945</v>
          </cell>
          <cell r="G15">
            <v>587728945</v>
          </cell>
          <cell r="H15">
            <v>0</v>
          </cell>
          <cell r="I15">
            <v>0</v>
          </cell>
          <cell r="J15">
            <v>179677134.75999999</v>
          </cell>
          <cell r="K15">
            <v>183344015</v>
          </cell>
          <cell r="L15">
            <v>0</v>
          </cell>
          <cell r="M15">
            <v>41222</v>
          </cell>
          <cell r="N15" t="str">
            <v>Contrato No. 036 de 2012 
CDP 274712
10 Recursos Corrientes</v>
          </cell>
          <cell r="O15" t="str">
            <v>Contrato No. 036 de 2012 
CDP 274712
10 Recursos Corrientes</v>
          </cell>
          <cell r="P15" t="str">
            <v>Contrato No. 036 de 2012 
CDP 274712
10 Recursos Corrientes</v>
          </cell>
          <cell r="Q15" t="str">
            <v>GRUPO 1</v>
          </cell>
          <cell r="R15" t="str">
            <v>CONSTRUCCIONES E INVERSIONES BETA S.A.S.
CONSTRUCCIONES E INVERSIONES BETA S.A.S.</v>
          </cell>
          <cell r="S15">
            <v>890108661</v>
          </cell>
          <cell r="T15">
            <v>41271</v>
          </cell>
          <cell r="U15">
            <v>8281900353</v>
          </cell>
          <cell r="V15">
            <v>8281900353</v>
          </cell>
          <cell r="W15">
            <v>0</v>
          </cell>
          <cell r="X15">
            <v>546029400</v>
          </cell>
          <cell r="Y15">
            <v>546029400</v>
          </cell>
          <cell r="Z15">
            <v>0</v>
          </cell>
          <cell r="AA15">
            <v>0</v>
          </cell>
          <cell r="AB15" t="str">
            <v>GIRARDOT</v>
          </cell>
          <cell r="AC15" t="str">
            <v>CUNDINAMARCA</v>
          </cell>
          <cell r="AD15">
            <v>41296</v>
          </cell>
          <cell r="AE15">
            <v>6</v>
          </cell>
          <cell r="AF15">
            <v>0</v>
          </cell>
          <cell r="AG15">
            <v>2484570105.9000001</v>
          </cell>
          <cell r="AH15">
            <v>2484570105.9000001</v>
          </cell>
          <cell r="AI15">
            <v>41374</v>
          </cell>
        </row>
        <row r="16">
          <cell r="A16" t="str">
            <v>PAF-ATF-013-2012</v>
          </cell>
          <cell r="B16" t="str">
            <v>OPTIMIZACIÓN DE UNIDADES DE FILTRACIÓN PLANTA DE TRATAMIENTO DE AGUA POTABLE –PTAP CENTENARIO MUNICIPIO DE PASTO</v>
          </cell>
          <cell r="C16">
            <v>6918165118</v>
          </cell>
          <cell r="D16">
            <v>6918165118</v>
          </cell>
          <cell r="E16">
            <v>0</v>
          </cell>
          <cell r="F16">
            <v>484271558</v>
          </cell>
          <cell r="G16">
            <v>484271558</v>
          </cell>
          <cell r="H16">
            <v>0</v>
          </cell>
          <cell r="I16">
            <v>0</v>
          </cell>
          <cell r="J16">
            <v>148048733.52000001</v>
          </cell>
          <cell r="K16">
            <v>151070136</v>
          </cell>
          <cell r="L16">
            <v>0</v>
          </cell>
          <cell r="M16">
            <v>41222</v>
          </cell>
          <cell r="N16" t="str">
            <v>Contrato No. 036 de 2012
CDP 274712
16 Fondos Especiales</v>
          </cell>
          <cell r="O16" t="str">
            <v>Contrato No. 036 de 2012
CDP 274712
16 Fondos Especiales</v>
          </cell>
          <cell r="P16" t="str">
            <v>Contrato No. 036 de 2012
CDP 274712
16 Fondos Especiales</v>
          </cell>
          <cell r="Q16" t="str">
            <v xml:space="preserve">GRUPO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R16" t="str">
            <v>CONSORCIO OBRAS HIDAULICAS CENTENARIO PASTO
COINGENIERIA S.A.
EDUARDO GIRONZA LOZANO
JORGE TRIANA Y COMPANIA LTDA</v>
          </cell>
          <cell r="S16">
            <v>900587111</v>
          </cell>
          <cell r="T16">
            <v>41271</v>
          </cell>
          <cell r="U16">
            <v>6739826740</v>
          </cell>
          <cell r="V16">
            <v>6739826740</v>
          </cell>
          <cell r="W16">
            <v>0</v>
          </cell>
          <cell r="X16">
            <v>460056000</v>
          </cell>
          <cell r="Y16">
            <v>460056000</v>
          </cell>
          <cell r="Z16">
            <v>0</v>
          </cell>
          <cell r="AA16">
            <v>0</v>
          </cell>
          <cell r="AB16" t="str">
            <v>PASTO</v>
          </cell>
          <cell r="AC16" t="str">
            <v>NARIÑO</v>
          </cell>
          <cell r="AD16">
            <v>41304</v>
          </cell>
          <cell r="AE16">
            <v>15</v>
          </cell>
          <cell r="AF16">
            <v>0</v>
          </cell>
          <cell r="AG16">
            <v>2021948022</v>
          </cell>
          <cell r="AH16">
            <v>2021948022</v>
          </cell>
          <cell r="AI16">
            <v>41376</v>
          </cell>
        </row>
        <row r="17">
          <cell r="A17" t="str">
            <v>PAF-ATF-014-2012</v>
          </cell>
          <cell r="B17" t="str">
            <v>CONSTRUCCIÓN RED ALCANTARILLADO CALLE 20 ENTRE CARRERAS 19 Y 30 MUNICIPIO DE PASTO</v>
          </cell>
          <cell r="C17">
            <v>4782944758</v>
          </cell>
          <cell r="D17">
            <v>4782944758</v>
          </cell>
          <cell r="E17">
            <v>0</v>
          </cell>
          <cell r="F17">
            <v>334806133</v>
          </cell>
          <cell r="G17">
            <v>334806133</v>
          </cell>
          <cell r="H17">
            <v>0</v>
          </cell>
          <cell r="I17">
            <v>0</v>
          </cell>
          <cell r="J17">
            <v>102355017.82000001</v>
          </cell>
          <cell r="K17">
            <v>104443896</v>
          </cell>
          <cell r="L17">
            <v>0</v>
          </cell>
          <cell r="M17">
            <v>41222</v>
          </cell>
          <cell r="N17" t="str">
            <v>Contrato No. 036 de 2012
CDP 274712
16 Fondos Especiales</v>
          </cell>
          <cell r="O17" t="str">
            <v>Contrato No. 036 de 2012
CDP 274712
16 Fondos Especiales</v>
          </cell>
          <cell r="P17" t="str">
            <v>Contrato No. 036 de 2012
CDP 274712
16 Fondos Especiales</v>
          </cell>
          <cell r="Q17" t="str">
            <v>GRUPO 1</v>
          </cell>
          <cell r="R17" t="str">
            <v>CONSORCIO REDES PASTO
INGEAGUAS S.A.S.
ESPINA Y DELFIN COLOMBIA</v>
          </cell>
          <cell r="S17">
            <v>900583103</v>
          </cell>
          <cell r="T17">
            <v>41271</v>
          </cell>
          <cell r="U17">
            <v>4549768116</v>
          </cell>
          <cell r="V17">
            <v>4549768116</v>
          </cell>
          <cell r="W17">
            <v>0</v>
          </cell>
          <cell r="X17">
            <v>318072000</v>
          </cell>
          <cell r="Y17">
            <v>318072000</v>
          </cell>
          <cell r="Z17">
            <v>0</v>
          </cell>
          <cell r="AA17">
            <v>0</v>
          </cell>
          <cell r="AB17" t="str">
            <v>PASTO</v>
          </cell>
          <cell r="AC17" t="str">
            <v>NARIÑO</v>
          </cell>
          <cell r="AD17">
            <v>41304</v>
          </cell>
          <cell r="AE17">
            <v>4</v>
          </cell>
          <cell r="AF17">
            <v>0</v>
          </cell>
          <cell r="AG17">
            <v>1364930434.8</v>
          </cell>
          <cell r="AH17">
            <v>1364930434.8</v>
          </cell>
          <cell r="AI17">
            <v>41368</v>
          </cell>
        </row>
        <row r="18">
          <cell r="A18" t="str">
            <v>PAF-ATF-015-2012</v>
          </cell>
          <cell r="B18" t="str">
            <v>MODERNIZACIÓN DE LA PLANTA DE TRATAMIENTO DE AGUAS RESIDUALES RÍO FRÍO II ETAPA FASE 2 - REACTOR UASB No. 5 MUNICIPIO SAN JUAN DE GIRON</v>
          </cell>
          <cell r="C18">
            <v>13760573907</v>
          </cell>
          <cell r="D18">
            <v>13760573907</v>
          </cell>
          <cell r="E18">
            <v>0</v>
          </cell>
          <cell r="F18">
            <v>963240173</v>
          </cell>
          <cell r="G18">
            <v>963240173</v>
          </cell>
          <cell r="H18">
            <v>0</v>
          </cell>
          <cell r="I18">
            <v>0</v>
          </cell>
          <cell r="J18">
            <v>294476281.60000002</v>
          </cell>
          <cell r="K18">
            <v>300486002</v>
          </cell>
          <cell r="L18">
            <v>0</v>
          </cell>
          <cell r="M18">
            <v>0</v>
          </cell>
          <cell r="N18" t="str">
            <v>Contrato No. 036 de 2012 
CDP 274712
10 Recursos Corrientes</v>
          </cell>
          <cell r="O18" t="str">
            <v>Contrato No. 036 de 2012 
CDP 274712
10 Recursos Corrientes</v>
          </cell>
          <cell r="P18" t="str">
            <v>Contrato No. 036 de 2012 
CDP 274712
10 Recursos Corrientes</v>
          </cell>
          <cell r="Q18" t="str">
            <v>GRUPO 1</v>
          </cell>
          <cell r="R18" t="str">
            <v>CONSORCIO ALIANZA YDN GIRON
YAMIL SABAAGH SOLANO
YS CAPITAL S.A.S.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D&amp;S S.A.</v>
          </cell>
          <cell r="S18">
            <v>900600469</v>
          </cell>
          <cell r="T18">
            <v>41333</v>
          </cell>
          <cell r="U18">
            <v>13523411339</v>
          </cell>
          <cell r="V18">
            <v>13523411339</v>
          </cell>
          <cell r="W18">
            <v>0</v>
          </cell>
          <cell r="X18">
            <v>958500750</v>
          </cell>
          <cell r="Y18">
            <v>958500750</v>
          </cell>
          <cell r="Z18">
            <v>0</v>
          </cell>
          <cell r="AA18">
            <v>0</v>
          </cell>
          <cell r="AB18" t="str">
            <v>SAN JUAN DE GIRON</v>
          </cell>
          <cell r="AC18" t="str">
            <v>SANTANDER</v>
          </cell>
          <cell r="AD18">
            <v>41337</v>
          </cell>
          <cell r="AE18">
            <v>15</v>
          </cell>
          <cell r="AF18">
            <v>0</v>
          </cell>
          <cell r="AG18">
            <v>4057023401.6999998</v>
          </cell>
          <cell r="AH18">
            <v>4057023401.6999998</v>
          </cell>
          <cell r="AI18">
            <v>41382</v>
          </cell>
        </row>
        <row r="19">
          <cell r="A19" t="str">
            <v>PAF-ATF-016-2012</v>
          </cell>
          <cell r="B19" t="str">
            <v>CONSTRUCCIÓN COLECTOR NORTE DEL MUNICIPIO DE ESPINAL</v>
          </cell>
          <cell r="C19">
            <v>7242451114</v>
          </cell>
          <cell r="D19">
            <v>7242451114</v>
          </cell>
          <cell r="E19">
            <v>0</v>
          </cell>
          <cell r="F19">
            <v>506971578</v>
          </cell>
          <cell r="G19">
            <v>506971578</v>
          </cell>
          <cell r="H19">
            <v>0</v>
          </cell>
          <cell r="I19">
            <v>0</v>
          </cell>
          <cell r="J19">
            <v>154988453.84</v>
          </cell>
          <cell r="K19">
            <v>158151484</v>
          </cell>
          <cell r="L19">
            <v>0</v>
          </cell>
          <cell r="M19">
            <v>41222</v>
          </cell>
          <cell r="N19" t="str">
            <v>Contrato No. 036 de 2012
CDP 274712
16 Fondos Especiales</v>
          </cell>
          <cell r="O19" t="str">
            <v>Contrato No. 036 de 2012
CDP 274712
16 Fondos Especiales</v>
          </cell>
          <cell r="P19" t="str">
            <v>Contrato No. 036 de 2012
CDP 274712
16 Fondos Especiales</v>
          </cell>
          <cell r="Q19" t="str">
            <v>GRUPO 1</v>
          </cell>
          <cell r="R19" t="str">
            <v>CONSORCIO AGUA CLARA
CICON S.A.
KMA CONSTRUCCIONES S.A</v>
          </cell>
          <cell r="S19">
            <v>900582962</v>
          </cell>
          <cell r="T19">
            <v>41271</v>
          </cell>
          <cell r="U19">
            <v>7105543081</v>
          </cell>
          <cell r="V19">
            <v>7105543081</v>
          </cell>
          <cell r="W19">
            <v>0</v>
          </cell>
          <cell r="X19">
            <v>501968250</v>
          </cell>
          <cell r="Y19">
            <v>501968250</v>
          </cell>
          <cell r="Z19">
            <v>0</v>
          </cell>
          <cell r="AA19">
            <v>0</v>
          </cell>
          <cell r="AB19" t="str">
            <v>EL ESPINAL</v>
          </cell>
          <cell r="AC19" t="str">
            <v>TOLIMA</v>
          </cell>
          <cell r="AD19">
            <v>41296</v>
          </cell>
          <cell r="AE19">
            <v>9</v>
          </cell>
          <cell r="AF19">
            <v>0</v>
          </cell>
          <cell r="AG19">
            <v>2131662924.3</v>
          </cell>
          <cell r="AH19">
            <v>2131662924.3</v>
          </cell>
          <cell r="AI19">
            <v>41375</v>
          </cell>
        </row>
        <row r="20">
          <cell r="A20" t="str">
            <v>PAF-ATF-017-2012
PAF-ATF-039-2013
PAF-ATF-075-2013
PAF-ATF-087-2013
PAF-ATF-099-2013</v>
          </cell>
          <cell r="B20" t="str">
            <v>OPTIMIZACIÓN SISTEMA DE ALCANTARILLADO Y CONSTRUCCIÓN PLANTA DE TRATAMIENTO DE AGUAS RESIDUALES -PTAR EN EL MUNICIPIO DE BAJO BAUDÓ”</v>
          </cell>
          <cell r="C20">
            <v>8093728373</v>
          </cell>
          <cell r="D20">
            <v>8093728373</v>
          </cell>
          <cell r="E20">
            <v>0</v>
          </cell>
          <cell r="F20">
            <v>566560986</v>
          </cell>
          <cell r="G20">
            <v>566560986</v>
          </cell>
          <cell r="H20">
            <v>0</v>
          </cell>
          <cell r="I20">
            <v>0</v>
          </cell>
          <cell r="J20">
            <v>173205787.18000001</v>
          </cell>
          <cell r="K20">
            <v>176740599</v>
          </cell>
          <cell r="L20">
            <v>0</v>
          </cell>
          <cell r="M20" t="str">
            <v xml:space="preserve">09-11-2012
08-01-2013
06-03-2013
19-04-2013
</v>
          </cell>
          <cell r="N20" t="str">
            <v>Contrato No. 036 de 2012
CDP 274712
16 Fondos Especiales</v>
          </cell>
          <cell r="O20" t="str">
            <v>Contrato No. 036 de 2012
CDP 274712
16 Fondos Especiales</v>
          </cell>
          <cell r="P20" t="str">
            <v>Contrato No. 036 de 2012
CDP 274712
16 Fondos Especiales</v>
          </cell>
          <cell r="Q20" t="str">
            <v>GRUPO 1
GRUPO 1A
GRUPO 2A
GRUPO 3A
GRUPO 4A</v>
          </cell>
          <cell r="R20" t="str">
            <v>CONSORCIO CONSTRUYENDO BAJO BAUDO</v>
          </cell>
          <cell r="S20">
            <v>900656298</v>
          </cell>
          <cell r="T20">
            <v>41522</v>
          </cell>
          <cell r="U20">
            <v>7955474832</v>
          </cell>
          <cell r="V20">
            <v>7955474832</v>
          </cell>
          <cell r="W20">
            <v>0</v>
          </cell>
          <cell r="X20">
            <v>538235360</v>
          </cell>
          <cell r="Y20">
            <v>538235360</v>
          </cell>
          <cell r="Z20">
            <v>0</v>
          </cell>
          <cell r="AA20">
            <v>0</v>
          </cell>
          <cell r="AB20" t="str">
            <v>BAJO BAUDO</v>
          </cell>
          <cell r="AC20" t="str">
            <v>CHOCO</v>
          </cell>
          <cell r="AD20">
            <v>41530</v>
          </cell>
          <cell r="AE20">
            <v>8</v>
          </cell>
          <cell r="AF20">
            <v>0</v>
          </cell>
          <cell r="AG20">
            <v>2386642449.5999999</v>
          </cell>
          <cell r="AH20">
            <v>2386642449.5999999</v>
          </cell>
          <cell r="AI20">
            <v>0</v>
          </cell>
        </row>
        <row r="21">
          <cell r="A21" t="str">
            <v>PAF-ATF-018-2012
PAF-ATF-040-2012</v>
          </cell>
          <cell r="B21" t="str">
            <v>OPTIMIZACIÓN DEL SISTEMA DE ALCANTARILLADO Y CONSTRUCCIÓN DE PLANTA DE TRATAMIENTO DE AGUAS RESIDUALES –PTAR- EN EL MUNICIPIO DE LLORÓ”</v>
          </cell>
          <cell r="C21">
            <v>6198706333</v>
          </cell>
          <cell r="D21">
            <v>6198706333</v>
          </cell>
          <cell r="E21">
            <v>0</v>
          </cell>
          <cell r="F21">
            <v>433909443</v>
          </cell>
          <cell r="G21">
            <v>433909443</v>
          </cell>
          <cell r="H21">
            <v>0</v>
          </cell>
          <cell r="I21">
            <v>0</v>
          </cell>
          <cell r="J21">
            <v>132652315.52</v>
          </cell>
          <cell r="K21">
            <v>135359506</v>
          </cell>
          <cell r="L21">
            <v>0</v>
          </cell>
          <cell r="M21" t="str">
            <v>09-11-2012
08-01-2013</v>
          </cell>
          <cell r="N21" t="str">
            <v>Contrato No. 036 de 2012
CDP 274712
16 Fondos Especiales</v>
          </cell>
          <cell r="O21" t="str">
            <v>Contrato No. 036 de 2012
CDP 274712
16 Fondos Especiales</v>
          </cell>
          <cell r="P21" t="str">
            <v>Contrato No. 036 de 2012
CDP 274712
16 Fondos Especiales</v>
          </cell>
          <cell r="Q21" t="str">
            <v>GRUPO 1
GRUPO 1A</v>
          </cell>
          <cell r="R21" t="str">
            <v>CONSORCIO LLORÓ
INVERSIONES JACUR &amp; CIA LTDA
INVESAKK LTDA</v>
          </cell>
          <cell r="S21">
            <v>900598284</v>
          </cell>
          <cell r="T21">
            <v>41333</v>
          </cell>
          <cell r="U21">
            <v>6182253474</v>
          </cell>
          <cell r="V21">
            <v>6182253474</v>
          </cell>
          <cell r="W21">
            <v>0</v>
          </cell>
          <cell r="X21">
            <v>412212960</v>
          </cell>
          <cell r="Y21">
            <v>412212960</v>
          </cell>
          <cell r="Z21">
            <v>0</v>
          </cell>
          <cell r="AA21">
            <v>0</v>
          </cell>
          <cell r="AB21" t="str">
            <v>LLORÓ</v>
          </cell>
          <cell r="AC21" t="str">
            <v>CHOCO</v>
          </cell>
          <cell r="AD21">
            <v>41333</v>
          </cell>
          <cell r="AE21">
            <v>12</v>
          </cell>
          <cell r="AF21">
            <v>0</v>
          </cell>
          <cell r="AG21">
            <v>1854676042.2</v>
          </cell>
          <cell r="AH21">
            <v>1854676042.2</v>
          </cell>
          <cell r="AI21">
            <v>41382</v>
          </cell>
        </row>
        <row r="22">
          <cell r="A22" t="str">
            <v>PAF-ATF-019-2012</v>
          </cell>
          <cell r="B22" t="str">
            <v>CONSTRUCCIÓN DEL SISTEMA DE ACUEDUCTO PARA EL MUNICIPIO DE PROVIDENCIA Y SANTA CATALINA FASE I</v>
          </cell>
          <cell r="C22">
            <v>15153312565</v>
          </cell>
          <cell r="D22">
            <v>15153312565</v>
          </cell>
          <cell r="E22">
            <v>0</v>
          </cell>
          <cell r="F22">
            <v>1060731880</v>
          </cell>
          <cell r="G22">
            <v>1060731880</v>
          </cell>
          <cell r="H22">
            <v>0</v>
          </cell>
          <cell r="I22">
            <v>0</v>
          </cell>
          <cell r="J22">
            <v>324280888.90000004</v>
          </cell>
          <cell r="K22">
            <v>330898866</v>
          </cell>
          <cell r="L22">
            <v>0</v>
          </cell>
          <cell r="M22">
            <v>41222</v>
          </cell>
          <cell r="N22" t="str">
            <v>Contrato No. 036 de 2012
CDP 274712
16 Fondos Especiales</v>
          </cell>
          <cell r="O22" t="str">
            <v>Contrato No. 036 de 2012
CDP 274712
16 Fondos Especiales</v>
          </cell>
          <cell r="P22" t="str">
            <v>Contrato No. 036 de 2012
CDP 274712
16 Fondos Especiales</v>
          </cell>
          <cell r="Q22" t="str">
            <v>GRUPO 1</v>
          </cell>
          <cell r="R22" t="str">
            <v>VALORES Y CONTRATOS S.A.
VALORES Y CONTRATOS S.A.</v>
          </cell>
          <cell r="S22">
            <v>800182330</v>
          </cell>
          <cell r="T22">
            <v>41271</v>
          </cell>
          <cell r="U22">
            <v>14957103560</v>
          </cell>
          <cell r="V22">
            <v>14957103560</v>
          </cell>
          <cell r="W22">
            <v>0</v>
          </cell>
          <cell r="X22">
            <v>1047932400</v>
          </cell>
          <cell r="Y22">
            <v>1047932400</v>
          </cell>
          <cell r="Z22">
            <v>0</v>
          </cell>
          <cell r="AA22">
            <v>0</v>
          </cell>
          <cell r="AB22" t="str">
            <v>PROVIDENCIA Y SANTA CATALINA</v>
          </cell>
          <cell r="AC22" t="str">
            <v>SAN ANDRES</v>
          </cell>
          <cell r="AD22">
            <v>41323</v>
          </cell>
          <cell r="AE22">
            <v>14</v>
          </cell>
          <cell r="AF22">
            <v>0</v>
          </cell>
          <cell r="AG22">
            <v>4487131068</v>
          </cell>
          <cell r="AH22">
            <v>4487131068</v>
          </cell>
          <cell r="AI22">
            <v>41367</v>
          </cell>
        </row>
        <row r="23">
          <cell r="A23" t="str">
            <v>PAF-ATF-020-2012</v>
          </cell>
          <cell r="B23" t="str">
            <v>CONSTRUCCIÓN Y OPTIMIZACIÓN PLAN MAESTRO DE ALCANTARILLADO PLUVIAL DEL MUNICIPIO DE EL ROSAL</v>
          </cell>
          <cell r="C23">
            <v>5190391851</v>
          </cell>
          <cell r="D23">
            <v>5190391851</v>
          </cell>
          <cell r="E23">
            <v>0</v>
          </cell>
          <cell r="F23">
            <v>363327430</v>
          </cell>
          <cell r="G23">
            <v>363327430</v>
          </cell>
          <cell r="H23">
            <v>0</v>
          </cell>
          <cell r="I23">
            <v>0</v>
          </cell>
          <cell r="J23">
            <v>111074385.62</v>
          </cell>
          <cell r="K23">
            <v>113341210</v>
          </cell>
          <cell r="L23">
            <v>0</v>
          </cell>
          <cell r="M23">
            <v>41222</v>
          </cell>
          <cell r="N23" t="str">
            <v>Contrato No. 036 de 2012
CDP 274712
16 Fondos Especiales</v>
          </cell>
          <cell r="O23" t="str">
            <v>Contrato No. 036 de 2012
CDP 274712
16 Fondos Especiales</v>
          </cell>
          <cell r="P23" t="str">
            <v>Contrato No. 036 de 2012
CDP 274712
16 Fondos Especiales</v>
          </cell>
          <cell r="Q23" t="str">
            <v>GRUPO 1</v>
          </cell>
          <cell r="R23" t="str">
            <v>CONSORCIO BETA -DJG EL ROSAL
DIEGO JARAMILLO GOMEZ
CONSTRUCCIONES E INVERSIONES BETA S.A.S.</v>
          </cell>
          <cell r="S23">
            <v>900586017</v>
          </cell>
          <cell r="T23">
            <v>41271</v>
          </cell>
          <cell r="U23">
            <v>5116545294</v>
          </cell>
          <cell r="V23">
            <v>5116545294</v>
          </cell>
          <cell r="W23">
            <v>0</v>
          </cell>
          <cell r="X23">
            <v>357622200</v>
          </cell>
          <cell r="Y23">
            <v>357622200</v>
          </cell>
          <cell r="Z23">
            <v>0</v>
          </cell>
          <cell r="AA23">
            <v>0</v>
          </cell>
          <cell r="AB23" t="str">
            <v>EL ROSAL</v>
          </cell>
          <cell r="AC23" t="str">
            <v>CUNDINAMARCA</v>
          </cell>
          <cell r="AD23">
            <v>41296</v>
          </cell>
          <cell r="AE23">
            <v>6</v>
          </cell>
          <cell r="AF23">
            <v>0</v>
          </cell>
          <cell r="AG23">
            <v>1534963588.2</v>
          </cell>
          <cell r="AH23">
            <v>1534963588.2</v>
          </cell>
          <cell r="AI23">
            <v>41374</v>
          </cell>
        </row>
        <row r="24">
          <cell r="A24" t="str">
            <v>PAF-ATF-021-2012</v>
          </cell>
          <cell r="B24" t="str">
            <v>CONSTRUCCION DE LA FASE II Y OBRAS COMPLEMENTARIAS PARA LA CULMINACION DE LA TRINCHERA 5 DEL RELLENO SANITARIO, MUNICIPIO DE LETICIA</v>
          </cell>
          <cell r="C24">
            <v>4316271667</v>
          </cell>
          <cell r="D24">
            <v>2501456853</v>
          </cell>
          <cell r="E24">
            <v>1814814815</v>
          </cell>
          <cell r="F24">
            <v>345301733</v>
          </cell>
          <cell r="G24">
            <v>200116548</v>
          </cell>
          <cell r="H24">
            <v>145185185</v>
          </cell>
          <cell r="I24" t="str">
            <v>AUDIENCIAS PUBLICAS PDA (RESOLUCIÓN 378 DEL 25-06-2012)
$2.000.000.000: 
OBRA CIVIL $ 1.814.814.815
INTERVENTORIA $145.185.185
SEGUIMIENTO $40.000.000</v>
          </cell>
          <cell r="J24">
            <v>93231468.019999996</v>
          </cell>
          <cell r="K24">
            <v>95134151</v>
          </cell>
          <cell r="L24">
            <v>40000000</v>
          </cell>
          <cell r="M24">
            <v>41247</v>
          </cell>
          <cell r="N24" t="str">
            <v>Contrato No. 036 de 2012
CDP 274712
16 Fondos Especiales</v>
          </cell>
          <cell r="O24" t="str">
            <v>Contrato No. 036 de 2012
CDP 274712
16 Fondos Especiales</v>
          </cell>
          <cell r="P24" t="str">
            <v>Contrato No. 036 de 2012
CDP 274712
16 Fondos Especiales</v>
          </cell>
          <cell r="Q24" t="str">
            <v>GRUPO 2</v>
          </cell>
          <cell r="R24" t="str">
            <v>CONSORCIO CPV
GUSTAVO HERNAN VELANDIA POVEDA
JULIO CESAR CASTRO
ANTONIO MARIA PUENTES</v>
          </cell>
          <cell r="S24">
            <v>900601479</v>
          </cell>
          <cell r="T24">
            <v>41326</v>
          </cell>
          <cell r="U24">
            <v>4186933219</v>
          </cell>
          <cell r="V24">
            <v>2372118404</v>
          </cell>
          <cell r="W24">
            <v>1814814815</v>
          </cell>
          <cell r="X24">
            <v>336571680</v>
          </cell>
          <cell r="Y24">
            <v>191386495</v>
          </cell>
          <cell r="Z24">
            <v>145185185</v>
          </cell>
          <cell r="AA24">
            <v>0</v>
          </cell>
          <cell r="AB24" t="str">
            <v>LETICIA</v>
          </cell>
          <cell r="AC24" t="str">
            <v>AMAZONAS</v>
          </cell>
          <cell r="AD24">
            <v>41348</v>
          </cell>
          <cell r="AE24">
            <v>8</v>
          </cell>
          <cell r="AF24">
            <v>0</v>
          </cell>
          <cell r="AG24">
            <v>1256079965.7</v>
          </cell>
          <cell r="AH24">
            <v>1256079965.7</v>
          </cell>
          <cell r="AI24">
            <v>41478</v>
          </cell>
        </row>
        <row r="25">
          <cell r="A25" t="str">
            <v>PAF-ATF-022-2012</v>
          </cell>
          <cell r="B25" t="str">
            <v>CONSTRUCCIÓN Y OPTIMIZACIÓN DEL SISTEMA DE ALCANTARILLADO SANITARIO” FIRAVITOBA - BOYACA</v>
          </cell>
          <cell r="C25">
            <v>3646760374</v>
          </cell>
          <cell r="D25">
            <v>3646760374</v>
          </cell>
          <cell r="E25">
            <v>0</v>
          </cell>
          <cell r="F25">
            <v>242558377</v>
          </cell>
          <cell r="G25">
            <v>242558377</v>
          </cell>
          <cell r="H25">
            <v>0</v>
          </cell>
          <cell r="I25">
            <v>0</v>
          </cell>
          <cell r="J25">
            <v>77786375.019999996</v>
          </cell>
          <cell r="K25">
            <v>79373852</v>
          </cell>
          <cell r="L25">
            <v>0</v>
          </cell>
          <cell r="M25">
            <v>41247</v>
          </cell>
          <cell r="N25" t="str">
            <v>Contrato No. 036 de 2012
CDP 274712
16 Fondos Especiales</v>
          </cell>
          <cell r="O25" t="str">
            <v>Contrato 036 de 2012
CDP 316212
13 Nación</v>
          </cell>
          <cell r="P25" t="str">
            <v>Contrato No. 036 de 2012
CDP 304012
11 Nación</v>
          </cell>
          <cell r="Q25" t="str">
            <v>GRUPO 2</v>
          </cell>
          <cell r="R25" t="str">
            <v>CONSORCIO AGUAS BOYACA
PROINARK S.A.
AISAR SALIM FARAH BUELVAS
EXCAVACIONES JOBEPA S.L.
ROSEMBERTH LOPEZ</v>
          </cell>
          <cell r="S25">
            <v>900598309</v>
          </cell>
          <cell r="T25">
            <v>41332</v>
          </cell>
          <cell r="U25">
            <v>3577826242</v>
          </cell>
          <cell r="V25">
            <v>3577826242</v>
          </cell>
          <cell r="W25">
            <v>0</v>
          </cell>
          <cell r="X25">
            <v>237463020</v>
          </cell>
          <cell r="Y25">
            <v>237463020</v>
          </cell>
          <cell r="Z25">
            <v>0</v>
          </cell>
          <cell r="AA25">
            <v>0</v>
          </cell>
          <cell r="AB25" t="str">
            <v>FIRAVITOBA</v>
          </cell>
          <cell r="AC25" t="str">
            <v>BOYACA</v>
          </cell>
          <cell r="AD25">
            <v>41338</v>
          </cell>
          <cell r="AE25">
            <v>6</v>
          </cell>
          <cell r="AF25">
            <v>0</v>
          </cell>
          <cell r="AG25">
            <v>1073347872.5999999</v>
          </cell>
          <cell r="AH25">
            <v>1073347872.5999999</v>
          </cell>
          <cell r="AI25">
            <v>41424</v>
          </cell>
        </row>
        <row r="26">
          <cell r="A26" t="str">
            <v>PAF-ATF-023-2012</v>
          </cell>
          <cell r="B26" t="str">
            <v>CONSTRUCCIÓN DE ACUEDUCTO Y ALCANTARILLADO SANITARIO EN EL SECTOR SANTA HELENA SANTA MARTA MAGDALENA</v>
          </cell>
          <cell r="C26">
            <v>7309439550</v>
          </cell>
          <cell r="D26">
            <v>7309439550</v>
          </cell>
          <cell r="E26">
            <v>0</v>
          </cell>
          <cell r="F26">
            <v>503047725</v>
          </cell>
          <cell r="G26">
            <v>503047725</v>
          </cell>
          <cell r="H26">
            <v>0</v>
          </cell>
          <cell r="I26">
            <v>0</v>
          </cell>
          <cell r="J26">
            <v>156249745.5</v>
          </cell>
          <cell r="K26">
            <v>159438517</v>
          </cell>
          <cell r="L26">
            <v>0</v>
          </cell>
          <cell r="M26">
            <v>41247</v>
          </cell>
          <cell r="N26" t="str">
            <v>Contrato No. 036 de 2012
CDP 304012
11 Nación</v>
          </cell>
          <cell r="O26" t="str">
            <v>Contrato No. 036 de 2012
CDP 304012
11 Nación</v>
          </cell>
          <cell r="P26" t="str">
            <v>Contrato No. 036 de 2012
CDP 304012
11 Nación</v>
          </cell>
          <cell r="Q26" t="str">
            <v>GRUPO 2</v>
          </cell>
          <cell r="R26" t="str">
            <v>CONSORCIO CHBJ-023
BERNARDO ENRIQUE BRAVO PEREZ
CONEQUIPOS ING LTDA
JJ INGENIERIA Y CONSTRUCCIONES SAS</v>
          </cell>
          <cell r="S26">
            <v>900599926</v>
          </cell>
          <cell r="T26">
            <v>41327</v>
          </cell>
          <cell r="U26">
            <v>7163627678</v>
          </cell>
          <cell r="V26">
            <v>7163627678</v>
          </cell>
          <cell r="W26">
            <v>0</v>
          </cell>
          <cell r="X26">
            <v>501990000</v>
          </cell>
          <cell r="Y26">
            <v>501990000</v>
          </cell>
          <cell r="Z26">
            <v>0</v>
          </cell>
          <cell r="AA26">
            <v>0</v>
          </cell>
          <cell r="AB26" t="str">
            <v>SANTA MARTA</v>
          </cell>
          <cell r="AC26" t="str">
            <v>MAGDALENA</v>
          </cell>
          <cell r="AD26">
            <v>41342</v>
          </cell>
          <cell r="AE26">
            <v>12</v>
          </cell>
          <cell r="AF26">
            <v>0</v>
          </cell>
          <cell r="AG26">
            <v>2149088303.4000001</v>
          </cell>
          <cell r="AH26">
            <v>2149088303.4000001</v>
          </cell>
          <cell r="AI26">
            <v>41445</v>
          </cell>
        </row>
        <row r="27">
          <cell r="A27" t="str">
            <v>PAF-ATF-024-2012</v>
          </cell>
          <cell r="B27" t="str">
            <v>OPTIMIZACIÓN ALCANTARILLADO CARRERA 3 ETAPA II, MUNICIPIO DE IPIALES”</v>
          </cell>
          <cell r="C27">
            <v>4307026770</v>
          </cell>
          <cell r="D27">
            <v>4307026770</v>
          </cell>
          <cell r="E27">
            <v>0</v>
          </cell>
          <cell r="F27">
            <v>286156970</v>
          </cell>
          <cell r="G27">
            <v>286156970</v>
          </cell>
          <cell r="H27">
            <v>0</v>
          </cell>
          <cell r="I27">
            <v>0</v>
          </cell>
          <cell r="J27">
            <v>91863674.799999997</v>
          </cell>
          <cell r="K27">
            <v>93738444</v>
          </cell>
          <cell r="L27">
            <v>0</v>
          </cell>
          <cell r="M27">
            <v>41247</v>
          </cell>
          <cell r="N27" t="str">
            <v>Contrato No. 036 de 2012
CDP 274712
16 Fondos Especiales</v>
          </cell>
          <cell r="O27" t="str">
            <v>Contrato No. 036 de 2012
CDP 274712
16 Fondos Especiales</v>
          </cell>
          <cell r="P27" t="str">
            <v>Contrato No. 036 de 2012
CDP 274712
16 Fondos Especiales</v>
          </cell>
          <cell r="Q27" t="str">
            <v>GRUPO 2</v>
          </cell>
          <cell r="R27" t="str">
            <v>CONSORCIO SANEAMIENTO IPIALES
CASS CONSTRUCTORES &amp; CIA S.C.A.
CARLOS ALBERTO SOLARTE SOLARTE
ORLANDO FAJARDO CASTILLO
LUIS GABRIEL NIETO GARCIA</v>
          </cell>
          <cell r="S27">
            <v>900602755</v>
          </cell>
          <cell r="T27">
            <v>41332</v>
          </cell>
          <cell r="U27">
            <v>4260700397</v>
          </cell>
          <cell r="V27">
            <v>4260700397</v>
          </cell>
          <cell r="W27">
            <v>0</v>
          </cell>
          <cell r="X27">
            <v>271857600</v>
          </cell>
          <cell r="Y27">
            <v>271857600</v>
          </cell>
          <cell r="Z27">
            <v>0</v>
          </cell>
          <cell r="AA27">
            <v>0</v>
          </cell>
          <cell r="AB27" t="str">
            <v>IPIALES</v>
          </cell>
          <cell r="AC27" t="str">
            <v>NARIÑO</v>
          </cell>
          <cell r="AD27">
            <v>41352</v>
          </cell>
          <cell r="AE27">
            <v>8</v>
          </cell>
          <cell r="AF27">
            <v>0</v>
          </cell>
          <cell r="AG27">
            <v>1278210119.0999999</v>
          </cell>
          <cell r="AH27">
            <v>1278210119.0999999</v>
          </cell>
          <cell r="AI27">
            <v>41457</v>
          </cell>
        </row>
        <row r="28">
          <cell r="A28" t="str">
            <v>PAF-ATF-025-2012</v>
          </cell>
          <cell r="B28" t="str">
            <v>SISTEMA DE ABASTECIMIENTO QUEBRADA PIEDRAS FASE II, MUNICIPIO DE SAN JUAN DE PASTO</v>
          </cell>
          <cell r="C28">
            <v>27195834365</v>
          </cell>
          <cell r="D28">
            <v>23091385366</v>
          </cell>
          <cell r="E28">
            <v>4104448999</v>
          </cell>
          <cell r="F28">
            <v>1834092509</v>
          </cell>
          <cell r="G28">
            <v>1834092509</v>
          </cell>
          <cell r="H28">
            <v>0</v>
          </cell>
          <cell r="I28" t="str">
            <v>CONVENIO INTERADMINISTRATIVO                                                                                                                                                                                                                                                                   31-12-2012                                                                                                                                                                                                                                                         EMPOPASTO $4.104.448.999
ACTA JUNTA DIRECTIVA  27/11/2012 VIGENCIAS FUTURAS</v>
          </cell>
          <cell r="J28">
            <v>580598537.48000002</v>
          </cell>
          <cell r="K28">
            <v>508683222</v>
          </cell>
          <cell r="L28">
            <v>0</v>
          </cell>
          <cell r="M28">
            <v>41247</v>
          </cell>
          <cell r="N28" t="str">
            <v>Contrato No. 036 de 2012
CDP 274712
16 Fondos Especiales</v>
          </cell>
          <cell r="O28" t="str">
            <v>Contrato No. 036 de 2012
CDP 274712
16 Fondos Especiales</v>
          </cell>
          <cell r="P28" t="str">
            <v>Contrato No. 036 de 2012
CDP 274712
16 Fondos Especiales</v>
          </cell>
          <cell r="Q28" t="str">
            <v>GRUPO 2</v>
          </cell>
          <cell r="R28" t="str">
            <v>UNION TEMPORAL FASE 2
ORTIZ CONSTRUCCIONES Y PROYECTOS S.A. SUCURSAL COLOMBIA
PROYECTOS CIVILES E HIDRAULICOS S.A.S.</v>
          </cell>
          <cell r="S28">
            <v>900599458</v>
          </cell>
          <cell r="T28">
            <v>41332</v>
          </cell>
          <cell r="U28">
            <v>26765328534</v>
          </cell>
          <cell r="V28">
            <v>22660879535</v>
          </cell>
          <cell r="W28">
            <v>4104448999</v>
          </cell>
          <cell r="X28">
            <v>1742388440</v>
          </cell>
          <cell r="Y28">
            <v>1742388440</v>
          </cell>
          <cell r="Z28">
            <v>0</v>
          </cell>
          <cell r="AA28">
            <v>0</v>
          </cell>
          <cell r="AB28" t="str">
            <v xml:space="preserve"> PASTO</v>
          </cell>
          <cell r="AC28" t="str">
            <v>NARIÑO</v>
          </cell>
          <cell r="AD28">
            <v>41366</v>
          </cell>
          <cell r="AE28">
            <v>13</v>
          </cell>
          <cell r="AF28">
            <v>0</v>
          </cell>
          <cell r="AG28">
            <v>8029598560.1999998</v>
          </cell>
          <cell r="AH28">
            <v>8029598560.1999998</v>
          </cell>
          <cell r="AI28">
            <v>41409</v>
          </cell>
        </row>
        <row r="29">
          <cell r="A29" t="str">
            <v>PAF-ATF-026-2012</v>
          </cell>
          <cell r="B29" t="str">
            <v>CONSTRUCCIÓN SISTEMA MAESTRO INTERCEPTOR RIO CHIQUITO, TEJAR Y SAN CAYETANO, TERMINACIÓN INTERCEPTOR RIO TEJO Y CONTINUACIÓN SISTEMA PRINCIPAL HATILLO-FILIPOTE, INCLUIDO EL SISTEMA DE TRATAMIENTO DE AGUAS RESIDUALES DENTRO DEL PLAN MAESTRO DE ALCANTARILLADO, MUNICIPIO DE OCAÑA”</v>
          </cell>
          <cell r="C29">
            <v>21166434793</v>
          </cell>
          <cell r="D29">
            <v>20926434793</v>
          </cell>
          <cell r="E29">
            <v>240000000</v>
          </cell>
          <cell r="F29">
            <v>1621315424</v>
          </cell>
          <cell r="G29">
            <v>1621315424</v>
          </cell>
          <cell r="H29">
            <v>0</v>
          </cell>
          <cell r="I29" t="str">
            <v xml:space="preserve">CONVENIO INTERADMINISTRATIVO        
$240.000.000       OBRA CIVIL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J29">
            <v>455755004.34000003</v>
          </cell>
          <cell r="K29">
            <v>460158168</v>
          </cell>
          <cell r="L29">
            <v>0</v>
          </cell>
          <cell r="M29">
            <v>41247</v>
          </cell>
          <cell r="N29" t="str">
            <v xml:space="preserve">CDP 235012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NACIÓN 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PRESUPUESTO ANUAL DE GASTOS E INVERSIONES DEL MUNICIPIO                                                                                                                                                </v>
          </cell>
          <cell r="O29" t="str">
            <v>Contrato No. 036 de 2012
CDP 304012
11 Nación</v>
          </cell>
          <cell r="P29" t="str">
            <v>Contrato No. 036 de 2012
CDP 304012
11 Nación</v>
          </cell>
          <cell r="Q29" t="str">
            <v>GRUPO 2</v>
          </cell>
          <cell r="R29" t="str">
            <v>CONSORCIO OCAÑA
HIDROPROYECTOS S.A. SUCURSAL COLOMBIA
INGENIEROS GF S.A.S.
CONSICAL LTDA ING LTDA
CONEQUIPOS</v>
          </cell>
          <cell r="S29">
            <v>900606713</v>
          </cell>
          <cell r="T29">
            <v>41348</v>
          </cell>
          <cell r="U29">
            <v>20930517750</v>
          </cell>
          <cell r="V29">
            <v>20690517750</v>
          </cell>
          <cell r="W29">
            <v>240000000</v>
          </cell>
          <cell r="X29">
            <v>1570698000</v>
          </cell>
          <cell r="Y29">
            <v>1570698000</v>
          </cell>
          <cell r="Z29">
            <v>0</v>
          </cell>
          <cell r="AA29">
            <v>0</v>
          </cell>
          <cell r="AB29" t="str">
            <v>OCAÑA</v>
          </cell>
          <cell r="AC29" t="str">
            <v>NORTE DE SANTANDER</v>
          </cell>
          <cell r="AD29">
            <v>41365</v>
          </cell>
          <cell r="AE29">
            <v>18</v>
          </cell>
          <cell r="AF29">
            <v>0</v>
          </cell>
          <cell r="AG29">
            <v>6279155325</v>
          </cell>
          <cell r="AH29">
            <v>6279155325</v>
          </cell>
          <cell r="AI29">
            <v>41551</v>
          </cell>
        </row>
        <row r="30">
          <cell r="A30" t="str">
            <v>PAF-ATF-027-2012</v>
          </cell>
          <cell r="B30" t="str">
            <v>CONSTRUCCIÓN, OPTIMIZACIÓN Y MEJORAMIENTO DE OBRAS COMPLEMENTARIAS DEL PLAN MAESTRO DE ACUEDUCTO, MUNICIPIO DE DOSQUEBRADAS”</v>
          </cell>
          <cell r="C30">
            <v>6776215059</v>
          </cell>
          <cell r="D30">
            <v>6696215059</v>
          </cell>
          <cell r="E30">
            <v>80000000</v>
          </cell>
          <cell r="F30">
            <v>438123476</v>
          </cell>
          <cell r="G30">
            <v>438123476</v>
          </cell>
          <cell r="H30">
            <v>0</v>
          </cell>
          <cell r="I30" t="str">
            <v xml:space="preserve">CONVENIO INTERADMINISTRATIVO $80.000.000 EQUIVALENTE AL 1%  OBRA CIVIL
EJECUTOR SERVICIUDAD E.S.P.
</v>
          </cell>
          <cell r="J30">
            <v>144286770.70000002</v>
          </cell>
          <cell r="K30">
            <v>147231399</v>
          </cell>
          <cell r="L30">
            <v>0</v>
          </cell>
          <cell r="M30">
            <v>41247</v>
          </cell>
          <cell r="N30" t="str">
            <v>Contrato No. 036 de 2012
CDP 304012
11 Nación</v>
          </cell>
          <cell r="O30" t="str">
            <v>Contrato No. 036 de 2012
CDP 304012
11 Nación</v>
          </cell>
          <cell r="P30" t="str">
            <v>Contrato No. 036 de 2012
CDP 304012
11 Nación</v>
          </cell>
          <cell r="Q30" t="str">
            <v>GRUPO 2</v>
          </cell>
          <cell r="R30" t="str">
            <v>UNION TEMPORAL DOSQUEBRADAS 2013
VIÑAS RUSSI S.A.S.
JIMENEZ INGENIERIA S.A.S
FRANCISCO RIOS DANIES
CASTRO TCHERASSI S.A.</v>
          </cell>
          <cell r="S30">
            <v>900598971</v>
          </cell>
          <cell r="T30">
            <v>41332</v>
          </cell>
          <cell r="U30">
            <v>6646571702</v>
          </cell>
          <cell r="V30">
            <v>6566571702</v>
          </cell>
          <cell r="W30">
            <v>80000000</v>
          </cell>
          <cell r="X30">
            <v>416219600</v>
          </cell>
          <cell r="Y30">
            <v>416219600</v>
          </cell>
          <cell r="Z30">
            <v>0</v>
          </cell>
          <cell r="AA30">
            <v>0</v>
          </cell>
          <cell r="AB30" t="str">
            <v>DOSQUEBRADAS</v>
          </cell>
          <cell r="AC30" t="str">
            <v>RISARALDA</v>
          </cell>
          <cell r="AD30">
            <v>41339</v>
          </cell>
          <cell r="AE30">
            <v>10</v>
          </cell>
          <cell r="AF30">
            <v>0</v>
          </cell>
          <cell r="AG30">
            <v>1993971510.5999999</v>
          </cell>
          <cell r="AH30">
            <v>1993971510.5999999</v>
          </cell>
          <cell r="AI30">
            <v>41382</v>
          </cell>
        </row>
        <row r="31">
          <cell r="A31" t="str">
            <v>PAF-ATF-028-2012</v>
          </cell>
          <cell r="B31" t="str">
            <v>CONSTRUCCIÓN DEL COLECTOR POZO 7 PLAN DE SANEAMIENTO HÍDRICO, MUNICIPIO DE BARRANCABERMEJA</v>
          </cell>
          <cell r="C31">
            <v>6082894525</v>
          </cell>
          <cell r="D31">
            <v>4878342109</v>
          </cell>
          <cell r="E31">
            <v>1204552416</v>
          </cell>
          <cell r="F31">
            <v>389536478</v>
          </cell>
          <cell r="G31">
            <v>0</v>
          </cell>
          <cell r="H31">
            <v>389536478</v>
          </cell>
          <cell r="I31" t="str">
            <v>CONVENIO INTERADMINISTRATIVO  OBRA CIVIL $ 1.204.552.416
INTERVENTORIA $ 389.536.478 
TOTAL $1.594.088.894</v>
          </cell>
          <cell r="J31">
            <v>129448620.06</v>
          </cell>
          <cell r="K31">
            <v>99558002</v>
          </cell>
          <cell r="L31">
            <v>0</v>
          </cell>
          <cell r="M31">
            <v>41247</v>
          </cell>
          <cell r="N31" t="str">
            <v>Contrato No. 036 de 2012
CDP 290212
11 Recursos del Tesoro</v>
          </cell>
          <cell r="O31" t="str">
            <v>CONTRAPARTIDA</v>
          </cell>
          <cell r="P31" t="str">
            <v>Contrato No. 036 de 2012
CDP 290212
11 Recursos del Tesoro</v>
          </cell>
          <cell r="Q31" t="str">
            <v>GRUPO 2</v>
          </cell>
          <cell r="R31" t="str">
            <v>CONSORCIO BARRANCA 028
GUTEMBERG JOSE GONZALEZ PEREZ
SAIN ESPINOZA MURCIA
CONALRED S.A.S.
OINCO LTDA</v>
          </cell>
          <cell r="S31">
            <v>900599235</v>
          </cell>
          <cell r="T31">
            <v>41333</v>
          </cell>
          <cell r="U31">
            <v>5981924700</v>
          </cell>
          <cell r="V31">
            <v>4777372284</v>
          </cell>
          <cell r="W31">
            <v>1204552416</v>
          </cell>
          <cell r="X31">
            <v>384592200</v>
          </cell>
          <cell r="Y31">
            <v>0</v>
          </cell>
          <cell r="Z31">
            <v>384592200</v>
          </cell>
          <cell r="AA31">
            <v>0</v>
          </cell>
          <cell r="AB31" t="str">
            <v>BARRANCABERMEJA</v>
          </cell>
          <cell r="AC31" t="str">
            <v>SANTANDER</v>
          </cell>
          <cell r="AD31">
            <v>41337</v>
          </cell>
          <cell r="AE31">
            <v>12</v>
          </cell>
          <cell r="AF31">
            <v>0</v>
          </cell>
          <cell r="AG31">
            <v>1794577410</v>
          </cell>
          <cell r="AH31">
            <v>1794577410</v>
          </cell>
          <cell r="AI31">
            <v>41410</v>
          </cell>
        </row>
        <row r="32">
          <cell r="A32" t="str">
            <v>PAF-ATF-029-2012
PAF-ATF-076-2013</v>
          </cell>
          <cell r="B32" t="str">
            <v>CONSTRUCCIÓN LÍNEA DE CONDUCCIÓN TRAMO II DESDE LA ESTACIÓN DE COROZAL HASTA LA ESTACIÓN DE REBOMBEO SINCELEJO, DESDE K4+300 HASTA K8+770; CONSTRUCCIÓN DEL POZO PROFUNDO No. 50 CON SU EQUIPAMIENTO Y LÍNEA DE ADUCCIÓN, SECTOR PALMITOS; CONSTRUCCIÓN DEL POZO PROFUNDO No. 51 CON SU EQUIPAMENTO Y LÍNEA DE ADUCCIÓN, SECTOR PALMITOS Y CONSTRUCCIÓN REDES MATRICES ACUEDUCTO FASE III, MUNICIPIO DE SINCELEJO</v>
          </cell>
          <cell r="C32">
            <v>26793973094</v>
          </cell>
          <cell r="D32">
            <v>26793973094</v>
          </cell>
          <cell r="E32">
            <v>0</v>
          </cell>
          <cell r="F32">
            <v>1482982548</v>
          </cell>
          <cell r="G32">
            <v>1482982548</v>
          </cell>
          <cell r="H32">
            <v>0</v>
          </cell>
          <cell r="I32">
            <v>0</v>
          </cell>
          <cell r="J32">
            <v>565539112.84000003</v>
          </cell>
          <cell r="K32">
            <v>577080727</v>
          </cell>
          <cell r="L32">
            <v>0</v>
          </cell>
          <cell r="M32" t="str">
            <v xml:space="preserve">04-12-2012
06-03-2013
</v>
          </cell>
          <cell r="N32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Vigencias Futuras 2013</v>
          </cell>
          <cell r="O32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P32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32" t="str">
            <v>GRUPO 2
GRUPO 2A</v>
          </cell>
          <cell r="R32" t="str">
            <v xml:space="preserve">CONSORCIO INGENIAR
E-CON S.A.S
HORACIO MENDOZA MARTINEZ
</v>
          </cell>
          <cell r="S32">
            <v>900610587</v>
          </cell>
          <cell r="T32">
            <v>41381</v>
          </cell>
          <cell r="U32">
            <v>24122452506</v>
          </cell>
          <cell r="V32">
            <v>24122452506</v>
          </cell>
          <cell r="W32">
            <v>0</v>
          </cell>
          <cell r="X32">
            <v>1482741000</v>
          </cell>
          <cell r="Y32">
            <v>1482741000</v>
          </cell>
          <cell r="Z32">
            <v>0</v>
          </cell>
          <cell r="AA32">
            <v>0</v>
          </cell>
          <cell r="AB32" t="str">
            <v>SINCELEJO</v>
          </cell>
          <cell r="AC32" t="str">
            <v>SUCRE</v>
          </cell>
          <cell r="AD32">
            <v>41383</v>
          </cell>
          <cell r="AE32">
            <v>13</v>
          </cell>
          <cell r="AF32">
            <v>0</v>
          </cell>
          <cell r="AG32">
            <v>7236735751.8000002</v>
          </cell>
          <cell r="AH32">
            <v>7236735751.8000002</v>
          </cell>
          <cell r="AI32">
            <v>41459</v>
          </cell>
        </row>
        <row r="33">
          <cell r="A33" t="str">
            <v>PAF-ATF-030-2012</v>
          </cell>
          <cell r="B33" t="str">
            <v>CONSTRUCCIÓN DE PLANTA DE TRATAMIENTO DE AGUA POTABLE DE 400 LPS Y SUMINISTRO E INSTALACIÓN DE BOMBA DE RESERVA EN LA ESTACIÓN GAMBOTE” ARJONA- TURBACO</v>
          </cell>
          <cell r="C33">
            <v>10033153982</v>
          </cell>
          <cell r="D33">
            <v>10033153982</v>
          </cell>
          <cell r="E33">
            <v>0</v>
          </cell>
          <cell r="F33">
            <v>601989239</v>
          </cell>
          <cell r="G33">
            <v>601989239</v>
          </cell>
          <cell r="H33">
            <v>0</v>
          </cell>
          <cell r="I33">
            <v>0</v>
          </cell>
          <cell r="J33">
            <v>212702864.42000002</v>
          </cell>
          <cell r="K33">
            <v>217043739</v>
          </cell>
          <cell r="L33">
            <v>0</v>
          </cell>
          <cell r="M33">
            <v>41254</v>
          </cell>
          <cell r="N33" t="str">
            <v>Contrato No. 036 de 2012 
CDP 274712
10 Recursos Corrientes</v>
          </cell>
          <cell r="O33" t="str">
            <v>Contrato No. 036 de 2012 
CDP 274712
10 Recursos Corrientes</v>
          </cell>
          <cell r="P33" t="str">
            <v>Contrato No. 036 de 2012 
CDP 274712
10 Recursos Corrientes</v>
          </cell>
          <cell r="Q33" t="str">
            <v>GRUPO 3</v>
          </cell>
          <cell r="R33" t="str">
            <v xml:space="preserve">CONSORCIO EHP GAMBOTE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PROYECTAR INGENIERIA S.A.S                                                                                                                                                                                                                                                             ELECTROHIDRAULICA S.A. REPRESENTACIONES                        </v>
          </cell>
          <cell r="S33">
            <v>900611538</v>
          </cell>
          <cell r="T33">
            <v>41355</v>
          </cell>
          <cell r="U33">
            <v>9665235505</v>
          </cell>
          <cell r="V33">
            <v>9665235505</v>
          </cell>
          <cell r="W33">
            <v>0</v>
          </cell>
          <cell r="X33">
            <v>554126200</v>
          </cell>
          <cell r="Y33">
            <v>554126200</v>
          </cell>
          <cell r="Z33">
            <v>0</v>
          </cell>
          <cell r="AA33">
            <v>0</v>
          </cell>
          <cell r="AB33" t="str">
            <v>ARJONA- TURBACO</v>
          </cell>
          <cell r="AC33" t="str">
            <v>BOLIVAR</v>
          </cell>
          <cell r="AD33">
            <v>41383</v>
          </cell>
          <cell r="AE33">
            <v>10</v>
          </cell>
          <cell r="AF33">
            <v>0</v>
          </cell>
          <cell r="AG33">
            <v>2899570651.5</v>
          </cell>
          <cell r="AH33">
            <v>2899570651.5</v>
          </cell>
          <cell r="AI33">
            <v>41523</v>
          </cell>
        </row>
        <row r="34">
          <cell r="A34" t="str">
            <v>PAF-ATF-031-2012</v>
          </cell>
          <cell r="B34" t="str">
            <v>CONSTRUCCIÓN COLECTOR ORIENTAL DE AGUAS SERVIDAS VALLEDUPAR</v>
          </cell>
          <cell r="C34">
            <v>11120459735</v>
          </cell>
          <cell r="D34">
            <v>11120459735</v>
          </cell>
          <cell r="E34">
            <v>0</v>
          </cell>
          <cell r="F34">
            <v>642311492</v>
          </cell>
          <cell r="G34">
            <v>642311492</v>
          </cell>
          <cell r="H34">
            <v>0</v>
          </cell>
          <cell r="I34">
            <v>0</v>
          </cell>
          <cell r="J34">
            <v>235255424.53999999</v>
          </cell>
          <cell r="K34">
            <v>240056556</v>
          </cell>
          <cell r="L34">
            <v>0</v>
          </cell>
          <cell r="M34">
            <v>41254</v>
          </cell>
          <cell r="N34" t="str">
            <v>Contrato No. 036 de 2012 
CDP 274712
10 Recursos Corrientes</v>
          </cell>
          <cell r="O34" t="str">
            <v>Contrato No. 036 de 2012 
CDP 274712
10 Recursos Corrientes</v>
          </cell>
          <cell r="P34" t="str">
            <v>Contrato No. 036 de 2012 
CDP 274712
10 Recursos Corrientes</v>
          </cell>
          <cell r="Q34" t="str">
            <v>GRUPO 3</v>
          </cell>
          <cell r="R34" t="str">
            <v>UNION TEMPORAL AGUAS DE VALLEDUPAR
ORTIZ CONSTRUCCIONES Y PROYECTOS S.A.  - SUCURSAL COLOMBIA
PROYECTOS CIVILES E HIDRAULICOS S.A.S.</v>
          </cell>
          <cell r="S34">
            <v>900599461</v>
          </cell>
          <cell r="T34">
            <v>41332</v>
          </cell>
          <cell r="U34">
            <v>10907307908</v>
          </cell>
          <cell r="V34">
            <v>10907307908</v>
          </cell>
          <cell r="W34">
            <v>0</v>
          </cell>
          <cell r="X34">
            <v>559849640</v>
          </cell>
          <cell r="Y34">
            <v>559849640</v>
          </cell>
          <cell r="Z34">
            <v>0</v>
          </cell>
          <cell r="AA34">
            <v>0</v>
          </cell>
          <cell r="AB34" t="str">
            <v>VALLEDUPAR</v>
          </cell>
          <cell r="AC34" t="str">
            <v>CESAR</v>
          </cell>
          <cell r="AD34">
            <v>41348</v>
          </cell>
          <cell r="AE34">
            <v>10</v>
          </cell>
          <cell r="AF34">
            <v>0</v>
          </cell>
          <cell r="AG34">
            <v>3272192372.4000001</v>
          </cell>
          <cell r="AH34">
            <v>3272192372.4000001</v>
          </cell>
          <cell r="AI34">
            <v>41424</v>
          </cell>
        </row>
        <row r="35">
          <cell r="A35" t="str">
            <v>PAF-ATF-032-2012</v>
          </cell>
          <cell r="B35" t="str">
            <v>CONSTRUCCIÓN PLAN MAESTRO DE ALCANTARILLADO SANITARIO ETAPA 2 VILLA DEL ROSARIO- NORTE DE SANTANDER</v>
          </cell>
          <cell r="C35">
            <v>14792816249</v>
          </cell>
          <cell r="D35">
            <v>14792816249</v>
          </cell>
          <cell r="E35">
            <v>0</v>
          </cell>
          <cell r="F35">
            <v>998337136</v>
          </cell>
          <cell r="G35">
            <v>998337136</v>
          </cell>
          <cell r="H35">
            <v>0</v>
          </cell>
          <cell r="I35">
            <v>0</v>
          </cell>
          <cell r="J35">
            <v>315823067.69999999</v>
          </cell>
          <cell r="K35">
            <v>322268436</v>
          </cell>
          <cell r="L35">
            <v>0</v>
          </cell>
          <cell r="M35">
            <v>41254</v>
          </cell>
          <cell r="N35" t="str">
            <v>Contrato No. 036 de 2012 
CDP 274712
10 Recursos Corrientes</v>
          </cell>
          <cell r="O35" t="str">
            <v>Contrato 036 de 2012
CDP 316212
13 Nación</v>
          </cell>
          <cell r="P35" t="str">
            <v>Contrato No. 036 de 2012 
CDP 274712
10 Recursos Corrientes</v>
          </cell>
          <cell r="Q35" t="str">
            <v>GRUPO 3</v>
          </cell>
          <cell r="R35" t="str">
            <v>UNION TEMPORAL REDES DE SANTANDER 2013
CONSTRUCTORA YACAMAN VIVERO S.A.
CONHYDRA S.A. E.S.P.</v>
          </cell>
          <cell r="S35">
            <v>900596761</v>
          </cell>
          <cell r="T35">
            <v>41326</v>
          </cell>
          <cell r="U35">
            <v>14511795864</v>
          </cell>
          <cell r="V35">
            <v>14511795864</v>
          </cell>
          <cell r="W35">
            <v>0</v>
          </cell>
          <cell r="X35">
            <v>960415040</v>
          </cell>
          <cell r="Y35">
            <v>960415040</v>
          </cell>
          <cell r="Z35">
            <v>0</v>
          </cell>
          <cell r="AA35">
            <v>0</v>
          </cell>
          <cell r="AB35" t="str">
            <v>VILLA DEL ROSARIO</v>
          </cell>
          <cell r="AC35" t="str">
            <v>NORTE DE SANTANDER</v>
          </cell>
          <cell r="AD35">
            <v>41340</v>
          </cell>
          <cell r="AE35">
            <v>12</v>
          </cell>
          <cell r="AF35">
            <v>0</v>
          </cell>
          <cell r="AG35">
            <v>4353538759.1999998</v>
          </cell>
          <cell r="AH35">
            <v>4353538759.1999998</v>
          </cell>
          <cell r="AI35">
            <v>41408</v>
          </cell>
        </row>
        <row r="36">
          <cell r="A36" t="str">
            <v>PAF-ATF-033-2012
PAF-ATF-074-2013</v>
          </cell>
          <cell r="B36" t="str">
            <v>CONSTRUCCIÓN NIVEL B TERRAZA 12 Y PLANTA DE TRATAMIENTO DE LIXIVIADOS RELLENO SANITARIO REGIONAL TERRAZA DEL PORVENIR” DEL MUNICIPIO DE SOGAMOSO, BOYACA</v>
          </cell>
          <cell r="C36">
            <v>2872946494</v>
          </cell>
          <cell r="D36">
            <v>2872946494</v>
          </cell>
          <cell r="E36">
            <v>0</v>
          </cell>
          <cell r="F36">
            <v>229835719</v>
          </cell>
          <cell r="G36">
            <v>229835719</v>
          </cell>
          <cell r="H36">
            <v>0</v>
          </cell>
          <cell r="I36">
            <v>0</v>
          </cell>
          <cell r="J36">
            <v>62055644.259999998</v>
          </cell>
          <cell r="K36">
            <v>62055646</v>
          </cell>
          <cell r="L36">
            <v>0</v>
          </cell>
          <cell r="M36" t="str">
            <v>11-12-2012
06-03-2013</v>
          </cell>
          <cell r="N36" t="str">
            <v>Contrato No. 036 de 2012
CDP 274712
11 Recursos del Tesoro</v>
          </cell>
          <cell r="O36" t="str">
            <v>Contrato No. 036 de 2012
CDP 274712
11 Recursos del Tesoro</v>
          </cell>
          <cell r="P36" t="str">
            <v>Contrato No. 036 de 2012
CDP 274712
11 Recursos del Tesoro</v>
          </cell>
          <cell r="Q36" t="str">
            <v>GRUPO 3
GRUPO 2A</v>
          </cell>
          <cell r="R36" t="str">
            <v xml:space="preserve">CONSORCIO ABC
GUSTAVO H. VELANDIA POVEDA
RB DE COLOMBIA
</v>
          </cell>
          <cell r="S36">
            <v>900609954</v>
          </cell>
          <cell r="T36">
            <v>41376</v>
          </cell>
          <cell r="U36">
            <v>2657018468</v>
          </cell>
          <cell r="V36">
            <v>2657018468</v>
          </cell>
          <cell r="W36">
            <v>0</v>
          </cell>
          <cell r="X36">
            <v>229230500</v>
          </cell>
          <cell r="Y36">
            <v>229230500</v>
          </cell>
          <cell r="Z36">
            <v>0</v>
          </cell>
          <cell r="AA36">
            <v>0</v>
          </cell>
          <cell r="AB36" t="str">
            <v>SOGAMOSO</v>
          </cell>
          <cell r="AC36" t="str">
            <v>BOYACA</v>
          </cell>
          <cell r="AD36">
            <v>41388</v>
          </cell>
          <cell r="AE36">
            <v>12</v>
          </cell>
          <cell r="AF36">
            <v>0</v>
          </cell>
          <cell r="AG36">
            <v>797105540.39999998</v>
          </cell>
          <cell r="AH36">
            <v>797105540.39999998</v>
          </cell>
          <cell r="AI36">
            <v>41515</v>
          </cell>
        </row>
        <row r="37">
          <cell r="A37" t="str">
            <v>PAF-ATF-034-2012</v>
          </cell>
          <cell r="B37" t="str">
            <v>MEJORAMIENTO HIDRÁULICO DE COLECTORES PARA MITIGAR INUNDACIONES EN EL CASCO ANTIGÜO DE LA CIUDAD DE SANTIAGO DE CALI</v>
          </cell>
          <cell r="C37">
            <v>7936480877</v>
          </cell>
          <cell r="D37">
            <v>7936480877</v>
          </cell>
          <cell r="E37">
            <v>3462319910</v>
          </cell>
          <cell r="F37">
            <v>555553661</v>
          </cell>
          <cell r="G37">
            <v>555553661</v>
          </cell>
          <cell r="H37">
            <v>0</v>
          </cell>
          <cell r="I37" t="str">
            <v>CONTRAPARTIDA DE EMCALI POR MAYOR VALOR DE OBRA</v>
          </cell>
          <cell r="J37">
            <v>239087088.96000001</v>
          </cell>
          <cell r="K37">
            <v>173306827</v>
          </cell>
          <cell r="L37">
            <v>0</v>
          </cell>
          <cell r="M37">
            <v>41254</v>
          </cell>
          <cell r="N37" t="str">
            <v>Contrato No. 036 de 2012 
CDP 274712
10 Recursos Corrientes</v>
          </cell>
          <cell r="O37" t="str">
            <v>Contrato 036 de 2012
CDP 316212
13 Nación</v>
          </cell>
          <cell r="P37" t="str">
            <v>Contrato No. 036 de 2012 
CDP 274712
10 Recursos Corrientes</v>
          </cell>
          <cell r="Q37" t="str">
            <v>GRUPO 3</v>
          </cell>
          <cell r="R37" t="str">
            <v>FAGAR SERVICIOS 97 S.L SUCURSAL COLOMBIA
FAGAR SERVICIOS 97 S.L. SUCURSAL COLOMBIA</v>
          </cell>
          <cell r="S37">
            <v>900400391</v>
          </cell>
          <cell r="T37">
            <v>41332</v>
          </cell>
          <cell r="U37">
            <v>7809547237</v>
          </cell>
          <cell r="V37">
            <v>7809547237</v>
          </cell>
          <cell r="W37">
            <v>3462319910</v>
          </cell>
          <cell r="X37">
            <v>540776340</v>
          </cell>
          <cell r="Y37">
            <v>540776340</v>
          </cell>
          <cell r="Z37">
            <v>0</v>
          </cell>
          <cell r="AA37">
            <v>0</v>
          </cell>
          <cell r="AB37" t="str">
            <v>SANTIAGO DE CALI</v>
          </cell>
          <cell r="AC37" t="str">
            <v>VALLE DEL CAUCA</v>
          </cell>
          <cell r="AD37">
            <v>41341</v>
          </cell>
          <cell r="AE37">
            <v>18</v>
          </cell>
          <cell r="AF37">
            <v>0</v>
          </cell>
          <cell r="AG37">
            <v>2342864171.0999999</v>
          </cell>
          <cell r="AH37">
            <v>2342864171.0999999</v>
          </cell>
          <cell r="AI37">
            <v>41445</v>
          </cell>
        </row>
        <row r="38">
          <cell r="A38" t="str">
            <v>PAF-ATF-035-2012***</v>
          </cell>
          <cell r="B38" t="str">
            <v>SISTEMA DE ALCANTARILLADO IV ETAPA BOJACA CUNDINAMARCA</v>
          </cell>
          <cell r="C38">
            <v>1522665444</v>
          </cell>
          <cell r="D38">
            <v>1522665444</v>
          </cell>
          <cell r="E38">
            <v>0</v>
          </cell>
          <cell r="F38">
            <v>106570943</v>
          </cell>
          <cell r="G38">
            <v>106570943</v>
          </cell>
          <cell r="H38">
            <v>0</v>
          </cell>
          <cell r="I38">
            <v>0</v>
          </cell>
          <cell r="J38">
            <v>32584727.740000002</v>
          </cell>
          <cell r="K38">
            <v>33249722</v>
          </cell>
          <cell r="L38">
            <v>0</v>
          </cell>
          <cell r="M38">
            <v>41254</v>
          </cell>
          <cell r="N38" t="str">
            <v>Contrato No. 036 de 2012
CDP 274712
16 Fondos Especiales</v>
          </cell>
          <cell r="O38" t="str">
            <v>Contrato No. 036 de 2012
CDP 274712
16 Fondos Especiales</v>
          </cell>
          <cell r="P38" t="str">
            <v>Contrato No. 136 de 2012
CDP 274712
10 Recursos Corrientes
CDP 290212
11 Recursos del Tesoro</v>
          </cell>
          <cell r="Q38" t="str">
            <v>GRUPO 3</v>
          </cell>
          <cell r="R38" t="str">
            <v>JOSE FERNANDO SUAREZ DUQUE
JOSE FERNANDO SUAREZ DUQUE</v>
          </cell>
          <cell r="S38">
            <v>10116218</v>
          </cell>
          <cell r="T38">
            <v>41332</v>
          </cell>
          <cell r="U38">
            <v>1494060395</v>
          </cell>
          <cell r="V38">
            <v>1494060395</v>
          </cell>
          <cell r="W38">
            <v>0</v>
          </cell>
          <cell r="X38">
            <v>106251360</v>
          </cell>
          <cell r="Y38">
            <v>106251360</v>
          </cell>
          <cell r="Z38">
            <v>0</v>
          </cell>
          <cell r="AA38">
            <v>0</v>
          </cell>
          <cell r="AB38" t="str">
            <v>BOJACA</v>
          </cell>
          <cell r="AC38" t="str">
            <v>CUNDINAMARCA</v>
          </cell>
          <cell r="AD38">
            <v>41348</v>
          </cell>
          <cell r="AE38">
            <v>8</v>
          </cell>
          <cell r="AF38">
            <v>0</v>
          </cell>
          <cell r="AG38">
            <v>448218118.5</v>
          </cell>
          <cell r="AH38">
            <v>448218118.5</v>
          </cell>
          <cell r="AI38">
            <v>41425</v>
          </cell>
        </row>
        <row r="39">
          <cell r="A39" t="str">
            <v>PAF-ATF-036-2012</v>
          </cell>
          <cell r="B39" t="str">
            <v>OPTIMIZACIÓN REDES DEL SISTEMA DE ACUEDUCTO DE LA CABECERA MUNICIPAL DE QUIBDÓ – CHOCÓ”</v>
          </cell>
          <cell r="C39">
            <v>43234509200</v>
          </cell>
          <cell r="D39">
            <v>25941239265</v>
          </cell>
          <cell r="E39">
            <v>17293269935</v>
          </cell>
          <cell r="F39">
            <v>3458760736</v>
          </cell>
          <cell r="G39">
            <v>3458760736</v>
          </cell>
          <cell r="H39">
            <v>0</v>
          </cell>
          <cell r="I39" t="str">
            <v xml:space="preserve">CONVENIO INTERADMINISTRATIVO 
OCAD PACIFICO$17.293.269.935 SISTEMA GENERAL DE REGALIAS MHCP OBRA CIVIL
</v>
          </cell>
          <cell r="J39">
            <v>933865398.72000003</v>
          </cell>
          <cell r="K39">
            <v>600000000</v>
          </cell>
          <cell r="L39">
            <v>0</v>
          </cell>
          <cell r="M39">
            <v>41269</v>
          </cell>
          <cell r="N39" t="str">
            <v>Contrato No. 036 de 2012
CDP 274712
16 Fondos Especiales</v>
          </cell>
          <cell r="O39" t="str">
            <v>Contrato No. 036 de 2012
CDP 274712
16 Fondos Especiales</v>
          </cell>
          <cell r="P39" t="str">
            <v>Contrato No. 036 de 2012
CDP 274712
16 Fondos Especiales</v>
          </cell>
          <cell r="Q39" t="str">
            <v>GRUPO 4</v>
          </cell>
          <cell r="R39" t="str">
            <v>UNION TEMPORAL REDES CHOCÓ 2013
SOLARTE NACIONAL DE CONSTRUCCIONES S.A.S.
SERGIO TORRES REATIGA</v>
          </cell>
          <cell r="S39">
            <v>900602996</v>
          </cell>
          <cell r="T39">
            <v>41333</v>
          </cell>
          <cell r="U39">
            <v>42556467071</v>
          </cell>
          <cell r="V39">
            <v>25263197136</v>
          </cell>
          <cell r="W39">
            <v>17293269935</v>
          </cell>
          <cell r="X39">
            <v>3366904640</v>
          </cell>
          <cell r="Y39">
            <v>3366904640</v>
          </cell>
          <cell r="Z39">
            <v>0</v>
          </cell>
          <cell r="AA39">
            <v>0</v>
          </cell>
          <cell r="AB39" t="str">
            <v>QUIBDO</v>
          </cell>
          <cell r="AC39" t="str">
            <v>CHOCO</v>
          </cell>
          <cell r="AD39">
            <v>41333</v>
          </cell>
          <cell r="AE39">
            <v>24</v>
          </cell>
          <cell r="AF39">
            <v>0</v>
          </cell>
          <cell r="AG39">
            <v>12766940121.299999</v>
          </cell>
          <cell r="AH39">
            <v>12766940121</v>
          </cell>
          <cell r="AI39">
            <v>41409</v>
          </cell>
        </row>
        <row r="40">
          <cell r="A40" t="str">
            <v>PAF-ATF-037-2012</v>
          </cell>
          <cell r="B40" t="str">
            <v>CONSTRUCCIÓN AMPLIACIÓN SISTEMA DE ALCANTARILLADO COMBINADO Y PLUVIAL, SECTOR CARRERA 15 Y 17 ENTRE CALLES 1B Y 1D BARRIO SAN CARLOS E INTERCEPTOR QUEBRADA LA PALMIRA ENTRE LOS BARRIOS VILLAS DE SAN JUAN Y PASEO CATALUÑA DEL MUNICIPIO DE PIEDECUESTA SANTANDER</v>
          </cell>
          <cell r="C40">
            <v>1826252770</v>
          </cell>
          <cell r="D40">
            <v>1826252770</v>
          </cell>
          <cell r="E40">
            <v>0</v>
          </cell>
          <cell r="F40">
            <v>144967887</v>
          </cell>
          <cell r="G40">
            <v>144967887</v>
          </cell>
          <cell r="H40">
            <v>0</v>
          </cell>
          <cell r="I40">
            <v>0</v>
          </cell>
          <cell r="J40">
            <v>39424413.140000001</v>
          </cell>
          <cell r="K40">
            <v>40228993</v>
          </cell>
          <cell r="L40">
            <v>0</v>
          </cell>
          <cell r="M40">
            <v>41269</v>
          </cell>
          <cell r="N40" t="str">
            <v>Contrato No. 036 de 2012
CDP 274712
16 Fondos Especiales</v>
          </cell>
          <cell r="O40" t="str">
            <v>Contrato No. 036 de 2012
CDP 274712
16 Fondos Especiales</v>
          </cell>
          <cell r="P40" t="str">
            <v>Contrato No. 36 de 2012
CDP 304012
11 Recursos del Tesoro</v>
          </cell>
          <cell r="Q40" t="str">
            <v>GRUPO 4</v>
          </cell>
          <cell r="R40" t="str">
            <v xml:space="preserve">CONSORCIO PROYECTOS ING
TECNICAS Y CONSTRUCCIONES CIVILES S.A. TECNICIVILES S.A.
DISEÑO E INGENIERIA ESPECIALIZADA S.A.S.
</v>
          </cell>
          <cell r="S40">
            <v>900599814</v>
          </cell>
          <cell r="T40">
            <v>41333</v>
          </cell>
          <cell r="U40">
            <v>1795167424</v>
          </cell>
          <cell r="V40">
            <v>1795167424</v>
          </cell>
          <cell r="W40">
            <v>0</v>
          </cell>
          <cell r="X40">
            <v>142710160</v>
          </cell>
          <cell r="Y40">
            <v>142710160</v>
          </cell>
          <cell r="Z40">
            <v>0</v>
          </cell>
          <cell r="AA40">
            <v>0</v>
          </cell>
          <cell r="AB40" t="str">
            <v>PIEDECUESTA</v>
          </cell>
          <cell r="AC40" t="str">
            <v>SANTANDER</v>
          </cell>
          <cell r="AD40">
            <v>41337</v>
          </cell>
          <cell r="AE40">
            <v>8</v>
          </cell>
          <cell r="AF40">
            <v>0</v>
          </cell>
          <cell r="AG40">
            <v>538550227.19999993</v>
          </cell>
          <cell r="AH40">
            <v>538550227.19999993</v>
          </cell>
          <cell r="AI40">
            <v>41425</v>
          </cell>
        </row>
        <row r="41">
          <cell r="A41" t="str">
            <v>PAF-ATF-038-2012</v>
          </cell>
          <cell r="B41" t="str">
            <v>OPTIMIZACIÓN Y AMPLIACIÓN DEL SISTEMA DE ACUEDUCTO DE LA CABECERA MUNICIPAL DEL MUNICIPIO DE OVEJAS, DEPARTAMENTO DE SUCRE”</v>
          </cell>
          <cell r="C41">
            <v>6811030992</v>
          </cell>
          <cell r="D41">
            <v>6811030992</v>
          </cell>
          <cell r="E41">
            <v>0</v>
          </cell>
          <cell r="F41">
            <v>510076154</v>
          </cell>
          <cell r="G41">
            <v>510076154</v>
          </cell>
          <cell r="H41">
            <v>0</v>
          </cell>
          <cell r="I41">
            <v>0</v>
          </cell>
          <cell r="J41">
            <v>146422142.92000002</v>
          </cell>
          <cell r="K41">
            <v>149410350</v>
          </cell>
          <cell r="L41">
            <v>0</v>
          </cell>
          <cell r="M41">
            <v>41269</v>
          </cell>
          <cell r="N41" t="str">
            <v>Contrato No. 036 de 2012 
CDP 274712
10 Recursos Corrientes</v>
          </cell>
          <cell r="O41" t="str">
            <v>Contrato No. 036 de 2012 
CDP 274712
10 Recursos Corrientes</v>
          </cell>
          <cell r="P41" t="str">
            <v>Contrato No. 036 de 2012 
CDP 274712
10 Recursos Corrientes</v>
          </cell>
          <cell r="Q41" t="str">
            <v>GRUPO 4</v>
          </cell>
          <cell r="R41" t="str">
            <v xml:space="preserve">CONSORCIO 038 SUCRE
MEJIA VILLEGAS CONSTRUCCIONES S.A
DIEGO JARAMILLO GÓMEZ
</v>
          </cell>
          <cell r="S41">
            <v>900612095</v>
          </cell>
          <cell r="T41">
            <v>41355</v>
          </cell>
          <cell r="U41">
            <v>6620474198</v>
          </cell>
          <cell r="V41">
            <v>6620474198</v>
          </cell>
          <cell r="W41">
            <v>0</v>
          </cell>
          <cell r="X41">
            <v>493707600</v>
          </cell>
          <cell r="Y41">
            <v>493707600</v>
          </cell>
          <cell r="Z41">
            <v>0</v>
          </cell>
          <cell r="AA41">
            <v>0</v>
          </cell>
          <cell r="AB41" t="str">
            <v>OVEJAS</v>
          </cell>
          <cell r="AC41" t="str">
            <v>SUCRE</v>
          </cell>
          <cell r="AD41">
            <v>41383</v>
          </cell>
          <cell r="AE41">
            <v>16</v>
          </cell>
          <cell r="AF41">
            <v>0</v>
          </cell>
          <cell r="AG41">
            <v>1986142259.3999999</v>
          </cell>
          <cell r="AH41">
            <v>0</v>
          </cell>
          <cell r="AI41">
            <v>0</v>
          </cell>
        </row>
        <row r="42">
          <cell r="A42" t="str">
            <v>PAF-ATF-042-2013</v>
          </cell>
          <cell r="B42" t="str">
            <v>CONSTRUCCIÓN DE REDES DE ALCANTARILLADO EN DIFERENTES SITIOS DE LA ZONA URBANA DEL MUNICIPIO DE ENVIGADO-ANTIOQUIA”</v>
          </cell>
          <cell r="C42">
            <v>5143077886</v>
          </cell>
          <cell r="D42">
            <v>5143077886</v>
          </cell>
          <cell r="E42">
            <v>0</v>
          </cell>
          <cell r="F42">
            <v>347341120</v>
          </cell>
          <cell r="G42">
            <v>347341120</v>
          </cell>
          <cell r="H42">
            <v>0</v>
          </cell>
          <cell r="I42">
            <v>0</v>
          </cell>
          <cell r="J42">
            <v>109808380.12</v>
          </cell>
          <cell r="K42">
            <v>112049367</v>
          </cell>
          <cell r="L42">
            <v>0</v>
          </cell>
          <cell r="M42">
            <v>41306</v>
          </cell>
          <cell r="N42" t="str">
            <v>Contrato No. 159 de 2013
CDP 22813
11 Recursos del Tesoro</v>
          </cell>
          <cell r="O42" t="str">
            <v>Contrato No. 159 de 2013
CDP 22813
11 Recursos del Tesoro</v>
          </cell>
          <cell r="P42" t="str">
            <v>Contrato No. 159 de 2013
CDP 22813
11 Recursos del Tesoro</v>
          </cell>
          <cell r="Q42" t="str">
            <v>GRUPO 5</v>
          </cell>
          <cell r="R42" t="str">
            <v>CONSORCIO PROSPERIDAD 2013
LA MACUIRA INVERSIONES Y CONSTRUCCIONES S.A.
VNF S.A.
HORACIO VEGA CARDENAS</v>
          </cell>
          <cell r="S42">
            <v>900606407</v>
          </cell>
          <cell r="T42">
            <v>41355</v>
          </cell>
          <cell r="U42">
            <v>4824119373</v>
          </cell>
          <cell r="V42">
            <v>4824119373</v>
          </cell>
          <cell r="W42">
            <v>0</v>
          </cell>
          <cell r="X42">
            <v>319175160</v>
          </cell>
          <cell r="Y42">
            <v>319175160</v>
          </cell>
          <cell r="Z42">
            <v>0</v>
          </cell>
          <cell r="AA42">
            <v>0</v>
          </cell>
          <cell r="AB42" t="str">
            <v>ENVIGADO</v>
          </cell>
          <cell r="AC42" t="str">
            <v>ANTIOQUIA</v>
          </cell>
          <cell r="AD42">
            <v>41376</v>
          </cell>
          <cell r="AE42">
            <v>6</v>
          </cell>
          <cell r="AF42">
            <v>0</v>
          </cell>
          <cell r="AG42">
            <v>1447235811.8999999</v>
          </cell>
          <cell r="AH42">
            <v>1447235811.8999999</v>
          </cell>
          <cell r="AI42">
            <v>41521</v>
          </cell>
        </row>
        <row r="43">
          <cell r="A43" t="str">
            <v>PAF-ATF-043-2013</v>
          </cell>
          <cell r="B43" t="str">
            <v>CONSTRUCCIÓN DE REDES DE ACUEDUCTO Y ALCANTARILLADO PARA LA VEREDA SANTA CATALINA EN EL MUNICIPIO DE ENVIGADO – ETAPA III”</v>
          </cell>
          <cell r="C43">
            <v>4923378401</v>
          </cell>
          <cell r="D43">
            <v>4923378401</v>
          </cell>
          <cell r="E43">
            <v>0</v>
          </cell>
          <cell r="F43">
            <v>332332076</v>
          </cell>
          <cell r="G43">
            <v>332332076</v>
          </cell>
          <cell r="H43">
            <v>0</v>
          </cell>
          <cell r="I43">
            <v>0</v>
          </cell>
          <cell r="J43">
            <v>105114209.54000001</v>
          </cell>
          <cell r="K43">
            <v>107259397</v>
          </cell>
          <cell r="L43">
            <v>0</v>
          </cell>
          <cell r="M43">
            <v>41306</v>
          </cell>
          <cell r="N43" t="str">
            <v>Contrato No. 159 de 2013
CDP 22813
11 Recursos del Tesoro</v>
          </cell>
          <cell r="O43" t="str">
            <v>Contrato No. 159 de 2013
CDP 22813
11 Recursos del Tesoro</v>
          </cell>
          <cell r="P43" t="str">
            <v>Contrato No. 159 de 2013
CDP 22813
11 Recursos del Tesoro</v>
          </cell>
          <cell r="Q43" t="str">
            <v>GRUPO 5</v>
          </cell>
          <cell r="R43" t="str">
            <v>CONSORCIO REDES NORTE
INGEAGUAS S.A.S
CONSTRUCCIONES PIEDRA S.A.
CONSTRUCCIONES LUJAN S.A.</v>
          </cell>
          <cell r="S43">
            <v>900605747</v>
          </cell>
          <cell r="T43">
            <v>41355</v>
          </cell>
          <cell r="U43">
            <v>4676302180</v>
          </cell>
          <cell r="V43">
            <v>4676302180</v>
          </cell>
          <cell r="W43">
            <v>0</v>
          </cell>
          <cell r="X43">
            <v>309891680</v>
          </cell>
          <cell r="Y43">
            <v>309891680</v>
          </cell>
          <cell r="Z43">
            <v>0</v>
          </cell>
          <cell r="AA43">
            <v>0</v>
          </cell>
          <cell r="AB43" t="str">
            <v>ENVIGADO</v>
          </cell>
          <cell r="AC43" t="str">
            <v>ANTIOQUIA</v>
          </cell>
          <cell r="AD43">
            <v>41376</v>
          </cell>
          <cell r="AE43">
            <v>8</v>
          </cell>
          <cell r="AF43">
            <v>0</v>
          </cell>
          <cell r="AG43">
            <v>1402890654</v>
          </cell>
          <cell r="AH43">
            <v>1402890654</v>
          </cell>
          <cell r="AI43">
            <v>41514</v>
          </cell>
        </row>
        <row r="44">
          <cell r="A44" t="str">
            <v>PAF-ATF-044-2013</v>
          </cell>
          <cell r="B44" t="str">
            <v>CONSTRUCCIÓN PLANTA DE TRATAMIENTO DE AGUAS RESIDUALES DOMESTICAS (PTAR) EN EL MUNICIPIO DE CHIQUINQUIRÁ - BOYACA”</v>
          </cell>
          <cell r="C44">
            <v>22089959824</v>
          </cell>
          <cell r="D44">
            <v>19655556088</v>
          </cell>
          <cell r="E44">
            <v>2434403736</v>
          </cell>
          <cell r="F44">
            <v>1767196786</v>
          </cell>
          <cell r="G44">
            <v>1767196786</v>
          </cell>
          <cell r="H44">
            <v>0</v>
          </cell>
          <cell r="I44" t="str">
            <v>CORPORACIÓN AUTONOMA REGIONAL DE CUNDINAMARCA $2.434.403.736</v>
          </cell>
          <cell r="J44">
            <v>477143132.19999999</v>
          </cell>
          <cell r="K44">
            <v>437199038</v>
          </cell>
          <cell r="L44">
            <v>0</v>
          </cell>
          <cell r="M44">
            <v>41306</v>
          </cell>
          <cell r="N44" t="str">
            <v>Contrato No. 159 de 2013
CDP 22813
11 Recursos del Tesoro</v>
          </cell>
          <cell r="O44" t="str">
            <v>Contrato No. 159 de 2013
CDP 22813
11 Recursos del Tesoro</v>
          </cell>
          <cell r="P44" t="str">
            <v>Contrato No. 159 de 2013
CDP 22813
11 Recursos del Tesoro</v>
          </cell>
          <cell r="Q44" t="str">
            <v>GRUPO 5</v>
          </cell>
          <cell r="R44" t="str">
            <v>CONSORCIO ALIANZA YDN CHIQUINQUIRA
YAMIL SABBAGH SOLANO
NOARCO S.A.</v>
          </cell>
          <cell r="S44">
            <v>900606472</v>
          </cell>
          <cell r="T44">
            <v>41355</v>
          </cell>
          <cell r="U44">
            <v>21142407457</v>
          </cell>
          <cell r="V44">
            <v>18708003721</v>
          </cell>
          <cell r="W44">
            <v>2434403736</v>
          </cell>
          <cell r="X44">
            <v>1633271880</v>
          </cell>
          <cell r="Y44">
            <v>1633271880</v>
          </cell>
          <cell r="Z44">
            <v>0</v>
          </cell>
          <cell r="AA44">
            <v>0</v>
          </cell>
          <cell r="AB44" t="str">
            <v>CHIQUINQUIRA</v>
          </cell>
          <cell r="AC44" t="str">
            <v>BOYACA</v>
          </cell>
          <cell r="AD44">
            <v>41366</v>
          </cell>
          <cell r="AE44">
            <v>24</v>
          </cell>
          <cell r="AF44">
            <v>0</v>
          </cell>
          <cell r="AG44">
            <v>6342722237.0999994</v>
          </cell>
          <cell r="AH44">
            <v>6342722237.0999994</v>
          </cell>
          <cell r="AI44">
            <v>41514</v>
          </cell>
        </row>
        <row r="45">
          <cell r="A45" t="str">
            <v>PAF-ATF-045-2013</v>
          </cell>
          <cell r="B45" t="str">
            <v>OPTIMIZACIÓN PLANTA NIZA Y CONSTRUCCIÓN DE LÍNEAS DE BY PASS EN EL SECTOR DE LA PLANTA DE TRATAMIENTO DE AGUA POTABLE LUÍS PRIETO GÓMEZ, DEL MUNICIPIO DE MANIZALES”</v>
          </cell>
          <cell r="C45">
            <v>11843415012</v>
          </cell>
          <cell r="D45">
            <v>7381072589</v>
          </cell>
          <cell r="E45">
            <v>4462342424</v>
          </cell>
          <cell r="F45">
            <v>736379128</v>
          </cell>
          <cell r="G45">
            <v>458927411</v>
          </cell>
          <cell r="H45">
            <v>277451716</v>
          </cell>
          <cell r="I45" t="str">
            <v xml:space="preserve">MUNICIPIO $4.739.794.140 
OBRA CIVIL $4.462.342.424
INTERVENTORIA $277.451.716
</v>
          </cell>
          <cell r="J45">
            <v>251595882.80000001</v>
          </cell>
          <cell r="K45">
            <v>160000000</v>
          </cell>
          <cell r="L45">
            <v>0</v>
          </cell>
          <cell r="M45">
            <v>41306</v>
          </cell>
          <cell r="N45" t="str">
            <v>Contrato No. 159 de 2013
CDP 22813
11 Recursos del Tesoro</v>
          </cell>
          <cell r="O45" t="str">
            <v>Contrato No. 159 de 2013
CDP 22813
11 Recursos del Tesoro</v>
          </cell>
          <cell r="P45" t="str">
            <v>Contrato No. 159 de 2013
CDP 22813
11 Recursos del Tesoro</v>
          </cell>
          <cell r="Q45" t="str">
            <v>GRUPO 5</v>
          </cell>
          <cell r="R45" t="str">
            <v xml:space="preserve">CONSORCIO CONSTRUCTOR MANIZALES
Z.R. INGENIERIA S.A.
KONIDOL S.A
INGEAGUAS S.A.S.
</v>
          </cell>
          <cell r="S45">
            <v>900605737</v>
          </cell>
          <cell r="T45">
            <v>41355</v>
          </cell>
          <cell r="U45">
            <v>11286774436</v>
          </cell>
          <cell r="V45">
            <v>6824432012</v>
          </cell>
          <cell r="W45">
            <v>4462342424</v>
          </cell>
          <cell r="X45">
            <v>684679560</v>
          </cell>
          <cell r="Y45">
            <v>407227844</v>
          </cell>
          <cell r="Z45">
            <v>277451716</v>
          </cell>
          <cell r="AA45">
            <v>0</v>
          </cell>
          <cell r="AB45" t="str">
            <v>MANIZALES</v>
          </cell>
          <cell r="AC45" t="str">
            <v>CALDAS</v>
          </cell>
          <cell r="AD45">
            <v>41373</v>
          </cell>
          <cell r="AE45">
            <v>12</v>
          </cell>
          <cell r="AF45">
            <v>0</v>
          </cell>
          <cell r="AG45">
            <v>3386032330.7999997</v>
          </cell>
          <cell r="AH45">
            <v>3386032330.7999997</v>
          </cell>
          <cell r="AI45">
            <v>41514</v>
          </cell>
        </row>
        <row r="46">
          <cell r="A46" t="str">
            <v>PAF-ATF-046-2013</v>
          </cell>
          <cell r="B46" t="str">
            <v>CONSTRUCCIÓN DE REDES DE ACUEDUCTO Y ALCANTARILLADO SANITARIO DEL PROYECTO URBANÍSTICO DE INTERÉS SOCIAL ALTOS DE SAN LUÍS, MUNICIPIO DE SANTANDER DE QUILICHAO”</v>
          </cell>
          <cell r="C46">
            <v>1542209588</v>
          </cell>
          <cell r="D46">
            <v>1542209588</v>
          </cell>
          <cell r="E46">
            <v>0</v>
          </cell>
          <cell r="F46">
            <v>103015358</v>
          </cell>
          <cell r="G46">
            <v>103015358</v>
          </cell>
          <cell r="H46">
            <v>0</v>
          </cell>
          <cell r="I46">
            <v>0</v>
          </cell>
          <cell r="J46">
            <v>32904498.920000002</v>
          </cell>
          <cell r="K46">
            <v>33576019</v>
          </cell>
          <cell r="L46">
            <v>0</v>
          </cell>
          <cell r="M46">
            <v>41306</v>
          </cell>
          <cell r="N46" t="str">
            <v>Contrato No. 036 de 2012 
CDP 274712
10 Recursos Corrientes</v>
          </cell>
          <cell r="O46" t="str">
            <v>Contrato No. 036 de 2012 
CDP 274712
10 Recursos Corrientes</v>
          </cell>
          <cell r="P46" t="str">
            <v>Contrato No. 036 de 2012 
CDP 274712
10 Recursos Corrientes</v>
          </cell>
          <cell r="Q46" t="str">
            <v>GRUPO 5</v>
          </cell>
          <cell r="R46" t="str">
            <v>JOSE FERNANDO SUAREZ DUQUE</v>
          </cell>
          <cell r="S46">
            <v>10116218</v>
          </cell>
          <cell r="T46">
            <v>41355</v>
          </cell>
          <cell r="U46">
            <v>1479289443</v>
          </cell>
          <cell r="V46">
            <v>1479289443</v>
          </cell>
          <cell r="W46">
            <v>0</v>
          </cell>
          <cell r="X46">
            <v>95423775</v>
          </cell>
          <cell r="Y46">
            <v>95423775</v>
          </cell>
          <cell r="Z46">
            <v>0</v>
          </cell>
          <cell r="AA46">
            <v>0</v>
          </cell>
          <cell r="AB46" t="str">
            <v>SANTANDER DE QUILICHAO</v>
          </cell>
          <cell r="AC46" t="str">
            <v>CAUCA</v>
          </cell>
          <cell r="AD46">
            <v>41381</v>
          </cell>
          <cell r="AE46">
            <v>5</v>
          </cell>
          <cell r="AF46">
            <v>0</v>
          </cell>
          <cell r="AG46">
            <v>443786832.89999998</v>
          </cell>
          <cell r="AH46">
            <v>0</v>
          </cell>
          <cell r="AI46">
            <v>0</v>
          </cell>
        </row>
        <row r="47">
          <cell r="A47" t="str">
            <v>PAF-ATF-047-2013</v>
          </cell>
          <cell r="B47" t="str">
            <v>CONSTRUCCIÓN PLANTA DE TRATAMIENTO DE AGUA POTABLE LA NUEVA AURORA Y OBRAS COMPLEMENTARIAS MUNICIPIO DE PEREIRA”</v>
          </cell>
          <cell r="C47">
            <v>11416051890</v>
          </cell>
          <cell r="D47">
            <v>6816051890</v>
          </cell>
          <cell r="E47">
            <v>4600000000</v>
          </cell>
          <cell r="F47">
            <v>799123632</v>
          </cell>
          <cell r="G47">
            <v>799123632</v>
          </cell>
          <cell r="H47">
            <v>0</v>
          </cell>
          <cell r="I47" t="str">
            <v>CONVENIO INTERADMINISTRATIVO                                                                                                                                                                                                                                   
 EAAA PEREIRA S.A. E.S.P$4.600.000.000</v>
          </cell>
          <cell r="J47">
            <v>244303510.44</v>
          </cell>
          <cell r="K47">
            <v>155411745</v>
          </cell>
          <cell r="L47">
            <v>0</v>
          </cell>
          <cell r="M47">
            <v>41306</v>
          </cell>
          <cell r="N47" t="str">
            <v>Contrato No. 159 de 2013
CDP 22813
11 Recursos del Tesoro</v>
          </cell>
          <cell r="O47" t="str">
            <v>Contrato No. 159 de 2013
CDP 22813
11 Recursos del Tesoro</v>
          </cell>
          <cell r="P47" t="str">
            <v>Contrato No. 159 de 2013
CDP 22813
11 Recursos del Tesoro</v>
          </cell>
          <cell r="Q47" t="str">
            <v>GRUPO 5</v>
          </cell>
          <cell r="R47" t="str">
            <v>CONSORCIO CONSTRUCTOR NUEVA AURORA
Z.R. INGENIERIA S.A.
MEYAN S.A.</v>
          </cell>
          <cell r="S47">
            <v>900605771</v>
          </cell>
          <cell r="T47">
            <v>41355</v>
          </cell>
          <cell r="U47">
            <v>10976002611</v>
          </cell>
          <cell r="V47">
            <v>6376002611</v>
          </cell>
          <cell r="W47">
            <v>4600000000</v>
          </cell>
          <cell r="X47">
            <v>733455704</v>
          </cell>
          <cell r="Y47">
            <v>733455704</v>
          </cell>
          <cell r="Z47">
            <v>0</v>
          </cell>
          <cell r="AA47">
            <v>0</v>
          </cell>
          <cell r="AB47" t="str">
            <v>PEREIRA</v>
          </cell>
          <cell r="AC47" t="str">
            <v>RISARALDA</v>
          </cell>
          <cell r="AD47">
            <v>41373</v>
          </cell>
          <cell r="AE47">
            <v>8</v>
          </cell>
          <cell r="AF47">
            <v>0</v>
          </cell>
          <cell r="AG47">
            <v>3292800783.2999997</v>
          </cell>
          <cell r="AH47">
            <v>3292800783.2999997</v>
          </cell>
          <cell r="AI47">
            <v>41514</v>
          </cell>
        </row>
        <row r="48">
          <cell r="A48" t="str">
            <v>PAF-ATF-048-2013</v>
          </cell>
          <cell r="B48" t="str">
            <v>“CONSTRUCCIÓN OBRAS PRIORITARIAS DE ACUEDUCTO FASE I DEL MUNICIPIO DE ESPINAL”</v>
          </cell>
          <cell r="C48">
            <v>7698080646</v>
          </cell>
          <cell r="D48">
            <v>7698080646</v>
          </cell>
          <cell r="E48">
            <v>0</v>
          </cell>
          <cell r="F48">
            <v>538865645</v>
          </cell>
          <cell r="G48">
            <v>538865645</v>
          </cell>
          <cell r="H48">
            <v>0</v>
          </cell>
          <cell r="I48">
            <v>0</v>
          </cell>
          <cell r="J48">
            <v>164738925.81999999</v>
          </cell>
          <cell r="K48">
            <v>168100945</v>
          </cell>
          <cell r="L48">
            <v>0</v>
          </cell>
          <cell r="M48">
            <v>41306</v>
          </cell>
          <cell r="N48" t="str">
            <v>Contrato No. 159 de 2013
CDP 22813
11 Recursos del Tesoro</v>
          </cell>
          <cell r="O48" t="str">
            <v>Contrato No. 159 de 2013
CDP 22813
11 Recursos del Tesoro</v>
          </cell>
          <cell r="P48" t="str">
            <v>Contrato No. 159 de 2013
CDP 22813
11 Recursos del Tesoro</v>
          </cell>
          <cell r="Q48" t="str">
            <v>GRUPO 5</v>
          </cell>
          <cell r="R48" t="str">
            <v>CONSORCIO REDES ESPINAL
ESPINA Y DELFIN COLOMBIA
INGEAGUAS S.A.S.</v>
          </cell>
          <cell r="S48">
            <v>900605763</v>
          </cell>
          <cell r="T48">
            <v>41355</v>
          </cell>
          <cell r="U48">
            <v>7395718728</v>
          </cell>
          <cell r="V48">
            <v>7395718728</v>
          </cell>
          <cell r="W48">
            <v>0</v>
          </cell>
          <cell r="X48">
            <v>533223174</v>
          </cell>
          <cell r="Y48">
            <v>533223174</v>
          </cell>
          <cell r="Z48">
            <v>0</v>
          </cell>
          <cell r="AA48">
            <v>0</v>
          </cell>
          <cell r="AB48" t="str">
            <v>EL ESPINAL</v>
          </cell>
          <cell r="AC48" t="str">
            <v>TOLIMA</v>
          </cell>
          <cell r="AD48">
            <v>41375</v>
          </cell>
          <cell r="AE48">
            <v>22</v>
          </cell>
          <cell r="AF48">
            <v>0</v>
          </cell>
          <cell r="AG48">
            <v>2218715618.4000001</v>
          </cell>
          <cell r="AH48">
            <v>2218715618.4000001</v>
          </cell>
          <cell r="AI48">
            <v>41514</v>
          </cell>
        </row>
        <row r="49">
          <cell r="A49" t="str">
            <v>PAF-ATF-049-2013</v>
          </cell>
          <cell r="B49" t="str">
            <v>“CONSTRUCCIÓN DE LA PRIMERA ETAPA DEL SISTEMA DE ALCANTARILLADO PARA LA URBANIZACIÓN MUNDO FELIZ Y EL BARRIO LAS PETRONITAS DE GALAPA- ATLANTICO”</v>
          </cell>
          <cell r="C49">
            <v>6721160647</v>
          </cell>
          <cell r="D49">
            <v>6721160647</v>
          </cell>
          <cell r="E49">
            <v>0</v>
          </cell>
          <cell r="F49">
            <v>468653962</v>
          </cell>
          <cell r="G49">
            <v>468653962</v>
          </cell>
          <cell r="H49">
            <v>0</v>
          </cell>
          <cell r="I49">
            <v>0</v>
          </cell>
          <cell r="J49">
            <v>143796292.18000001</v>
          </cell>
          <cell r="K49">
            <v>146730910</v>
          </cell>
          <cell r="L49">
            <v>0</v>
          </cell>
          <cell r="M49">
            <v>41317</v>
          </cell>
          <cell r="N49" t="str">
            <v>Contrato No. 159 de 2013
CDP 22813
11 Recursos del Tesoro</v>
          </cell>
          <cell r="O49" t="str">
            <v>Contrato No. 159 de 2013
CDP 22813
11 Recursos del Tesoro</v>
          </cell>
          <cell r="P49" t="str">
            <v>Contrato No. 159 de 2013
CDP 22813
11 Recursos del Tesoro</v>
          </cell>
          <cell r="Q49" t="str">
            <v>GRUPO 6</v>
          </cell>
          <cell r="R49" t="str">
            <v>UNION AGUAS DEL CARIBE
LA MACUIRA INVERSIONES Y CONSTRUCCIONES S.A.
CONSTRUCTORA YACAMAN VIVERO S.A.</v>
          </cell>
          <cell r="S49">
            <v>900610016</v>
          </cell>
          <cell r="T49">
            <v>41380</v>
          </cell>
          <cell r="U49">
            <v>6465372449</v>
          </cell>
          <cell r="V49">
            <v>6465372449</v>
          </cell>
          <cell r="W49">
            <v>0</v>
          </cell>
          <cell r="X49">
            <v>468066343</v>
          </cell>
          <cell r="Y49">
            <v>468066343</v>
          </cell>
          <cell r="Z49">
            <v>0</v>
          </cell>
          <cell r="AA49">
            <v>0</v>
          </cell>
          <cell r="AB49" t="str">
            <v>GALAPA</v>
          </cell>
          <cell r="AC49" t="str">
            <v>ATLANTICO</v>
          </cell>
          <cell r="AD49">
            <v>41384</v>
          </cell>
          <cell r="AE49">
            <v>12</v>
          </cell>
          <cell r="AF49">
            <v>0</v>
          </cell>
          <cell r="AG49">
            <v>1939611734.6999998</v>
          </cell>
          <cell r="AH49">
            <v>1939611734.6999998</v>
          </cell>
          <cell r="AI49">
            <v>41514</v>
          </cell>
        </row>
        <row r="50">
          <cell r="A50" t="str">
            <v>PAF-ATF-050-2013</v>
          </cell>
          <cell r="B50" t="str">
            <v>“OPTIMIZACION Y AMPLIACION DEL SISTEMA DE ACUEDUCTO CASCO URBANO MUNICIPIO DE EL CARMEN DE BOLIVAR- BOLIVAR”</v>
          </cell>
          <cell r="C50">
            <v>35529038286</v>
          </cell>
          <cell r="D50">
            <v>20000000000</v>
          </cell>
          <cell r="E50">
            <v>15529038296</v>
          </cell>
          <cell r="F50">
            <v>2487032680</v>
          </cell>
          <cell r="G50">
            <v>2487032680</v>
          </cell>
          <cell r="H50">
            <v>0</v>
          </cell>
          <cell r="I50" t="str">
            <v xml:space="preserve">CONVENIO INTERADMINISTRATIVO                                                                                                                                                                                                                                      
$15.529.038.286 OBRA CIVIL
CONTRAPARTIDA DEPARTAMENTO
</v>
          </cell>
          <cell r="J50">
            <v>760321419.51999998</v>
          </cell>
          <cell r="K50">
            <v>458919034</v>
          </cell>
          <cell r="L50">
            <v>0</v>
          </cell>
          <cell r="M50">
            <v>41317</v>
          </cell>
          <cell r="N50" t="str">
            <v>Contrato No. 036 de 2012
CDP 274712
16 Fondos Especiales</v>
          </cell>
          <cell r="O50" t="str">
            <v>Contrato No. 036 de 2012
CDP 274712
16 Fondos Especiales</v>
          </cell>
          <cell r="P50" t="str">
            <v>Contrato No. 036 de 2012
CDP 274712
16 Fondos Especiales</v>
          </cell>
          <cell r="Q50" t="str">
            <v>GRUPO 6</v>
          </cell>
          <cell r="R50" t="str">
            <v xml:space="preserve">CONSORCIO ALIANZA YDN CARMEN
YAMIL SABAAGH CONSTRUCCIONES S.A.S
D&amp; S S.A.
EDIFICACIONES TRIVAL S.A. C.V.
</v>
          </cell>
          <cell r="S50">
            <v>900620386</v>
          </cell>
          <cell r="T50">
            <v>41412</v>
          </cell>
          <cell r="U50">
            <v>34089877852</v>
          </cell>
          <cell r="V50">
            <v>18560839556</v>
          </cell>
          <cell r="W50">
            <v>15529038296</v>
          </cell>
          <cell r="X50">
            <v>2309830520</v>
          </cell>
          <cell r="Y50">
            <v>2309830520</v>
          </cell>
          <cell r="Z50">
            <v>0</v>
          </cell>
          <cell r="AA50">
            <v>0</v>
          </cell>
          <cell r="AB50" t="str">
            <v>CARMEN DE BOLIVAR</v>
          </cell>
          <cell r="AC50" t="str">
            <v>BOLIVAR</v>
          </cell>
          <cell r="AD50">
            <v>41417</v>
          </cell>
          <cell r="AE50">
            <v>9</v>
          </cell>
          <cell r="AF50">
            <v>0</v>
          </cell>
          <cell r="AG50">
            <v>10226963355.6</v>
          </cell>
          <cell r="AH50">
            <v>10226963355.6</v>
          </cell>
          <cell r="AI50">
            <v>41480</v>
          </cell>
        </row>
        <row r="51">
          <cell r="A51" t="str">
            <v>PAF-ATF-051-2013</v>
          </cell>
          <cell r="B51" t="str">
            <v>“OPTIMIZACIÓN, CONSTRUCCIÓN Y/O AMPLIACIÓN SISTEMA DE ACUEDUCTO MUNICIPIO DE MAGANGUÉ- BOLIVAR”</v>
          </cell>
          <cell r="C51">
            <v>7774573674</v>
          </cell>
          <cell r="D51">
            <v>7774573674</v>
          </cell>
          <cell r="E51">
            <v>0</v>
          </cell>
          <cell r="F51">
            <v>554220157</v>
          </cell>
          <cell r="G51">
            <v>554220157</v>
          </cell>
          <cell r="H51">
            <v>0</v>
          </cell>
          <cell r="I51">
            <v>0</v>
          </cell>
          <cell r="J51">
            <v>166575876.62</v>
          </cell>
          <cell r="K51">
            <v>169771303</v>
          </cell>
          <cell r="L51">
            <v>0</v>
          </cell>
          <cell r="M51">
            <v>41317</v>
          </cell>
          <cell r="N51" t="str">
            <v>Contrato No. 036 de 2012
CDP 274712
16 Fondos Especiales</v>
          </cell>
          <cell r="O51" t="str">
            <v>Contrato No. 036 de 2012
CDP 274712
16 Fondos Especiales</v>
          </cell>
          <cell r="P51" t="str">
            <v>Contrato No. 159 de 2013
CDP 22813
11 Recursos del tesoro</v>
          </cell>
          <cell r="Q51" t="str">
            <v>GRUPO 6</v>
          </cell>
          <cell r="R51" t="str">
            <v>VALORES Y CONTRATOS S.A.</v>
          </cell>
          <cell r="S51">
            <v>800182330</v>
          </cell>
          <cell r="T51">
            <v>41380</v>
          </cell>
          <cell r="U51">
            <v>7596432647</v>
          </cell>
          <cell r="V51">
            <v>7596432647</v>
          </cell>
          <cell r="W51">
            <v>0</v>
          </cell>
          <cell r="X51">
            <v>493174000</v>
          </cell>
          <cell r="Y51">
            <v>493174000</v>
          </cell>
          <cell r="Z51">
            <v>0</v>
          </cell>
          <cell r="AA51">
            <v>0</v>
          </cell>
          <cell r="AB51" t="str">
            <v>MAGANGUE</v>
          </cell>
          <cell r="AC51" t="str">
            <v>BOLIVAR</v>
          </cell>
          <cell r="AD51">
            <v>41417</v>
          </cell>
          <cell r="AE51">
            <v>8</v>
          </cell>
          <cell r="AF51">
            <v>0</v>
          </cell>
          <cell r="AG51">
            <v>2278929794.0999999</v>
          </cell>
          <cell r="AH51">
            <v>2278929794.0999999</v>
          </cell>
          <cell r="AI51">
            <v>41523</v>
          </cell>
        </row>
        <row r="52">
          <cell r="A52" t="str">
            <v>PAF-ATF-052-2013</v>
          </cell>
          <cell r="B52" t="str">
            <v>“MEJORAMIENTO REDES DE ALCANTARILLADO BARRIO LAS FERIAS DEL MUNICIPIO DE LA DORADA - CALDAS FASE II”</v>
          </cell>
          <cell r="C52">
            <v>4455164840</v>
          </cell>
          <cell r="D52">
            <v>4455164840</v>
          </cell>
          <cell r="E52">
            <v>0</v>
          </cell>
          <cell r="F52">
            <v>356413187</v>
          </cell>
          <cell r="G52">
            <v>356413187</v>
          </cell>
          <cell r="H52">
            <v>0</v>
          </cell>
          <cell r="I52">
            <v>0</v>
          </cell>
          <cell r="J52">
            <v>96231560.540000007</v>
          </cell>
          <cell r="K52">
            <v>98195470</v>
          </cell>
          <cell r="L52">
            <v>0</v>
          </cell>
          <cell r="M52">
            <v>41317</v>
          </cell>
          <cell r="N52" t="str">
            <v>Contrato No. 159 de 2013
CDP 22813
11 Recursos del Tesoro</v>
          </cell>
          <cell r="O52" t="str">
            <v>Contrato No. 159 de 2013
CDP 22813
11 Recursos del Tesoro</v>
          </cell>
          <cell r="P52" t="str">
            <v>Contrato No. 159 de 2013
CDP 22813
11 Recursos del Tesoro</v>
          </cell>
          <cell r="Q52" t="str">
            <v>GRUPO 6</v>
          </cell>
          <cell r="R52" t="str">
            <v>CONSORCIO ALCANTARILLADO DORADA 2013
JAIRO EFRÁIN CERON MARTINEZ
ING. CIVILES ASOCIADOS CONSTRUCCIONES S.A.S.</v>
          </cell>
          <cell r="S52">
            <v>900611967</v>
          </cell>
          <cell r="T52">
            <v>41380</v>
          </cell>
          <cell r="U52">
            <v>3908439344</v>
          </cell>
          <cell r="V52">
            <v>3908439344</v>
          </cell>
          <cell r="W52">
            <v>0</v>
          </cell>
          <cell r="X52">
            <v>286011464</v>
          </cell>
          <cell r="Y52">
            <v>286011464</v>
          </cell>
          <cell r="Z52">
            <v>0</v>
          </cell>
          <cell r="AA52">
            <v>0</v>
          </cell>
          <cell r="AB52" t="str">
            <v>LA DORADA</v>
          </cell>
          <cell r="AC52" t="str">
            <v>CALDAS</v>
          </cell>
          <cell r="AD52">
            <v>41387</v>
          </cell>
          <cell r="AE52">
            <v>6</v>
          </cell>
          <cell r="AF52">
            <v>0</v>
          </cell>
          <cell r="AG52">
            <v>1172531803.2</v>
          </cell>
          <cell r="AH52">
            <v>1172531803.2</v>
          </cell>
          <cell r="AI52">
            <v>41514</v>
          </cell>
        </row>
        <row r="53">
          <cell r="A53" t="str">
            <v>PAF-ATF-053-2013
PAF-ATF-102-2013</v>
          </cell>
          <cell r="B53" t="str">
            <v>“ACUEDUCTO REGIONAL INTERDEPARTAMENTAL”</v>
          </cell>
          <cell r="C53">
            <v>32937853075</v>
          </cell>
          <cell r="D53">
            <v>32937853075</v>
          </cell>
          <cell r="E53">
            <v>0</v>
          </cell>
          <cell r="F53">
            <v>1279077857</v>
          </cell>
          <cell r="G53">
            <v>1279077857</v>
          </cell>
          <cell r="H53">
            <v>0</v>
          </cell>
          <cell r="I53">
            <v>0</v>
          </cell>
          <cell r="J53">
            <v>684338618.63999999</v>
          </cell>
          <cell r="K53">
            <v>698304713</v>
          </cell>
          <cell r="L53">
            <v>0</v>
          </cell>
          <cell r="M53">
            <v>41317</v>
          </cell>
          <cell r="N53" t="str">
            <v>Contrato No. 159 de 2013
CDP 22813
11 Recursos del Tesoro</v>
          </cell>
          <cell r="O53" t="str">
            <v>Contrato No. 159 de 2013
CDP 22813
11 Recursos del Tesoro</v>
          </cell>
          <cell r="P53" t="str">
            <v>Contrato No. 159 de 2013
CDP 22813
11 Recursos del Tesoro</v>
          </cell>
          <cell r="Q53" t="str">
            <v>GRUPO 6
GRUPO 14</v>
          </cell>
          <cell r="R53" t="str">
            <v>CONSTRUCTORA CONCRETO S.A.</v>
          </cell>
          <cell r="S53">
            <v>890901110</v>
          </cell>
          <cell r="T53">
            <v>41558</v>
          </cell>
          <cell r="U53">
            <v>26350344906</v>
          </cell>
          <cell r="V53">
            <v>26350344906</v>
          </cell>
          <cell r="W53">
            <v>0</v>
          </cell>
          <cell r="X53">
            <v>1227716160</v>
          </cell>
          <cell r="Y53">
            <v>1227716160</v>
          </cell>
          <cell r="Z53">
            <v>0</v>
          </cell>
          <cell r="AA53">
            <v>0</v>
          </cell>
          <cell r="AB53" t="str">
            <v>GUACHENÈ, PADILLA,PUERTO TEJADA, VILLA RICA</v>
          </cell>
          <cell r="AC53" t="str">
            <v>VALLE DEL CAUCA</v>
          </cell>
          <cell r="AD53">
            <v>41576</v>
          </cell>
          <cell r="AE53">
            <v>12</v>
          </cell>
          <cell r="AF53">
            <v>0</v>
          </cell>
          <cell r="AG53">
            <v>7905103471.7999992</v>
          </cell>
          <cell r="AH53">
            <v>0</v>
          </cell>
          <cell r="AI53">
            <v>0</v>
          </cell>
        </row>
        <row r="54">
          <cell r="A54" t="str">
            <v>PAF-ATF-054-2013</v>
          </cell>
          <cell r="B54" t="str">
            <v>“OPTIMIZACIÓN DEL SISTEMA DE ALCANTARILLADO Y PTAR DEL MUNICIPIO DE JURADÓ - CHOCO”</v>
          </cell>
          <cell r="C54">
            <v>4423249680</v>
          </cell>
          <cell r="D54">
            <v>4423249680</v>
          </cell>
          <cell r="E54">
            <v>0</v>
          </cell>
          <cell r="F54">
            <v>353859974</v>
          </cell>
          <cell r="G54">
            <v>353859974</v>
          </cell>
          <cell r="H54">
            <v>0</v>
          </cell>
          <cell r="I54">
            <v>0</v>
          </cell>
          <cell r="J54">
            <v>95542193.079999998</v>
          </cell>
          <cell r="K54">
            <v>97492034</v>
          </cell>
          <cell r="L54">
            <v>0</v>
          </cell>
          <cell r="M54">
            <v>41317</v>
          </cell>
          <cell r="N54" t="str">
            <v>Contrato No. 159 de 2013
CDP 22813
11 Recursos del Tesoro</v>
          </cell>
          <cell r="O54" t="str">
            <v>Contrato No. 159 de 2013
CDP 22813
11 Recursos del Tesoro</v>
          </cell>
          <cell r="P54" t="str">
            <v>Contrato No. 159 de 2013
CDP 22813
11 Recursos del Tesoro</v>
          </cell>
          <cell r="Q54" t="str">
            <v>GRUPO 6</v>
          </cell>
          <cell r="R54" t="str">
            <v>UNION TEMPORAL JURADO 2013
CONSTRUCTORA SINATEL LTDA
LUIS EDUARDO SALDAÑA RODRIGUEZ
LUIS ARNULFO TELLEZ QUITIAN</v>
          </cell>
          <cell r="S54">
            <v>900613028</v>
          </cell>
          <cell r="T54">
            <v>41380</v>
          </cell>
          <cell r="U54">
            <v>4342419969</v>
          </cell>
          <cell r="V54">
            <v>4342419969</v>
          </cell>
          <cell r="W54">
            <v>0</v>
          </cell>
          <cell r="X54">
            <v>351127781</v>
          </cell>
          <cell r="Y54">
            <v>351127781</v>
          </cell>
          <cell r="Z54">
            <v>0</v>
          </cell>
          <cell r="AA54">
            <v>0</v>
          </cell>
          <cell r="AB54" t="str">
            <v>JURADO</v>
          </cell>
          <cell r="AC54" t="str">
            <v>CHOCO</v>
          </cell>
          <cell r="AD54">
            <v>41393</v>
          </cell>
          <cell r="AE54">
            <v>8</v>
          </cell>
          <cell r="AF54">
            <v>0</v>
          </cell>
          <cell r="AG54">
            <v>1302725990.7</v>
          </cell>
          <cell r="AH54">
            <v>1302725990.7</v>
          </cell>
          <cell r="AI54">
            <v>41514</v>
          </cell>
        </row>
        <row r="55">
          <cell r="A55" t="str">
            <v>PAF-ATF-055-2013</v>
          </cell>
          <cell r="B55" t="str">
            <v>“CONSTRUCCIÓN RED DE ALCANTARILLADO INTERCEPTOR EL YULO MUNCIPIO DE RICAURTE"</v>
          </cell>
          <cell r="C55">
            <v>4130668670</v>
          </cell>
          <cell r="D55">
            <v>4130668670</v>
          </cell>
          <cell r="E55">
            <v>0</v>
          </cell>
          <cell r="F55">
            <v>330453494</v>
          </cell>
          <cell r="G55">
            <v>330453494</v>
          </cell>
          <cell r="H55">
            <v>0</v>
          </cell>
          <cell r="I55">
            <v>0</v>
          </cell>
          <cell r="J55">
            <v>89222443.280000001</v>
          </cell>
          <cell r="K55">
            <v>91043309</v>
          </cell>
          <cell r="L55">
            <v>0</v>
          </cell>
          <cell r="M55">
            <v>41317</v>
          </cell>
          <cell r="N55" t="str">
            <v>Contrato No. 159 de 2013
CDP 22813
11 Recursos del Tesoro</v>
          </cell>
          <cell r="O55" t="str">
            <v>Contrato No. 159 de 2013
CDP 22813
11 Recursos del Tesoro</v>
          </cell>
          <cell r="P55" t="str">
            <v>Contrato No. 159 de 2013
CDP 22813
11 Recursos del Tesoro</v>
          </cell>
          <cell r="Q55" t="str">
            <v>GRUPO 6</v>
          </cell>
          <cell r="R55" t="str">
            <v>CONSORCIO PROSPERIDAD 2013
LA MACUIRA INVERSIONES Y CONSTRUCCIONES
VNF S.A.
HORACIO VEGA CARDENAS</v>
          </cell>
          <cell r="S55">
            <v>900606407</v>
          </cell>
          <cell r="T55">
            <v>41380</v>
          </cell>
          <cell r="U55">
            <v>3788023833</v>
          </cell>
          <cell r="V55">
            <v>3788023833</v>
          </cell>
          <cell r="W55">
            <v>0</v>
          </cell>
          <cell r="X55">
            <v>327767491</v>
          </cell>
          <cell r="Y55">
            <v>327767491</v>
          </cell>
          <cell r="Z55">
            <v>0</v>
          </cell>
          <cell r="AA55">
            <v>0</v>
          </cell>
          <cell r="AB55" t="str">
            <v>RICAURTE</v>
          </cell>
          <cell r="AC55" t="str">
            <v>CUNDINAMARCA</v>
          </cell>
          <cell r="AD55">
            <v>41387</v>
          </cell>
          <cell r="AE55">
            <v>6</v>
          </cell>
          <cell r="AF55">
            <v>0</v>
          </cell>
          <cell r="AG55">
            <v>1136407149.8999999</v>
          </cell>
          <cell r="AH55">
            <v>1136407149.8999999</v>
          </cell>
          <cell r="AI55">
            <v>41514</v>
          </cell>
        </row>
        <row r="56">
          <cell r="A56" t="str">
            <v>PAF-ATF-056-2013</v>
          </cell>
          <cell r="B56" t="str">
            <v>“CONSTRUCCIÓN PRIMERA ETAPA DESCOLE ALCANTARILLADO COMBINADO CORREGIMIENTO DE JOSÉ MARÍA HERNÁNDEZ, MUNICIPIO DE PUPIALES- NARIÑO”</v>
          </cell>
          <cell r="C56">
            <v>998148083</v>
          </cell>
          <cell r="D56">
            <v>998148083</v>
          </cell>
          <cell r="E56">
            <v>0</v>
          </cell>
          <cell r="F56">
            <v>79851847</v>
          </cell>
          <cell r="G56">
            <v>79851847</v>
          </cell>
          <cell r="H56">
            <v>0</v>
          </cell>
          <cell r="I56">
            <v>0</v>
          </cell>
          <cell r="J56">
            <v>21559998.600000001</v>
          </cell>
          <cell r="K56">
            <v>22000000</v>
          </cell>
          <cell r="L56">
            <v>0</v>
          </cell>
          <cell r="M56">
            <v>41317</v>
          </cell>
          <cell r="N56" t="str">
            <v>Contrato No. 036 de 2012 
CDP 274712
10 Recursos Corrientes</v>
          </cell>
          <cell r="O56" t="str">
            <v>Contrato No. 036 de 2012 
CDP 274712
10 Recursos Corrientes</v>
          </cell>
          <cell r="P56" t="str">
            <v>Contrato No. 036 de 2012 
CDP 274712
10 Recursos Corrientes</v>
          </cell>
          <cell r="Q56" t="str">
            <v>GRUPO 6</v>
          </cell>
          <cell r="R56" t="str">
            <v xml:space="preserve">CONSORCIO CONSTRUCCIONES CIVILES 4
CALDERON INGENIEROS S.A.
CARLOS HERNAN ARIAS BETANCOURTH
JUAN CARLOS SANCHEZ GALVEZ
</v>
          </cell>
          <cell r="S56">
            <v>900608515</v>
          </cell>
          <cell r="T56">
            <v>41380</v>
          </cell>
          <cell r="U56">
            <v>979452918</v>
          </cell>
          <cell r="V56">
            <v>979452918</v>
          </cell>
          <cell r="W56">
            <v>0</v>
          </cell>
          <cell r="X56">
            <v>79279354</v>
          </cell>
          <cell r="Y56">
            <v>79279354</v>
          </cell>
          <cell r="Z56">
            <v>0</v>
          </cell>
          <cell r="AA56">
            <v>0</v>
          </cell>
          <cell r="AB56" t="str">
            <v>PUPIALES</v>
          </cell>
          <cell r="AC56" t="str">
            <v>NARIÑO</v>
          </cell>
          <cell r="AD56">
            <v>41390</v>
          </cell>
          <cell r="AE56">
            <v>8</v>
          </cell>
          <cell r="AF56">
            <v>0</v>
          </cell>
          <cell r="AG56">
            <v>293835875.39999998</v>
          </cell>
          <cell r="AH56">
            <v>0</v>
          </cell>
          <cell r="AI56">
            <v>0</v>
          </cell>
        </row>
        <row r="57">
          <cell r="A57" t="str">
            <v>PAF-ATF-057-2013</v>
          </cell>
          <cell r="B57" t="str">
            <v>“CONSTRUCCIÓN DE ALCANTARILLADO SANITARIO, SISTEMA DE TRATAMIENTO DE AGUAS RESIDUALES VEREDA MOHECHIZA MUNICIPIO DE YACUANQUER- NARIÑO”</v>
          </cell>
          <cell r="C57">
            <v>559826471</v>
          </cell>
          <cell r="D57">
            <v>559826471</v>
          </cell>
          <cell r="E57">
            <v>0</v>
          </cell>
          <cell r="F57">
            <v>27991324</v>
          </cell>
          <cell r="G57">
            <v>27991324</v>
          </cell>
          <cell r="H57">
            <v>0</v>
          </cell>
          <cell r="I57">
            <v>0</v>
          </cell>
          <cell r="J57">
            <v>11756355.9</v>
          </cell>
          <cell r="K57">
            <v>11996282</v>
          </cell>
          <cell r="L57">
            <v>0</v>
          </cell>
          <cell r="M57">
            <v>41317</v>
          </cell>
          <cell r="N57" t="str">
            <v>Contrato No. 036 de 2012 
CDP 274712
16 Fondos Especiales</v>
          </cell>
          <cell r="O57" t="str">
            <v>Contrato No. 036 de 2012 
CDP 274712
16 Fondos Especiales</v>
          </cell>
          <cell r="P57">
            <v>0</v>
          </cell>
          <cell r="Q57" t="str">
            <v>GRUPO 6</v>
          </cell>
          <cell r="R57" t="str">
            <v>CONSORCIO NARIÑO 2013
MIGUEL FERNANDO BURBANO MERA
EDILBERTO IBARRA DELGADO
SERGIO ARMANDO PANTOJA ORTIZ
FRANCISCO JAVIER VIVEROS PAZ
JHON JAIRO GALINDEZ SANTANDER</v>
          </cell>
          <cell r="S57">
            <v>900611068</v>
          </cell>
          <cell r="T57">
            <v>41380</v>
          </cell>
          <cell r="U57">
            <v>546465278</v>
          </cell>
          <cell r="V57">
            <v>546465278</v>
          </cell>
          <cell r="W57">
            <v>0</v>
          </cell>
          <cell r="X57">
            <v>27944865</v>
          </cell>
          <cell r="Y57">
            <v>27944865</v>
          </cell>
          <cell r="Z57">
            <v>0</v>
          </cell>
          <cell r="AA57">
            <v>0</v>
          </cell>
          <cell r="AB57" t="str">
            <v>YACUANQUER</v>
          </cell>
          <cell r="AC57" t="str">
            <v>NARIÑO</v>
          </cell>
          <cell r="AD57">
            <v>41381</v>
          </cell>
          <cell r="AE57">
            <v>6</v>
          </cell>
          <cell r="AF57">
            <v>41443</v>
          </cell>
          <cell r="AG57">
            <v>163939583.40000001</v>
          </cell>
          <cell r="AH57">
            <v>163939583.40000001</v>
          </cell>
          <cell r="AI57">
            <v>41515</v>
          </cell>
        </row>
        <row r="58">
          <cell r="A58" t="str">
            <v>PAF-ATF-058-2013</v>
          </cell>
          <cell r="B58" t="str">
            <v>“OPTIMIZACIÓN Y AMPLIACIÓN DEL SISTEMA DE ACUEDUCTO DE LA CABECERA MUNICIPAL DE LOS PALMITOS- SUCRE”</v>
          </cell>
          <cell r="C58">
            <v>3938914151</v>
          </cell>
          <cell r="D58">
            <v>3938914151</v>
          </cell>
          <cell r="E58">
            <v>0</v>
          </cell>
          <cell r="F58">
            <v>300454097</v>
          </cell>
          <cell r="G58">
            <v>300454097</v>
          </cell>
          <cell r="H58">
            <v>0</v>
          </cell>
          <cell r="I58">
            <v>0</v>
          </cell>
          <cell r="J58">
            <v>84787364.960000008</v>
          </cell>
          <cell r="K58">
            <v>86517719</v>
          </cell>
          <cell r="L58">
            <v>0</v>
          </cell>
          <cell r="M58">
            <v>41317</v>
          </cell>
          <cell r="N58" t="str">
            <v>Contrato No. 036 de 2012
CDP 274712
16 Fondos Especiales</v>
          </cell>
          <cell r="O58" t="str">
            <v>Contrato No. 036 de 2012
CDP 274712
16 Fondos Especiales</v>
          </cell>
          <cell r="P58" t="str">
            <v>Contrato No. 036 de 2012
CDP 274712
16 Fondos Especiales</v>
          </cell>
          <cell r="Q58" t="str">
            <v>GRUPO 6</v>
          </cell>
          <cell r="R58" t="str">
            <v>CONSORCIO POZOS DE SUCRE 2013
CONSTRUCTORA INCO S.A.S.
GONZALO GONZALEZ VIANA
DANIEL ENRIQUE NUÑEZ GUERRA</v>
          </cell>
          <cell r="S58">
            <v>900612237</v>
          </cell>
          <cell r="T58">
            <v>41380</v>
          </cell>
          <cell r="U58">
            <v>3820158240</v>
          </cell>
          <cell r="V58">
            <v>3820158240</v>
          </cell>
          <cell r="W58">
            <v>0</v>
          </cell>
          <cell r="X58">
            <v>298015295</v>
          </cell>
          <cell r="Y58">
            <v>298015295</v>
          </cell>
          <cell r="Z58">
            <v>0</v>
          </cell>
          <cell r="AA58">
            <v>0</v>
          </cell>
          <cell r="AB58" t="str">
            <v>PALMITOS</v>
          </cell>
          <cell r="AC58" t="str">
            <v>SUCRE</v>
          </cell>
          <cell r="AD58">
            <v>41383</v>
          </cell>
          <cell r="AE58">
            <v>9</v>
          </cell>
          <cell r="AF58">
            <v>0</v>
          </cell>
          <cell r="AG58">
            <v>1146047472</v>
          </cell>
          <cell r="AH58">
            <v>1146047472</v>
          </cell>
          <cell r="AI58">
            <v>41473</v>
          </cell>
        </row>
        <row r="59">
          <cell r="A59" t="str">
            <v>PAF-ATF-059-2013</v>
          </cell>
          <cell r="B59" t="str">
            <v>OPTIMIZACIÓN Y AMPLIACIÓN DEL SISTEMA DE ALCANTARILLADO DE AGUAS RESIDUALES DEL CORREGIMIENTO EL REPOSO, MUNICIPIO DE APARTADÓ (ANTIOQUIA)”</v>
          </cell>
          <cell r="C59">
            <v>8139603820</v>
          </cell>
          <cell r="D59">
            <v>8139603820</v>
          </cell>
          <cell r="E59">
            <v>0</v>
          </cell>
          <cell r="F59">
            <v>569772267</v>
          </cell>
          <cell r="G59">
            <v>569772267</v>
          </cell>
          <cell r="H59">
            <v>0</v>
          </cell>
          <cell r="I59">
            <v>0</v>
          </cell>
          <cell r="J59">
            <v>174187521.74000001</v>
          </cell>
          <cell r="K59">
            <v>177742369</v>
          </cell>
          <cell r="L59">
            <v>0</v>
          </cell>
          <cell r="M59">
            <v>41339</v>
          </cell>
          <cell r="N59" t="str">
            <v>Contrato No. 159 de 2013
CDP 22813
11 Recursos del Tesoro</v>
          </cell>
          <cell r="O59" t="str">
            <v>Contrato No. 159 de 2013
CDP 22813
11 Recursos del Tesoro</v>
          </cell>
          <cell r="P59" t="str">
            <v>Contrato No. 159 de 2013
CDP 22813
11 Recursos del Tesoro</v>
          </cell>
          <cell r="Q59" t="str">
            <v>GRUPO 7</v>
          </cell>
          <cell r="R59" t="str">
            <v xml:space="preserve">CONSORCIO EL REPOSO
SANEAR S.A.
PAECIA S.A.S
RODRIGO LENIS SUCERQUIA
</v>
          </cell>
          <cell r="S59">
            <v>900629533</v>
          </cell>
          <cell r="T59">
            <v>41425</v>
          </cell>
          <cell r="U59">
            <v>7735362060</v>
          </cell>
          <cell r="V59">
            <v>7735362060</v>
          </cell>
          <cell r="W59">
            <v>0</v>
          </cell>
          <cell r="X59">
            <v>510574000</v>
          </cell>
          <cell r="Y59">
            <v>510574000</v>
          </cell>
          <cell r="Z59">
            <v>0</v>
          </cell>
          <cell r="AA59">
            <v>0</v>
          </cell>
          <cell r="AB59" t="str">
            <v>APARTADO</v>
          </cell>
          <cell r="AC59" t="str">
            <v>ANTIOQUIA</v>
          </cell>
          <cell r="AD59">
            <v>41452</v>
          </cell>
          <cell r="AE59">
            <v>10</v>
          </cell>
          <cell r="AF59">
            <v>0</v>
          </cell>
          <cell r="AG59">
            <v>2320608618</v>
          </cell>
          <cell r="AH59">
            <v>0</v>
          </cell>
          <cell r="AI59">
            <v>0</v>
          </cell>
        </row>
        <row r="60">
          <cell r="A60" t="str">
            <v>PAF-ATF-060-2013</v>
          </cell>
          <cell r="B60" t="str">
            <v>“CONSTRUCCIÓN DE LA ETAPA FINAL DE LA RED MATRIZ DE DISTRIBUCIÓN DEL SISTEMA DE ACUEDUCTO EN EL MUNICIPIO DE ARAUCA”</v>
          </cell>
          <cell r="C60">
            <v>8303396564</v>
          </cell>
          <cell r="D60">
            <v>8303396564</v>
          </cell>
          <cell r="E60">
            <v>0</v>
          </cell>
          <cell r="F60">
            <v>470504566</v>
          </cell>
          <cell r="G60">
            <v>470504566</v>
          </cell>
          <cell r="H60">
            <v>0</v>
          </cell>
          <cell r="I60">
            <v>0</v>
          </cell>
          <cell r="J60">
            <v>175478022.59999999</v>
          </cell>
          <cell r="K60">
            <v>179059207</v>
          </cell>
          <cell r="L60">
            <v>0</v>
          </cell>
          <cell r="M60">
            <v>41339</v>
          </cell>
          <cell r="N60" t="str">
            <v>Contrato No. 159 de 2013
CDP 22813
11 Recursos del Tesoro</v>
          </cell>
          <cell r="O60" t="str">
            <v>Contrato No. 159 de 2013
CDP 22813
11 Recursos del Tesoro</v>
          </cell>
          <cell r="P60" t="str">
            <v>Contrato No. 159 de 2013
CDP 22813
11 Recursos del Tesoro</v>
          </cell>
          <cell r="Q60" t="str">
            <v>GRUPO 7</v>
          </cell>
          <cell r="R60" t="str">
            <v>ANDINA DE CONSTRUCCIONES Y ASOCIADOS S.A.</v>
          </cell>
          <cell r="S60">
            <v>890918866</v>
          </cell>
          <cell r="T60">
            <v>41390</v>
          </cell>
          <cell r="U60">
            <v>8004497648</v>
          </cell>
          <cell r="V60">
            <v>8004497648</v>
          </cell>
          <cell r="W60">
            <v>0</v>
          </cell>
          <cell r="X60">
            <v>436804960</v>
          </cell>
          <cell r="Y60">
            <v>436804960</v>
          </cell>
          <cell r="Z60">
            <v>0</v>
          </cell>
          <cell r="AA60">
            <v>0</v>
          </cell>
          <cell r="AB60" t="str">
            <v>ARAUCA</v>
          </cell>
          <cell r="AC60" t="str">
            <v>ARAUCA</v>
          </cell>
          <cell r="AD60">
            <v>41394</v>
          </cell>
          <cell r="AE60">
            <v>10</v>
          </cell>
          <cell r="AF60">
            <v>0</v>
          </cell>
          <cell r="AG60">
            <v>2401349294.4000001</v>
          </cell>
          <cell r="AH60">
            <v>2401349294</v>
          </cell>
          <cell r="AI60">
            <v>41565</v>
          </cell>
        </row>
        <row r="61">
          <cell r="A61" t="str">
            <v>PAF-ATF-061-2013</v>
          </cell>
          <cell r="B61" t="str">
            <v>“AMPLIACIÓN REDES DE ALCANTARILLADO SANITARIO CABECERA MUNIICPAL DE SABANALARGA CUENCA NORORIENTAL SEGUNDA ETAPA BARRIOS: 7 DE AGOSTO, VILLA BELÉN Y LAS AMÉRICAS, Y AMPLIACIÓN DE REDES DE ACUEDUCTO BARRIO 7 DE AGOSTO, SABANALARGA (ATLÁNTICO)”</v>
          </cell>
          <cell r="C61">
            <v>2556163202</v>
          </cell>
          <cell r="D61">
            <v>2556163202</v>
          </cell>
          <cell r="E61">
            <v>0</v>
          </cell>
          <cell r="F61">
            <v>161337689</v>
          </cell>
          <cell r="G61">
            <v>161337689</v>
          </cell>
          <cell r="H61">
            <v>0</v>
          </cell>
          <cell r="I61">
            <v>0</v>
          </cell>
          <cell r="J61">
            <v>54350017.82</v>
          </cell>
          <cell r="K61">
            <v>55459202</v>
          </cell>
          <cell r="L61">
            <v>0</v>
          </cell>
          <cell r="M61">
            <v>41339</v>
          </cell>
          <cell r="N61" t="str">
            <v>Contrato No. 036 de 2012
CDP 274712
16 Fondos Especiales</v>
          </cell>
          <cell r="O61" t="str">
            <v>Contrato No. 036 de 2012
CDP 274712
16 Fondos Especiales</v>
          </cell>
          <cell r="P61" t="str">
            <v>Contrato No. 036 de 2012
CDP 274712
16 Fondos Especiales</v>
          </cell>
          <cell r="Q61" t="str">
            <v>GRUPO 7</v>
          </cell>
          <cell r="R61" t="str">
            <v>MEJIA VILLEGAS CONSTRUCTORES
CARLOS ALBERTO VILLEGAS LINARES</v>
          </cell>
          <cell r="S61">
            <v>890406491</v>
          </cell>
          <cell r="T61">
            <v>41390</v>
          </cell>
          <cell r="U61">
            <v>2482904239</v>
          </cell>
          <cell r="V61">
            <v>2482904239</v>
          </cell>
          <cell r="W61">
            <v>0</v>
          </cell>
          <cell r="X61">
            <v>159319040</v>
          </cell>
          <cell r="Y61">
            <v>159319040</v>
          </cell>
          <cell r="Z61">
            <v>0</v>
          </cell>
          <cell r="AA61">
            <v>0</v>
          </cell>
          <cell r="AB61" t="str">
            <v>SABANALARGA</v>
          </cell>
          <cell r="AC61" t="str">
            <v>ATLANTICO</v>
          </cell>
          <cell r="AD61">
            <v>41404</v>
          </cell>
          <cell r="AE61">
            <v>6</v>
          </cell>
          <cell r="AF61">
            <v>0</v>
          </cell>
          <cell r="AG61">
            <v>744871271.69999993</v>
          </cell>
          <cell r="AH61">
            <v>744871271.70000005</v>
          </cell>
          <cell r="AI61">
            <v>41544</v>
          </cell>
        </row>
        <row r="62">
          <cell r="A62" t="str">
            <v>PAF-ATF-062-2013</v>
          </cell>
          <cell r="B62" t="str">
            <v>"CONSTRUCCIÓN PLAN MAESTRO ALCANTARILLADO, DEPARTANENTO DE BOYACA, MUNICIPIO DE GARAGOA"</v>
          </cell>
          <cell r="C62">
            <v>11821252114</v>
          </cell>
          <cell r="D62">
            <v>11821252114</v>
          </cell>
          <cell r="E62">
            <v>0</v>
          </cell>
          <cell r="F62">
            <v>711151277</v>
          </cell>
          <cell r="G62">
            <v>711151277</v>
          </cell>
          <cell r="H62">
            <v>0</v>
          </cell>
          <cell r="I62">
            <v>0</v>
          </cell>
          <cell r="J62">
            <v>250648067.81999999</v>
          </cell>
          <cell r="K62">
            <v>255763335</v>
          </cell>
          <cell r="L62">
            <v>0</v>
          </cell>
          <cell r="M62">
            <v>41339</v>
          </cell>
          <cell r="N62" t="str">
            <v>Contrato No. 159 de 2013
CDP 22813
11 Recursos del Tesoro</v>
          </cell>
          <cell r="O62" t="str">
            <v>Contrato No. 159 de 2013
CDP 22813
11 Recursos del Tesoro</v>
          </cell>
          <cell r="P62" t="str">
            <v>Contrato No. 159 de 2013
CDP 22813
11 Recursos del Tesoro</v>
          </cell>
          <cell r="Q62" t="str">
            <v>GRUPO 7</v>
          </cell>
          <cell r="R62" t="str">
            <v>CONSORCIO PLAN MAESTRO GARAGOA
ORLANDO FAJARDO CASTILLO
LUIS GABRIEL NIETO GARCIA
SERAVEZZA LIMITADA</v>
          </cell>
          <cell r="S62">
            <v>900616034</v>
          </cell>
          <cell r="T62">
            <v>41390</v>
          </cell>
          <cell r="U62">
            <v>11285343555</v>
          </cell>
          <cell r="V62">
            <v>11285343555</v>
          </cell>
          <cell r="W62">
            <v>0</v>
          </cell>
          <cell r="X62">
            <v>685513600</v>
          </cell>
          <cell r="Y62">
            <v>685513600</v>
          </cell>
          <cell r="Z62">
            <v>0</v>
          </cell>
          <cell r="AA62">
            <v>0</v>
          </cell>
          <cell r="AB62" t="str">
            <v>GARAGOA</v>
          </cell>
          <cell r="AC62" t="str">
            <v>BOYACA</v>
          </cell>
          <cell r="AD62">
            <v>41396</v>
          </cell>
          <cell r="AE62">
            <v>12</v>
          </cell>
          <cell r="AF62">
            <v>0</v>
          </cell>
          <cell r="AG62">
            <v>3385603066.5</v>
          </cell>
          <cell r="AH62">
            <v>0</v>
          </cell>
          <cell r="AI62">
            <v>0</v>
          </cell>
        </row>
        <row r="63">
          <cell r="A63" t="str">
            <v>PAF-ATF-063-2013</v>
          </cell>
          <cell r="B63" t="str">
            <v>"CONSTRUCCIÓN DEL INTERCEPTOR VILLA JARDIN CASCO URBANO, DEPARTAMENTO DE BOYACA MUNICIPIO DE PAIPA"</v>
          </cell>
          <cell r="C63">
            <v>13116560966</v>
          </cell>
          <cell r="D63">
            <v>13116560966</v>
          </cell>
          <cell r="E63">
            <v>0</v>
          </cell>
          <cell r="F63">
            <v>803399050</v>
          </cell>
          <cell r="G63">
            <v>803399050</v>
          </cell>
          <cell r="H63">
            <v>0</v>
          </cell>
          <cell r="I63">
            <v>0</v>
          </cell>
          <cell r="J63">
            <v>278399200.31999999</v>
          </cell>
          <cell r="K63">
            <v>284080817</v>
          </cell>
          <cell r="L63">
            <v>0</v>
          </cell>
          <cell r="M63">
            <v>41339</v>
          </cell>
          <cell r="N63" t="str">
            <v>Contrato No. 159 de 2013
CDP 22813
11 Recursos del Tesoro</v>
          </cell>
          <cell r="O63" t="str">
            <v>Contrato No. 159 de 2013
CDP 22813
11 Recursos del Tesoro</v>
          </cell>
          <cell r="P63" t="str">
            <v>Contrato No. 159 de 2013
CDP 22813
11 Recursos del Tesoro</v>
          </cell>
          <cell r="Q63" t="str">
            <v>GRUPO 7</v>
          </cell>
          <cell r="R63" t="str">
            <v xml:space="preserve">CONSORCIO INTERCEPTOR BICENTENERIO PAIPA
ORLANDO FAJARDO CASTILLO
CONSTRUCTORA FAJARDO NIETO LIMITADA
LUIS GABRIEL NIETO GARCIA
</v>
          </cell>
          <cell r="S63">
            <v>900616041</v>
          </cell>
          <cell r="T63">
            <v>41390</v>
          </cell>
          <cell r="U63">
            <v>12404840019</v>
          </cell>
          <cell r="V63">
            <v>12404840019</v>
          </cell>
          <cell r="W63">
            <v>0</v>
          </cell>
          <cell r="X63">
            <v>744418400</v>
          </cell>
          <cell r="Y63">
            <v>744418400</v>
          </cell>
          <cell r="Z63">
            <v>0</v>
          </cell>
          <cell r="AA63">
            <v>0</v>
          </cell>
          <cell r="AB63" t="str">
            <v>PAIPA</v>
          </cell>
          <cell r="AC63" t="str">
            <v>BOYACA</v>
          </cell>
          <cell r="AD63">
            <v>41396</v>
          </cell>
          <cell r="AE63">
            <v>12</v>
          </cell>
          <cell r="AF63">
            <v>0</v>
          </cell>
          <cell r="AG63">
            <v>3721452005.6999998</v>
          </cell>
          <cell r="AH63">
            <v>3721452006</v>
          </cell>
          <cell r="AI63" t="str">
            <v>Radicado Fidubogotá 17-09-2013</v>
          </cell>
        </row>
        <row r="64">
          <cell r="A64" t="str">
            <v>PAF-ATF-064-2013</v>
          </cell>
          <cell r="B64" t="str">
            <v>"OPTIMIZACIÓN DEL SISTEMA DE ACUEDUCTO Y ALCANTARILLADO DE LA ZONA CENTRO, SUR Y BARRIO LOS ANDES DEPARTAMENTO DE CALDAS, MUNICIPIO DE LA DORADA"</v>
          </cell>
          <cell r="C64">
            <v>19031313903</v>
          </cell>
          <cell r="D64">
            <v>19031313903</v>
          </cell>
          <cell r="E64">
            <v>0</v>
          </cell>
          <cell r="F64">
            <v>1332191973</v>
          </cell>
          <cell r="G64">
            <v>1332191973</v>
          </cell>
          <cell r="H64">
            <v>0</v>
          </cell>
          <cell r="I64">
            <v>0</v>
          </cell>
          <cell r="J64">
            <v>407270117.51999998</v>
          </cell>
          <cell r="K64">
            <v>415581753</v>
          </cell>
          <cell r="L64">
            <v>0</v>
          </cell>
          <cell r="M64">
            <v>41339</v>
          </cell>
          <cell r="N64" t="str">
            <v>Contrato No. 159 de 2013
CDP 22813
11 Recursos del Tesoro</v>
          </cell>
          <cell r="O64" t="str">
            <v>Contrato No. 159 de 2013
CDP 22813
11 Recursos del Tesoro</v>
          </cell>
          <cell r="P64" t="str">
            <v>Contrato No. 159 de 2013
CDP 22813
11 Recursos del Tesoro</v>
          </cell>
          <cell r="Q64" t="str">
            <v>GRUPO 7</v>
          </cell>
          <cell r="R64" t="str">
            <v>CONSORCIO LA DORADA 64
CONEQUIPOS ING LTDA
INGENIEROS G.F. S.A.S
CONSICAL LTDA</v>
          </cell>
          <cell r="S64">
            <v>900614114</v>
          </cell>
          <cell r="T64">
            <v>41384</v>
          </cell>
          <cell r="U64">
            <v>17416344907</v>
          </cell>
          <cell r="V64">
            <v>17416344907</v>
          </cell>
          <cell r="W64">
            <v>0</v>
          </cell>
          <cell r="X64">
            <v>1229599536</v>
          </cell>
          <cell r="Y64">
            <v>1229599536</v>
          </cell>
          <cell r="Z64">
            <v>0</v>
          </cell>
          <cell r="AA64">
            <v>0</v>
          </cell>
          <cell r="AB64" t="str">
            <v>LA DORADA</v>
          </cell>
          <cell r="AC64" t="str">
            <v>CALDAS</v>
          </cell>
          <cell r="AD64">
            <v>41387</v>
          </cell>
          <cell r="AE64">
            <v>10</v>
          </cell>
          <cell r="AF64">
            <v>0</v>
          </cell>
          <cell r="AG64">
            <v>5224903472.0999994</v>
          </cell>
          <cell r="AH64">
            <v>5224903472</v>
          </cell>
          <cell r="AI64">
            <v>41537</v>
          </cell>
        </row>
        <row r="65">
          <cell r="A65" t="str">
            <v>PAF-ATF-065-2013</v>
          </cell>
          <cell r="B65" t="str">
            <v>"AMPLIACIÓN DEL SITEMA DE ALCANTARILLADO SANITARIO PARA LA CONEXIÓN DE LOS BARRIOS YOVANNI SOTO, EL PRADO Y MARIA CONCEPCIÓN, DEPARTAMENTO DEL CESAR MUNICIPIO DE PUEBLO BELLO"</v>
          </cell>
          <cell r="C65">
            <v>961916124</v>
          </cell>
          <cell r="D65">
            <v>961916124</v>
          </cell>
          <cell r="E65">
            <v>0</v>
          </cell>
          <cell r="F65">
            <v>57714967</v>
          </cell>
          <cell r="G65">
            <v>57714967</v>
          </cell>
          <cell r="H65">
            <v>0</v>
          </cell>
          <cell r="I65">
            <v>0</v>
          </cell>
          <cell r="J65">
            <v>20392621.82</v>
          </cell>
          <cell r="K65">
            <v>20808798</v>
          </cell>
          <cell r="L65">
            <v>0</v>
          </cell>
          <cell r="M65">
            <v>41339</v>
          </cell>
          <cell r="N65" t="str">
            <v>Contrato No. 159 de 2013
CDP 22813
11 Recursos del Tesoro</v>
          </cell>
          <cell r="O65" t="str">
            <v>Contrato No. 159 de 2013
CDP 22813
11 Recursos del Tesoro</v>
          </cell>
          <cell r="P65" t="str">
            <v>Contrato No. 159 de 2013
CDP 22813
11 Recursos del Tesoro</v>
          </cell>
          <cell r="Q65" t="str">
            <v>GRUPO 7</v>
          </cell>
          <cell r="R65" t="str">
            <v>UNION TEMPORAL ALCANTARILLADOS 2013
PAECIA S.A.S.
AGUIDEL S.A.S.</v>
          </cell>
          <cell r="S65">
            <v>900618176</v>
          </cell>
          <cell r="T65">
            <v>41394</v>
          </cell>
          <cell r="U65">
            <v>936682914</v>
          </cell>
          <cell r="V65">
            <v>936682914</v>
          </cell>
          <cell r="W65">
            <v>0</v>
          </cell>
          <cell r="X65">
            <v>53592000</v>
          </cell>
          <cell r="Y65">
            <v>53592000</v>
          </cell>
          <cell r="Z65">
            <v>0</v>
          </cell>
          <cell r="AA65">
            <v>0</v>
          </cell>
          <cell r="AB65" t="str">
            <v>PUEBLO BELLO</v>
          </cell>
          <cell r="AC65" t="str">
            <v>CESAR</v>
          </cell>
          <cell r="AD65">
            <v>41404</v>
          </cell>
          <cell r="AE65">
            <v>5</v>
          </cell>
          <cell r="AF65">
            <v>0</v>
          </cell>
          <cell r="AG65">
            <v>281004874.19999999</v>
          </cell>
          <cell r="AH65">
            <v>281004874.19999999</v>
          </cell>
          <cell r="AI65">
            <v>41592</v>
          </cell>
        </row>
        <row r="66">
          <cell r="A66" t="str">
            <v>PAF-ATF-066-2013</v>
          </cell>
          <cell r="B66" t="str">
            <v>"CONSTRUCCIÓN DE LA PLANTA DE TRATAMIENTO DE AGUAS RESIDUALES Y TERMINACIÓN DE LAS REDES COLECTORAS DEL SISTEMA DE ALCANTARILLADO EN CIUDAD MUTIS CABECERA MUNICIPAL, DEPARTAMENTO DEL CHOCO MUNICIPIO DE BAHIA SOLANO"</v>
          </cell>
          <cell r="C66">
            <v>9400454197</v>
          </cell>
          <cell r="D66">
            <v>9400454197</v>
          </cell>
          <cell r="E66">
            <v>0</v>
          </cell>
          <cell r="F66">
            <v>709792392</v>
          </cell>
          <cell r="G66">
            <v>709792392</v>
          </cell>
          <cell r="H66">
            <v>0</v>
          </cell>
          <cell r="I66">
            <v>0</v>
          </cell>
          <cell r="J66">
            <v>202204931.78</v>
          </cell>
          <cell r="K66">
            <v>206331563</v>
          </cell>
          <cell r="L66">
            <v>0</v>
          </cell>
          <cell r="M66">
            <v>41339</v>
          </cell>
          <cell r="N66" t="str">
            <v>Contrato No. 159 de 2013
CDP 22813
11 Recursos del Tesoro</v>
          </cell>
          <cell r="O66" t="str">
            <v>Contrato No. 159 de 2013
CDP 22813
11 Recursos del Tesoro</v>
          </cell>
          <cell r="P66" t="str">
            <v>Contrato No. 159 de 2013
CDP 22813
11 Recursos del Tesoro</v>
          </cell>
          <cell r="Q66" t="str">
            <v>GRUPO 7</v>
          </cell>
          <cell r="R66" t="str">
            <v>TSK ELECTRONICA Y ELECTRICIDAD S.A</v>
          </cell>
          <cell r="S66">
            <v>480359017</v>
          </cell>
          <cell r="T66">
            <v>41390</v>
          </cell>
          <cell r="U66">
            <v>8897698625</v>
          </cell>
          <cell r="V66">
            <v>8897698625</v>
          </cell>
          <cell r="W66">
            <v>0</v>
          </cell>
          <cell r="X66">
            <v>662093200</v>
          </cell>
          <cell r="Y66">
            <v>662093200</v>
          </cell>
          <cell r="Z66">
            <v>0</v>
          </cell>
          <cell r="AA66">
            <v>0</v>
          </cell>
          <cell r="AB66" t="str">
            <v>BAHIA SOLANO</v>
          </cell>
          <cell r="AC66" t="str">
            <v>CHOCO</v>
          </cell>
          <cell r="AD66">
            <v>41411</v>
          </cell>
          <cell r="AE66">
            <v>12</v>
          </cell>
          <cell r="AF66">
            <v>0</v>
          </cell>
          <cell r="AG66">
            <v>2669309587.5</v>
          </cell>
          <cell r="AH66">
            <v>0</v>
          </cell>
          <cell r="AI66">
            <v>0</v>
          </cell>
        </row>
        <row r="67">
          <cell r="A67" t="str">
            <v>PAF-ATF-067-2013</v>
          </cell>
          <cell r="B67" t="str">
            <v>"CONSTRUCCIÓN DEL EMBALSE SANTA MARTA DEL SISTEMA DE ACUEDUCTO, DEPARTAMENTO DE CUNDIBNAMARCA, MUNICIPIO DE FACATATIVA"</v>
          </cell>
          <cell r="C67">
            <v>8396396047</v>
          </cell>
          <cell r="D67">
            <v>8396396047</v>
          </cell>
          <cell r="E67">
            <v>0</v>
          </cell>
          <cell r="F67">
            <v>581928439</v>
          </cell>
          <cell r="G67">
            <v>581928439</v>
          </cell>
          <cell r="H67">
            <v>0</v>
          </cell>
          <cell r="I67">
            <v>0</v>
          </cell>
          <cell r="J67">
            <v>179566489.72</v>
          </cell>
          <cell r="K67">
            <v>183231112</v>
          </cell>
          <cell r="L67">
            <v>0</v>
          </cell>
          <cell r="M67">
            <v>41339</v>
          </cell>
          <cell r="N67" t="str">
            <v>Contrato No. 159 de 2013
CDP 22813
11 Recursos del Tesoro</v>
          </cell>
          <cell r="O67" t="str">
            <v>Contrato No. 159 de 2013
CDP 22813
11 Recursos del Tesoro</v>
          </cell>
          <cell r="P67" t="str">
            <v>Contrato No. 159 de 2013
CDP 22813
11 Recursos del Tesoro</v>
          </cell>
          <cell r="Q67" t="str">
            <v>GRUPO 7</v>
          </cell>
          <cell r="R67" t="str">
            <v xml:space="preserve">CONSORCIO EMBALSE FACATATIVA
ALDO GUTIERREZ FRANCO
EDUARDO GIRONZA
</v>
          </cell>
          <cell r="S67">
            <v>900617780</v>
          </cell>
          <cell r="T67">
            <v>41390</v>
          </cell>
          <cell r="U67">
            <v>7959981888</v>
          </cell>
          <cell r="V67">
            <v>7959981888</v>
          </cell>
          <cell r="W67">
            <v>0</v>
          </cell>
          <cell r="X67">
            <v>552960400</v>
          </cell>
          <cell r="Y67">
            <v>552960400</v>
          </cell>
          <cell r="Z67">
            <v>0</v>
          </cell>
          <cell r="AA67">
            <v>0</v>
          </cell>
          <cell r="AB67" t="str">
            <v>FACATATIVA</v>
          </cell>
          <cell r="AC67" t="str">
            <v>CUNDINAMARCA</v>
          </cell>
          <cell r="AD67">
            <v>41403</v>
          </cell>
          <cell r="AE67">
            <v>12</v>
          </cell>
          <cell r="AF67">
            <v>0</v>
          </cell>
          <cell r="AG67">
            <v>2387994566.4000001</v>
          </cell>
          <cell r="AH67">
            <v>0</v>
          </cell>
          <cell r="AI67">
            <v>0</v>
          </cell>
        </row>
        <row r="68">
          <cell r="A68" t="str">
            <v>PAF-ATF-068-2013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PAF-ATF-088-2013</v>
          </cell>
          <cell r="B68" t="str">
            <v>"AMPLIACIÓN Y OPTIMIZACIÓN DEL ACUEDUCTO DE LOS CORREGIMIENTOS DE ISLAS DEL ROSARIO, PALMIRA Y TASAJERA, DEPARTAMENTO DEL MAGDALENA, MUNICIPIO DE PUEBLO VIEJO"</v>
          </cell>
          <cell r="C68">
            <v>5297308498</v>
          </cell>
          <cell r="D68">
            <v>5297308498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105946169.96000001</v>
          </cell>
          <cell r="K68">
            <v>114731521</v>
          </cell>
          <cell r="L68">
            <v>0</v>
          </cell>
          <cell r="M68">
            <v>41339</v>
          </cell>
          <cell r="N68">
            <v>0</v>
          </cell>
          <cell r="O68">
            <v>0</v>
          </cell>
          <cell r="P68">
            <v>0</v>
          </cell>
          <cell r="Q68" t="str">
            <v>GRUPO 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GRUPO 3A</v>
          </cell>
          <cell r="R68">
            <v>0</v>
          </cell>
          <cell r="S68">
            <v>0</v>
          </cell>
          <cell r="T68" t="str">
            <v>SUSPENSIÓN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 t="str">
            <v>PUEBLO VIEJO</v>
          </cell>
          <cell r="AC68" t="str">
            <v>MAGDALENA</v>
          </cell>
          <cell r="AD68">
            <v>0</v>
          </cell>
          <cell r="AE68">
            <v>9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</row>
        <row r="69">
          <cell r="A69" t="str">
            <v>PAF-ATF-069-2013</v>
          </cell>
          <cell r="B69" t="str">
            <v>"CONSTRUCCIÓN DEL ALCANTARILLADO SANITARIO URBANIZACIÓN 20 DE JULIO VEREDA DE LA AGUADA Y CONSTRUCCIÓN DEL ALCANTARILLADO SANITARIO Y SISTEMA DE TRATAMIENTO DE AGUAS RESIDUALES VEREDA TASNAQUE, DEPARTAMENTO DE NARIÑO, MUNICIPIO DE YACUANQUER".</v>
          </cell>
          <cell r="C69">
            <v>582617660</v>
          </cell>
          <cell r="D69">
            <v>582617660</v>
          </cell>
          <cell r="E69">
            <v>0</v>
          </cell>
          <cell r="F69">
            <v>29130883</v>
          </cell>
          <cell r="G69">
            <v>29130883</v>
          </cell>
          <cell r="H69">
            <v>0</v>
          </cell>
          <cell r="I69">
            <v>0</v>
          </cell>
          <cell r="J69">
            <v>12234970.859999999</v>
          </cell>
          <cell r="K69">
            <v>12484664</v>
          </cell>
          <cell r="L69">
            <v>0</v>
          </cell>
          <cell r="M69">
            <v>41339</v>
          </cell>
          <cell r="N69" t="str">
            <v>Contrato No. 036 de 2012 
CDP 274712
10 Recursos Corrientes</v>
          </cell>
          <cell r="O69" t="str">
            <v>Contrato 036 de 2012
CDP 316212
13 Nación</v>
          </cell>
          <cell r="P69" t="str">
            <v>Contrato No. 036 de 2012 
CDP 274712
10 Recursos Corrientes</v>
          </cell>
          <cell r="Q69" t="str">
            <v>GRUPO 7</v>
          </cell>
          <cell r="R69" t="str">
            <v>CONSORCIO ALCANTARILLADO 20 DE JULIO
HECTOR JULIO CASAS ORDOÑEZ
PROMOTORA NACIONAL DE CONSTRUCCIONES PRONACON S.A.S.</v>
          </cell>
          <cell r="S69">
            <v>900620547</v>
          </cell>
          <cell r="T69">
            <v>41394</v>
          </cell>
          <cell r="U69">
            <v>536256101</v>
          </cell>
          <cell r="V69">
            <v>536256101</v>
          </cell>
          <cell r="W69">
            <v>0</v>
          </cell>
          <cell r="X69">
            <v>29064960</v>
          </cell>
          <cell r="Y69">
            <v>29064960</v>
          </cell>
          <cell r="Z69">
            <v>0</v>
          </cell>
          <cell r="AA69">
            <v>0</v>
          </cell>
          <cell r="AB69" t="str">
            <v>YACUANQUER</v>
          </cell>
          <cell r="AC69" t="str">
            <v>NARIÑO</v>
          </cell>
          <cell r="AD69">
            <v>41414</v>
          </cell>
          <cell r="AE69">
            <v>6</v>
          </cell>
          <cell r="AF69">
            <v>0</v>
          </cell>
          <cell r="AG69">
            <v>160876830.29999998</v>
          </cell>
          <cell r="AH69">
            <v>160876830</v>
          </cell>
          <cell r="AI69">
            <v>41535</v>
          </cell>
        </row>
        <row r="70">
          <cell r="A70" t="str">
            <v>PAF-ATF-070-2013</v>
          </cell>
          <cell r="B70" t="str">
            <v>“CONSTRUCCIÓN SISTEMA DE ALCANTARILLADO PLUVIAL SECTORES CALLE 9 Y 8 ENTRE CARRERAS 12D Y 2 Y CALLE 7 ENTRE CARRERA 7 Y 2 DEL MUNICIPIO DE CIMITARRA (SANTANDER)”</v>
          </cell>
          <cell r="C70">
            <v>4439473895</v>
          </cell>
          <cell r="D70">
            <v>4439473895</v>
          </cell>
          <cell r="E70">
            <v>0</v>
          </cell>
          <cell r="F70">
            <v>318298585</v>
          </cell>
          <cell r="G70">
            <v>318298585</v>
          </cell>
          <cell r="H70">
            <v>0</v>
          </cell>
          <cell r="I70">
            <v>0</v>
          </cell>
          <cell r="J70">
            <v>95155449.600000009</v>
          </cell>
          <cell r="K70">
            <v>97097398</v>
          </cell>
          <cell r="L70">
            <v>0</v>
          </cell>
          <cell r="M70">
            <v>41339</v>
          </cell>
          <cell r="N70" t="str">
            <v>Contrato No. 159 de 2013
CDP 22813
16 Fondos Especiales</v>
          </cell>
          <cell r="O70" t="str">
            <v>Contrato No. 159 de 2013
CDP 22813
16 Fondos Especiales</v>
          </cell>
          <cell r="P70" t="str">
            <v>Contrato No. 159 de 2013
CDP 22813
16 Fondos Especiales</v>
          </cell>
          <cell r="Q70" t="str">
            <v>GRUPO 7</v>
          </cell>
          <cell r="R70" t="str">
            <v>UNION TEMPORAL ALCANTARILLADOS
DAVID VEGA LUNA
GAMA INGENIEROS Y ARQUITECTOS S.A.S.</v>
          </cell>
          <cell r="S70">
            <v>900614538</v>
          </cell>
          <cell r="T70">
            <v>41394</v>
          </cell>
          <cell r="U70">
            <v>4161410913</v>
          </cell>
          <cell r="V70">
            <v>4161410913</v>
          </cell>
          <cell r="W70">
            <v>0</v>
          </cell>
          <cell r="X70">
            <v>317115000</v>
          </cell>
          <cell r="Y70">
            <v>317115000</v>
          </cell>
          <cell r="Z70">
            <v>0</v>
          </cell>
          <cell r="AA70">
            <v>0</v>
          </cell>
          <cell r="AB70" t="str">
            <v>CIMITARRA</v>
          </cell>
          <cell r="AC70" t="str">
            <v>SANTANDER</v>
          </cell>
          <cell r="AD70">
            <v>41401</v>
          </cell>
          <cell r="AE70">
            <v>8</v>
          </cell>
          <cell r="AF70">
            <v>0</v>
          </cell>
          <cell r="AG70">
            <v>1248423273.8999999</v>
          </cell>
          <cell r="AH70">
            <v>1248423273.8999999</v>
          </cell>
          <cell r="AI70">
            <v>41521</v>
          </cell>
        </row>
        <row r="71">
          <cell r="A71" t="str">
            <v>PAF-ATF-071-2013</v>
          </cell>
          <cell r="B71" t="str">
            <v>“OPTIMIZACIÓN DEL SISTEMA DE ALCANTARILLADO CASCO URBANO FASE I MUNICIPIO DE FALAN (TOLIMA)”</v>
          </cell>
          <cell r="C71">
            <v>1812681048</v>
          </cell>
          <cell r="D71">
            <v>1812681048</v>
          </cell>
          <cell r="E71">
            <v>0</v>
          </cell>
          <cell r="F71">
            <v>116070952</v>
          </cell>
          <cell r="G71">
            <v>116070952</v>
          </cell>
          <cell r="H71">
            <v>0</v>
          </cell>
          <cell r="I71">
            <v>0</v>
          </cell>
          <cell r="J71">
            <v>38575040</v>
          </cell>
          <cell r="K71">
            <v>39362286</v>
          </cell>
          <cell r="L71">
            <v>0</v>
          </cell>
          <cell r="M71">
            <v>41339</v>
          </cell>
          <cell r="N71" t="str">
            <v>Contrato No. 159 de 2013
CDP 22813
16 Fondos Especiales</v>
          </cell>
          <cell r="O71" t="str">
            <v>Contrato No. 159 de 2013
CDP 22813
16 Fondos Especiales</v>
          </cell>
          <cell r="P71" t="str">
            <v>Contrato No. 159 de 2013
CDP 22813
16 Fondos Especiales</v>
          </cell>
          <cell r="Q71" t="str">
            <v>GRUPO 7</v>
          </cell>
          <cell r="R71" t="str">
            <v xml:space="preserve">CONSORCIO MEGA REDES CARIBE
UCO S.A.
VIRGILIO ENRIQUE OSORIO TORRES
LUIS VALDIMIR PEÑALOZA FUENTES
</v>
          </cell>
          <cell r="S71">
            <v>900616495</v>
          </cell>
          <cell r="T71">
            <v>41394</v>
          </cell>
          <cell r="U71">
            <v>1745528248</v>
          </cell>
          <cell r="V71">
            <v>1745528248</v>
          </cell>
          <cell r="W71">
            <v>0</v>
          </cell>
          <cell r="X71">
            <v>114666000</v>
          </cell>
          <cell r="Y71">
            <v>114666000</v>
          </cell>
          <cell r="Z71">
            <v>0</v>
          </cell>
          <cell r="AA71">
            <v>0</v>
          </cell>
          <cell r="AB71" t="str">
            <v>FALAN</v>
          </cell>
          <cell r="AC71" t="str">
            <v>TOLIMA</v>
          </cell>
          <cell r="AD71">
            <v>41403</v>
          </cell>
          <cell r="AE71">
            <v>4</v>
          </cell>
          <cell r="AF71">
            <v>0</v>
          </cell>
          <cell r="AG71">
            <v>523658474.39999998</v>
          </cell>
          <cell r="AH71">
            <v>523658474.39999998</v>
          </cell>
          <cell r="AI71">
            <v>41537</v>
          </cell>
        </row>
        <row r="72">
          <cell r="A72" t="str">
            <v>PAF-ATF-072-2013</v>
          </cell>
          <cell r="B72" t="str">
            <v>“CONSTRUCCIÓN ALCANTARILLADO CASCO URBANO MUNICIPIO DE PRADERA (VALLE DEL CAUCA)”</v>
          </cell>
          <cell r="C72">
            <v>9851829083</v>
          </cell>
          <cell r="D72">
            <v>9851829083</v>
          </cell>
          <cell r="E72">
            <v>0</v>
          </cell>
          <cell r="F72">
            <v>603131105</v>
          </cell>
          <cell r="G72">
            <v>603131105</v>
          </cell>
          <cell r="H72">
            <v>0</v>
          </cell>
          <cell r="I72">
            <v>0</v>
          </cell>
          <cell r="J72">
            <v>209099203.75999999</v>
          </cell>
          <cell r="K72">
            <v>213366534</v>
          </cell>
          <cell r="L72">
            <v>0</v>
          </cell>
          <cell r="M72">
            <v>41339</v>
          </cell>
          <cell r="N72" t="str">
            <v>Contrato No. 159 de 2013
CDP 22813
16 Fondos Especiales</v>
          </cell>
          <cell r="O72" t="str">
            <v>Contrato No. 159 de 2013
CDP 22813
16 Fondos Especiales</v>
          </cell>
          <cell r="P72" t="str">
            <v>Contrato No. 159 de 2013
CDP 22813
16 Fondos Especiales</v>
          </cell>
          <cell r="Q72" t="str">
            <v>GRUPO 7</v>
          </cell>
          <cell r="R72" t="str">
            <v>INGENIERIA Y CONTRATOS S.A.S.</v>
          </cell>
          <cell r="S72">
            <v>800011651</v>
          </cell>
          <cell r="T72">
            <v>41394</v>
          </cell>
          <cell r="U72">
            <v>9240156121</v>
          </cell>
          <cell r="V72">
            <v>9240156121</v>
          </cell>
          <cell r="W72">
            <v>0</v>
          </cell>
          <cell r="X72">
            <v>561042816</v>
          </cell>
          <cell r="Y72">
            <v>561042816</v>
          </cell>
          <cell r="Z72">
            <v>0</v>
          </cell>
          <cell r="AA72">
            <v>0</v>
          </cell>
          <cell r="AB72" t="str">
            <v>PRADERA</v>
          </cell>
          <cell r="AC72" t="str">
            <v>VALLE DEL CAUCA</v>
          </cell>
          <cell r="AD72">
            <v>41402</v>
          </cell>
          <cell r="AE72">
            <v>10</v>
          </cell>
          <cell r="AF72">
            <v>0</v>
          </cell>
          <cell r="AG72">
            <v>2772046836.2999997</v>
          </cell>
          <cell r="AH72">
            <v>0</v>
          </cell>
          <cell r="AI72">
            <v>0</v>
          </cell>
        </row>
        <row r="73">
          <cell r="A73" t="str">
            <v>PAF-ATF-073-2013</v>
          </cell>
          <cell r="B73" t="str">
            <v>“CONSTRUCCIÓN CLAUSURA DEL SITIO DE DISPOSICIÓN FINAL DE NAVARRO EN EL MUNICIPIO DE SANTIAGO DE CALI (VALLE DEL CAUCA)”</v>
          </cell>
          <cell r="C73">
            <v>5444444445</v>
          </cell>
          <cell r="D73">
            <v>5444444445</v>
          </cell>
          <cell r="E73">
            <v>0</v>
          </cell>
          <cell r="F73">
            <v>435555555</v>
          </cell>
          <cell r="G73">
            <v>435555555</v>
          </cell>
          <cell r="H73">
            <v>0</v>
          </cell>
          <cell r="I73">
            <v>0</v>
          </cell>
          <cell r="J73">
            <v>117600000</v>
          </cell>
          <cell r="K73">
            <v>120000000</v>
          </cell>
          <cell r="L73">
            <v>0</v>
          </cell>
          <cell r="M73">
            <v>41339</v>
          </cell>
          <cell r="N73" t="str">
            <v xml:space="preserve">CDP 152012  
SEGUN MAIL REMITIDO DEL MVCT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O73" t="str">
            <v>Contrato No. 036 de 2012
CDP 274712
16 Fondos Especiales</v>
          </cell>
          <cell r="P73" t="str">
            <v>Contrato No. 036 de 2012
CDP 274712
16 Fondos Especiales</v>
          </cell>
          <cell r="Q73" t="str">
            <v>GRUPO 7</v>
          </cell>
          <cell r="R73" t="str">
            <v>OMAR VELEZ HOYOS</v>
          </cell>
          <cell r="S73">
            <v>19130521</v>
          </cell>
          <cell r="T73">
            <v>41394</v>
          </cell>
          <cell r="U73">
            <v>4895672808</v>
          </cell>
          <cell r="V73">
            <v>4895672808</v>
          </cell>
          <cell r="W73">
            <v>0</v>
          </cell>
          <cell r="X73">
            <v>428272000</v>
          </cell>
          <cell r="Y73">
            <v>428272000</v>
          </cell>
          <cell r="Z73">
            <v>0</v>
          </cell>
          <cell r="AA73">
            <v>0</v>
          </cell>
          <cell r="AB73" t="str">
            <v>SANTIAGO DE CALI</v>
          </cell>
          <cell r="AC73" t="str">
            <v>VALLE DEL CAUCA</v>
          </cell>
          <cell r="AD73">
            <v>41402</v>
          </cell>
          <cell r="AE73">
            <v>12</v>
          </cell>
          <cell r="AF73">
            <v>0</v>
          </cell>
          <cell r="AG73">
            <v>1468701842.3999999</v>
          </cell>
          <cell r="AH73">
            <v>1468701843</v>
          </cell>
          <cell r="AI73">
            <v>41550</v>
          </cell>
        </row>
        <row r="74">
          <cell r="A74" t="str">
            <v>PAF-ATF-077-2013</v>
          </cell>
          <cell r="B74" t="str">
            <v>“OPTIMIZACIÓN DE LOS COMPONENTES DEL SISTEMA DE ACUEDUCTO DEL CASCO URBANO DEL MUNICIPIO DE PARATEBUENO - DEPARTAMENTO DE CUNDINAMARCA”</v>
          </cell>
          <cell r="C74">
            <v>3533642021</v>
          </cell>
          <cell r="D74">
            <v>3533642021</v>
          </cell>
          <cell r="E74">
            <v>0</v>
          </cell>
          <cell r="F74">
            <v>247354941</v>
          </cell>
          <cell r="G74">
            <v>247354941</v>
          </cell>
          <cell r="H74">
            <v>0</v>
          </cell>
          <cell r="I74">
            <v>0</v>
          </cell>
          <cell r="J74">
            <v>75619939.239999995</v>
          </cell>
          <cell r="K74">
            <v>77163203</v>
          </cell>
          <cell r="L74">
            <v>0</v>
          </cell>
          <cell r="M74">
            <v>41355</v>
          </cell>
          <cell r="N74" t="str">
            <v>Contrato No. 036 de 2012
CDP 274712
16 Fondos Especiales</v>
          </cell>
          <cell r="O74" t="str">
            <v>Contrato No. 036 de 2012
CDP 274712
16 Fondos Especiales</v>
          </cell>
          <cell r="P74" t="str">
            <v>-</v>
          </cell>
          <cell r="Q74" t="str">
            <v xml:space="preserve">GRUPO 8 </v>
          </cell>
          <cell r="R74" t="str">
            <v>CONSORCIO MEDELLIN
SANEAR S.A.
PAECIA S.A.</v>
          </cell>
          <cell r="S74">
            <v>900629172</v>
          </cell>
          <cell r="T74">
            <v>41425</v>
          </cell>
          <cell r="U74">
            <v>3334942716</v>
          </cell>
          <cell r="V74">
            <v>3334942716</v>
          </cell>
          <cell r="W74">
            <v>0</v>
          </cell>
          <cell r="X74">
            <v>246553360</v>
          </cell>
          <cell r="Y74">
            <v>246553360</v>
          </cell>
          <cell r="Z74">
            <v>0</v>
          </cell>
          <cell r="AA74">
            <v>0</v>
          </cell>
          <cell r="AB74" t="str">
            <v>PARATABUENO</v>
          </cell>
          <cell r="AC74" t="str">
            <v>CUNDINAMARCA</v>
          </cell>
          <cell r="AD74">
            <v>41449</v>
          </cell>
          <cell r="AE74">
            <v>10</v>
          </cell>
          <cell r="AF74">
            <v>0</v>
          </cell>
          <cell r="AG74">
            <v>1000482814.8</v>
          </cell>
          <cell r="AH74">
            <v>1000482814.8</v>
          </cell>
          <cell r="AI74">
            <v>41614</v>
          </cell>
        </row>
        <row r="75">
          <cell r="A75" t="str">
            <v>PAF-ATF-078-2013</v>
          </cell>
          <cell r="B75" t="str">
            <v>"CONSTRUCCIÓN DE ESTACIÓN DE BOMBEO DE AGUA POTABLE EN LA PLANTA DE TRATAMIENTO – MUNICIPIO DE TUMACO- DEPARTAMENTO DE NARIÑO”</v>
          </cell>
          <cell r="C75">
            <v>1763388542</v>
          </cell>
          <cell r="D75">
            <v>1763388542</v>
          </cell>
          <cell r="E75">
            <v>0</v>
          </cell>
          <cell r="F75">
            <v>123437198</v>
          </cell>
          <cell r="G75">
            <v>123437198</v>
          </cell>
          <cell r="H75">
            <v>0</v>
          </cell>
          <cell r="I75" t="str">
            <v>ESTUDIOS Y DISEÑOS POR VALOR DE $58.632.669</v>
          </cell>
          <cell r="J75">
            <v>37736514.800000004</v>
          </cell>
          <cell r="K75">
            <v>38506648</v>
          </cell>
          <cell r="L75">
            <v>0</v>
          </cell>
          <cell r="M75">
            <v>41355</v>
          </cell>
          <cell r="N75" t="str">
            <v>Contrato No. 159 de 2013
CDP 22813
16 Fondos Especiales</v>
          </cell>
          <cell r="O75" t="str">
            <v>Contrato No. 159 de 2013
CDP 22813
16 Fondos Especiales</v>
          </cell>
          <cell r="P75">
            <v>0</v>
          </cell>
          <cell r="Q75" t="str">
            <v xml:space="preserve">GRUPO 8 </v>
          </cell>
          <cell r="R75" t="str">
            <v>ELECTRO HIDRAULICA S.A.</v>
          </cell>
          <cell r="S75">
            <v>860513276</v>
          </cell>
          <cell r="T75">
            <v>41425</v>
          </cell>
          <cell r="U75">
            <v>1669319108</v>
          </cell>
          <cell r="V75">
            <v>1669319108</v>
          </cell>
          <cell r="W75">
            <v>0</v>
          </cell>
          <cell r="X75">
            <v>119016000</v>
          </cell>
          <cell r="Y75">
            <v>119016000</v>
          </cell>
          <cell r="Z75">
            <v>0</v>
          </cell>
          <cell r="AA75">
            <v>0</v>
          </cell>
          <cell r="AB75" t="str">
            <v>TUMACO</v>
          </cell>
          <cell r="AC75" t="str">
            <v>NARIÑO</v>
          </cell>
          <cell r="AD75">
            <v>41444</v>
          </cell>
          <cell r="AE75">
            <v>8</v>
          </cell>
          <cell r="AF75">
            <v>0</v>
          </cell>
          <cell r="AG75">
            <v>500795732.39999998</v>
          </cell>
          <cell r="AH75">
            <v>500795732</v>
          </cell>
          <cell r="AI75">
            <v>41568</v>
          </cell>
        </row>
        <row r="76">
          <cell r="A76" t="str">
            <v>PAF-ATF-079-2013</v>
          </cell>
          <cell r="B76" t="str">
            <v>“CONSTRUCCIÓN PLANTA DE TRATAMIENTO DE AGUAS RESIDUALES LA MARINA, MUNICIPIO DE ARMENIA, DEPARTAMENTO DEL QUINDÍO”</v>
          </cell>
          <cell r="C76">
            <v>16344974341</v>
          </cell>
          <cell r="D76">
            <v>16344974341</v>
          </cell>
          <cell r="E76">
            <v>0</v>
          </cell>
          <cell r="F76">
            <v>1307597947</v>
          </cell>
          <cell r="G76">
            <v>1307597947</v>
          </cell>
          <cell r="H76">
            <v>0</v>
          </cell>
          <cell r="I76">
            <v>0</v>
          </cell>
          <cell r="J76">
            <v>353051445.75999999</v>
          </cell>
          <cell r="K76">
            <v>360256578</v>
          </cell>
          <cell r="L76">
            <v>0</v>
          </cell>
          <cell r="M76">
            <v>41355</v>
          </cell>
          <cell r="N76" t="str">
            <v>Contrato No. 159 de 2013
CDP 22813
16 Fondos Especiales</v>
          </cell>
          <cell r="O76" t="str">
            <v>Contrato No. 159 de 2013
CDP 22813
16 Fondos Especiales</v>
          </cell>
          <cell r="P76">
            <v>0</v>
          </cell>
          <cell r="Q76" t="str">
            <v xml:space="preserve">GRUPO 8 </v>
          </cell>
          <cell r="R76" t="str">
            <v>CONSORCIO PTAR S.A.
RB DE COLOMBIA S.A.
HIDROPROYECTOS S.A. SUCURSAL COLOMBIA</v>
          </cell>
          <cell r="S76">
            <v>900627520</v>
          </cell>
          <cell r="T76">
            <v>41425</v>
          </cell>
          <cell r="U76">
            <v>15690167695</v>
          </cell>
          <cell r="V76">
            <v>15690167695</v>
          </cell>
          <cell r="W76">
            <v>0</v>
          </cell>
          <cell r="X76">
            <v>1285103680</v>
          </cell>
          <cell r="Y76">
            <v>1285103680</v>
          </cell>
          <cell r="Z76">
            <v>0</v>
          </cell>
          <cell r="AA76">
            <v>0</v>
          </cell>
          <cell r="AB76" t="str">
            <v>ARMENIA</v>
          </cell>
          <cell r="AC76" t="str">
            <v>QUINDIO</v>
          </cell>
          <cell r="AD76">
            <v>41444</v>
          </cell>
          <cell r="AE76">
            <v>12</v>
          </cell>
          <cell r="AF76">
            <v>0</v>
          </cell>
          <cell r="AG76">
            <v>4707050308.5</v>
          </cell>
          <cell r="AH76">
            <v>4707050309</v>
          </cell>
          <cell r="AI76">
            <v>41537</v>
          </cell>
        </row>
        <row r="77">
          <cell r="A77" t="str">
            <v>PAF-ATF-080-2013</v>
          </cell>
          <cell r="B77" t="str">
            <v>“OPTIMIZACIÓN SISTEMA DE TRATAMIENTO DE AGUA POTABLE Y CONSTRUCCION DEL TANQUE DE ALMACENAMIENTO DEL MUNICIPIO DE SALENTO Y CONSTRUCCIÓN DEL TANQUE DE ALMACENAMIENTO DEL MUNICIPIO DE PIJAO- SALENTO DEPARTAMENTO DEL QUINDIO”</v>
          </cell>
          <cell r="C77">
            <v>995082415</v>
          </cell>
          <cell r="D77">
            <v>995082415</v>
          </cell>
          <cell r="E77">
            <v>0</v>
          </cell>
          <cell r="F77">
            <v>69257737</v>
          </cell>
          <cell r="G77">
            <v>69257737</v>
          </cell>
          <cell r="H77">
            <v>0</v>
          </cell>
          <cell r="I77">
            <v>0</v>
          </cell>
          <cell r="J77">
            <v>21286803.039999999</v>
          </cell>
          <cell r="K77">
            <v>21721227</v>
          </cell>
          <cell r="L77">
            <v>0</v>
          </cell>
          <cell r="M77">
            <v>41383</v>
          </cell>
          <cell r="N77" t="str">
            <v>Contrato No. 159 de 2013
CDP 22813
16 Fondos Especiales</v>
          </cell>
          <cell r="O77" t="str">
            <v>Contrato No. 159 de 2013
CDP 22813
16 Fondos Especiales</v>
          </cell>
          <cell r="P77">
            <v>0</v>
          </cell>
          <cell r="Q77" t="str">
            <v xml:space="preserve">GRUPO 8 </v>
          </cell>
          <cell r="R77" t="str">
            <v>SANEAR S.A.
PRONACON S.A.S.
HECTOR JULIO CASALLAS ORDOÑEZ
JHON WILLIAM CASALLAS JURADO</v>
          </cell>
          <cell r="S77">
            <v>890928186</v>
          </cell>
          <cell r="T77">
            <v>41467</v>
          </cell>
          <cell r="U77">
            <v>946658831</v>
          </cell>
          <cell r="V77">
            <v>946658831</v>
          </cell>
          <cell r="W77">
            <v>0</v>
          </cell>
          <cell r="X77">
            <v>65772000</v>
          </cell>
          <cell r="Y77">
            <v>65772000</v>
          </cell>
          <cell r="Z77">
            <v>0</v>
          </cell>
          <cell r="AA77">
            <v>0</v>
          </cell>
          <cell r="AB77" t="str">
            <v>PIJAO
SALENTO</v>
          </cell>
          <cell r="AC77" t="str">
            <v>QUINDIO</v>
          </cell>
          <cell r="AD77">
            <v>41473</v>
          </cell>
          <cell r="AE77">
            <v>8</v>
          </cell>
          <cell r="AF77">
            <v>0</v>
          </cell>
          <cell r="AG77">
            <v>283997649.30000001</v>
          </cell>
          <cell r="AH77">
            <v>0</v>
          </cell>
          <cell r="AI77">
            <v>0</v>
          </cell>
        </row>
        <row r="78">
          <cell r="A78" t="str">
            <v>PAF-ATF-081-2013</v>
          </cell>
          <cell r="B78" t="str">
            <v>“OPTIMIZACIÓN DE SUMINISTRO DE AGUA PARA EL ACUEDUCTO DEL MUNICIPIO DE EL GUAMO DEPARTAMENTO DEL TOLIMA”</v>
          </cell>
          <cell r="C78">
            <v>9702013130</v>
          </cell>
          <cell r="D78">
            <v>9702013130</v>
          </cell>
          <cell r="E78">
            <v>0</v>
          </cell>
          <cell r="F78">
            <v>679140919</v>
          </cell>
          <cell r="G78">
            <v>679140919</v>
          </cell>
          <cell r="H78">
            <v>0</v>
          </cell>
          <cell r="I78">
            <v>0</v>
          </cell>
          <cell r="J78">
            <v>207623080.98000002</v>
          </cell>
          <cell r="K78">
            <v>211860287</v>
          </cell>
          <cell r="L78">
            <v>0</v>
          </cell>
          <cell r="M78">
            <v>41355</v>
          </cell>
          <cell r="N78" t="str">
            <v>Contrato No. 159 de 2013
CDP 22813
16 Fondos Especiales</v>
          </cell>
          <cell r="O78" t="str">
            <v>Contrato No. 159 de 2013
CDP 22813
16 Fondos Especiales</v>
          </cell>
          <cell r="P78">
            <v>0</v>
          </cell>
          <cell r="Q78" t="str">
            <v xml:space="preserve">GRUPO 8 </v>
          </cell>
          <cell r="R78" t="str">
            <v>CONSORCIO ACUEDUCTO PARA EL GUAMO
VILLA HERNANDEZ Y CIA S.A.S
VIC S.A.S.
PABLO MAURICIO CASTRO AVILA</v>
          </cell>
          <cell r="S78">
            <v>900627487</v>
          </cell>
          <cell r="T78">
            <v>41425</v>
          </cell>
          <cell r="U78">
            <v>9323971866</v>
          </cell>
          <cell r="V78">
            <v>9323971866</v>
          </cell>
          <cell r="W78">
            <v>0</v>
          </cell>
          <cell r="X78">
            <v>643340060</v>
          </cell>
          <cell r="Y78">
            <v>643340060</v>
          </cell>
          <cell r="Z78">
            <v>0</v>
          </cell>
          <cell r="AA78">
            <v>0</v>
          </cell>
          <cell r="AB78" t="str">
            <v>EL GUAMO</v>
          </cell>
          <cell r="AC78" t="str">
            <v>TOLIMA</v>
          </cell>
          <cell r="AD78">
            <v>41444</v>
          </cell>
          <cell r="AE78">
            <v>9</v>
          </cell>
          <cell r="AF78">
            <v>0</v>
          </cell>
          <cell r="AG78">
            <v>2797191559.7999997</v>
          </cell>
          <cell r="AH78">
            <v>2797191559.8000002</v>
          </cell>
          <cell r="AI78">
            <v>41568</v>
          </cell>
        </row>
        <row r="79">
          <cell r="A79" t="str">
            <v>PAF-ATF-082-2013</v>
          </cell>
          <cell r="B79" t="str">
            <v>“CONSTRUCCIÓN OPTIMIZACIÓN SISTEMAS DE ACUEDUCTO Y ALCANTARILLADO DEL MUNICIPIO DE CAROLINA DEL PRINCIPE ETAPA 1”</v>
          </cell>
          <cell r="C79">
            <v>582971568</v>
          </cell>
          <cell r="D79">
            <v>582971568</v>
          </cell>
          <cell r="E79">
            <v>0</v>
          </cell>
          <cell r="F79">
            <v>46637725</v>
          </cell>
          <cell r="G79">
            <v>46637725</v>
          </cell>
          <cell r="H79">
            <v>0</v>
          </cell>
          <cell r="I79">
            <v>0</v>
          </cell>
          <cell r="J79">
            <v>12592185.859999999</v>
          </cell>
          <cell r="K79">
            <v>12849169</v>
          </cell>
          <cell r="L79">
            <v>0</v>
          </cell>
          <cell r="M79">
            <v>41383</v>
          </cell>
          <cell r="N79" t="str">
            <v>Contrato No. 159 de 2013
CDP 22813
16 Fondos Especiales</v>
          </cell>
          <cell r="O79" t="str">
            <v>Contrato No. 159 de 2013
CDP 22813
16 Fondos Especiales</v>
          </cell>
          <cell r="P79">
            <v>0</v>
          </cell>
          <cell r="Q79" t="str">
            <v>GRUPO 9</v>
          </cell>
          <cell r="R79" t="str">
            <v xml:space="preserve">CONSORCIO INGMAR
INGENIEROS ELECTRICISTAS Y CIVILES ASOCIADOS S.A.S
MIGUEL ANGEL DAVILA REYES
</v>
          </cell>
          <cell r="S79">
            <v>900637062</v>
          </cell>
          <cell r="T79">
            <v>41467</v>
          </cell>
          <cell r="U79">
            <v>555217311</v>
          </cell>
          <cell r="V79">
            <v>555217311</v>
          </cell>
          <cell r="W79">
            <v>0</v>
          </cell>
          <cell r="X79">
            <v>45863500</v>
          </cell>
          <cell r="Y79">
            <v>45863500</v>
          </cell>
          <cell r="Z79">
            <v>0</v>
          </cell>
          <cell r="AA79">
            <v>0</v>
          </cell>
          <cell r="AB79" t="str">
            <v>CAROLINA DEL PRINCIPE</v>
          </cell>
          <cell r="AC79" t="str">
            <v>ANTIOQUIA</v>
          </cell>
          <cell r="AD79">
            <v>41473</v>
          </cell>
          <cell r="AE79">
            <v>2</v>
          </cell>
          <cell r="AF79">
            <v>0</v>
          </cell>
          <cell r="AG79">
            <v>166565193.29999998</v>
          </cell>
          <cell r="AH79">
            <v>166565193.30000001</v>
          </cell>
          <cell r="AI79">
            <v>41618</v>
          </cell>
        </row>
        <row r="80">
          <cell r="A80" t="str">
            <v>PAF-ATF-083-2013</v>
          </cell>
          <cell r="B80" t="str">
            <v>“CONSTRUCCIÓN SISTEMA DE ALCANTARILLADO SANITARIO Y DE TRATAMIENTO DE AGUAS RESIDUALES DEL MUNICIPIO DE USIACURÍ PRIMERA ETAPA”</v>
          </cell>
          <cell r="C80">
            <v>16569173738</v>
          </cell>
          <cell r="D80">
            <v>16569173738</v>
          </cell>
          <cell r="E80">
            <v>0</v>
          </cell>
          <cell r="F80">
            <v>1253669004</v>
          </cell>
          <cell r="G80">
            <v>1253669004</v>
          </cell>
          <cell r="H80">
            <v>0</v>
          </cell>
          <cell r="I80">
            <v>0</v>
          </cell>
          <cell r="J80">
            <v>356456854.84000003</v>
          </cell>
          <cell r="K80">
            <v>363731485</v>
          </cell>
          <cell r="L80">
            <v>0</v>
          </cell>
          <cell r="M80">
            <v>41383</v>
          </cell>
          <cell r="N80" t="str">
            <v>Contrato No. 159 de 2013
CDP 22813
16 Fondos Especiales</v>
          </cell>
          <cell r="O80" t="str">
            <v>Contrato No. 159 de 2013
CDP 22813
16 Fondos Especiales</v>
          </cell>
          <cell r="P80">
            <v>0</v>
          </cell>
          <cell r="Q80" t="str">
            <v>GRUPO 9</v>
          </cell>
          <cell r="R80" t="str">
            <v xml:space="preserve">CONSORCIO AGUAS ATLANTICO
CORPORACIÓN AMBIENTE COLOMBIA - CORAMCOL
R &amp; M INGENIERIA S.A.S.
LINA JISELA MURCIA CUELLAR
DIEGO JARAMILLO GÓMEZ
</v>
          </cell>
          <cell r="S80">
            <v>900641566</v>
          </cell>
          <cell r="T80">
            <v>41481</v>
          </cell>
          <cell r="U80">
            <v>15654555401</v>
          </cell>
          <cell r="V80">
            <v>15654555401</v>
          </cell>
          <cell r="W80">
            <v>0</v>
          </cell>
          <cell r="X80">
            <v>1214087900</v>
          </cell>
          <cell r="Y80">
            <v>1214087900</v>
          </cell>
          <cell r="Z80">
            <v>0</v>
          </cell>
          <cell r="AA80">
            <v>0</v>
          </cell>
          <cell r="AB80" t="str">
            <v>USIACURÍ</v>
          </cell>
          <cell r="AC80" t="str">
            <v>ATLANTICO</v>
          </cell>
          <cell r="AD80">
            <v>41486</v>
          </cell>
          <cell r="AE80">
            <v>18</v>
          </cell>
          <cell r="AF80">
            <v>0</v>
          </cell>
          <cell r="AG80">
            <v>4696366620.3000002</v>
          </cell>
          <cell r="AH80">
            <v>4696366620</v>
          </cell>
          <cell r="AI80">
            <v>41635</v>
          </cell>
        </row>
        <row r="81">
          <cell r="A81" t="str">
            <v>PAF-ATF-084-2013</v>
          </cell>
          <cell r="B81" t="str">
            <v>“CONSTRUCCIÓN DE ALCANTARILLADO SANITARIO EN LA CABECERA MUNICIPAL DE MARÍA LA BAJA (BOLÍVAR)”</v>
          </cell>
          <cell r="C81">
            <v>17310102555</v>
          </cell>
          <cell r="D81">
            <v>17310102555</v>
          </cell>
          <cell r="E81">
            <v>0</v>
          </cell>
          <cell r="F81">
            <v>1137797114</v>
          </cell>
          <cell r="G81">
            <v>1137797114</v>
          </cell>
          <cell r="H81">
            <v>0</v>
          </cell>
          <cell r="I81">
            <v>0</v>
          </cell>
          <cell r="J81">
            <v>368957993.38</v>
          </cell>
          <cell r="K81">
            <v>376487748</v>
          </cell>
          <cell r="L81">
            <v>0</v>
          </cell>
          <cell r="M81">
            <v>41383</v>
          </cell>
          <cell r="N81" t="str">
            <v>Contrato No. 036 de 2012
CDP 274712
16 Fondos Especiales</v>
          </cell>
          <cell r="O81" t="str">
            <v>Contrato No. 036 de 2012
CDP 274712
16 Fondos Especiales</v>
          </cell>
          <cell r="P81" t="str">
            <v>-</v>
          </cell>
          <cell r="Q81" t="str">
            <v>GRUPO 9</v>
          </cell>
          <cell r="R81" t="str">
            <v xml:space="preserve">CONSORCIO ALIANZA YDN- MARIA LA BAJA
YAMIL SABBAGH SOLANO
CONSTRUCCIONES NAMUS S.A.
ASOCIADOS MARIN VALENCIA A.M.V. - S.A.
</v>
          </cell>
          <cell r="S81">
            <v>900620376</v>
          </cell>
          <cell r="T81">
            <v>41416</v>
          </cell>
          <cell r="U81">
            <v>16804192647</v>
          </cell>
          <cell r="V81">
            <v>16804192647</v>
          </cell>
          <cell r="W81">
            <v>0</v>
          </cell>
          <cell r="X81">
            <v>1081169300</v>
          </cell>
          <cell r="Y81">
            <v>1081169300</v>
          </cell>
          <cell r="Z81">
            <v>0</v>
          </cell>
          <cell r="AA81">
            <v>0</v>
          </cell>
          <cell r="AB81" t="str">
            <v>MARIA LA BAJA</v>
          </cell>
          <cell r="AC81" t="str">
            <v>BOLIVAR</v>
          </cell>
          <cell r="AD81">
            <v>41417</v>
          </cell>
          <cell r="AE81">
            <v>18</v>
          </cell>
          <cell r="AF81">
            <v>0</v>
          </cell>
          <cell r="AG81">
            <v>5041257794.0999994</v>
          </cell>
          <cell r="AH81">
            <v>5041257794.0999994</v>
          </cell>
          <cell r="AI81">
            <v>41607</v>
          </cell>
        </row>
        <row r="82">
          <cell r="A82" t="str">
            <v>PAF-ATF-085-2013</v>
          </cell>
          <cell r="B82" t="str">
            <v>“CONSTRUCCIÓN OPTIMIZACIÓN RED DE CONDUCCIÓN PARA EL SISTEMA DE ACUEDUCTO URBANO DEL MUNICIPIO DE GUATEQUE (BOYACÁ)”</v>
          </cell>
          <cell r="C82">
            <v>4460908475</v>
          </cell>
          <cell r="D82">
            <v>4460908475</v>
          </cell>
          <cell r="E82">
            <v>0</v>
          </cell>
          <cell r="F82">
            <v>289231603</v>
          </cell>
          <cell r="G82">
            <v>289231603</v>
          </cell>
          <cell r="H82">
            <v>0</v>
          </cell>
          <cell r="I82">
            <v>0</v>
          </cell>
          <cell r="J82">
            <v>95002801.560000002</v>
          </cell>
          <cell r="K82">
            <v>96941634</v>
          </cell>
          <cell r="L82">
            <v>0</v>
          </cell>
          <cell r="M82">
            <v>41383</v>
          </cell>
          <cell r="N82" t="str">
            <v>Contrato No. 159 de 2013
CDP 22813
16 Fondos Especiales</v>
          </cell>
          <cell r="O82" t="str">
            <v>Contrato No. 159 de 2013
CDP 22813
16 Fondos Especiales</v>
          </cell>
          <cell r="P82">
            <v>0</v>
          </cell>
          <cell r="Q82" t="str">
            <v>GRUPO 9</v>
          </cell>
          <cell r="R82" t="str">
            <v>UNION TEMPORAL PAIN 085
INGECOL S.A.
PAVIMENTOS ANDINOS S.A.</v>
          </cell>
          <cell r="S82">
            <v>900638230</v>
          </cell>
          <cell r="T82">
            <v>41463</v>
          </cell>
          <cell r="U82">
            <v>4251534413</v>
          </cell>
          <cell r="V82">
            <v>4251534413</v>
          </cell>
          <cell r="W82">
            <v>0</v>
          </cell>
          <cell r="X82">
            <v>277118200</v>
          </cell>
          <cell r="Y82">
            <v>277118200</v>
          </cell>
          <cell r="Z82">
            <v>0</v>
          </cell>
          <cell r="AA82">
            <v>0</v>
          </cell>
          <cell r="AB82" t="str">
            <v>GUATEQUE</v>
          </cell>
          <cell r="AC82" t="str">
            <v>BOYACA</v>
          </cell>
          <cell r="AD82">
            <v>41474</v>
          </cell>
          <cell r="AE82">
            <v>5</v>
          </cell>
          <cell r="AF82">
            <v>0</v>
          </cell>
          <cell r="AG82">
            <v>1275460323.8999999</v>
          </cell>
          <cell r="AH82">
            <v>1275460323.8999999</v>
          </cell>
          <cell r="AI82">
            <v>41607</v>
          </cell>
        </row>
        <row r="83">
          <cell r="A83" t="str">
            <v>PAF-ATF-086-2013</v>
          </cell>
          <cell r="B83" t="str">
            <v>“CONSTRUCCIÓN CANAL DE AGUAS LLUVIAS CARRERA 24 - DIAGONAL 44 Y CARRERA 23 ENTRE CALLE 51 Y RÍO LA CEIBAS COMUNA 2 DEL MUNICIPIO DE NEIVA (HUILA)”</v>
          </cell>
          <cell r="C83">
            <v>2252282916</v>
          </cell>
          <cell r="D83">
            <v>2252282916</v>
          </cell>
          <cell r="E83">
            <v>0</v>
          </cell>
          <cell r="F83">
            <v>180182633</v>
          </cell>
          <cell r="G83">
            <v>180182633</v>
          </cell>
          <cell r="H83">
            <v>0</v>
          </cell>
          <cell r="I83">
            <v>0</v>
          </cell>
          <cell r="J83">
            <v>48649310.980000004</v>
          </cell>
          <cell r="K83">
            <v>49642154</v>
          </cell>
          <cell r="L83">
            <v>0</v>
          </cell>
          <cell r="M83">
            <v>41383</v>
          </cell>
          <cell r="N83" t="str">
            <v>Contrato No. 036 de 2012
CDP 274712
16 Fondos Especiales</v>
          </cell>
          <cell r="O83" t="str">
            <v>Contrato No. 036 de 2012
CDP 274712
16 Fondos Especiales</v>
          </cell>
          <cell r="P83" t="str">
            <v>-</v>
          </cell>
          <cell r="Q83" t="str">
            <v>GRUPO 9</v>
          </cell>
          <cell r="R83" t="str">
            <v>UNION TEMPORAL NEIVA 086
LYDCO INGENIERIA S.A.S.
CONSTRUSOCIAL S.A.S.
GERMAN VILLANUEVA CALDERON</v>
          </cell>
          <cell r="S83">
            <v>900636934</v>
          </cell>
          <cell r="T83">
            <v>41463</v>
          </cell>
          <cell r="U83">
            <v>2142514400</v>
          </cell>
          <cell r="V83">
            <v>2142514400</v>
          </cell>
          <cell r="W83">
            <v>0</v>
          </cell>
          <cell r="X83">
            <v>176566500</v>
          </cell>
          <cell r="Y83">
            <v>176566500</v>
          </cell>
          <cell r="Z83">
            <v>0</v>
          </cell>
          <cell r="AA83">
            <v>0</v>
          </cell>
          <cell r="AB83" t="str">
            <v>NEIVA</v>
          </cell>
          <cell r="AC83" t="str">
            <v>HUILA</v>
          </cell>
          <cell r="AD83">
            <v>41473</v>
          </cell>
          <cell r="AE83">
            <v>10</v>
          </cell>
          <cell r="AF83">
            <v>0</v>
          </cell>
          <cell r="AG83">
            <v>642754320</v>
          </cell>
          <cell r="AH83">
            <v>642754320</v>
          </cell>
          <cell r="AI83">
            <v>41607</v>
          </cell>
        </row>
        <row r="84">
          <cell r="A84" t="str">
            <v>PAF-ATF-089-2013</v>
          </cell>
          <cell r="B84" t="str">
            <v>“OPTIMIZACIÓN DE LAGUNAS DE OXIDACIÓN MÓDULOS 4 Y 5 DE LA PLANTA DE TRATAMIENTO DE AGUAS RESIDUALES EL PUEBLO TERCERA ETAPA, BARRANQUILLA”.</v>
          </cell>
          <cell r="C84">
            <v>34819859512</v>
          </cell>
          <cell r="D84">
            <v>34819859512</v>
          </cell>
          <cell r="E84">
            <v>0</v>
          </cell>
          <cell r="F84">
            <v>2785588760.96</v>
          </cell>
          <cell r="G84">
            <v>2785588760.96</v>
          </cell>
          <cell r="H84">
            <v>0</v>
          </cell>
          <cell r="I84">
            <v>0</v>
          </cell>
          <cell r="J84">
            <v>752108965.45920002</v>
          </cell>
          <cell r="K84">
            <v>752108965.46000004</v>
          </cell>
          <cell r="L84">
            <v>0</v>
          </cell>
          <cell r="M84">
            <v>41409</v>
          </cell>
          <cell r="N84">
            <v>0</v>
          </cell>
          <cell r="O84">
            <v>0</v>
          </cell>
          <cell r="P84">
            <v>0</v>
          </cell>
          <cell r="Q84" t="str">
            <v>GRUPO 10</v>
          </cell>
          <cell r="R84">
            <v>0</v>
          </cell>
          <cell r="S84">
            <v>0</v>
          </cell>
          <cell r="T84" t="str">
            <v>SUSPENSIÓN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 t="str">
            <v>BARRANQUILLA</v>
          </cell>
          <cell r="AC84" t="str">
            <v>ATLANTICO</v>
          </cell>
          <cell r="AD84">
            <v>0</v>
          </cell>
          <cell r="AE84">
            <v>10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</row>
        <row r="85">
          <cell r="A85" t="str">
            <v>PAF-ATF-090-2013</v>
          </cell>
          <cell r="B85" t="str">
            <v>“CONSTRUCCIÓN DEL POZO 3, SEGUNDO TANQUE EN EL CERRO EL GOLERO, SISTEMA DE CLORACIÓN EN LA EBAP 2 Y LA OPTIMIZACIÓN DE LAS EBAPS 2 Y 3 DEL SISTEMA DE ACUEDUCTO DEL MUNICIPIO DE ARIGUANÍ”.</v>
          </cell>
          <cell r="C85">
            <v>3393896869</v>
          </cell>
          <cell r="D85">
            <v>3393896869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 t="str">
            <v>AGUAS DEL MAGDALENA S.A. E.S.P. GESTOR DEL PDA</v>
          </cell>
          <cell r="J85">
            <v>67877937.379999995</v>
          </cell>
          <cell r="K85">
            <v>69263202</v>
          </cell>
          <cell r="L85">
            <v>0</v>
          </cell>
          <cell r="M85">
            <v>41409</v>
          </cell>
          <cell r="N85" t="str">
            <v>Contrato No. 159 de 2013
CDP 22813
16 Fondos Especiales</v>
          </cell>
          <cell r="O85" t="str">
            <v>Contrato No. 159 de 2013
CDP 22813
16 Fondos Especiales</v>
          </cell>
          <cell r="P85">
            <v>0</v>
          </cell>
          <cell r="Q85" t="str">
            <v>GRUPO 10</v>
          </cell>
          <cell r="R85" t="str">
            <v>CONSORCIO POZOS DEL MAGDALENA
CONSTRUCTORA INCO S.A.S.
GONZALO GONZALES VIANA
DANIEL ENRIQUE NUÑEZ GUERRA</v>
          </cell>
          <cell r="S85">
            <v>900641621</v>
          </cell>
          <cell r="T85">
            <v>41474</v>
          </cell>
          <cell r="U85">
            <v>3280567270</v>
          </cell>
          <cell r="V85">
            <v>3280567270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 t="str">
            <v>ARIGUANI</v>
          </cell>
          <cell r="AC85" t="str">
            <v>MAGDALENA</v>
          </cell>
          <cell r="AD85" t="str">
            <v>31-07-2013</v>
          </cell>
          <cell r="AE85">
            <v>10</v>
          </cell>
          <cell r="AF85">
            <v>0</v>
          </cell>
          <cell r="AG85">
            <v>984170181</v>
          </cell>
          <cell r="AH85">
            <v>984170181</v>
          </cell>
          <cell r="AI85">
            <v>41669</v>
          </cell>
        </row>
        <row r="86">
          <cell r="A86" t="str">
            <v>PAF-ATF-091-2013</v>
          </cell>
          <cell r="B86" t="str">
            <v>“OPTIMIZACIÓN SISTEMA DE ALCANTARILLADO BARRIO VALLES DEL MIRADOR MUNICIPIO DE LOS PATIOS”.</v>
          </cell>
          <cell r="C86">
            <v>1049356214</v>
          </cell>
          <cell r="D86">
            <v>1049356214</v>
          </cell>
          <cell r="E86">
            <v>0</v>
          </cell>
          <cell r="F86">
            <v>83948497</v>
          </cell>
          <cell r="G86">
            <v>83948497</v>
          </cell>
          <cell r="H86">
            <v>0</v>
          </cell>
          <cell r="I86">
            <v>0</v>
          </cell>
          <cell r="J86">
            <v>22666094.219999999</v>
          </cell>
          <cell r="K86">
            <v>23128668</v>
          </cell>
          <cell r="L86">
            <v>0</v>
          </cell>
          <cell r="M86">
            <v>41409</v>
          </cell>
          <cell r="N86" t="str">
            <v>Contrato No. 159 de 2013
CDP 22813
16 Fondos Especiales</v>
          </cell>
          <cell r="O86" t="str">
            <v>Contrato No. 159 de 2013
CDP 22813
16 Fondos Especiales</v>
          </cell>
          <cell r="P86">
            <v>0</v>
          </cell>
          <cell r="Q86" t="str">
            <v>GRUPO 10</v>
          </cell>
          <cell r="R86" t="str">
            <v>JOSE MARIO GIRALDO ENCISO</v>
          </cell>
          <cell r="S86">
            <v>10243741</v>
          </cell>
          <cell r="T86">
            <v>41480</v>
          </cell>
          <cell r="U86">
            <v>977368357</v>
          </cell>
          <cell r="V86">
            <v>977368357</v>
          </cell>
          <cell r="W86">
            <v>0</v>
          </cell>
          <cell r="X86">
            <v>83070500</v>
          </cell>
          <cell r="Y86">
            <v>83070500</v>
          </cell>
          <cell r="Z86">
            <v>0</v>
          </cell>
          <cell r="AA86">
            <v>0</v>
          </cell>
          <cell r="AB86" t="str">
            <v>LOS PATIOS</v>
          </cell>
          <cell r="AC86" t="str">
            <v>NORTE DE SANTANDER</v>
          </cell>
          <cell r="AD86" t="str">
            <v>26-07-2013</v>
          </cell>
          <cell r="AE86">
            <v>10</v>
          </cell>
          <cell r="AF86">
            <v>0</v>
          </cell>
          <cell r="AG86">
            <v>293210507.09999996</v>
          </cell>
          <cell r="AH86">
            <v>0</v>
          </cell>
          <cell r="AI86">
            <v>0</v>
          </cell>
        </row>
        <row r="87">
          <cell r="A87" t="str">
            <v>PAF-ATF-092-2013</v>
          </cell>
          <cell r="B87" t="str">
            <v>“CONSTRUCCIÓN DE REDES DE CONDUCCIÓN Y OPTIMIZACIÓN DEL ACUEDUCTO MUNICIPIO DE BARBOSA- SANTANDER ”.</v>
          </cell>
          <cell r="C87">
            <v>7665826501</v>
          </cell>
          <cell r="D87">
            <v>7665826501</v>
          </cell>
          <cell r="E87">
            <v>0</v>
          </cell>
          <cell r="F87">
            <v>613266120.08000004</v>
          </cell>
          <cell r="G87">
            <v>613266120.08000004</v>
          </cell>
          <cell r="H87">
            <v>0</v>
          </cell>
          <cell r="I87">
            <v>0</v>
          </cell>
          <cell r="J87">
            <v>165581852.42160001</v>
          </cell>
          <cell r="K87">
            <v>165581852.42000002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 t="str">
            <v>GRUPO 10</v>
          </cell>
          <cell r="R87">
            <v>0</v>
          </cell>
          <cell r="S87">
            <v>0</v>
          </cell>
          <cell r="T87" t="str">
            <v>APLAZADO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 t="str">
            <v>BARBOSA</v>
          </cell>
          <cell r="AC87" t="str">
            <v>SANTANDER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</row>
        <row r="88">
          <cell r="A88" t="str">
            <v>PAF-ATF-093-2013</v>
          </cell>
          <cell r="B88" t="str">
            <v>“CONSTRUCCIÓN TERCERA ETAPA PLAN MAESTRO DE ACUEDUCTO Y ALCANTARILLADO ZONA URBANA MUNICIPIO DE SANTO DOMINGO”</v>
          </cell>
          <cell r="C88">
            <v>7387717783</v>
          </cell>
          <cell r="D88">
            <v>7387717783</v>
          </cell>
          <cell r="E88">
            <v>0</v>
          </cell>
          <cell r="F88">
            <v>538509899</v>
          </cell>
          <cell r="G88">
            <v>538509899</v>
          </cell>
          <cell r="H88">
            <v>0</v>
          </cell>
          <cell r="I88">
            <v>0</v>
          </cell>
          <cell r="J88">
            <v>158524553.64000002</v>
          </cell>
          <cell r="K88">
            <v>161759746</v>
          </cell>
          <cell r="L88">
            <v>0</v>
          </cell>
          <cell r="M88">
            <v>41460</v>
          </cell>
          <cell r="N88" t="str">
            <v>Contrato No. 036 de 2012
CDP 274712
16 Fondos Especiales</v>
          </cell>
          <cell r="O88" t="str">
            <v>Contrato No. 036 de 2012
CDP 274712
16 Fondos Especiales</v>
          </cell>
          <cell r="P88">
            <v>0</v>
          </cell>
          <cell r="Q88" t="str">
            <v>GRUPO 11</v>
          </cell>
          <cell r="R88" t="str">
            <v>UNION TEMPORAL REDES 2013
HAPIL INGENIERIA S.A.S
R.M Y CIA S.A.S.</v>
          </cell>
          <cell r="S88">
            <v>900646804</v>
          </cell>
          <cell r="T88">
            <v>41501</v>
          </cell>
          <cell r="U88">
            <v>6987778860</v>
          </cell>
          <cell r="V88">
            <v>6987778860</v>
          </cell>
          <cell r="W88">
            <v>0</v>
          </cell>
          <cell r="X88">
            <v>518083840</v>
          </cell>
          <cell r="Y88">
            <v>518083840</v>
          </cell>
          <cell r="Z88">
            <v>0</v>
          </cell>
          <cell r="AA88">
            <v>0</v>
          </cell>
          <cell r="AB88" t="str">
            <v>SANTO DOMINGO</v>
          </cell>
          <cell r="AC88" t="str">
            <v>ANTIOQUIA</v>
          </cell>
          <cell r="AD88" t="str">
            <v>22-08-2013</v>
          </cell>
          <cell r="AE88">
            <v>6</v>
          </cell>
          <cell r="AF88">
            <v>0</v>
          </cell>
          <cell r="AG88">
            <v>2096333658</v>
          </cell>
          <cell r="AH88">
            <v>0</v>
          </cell>
          <cell r="AI88">
            <v>0</v>
          </cell>
        </row>
        <row r="89">
          <cell r="A89" t="str">
            <v>PAF-ATF-094-2013</v>
          </cell>
          <cell r="B89" t="str">
            <v>“CONSTRUCCIÓN DEL PLAN MAESTRO DE ACUEDUCTO Y ALCANTARILLADO DEL MUNICIPIO DE SAN VICENTE DE FERRER”</v>
          </cell>
          <cell r="C89">
            <v>8163598710</v>
          </cell>
          <cell r="D89">
            <v>8163598710</v>
          </cell>
          <cell r="E89">
            <v>0</v>
          </cell>
          <cell r="F89">
            <v>581017604</v>
          </cell>
          <cell r="G89">
            <v>581017604</v>
          </cell>
          <cell r="H89">
            <v>0</v>
          </cell>
          <cell r="I89">
            <v>0</v>
          </cell>
          <cell r="J89">
            <v>174892326.28</v>
          </cell>
          <cell r="K89">
            <v>179674406</v>
          </cell>
          <cell r="L89">
            <v>0</v>
          </cell>
          <cell r="M89">
            <v>41460</v>
          </cell>
          <cell r="N89" t="str">
            <v>SALDOS CONTRATO 036 DE 2012
TODOS LOS CDP VER RELACIÓN ANEXA</v>
          </cell>
          <cell r="O89" t="str">
            <v>Contrato No. 036 de 2012
CDP 290212
11 Recursos del Tesoro
Contrato 036 de 2012
CDP 1413 
Vigencias Futuras 2013</v>
          </cell>
          <cell r="P89">
            <v>0</v>
          </cell>
          <cell r="Q89" t="str">
            <v>GRUPO 11</v>
          </cell>
          <cell r="R89" t="str">
            <v>CONSORCIO AGUAS SAN VICENTE
PROINARK S.A.
EXCAVACIONES JOBEPA SUCURSAL COLOMBIA
EPROCON S.A.</v>
          </cell>
          <cell r="S89">
            <v>900646147</v>
          </cell>
          <cell r="T89">
            <v>41501</v>
          </cell>
          <cell r="U89">
            <v>7733328619</v>
          </cell>
          <cell r="V89">
            <v>7733328619</v>
          </cell>
          <cell r="W89">
            <v>0</v>
          </cell>
          <cell r="X89">
            <v>552276000</v>
          </cell>
          <cell r="Y89">
            <v>552276000</v>
          </cell>
          <cell r="Z89">
            <v>0</v>
          </cell>
          <cell r="AA89">
            <v>0</v>
          </cell>
          <cell r="AB89" t="str">
            <v>SAN VICENTE DE FERRER</v>
          </cell>
          <cell r="AC89" t="str">
            <v>ANTIOQUIA</v>
          </cell>
          <cell r="AD89">
            <v>41509</v>
          </cell>
          <cell r="AE89">
            <v>10</v>
          </cell>
          <cell r="AF89">
            <v>0</v>
          </cell>
          <cell r="AG89">
            <v>2319998585.6999998</v>
          </cell>
          <cell r="AH89">
            <v>0</v>
          </cell>
          <cell r="AI89">
            <v>0</v>
          </cell>
        </row>
        <row r="90">
          <cell r="A90" t="str">
            <v>PAF-ATF-095-2013</v>
          </cell>
          <cell r="B90" t="str">
            <v>PLAN DE MANEJO AMBIENTAL PARA EL CIERRE DEL ANTIGUO BOTADERO A CIELO ABIERTO EL MIRADOR DEL MUNICIPIO DE MANZANARES</v>
          </cell>
          <cell r="C90">
            <v>216330796</v>
          </cell>
          <cell r="D90">
            <v>216330796</v>
          </cell>
          <cell r="E90">
            <v>0</v>
          </cell>
          <cell r="F90">
            <v>15143156</v>
          </cell>
          <cell r="G90">
            <v>15143156</v>
          </cell>
          <cell r="H90">
            <v>0</v>
          </cell>
          <cell r="I90">
            <v>0</v>
          </cell>
          <cell r="J90">
            <v>4629479.04</v>
          </cell>
          <cell r="K90">
            <v>4414914</v>
          </cell>
          <cell r="L90">
            <v>0</v>
          </cell>
          <cell r="M90">
            <v>41464</v>
          </cell>
          <cell r="N90" t="str">
            <v>Contrato No. 159 de 2013
CDP 137513
11 Nación</v>
          </cell>
          <cell r="O90" t="str">
            <v>Contrato No. 159 de 2013
CDP 137513
11 Nación</v>
          </cell>
          <cell r="P90">
            <v>0</v>
          </cell>
          <cell r="Q90" t="str">
            <v>GRUPO 11</v>
          </cell>
          <cell r="R90">
            <v>0</v>
          </cell>
          <cell r="S90">
            <v>0</v>
          </cell>
          <cell r="T90" t="str">
            <v>DESIERTO</v>
          </cell>
          <cell r="U90">
            <v>0</v>
          </cell>
          <cell r="V90">
            <v>0</v>
          </cell>
          <cell r="W90">
            <v>0</v>
          </cell>
          <cell r="X90">
            <v>14261248.800000001</v>
          </cell>
          <cell r="Y90">
            <v>14261248.800000001</v>
          </cell>
          <cell r="Z90">
            <v>0</v>
          </cell>
          <cell r="AA90">
            <v>0</v>
          </cell>
          <cell r="AB90" t="str">
            <v>MANZANARES</v>
          </cell>
          <cell r="AC90" t="str">
            <v>CALDAS</v>
          </cell>
          <cell r="AD90">
            <v>0</v>
          </cell>
          <cell r="AE90">
            <v>7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</row>
        <row r="91">
          <cell r="A91" t="str">
            <v>PAF-ATF-096-2013</v>
          </cell>
          <cell r="B91" t="str">
            <v>OPTIMIZACIÓN RELLENO SANITARIO LA VEGA DEL ALTO ORIENTE DE CALDAS MUNICIPIO DE MARQUETALIA</v>
          </cell>
          <cell r="C91">
            <v>1047507561</v>
          </cell>
          <cell r="D91">
            <v>1047507561</v>
          </cell>
          <cell r="E91">
            <v>0</v>
          </cell>
          <cell r="F91">
            <v>73325529</v>
          </cell>
          <cell r="G91">
            <v>73325529</v>
          </cell>
          <cell r="H91">
            <v>0</v>
          </cell>
          <cell r="I91">
            <v>0</v>
          </cell>
          <cell r="J91">
            <v>22416661.800000001</v>
          </cell>
          <cell r="K91">
            <v>22874145</v>
          </cell>
          <cell r="L91">
            <v>0</v>
          </cell>
          <cell r="M91">
            <v>41464</v>
          </cell>
          <cell r="N91" t="str">
            <v>Contrato No. 159 de 2013
CDP 137513
11 Nación</v>
          </cell>
          <cell r="O91" t="str">
            <v>Contrato No. 159 de 2013
CDP 137513
11 Nación</v>
          </cell>
          <cell r="P91">
            <v>0</v>
          </cell>
          <cell r="Q91" t="str">
            <v>GRUPO 11</v>
          </cell>
          <cell r="R91" t="str">
            <v xml:space="preserve">CONSORCIO CAAN
INGENIEROS CIVILES Y ASOCIADOS LIMITADA CASI LTDA
JHONN JAIRO ANDRADE SERRANO
</v>
          </cell>
          <cell r="S91">
            <v>900649725</v>
          </cell>
          <cell r="T91">
            <v>41509</v>
          </cell>
          <cell r="U91">
            <v>962247823</v>
          </cell>
          <cell r="V91">
            <v>962247823</v>
          </cell>
          <cell r="W91">
            <v>0</v>
          </cell>
          <cell r="X91">
            <v>72201416</v>
          </cell>
          <cell r="Y91">
            <v>72201416</v>
          </cell>
          <cell r="Z91">
            <v>0</v>
          </cell>
          <cell r="AA91">
            <v>0</v>
          </cell>
          <cell r="AB91" t="str">
            <v>MARQUETALIA</v>
          </cell>
          <cell r="AC91" t="str">
            <v>CALDAS</v>
          </cell>
          <cell r="AD91">
            <v>41519</v>
          </cell>
          <cell r="AE91">
            <v>12</v>
          </cell>
          <cell r="AF91">
            <v>0</v>
          </cell>
          <cell r="AG91">
            <v>288674346.89999998</v>
          </cell>
          <cell r="AH91">
            <v>288674346.89999998</v>
          </cell>
          <cell r="AI91">
            <v>41669</v>
          </cell>
        </row>
        <row r="92">
          <cell r="A92" t="str">
            <v>PAF-ATF-097-2013</v>
          </cell>
          <cell r="B92" t="str">
            <v>OPTIMIZACIÓN RELLENO SANITARIO EL EDÉN DEL MUNICIPIO DE SAMANÁ</v>
          </cell>
          <cell r="C92">
            <v>708307979</v>
          </cell>
          <cell r="D92">
            <v>708307979</v>
          </cell>
          <cell r="E92">
            <v>0</v>
          </cell>
          <cell r="F92">
            <v>49581559</v>
          </cell>
          <cell r="G92">
            <v>49581559</v>
          </cell>
          <cell r="H92">
            <v>0</v>
          </cell>
          <cell r="I92">
            <v>0</v>
          </cell>
          <cell r="J92">
            <v>15157790.76</v>
          </cell>
          <cell r="K92">
            <v>15467133</v>
          </cell>
          <cell r="L92">
            <v>0</v>
          </cell>
          <cell r="M92">
            <v>41464</v>
          </cell>
          <cell r="N92" t="str">
            <v>Contrato No. 159 de 2013
CDP 137513
11 Nación</v>
          </cell>
          <cell r="O92" t="str">
            <v>Contrato No. 159 de 2013
CDP 137513
11 Nación</v>
          </cell>
          <cell r="P92">
            <v>0</v>
          </cell>
          <cell r="Q92" t="str">
            <v>GRUPO 11</v>
          </cell>
          <cell r="R92" t="str">
            <v xml:space="preserve">CONSORCIO CAAN
INGENIEROS CIVILES Y ASOCIADOS LIMITADA CASI LTDA
JHONN JAIRO ANDRADE SERRANO
</v>
          </cell>
          <cell r="S92">
            <v>900649725</v>
          </cell>
          <cell r="T92">
            <v>41509</v>
          </cell>
          <cell r="U92">
            <v>657164410</v>
          </cell>
          <cell r="V92">
            <v>657164410</v>
          </cell>
          <cell r="W92">
            <v>0</v>
          </cell>
          <cell r="X92">
            <v>49325752</v>
          </cell>
          <cell r="Y92">
            <v>49325752</v>
          </cell>
          <cell r="Z92">
            <v>0</v>
          </cell>
          <cell r="AA92">
            <v>0</v>
          </cell>
          <cell r="AB92" t="str">
            <v>SAMANA</v>
          </cell>
          <cell r="AC92" t="str">
            <v>CALDAS</v>
          </cell>
          <cell r="AD92">
            <v>41519</v>
          </cell>
          <cell r="AE92">
            <v>12</v>
          </cell>
          <cell r="AF92">
            <v>0</v>
          </cell>
          <cell r="AG92">
            <v>197149323</v>
          </cell>
          <cell r="AH92">
            <v>197149323</v>
          </cell>
          <cell r="AI92">
            <v>41669</v>
          </cell>
        </row>
        <row r="93">
          <cell r="A93" t="str">
            <v>PAF-ATF-098-2013</v>
          </cell>
          <cell r="B93" t="str">
            <v>“CONSTRUCCIÓN, AMPLIACIÓN Y OPTIMIZACIÓN DEL SISTEMA DE ACUEDUCTO URBANO, MUNICIPIO DE CISNEROS”</v>
          </cell>
          <cell r="C93">
            <v>2530989988</v>
          </cell>
          <cell r="D93">
            <v>2530989988</v>
          </cell>
          <cell r="E93">
            <v>0</v>
          </cell>
          <cell r="F93">
            <v>202479199</v>
          </cell>
          <cell r="G93">
            <v>202479199</v>
          </cell>
          <cell r="H93">
            <v>0</v>
          </cell>
          <cell r="I93">
            <v>0</v>
          </cell>
          <cell r="J93">
            <v>54669383.740000002</v>
          </cell>
          <cell r="K93">
            <v>57548351</v>
          </cell>
          <cell r="L93">
            <v>0</v>
          </cell>
          <cell r="M93">
            <v>41467</v>
          </cell>
          <cell r="N93" t="str">
            <v>Contrato No. 159 de 2013
CDP 155913
11 Nación</v>
          </cell>
          <cell r="O93" t="str">
            <v>Contrato No. 159 de 2013
CDP 155913
11 Nación</v>
          </cell>
          <cell r="P93">
            <v>0</v>
          </cell>
          <cell r="Q93" t="str">
            <v>GRUPO 12</v>
          </cell>
          <cell r="R93" t="str">
            <v>CONSORCIO ACUEDUCTO MUNICIPIO DE CISNEROS</v>
          </cell>
          <cell r="S93">
            <v>900654141</v>
          </cell>
          <cell r="T93">
            <v>41522</v>
          </cell>
          <cell r="U93">
            <v>2376790278</v>
          </cell>
          <cell r="V93">
            <v>2376790278</v>
          </cell>
          <cell r="W93">
            <v>0</v>
          </cell>
          <cell r="X93">
            <v>192756852</v>
          </cell>
          <cell r="Y93">
            <v>192756852</v>
          </cell>
          <cell r="Z93">
            <v>0</v>
          </cell>
          <cell r="AA93">
            <v>0</v>
          </cell>
          <cell r="AB93" t="str">
            <v>CISNEROS</v>
          </cell>
          <cell r="AC93" t="str">
            <v>ANTIOQUIA</v>
          </cell>
          <cell r="AD93">
            <v>41530</v>
          </cell>
          <cell r="AE93">
            <v>7</v>
          </cell>
          <cell r="AF93">
            <v>0</v>
          </cell>
          <cell r="AG93">
            <v>713037083.39999998</v>
          </cell>
          <cell r="AH93">
            <v>0</v>
          </cell>
          <cell r="AI93">
            <v>0</v>
          </cell>
        </row>
        <row r="94">
          <cell r="A94" t="str">
            <v>PAF-ATF-100-2013</v>
          </cell>
          <cell r="B94" t="str">
            <v>“REHABILITACIÓN DEL SISTEMA DE BOMBEO DE LOS POZOS NUMERO UNO Y DOS DEL SISTEMA DE ACUEDUCTO DEL MUNICIPIO DE ARIGUANÍ”</v>
          </cell>
          <cell r="C94">
            <v>204463749</v>
          </cell>
          <cell r="D94">
            <v>204463749</v>
          </cell>
          <cell r="E94">
            <v>0</v>
          </cell>
          <cell r="F94">
            <v>14312463</v>
          </cell>
          <cell r="G94">
            <v>14312463</v>
          </cell>
          <cell r="H94">
            <v>0</v>
          </cell>
          <cell r="I94">
            <v>0</v>
          </cell>
          <cell r="J94">
            <v>4375524.24</v>
          </cell>
          <cell r="K94">
            <v>4464821</v>
          </cell>
          <cell r="L94">
            <v>0</v>
          </cell>
          <cell r="M94">
            <v>41487</v>
          </cell>
          <cell r="N94" t="str">
            <v>Contrato No. 159 de 2013
CDP 155913
11 Nación</v>
          </cell>
          <cell r="O94" t="str">
            <v>Contrato No. 159 de 2013
CDP 155913
11 Nación</v>
          </cell>
          <cell r="P94">
            <v>0</v>
          </cell>
          <cell r="Q94" t="str">
            <v>GRUPO 13</v>
          </cell>
          <cell r="R94" t="str">
            <v>CONSTRUCCIONES INCO S.A.S.</v>
          </cell>
          <cell r="S94">
            <v>806008712</v>
          </cell>
          <cell r="T94">
            <v>41200</v>
          </cell>
          <cell r="U94">
            <v>199302163</v>
          </cell>
          <cell r="V94">
            <v>199302163</v>
          </cell>
          <cell r="W94">
            <v>0</v>
          </cell>
          <cell r="X94">
            <v>14050500</v>
          </cell>
          <cell r="Y94">
            <v>14050500</v>
          </cell>
          <cell r="Z94">
            <v>0</v>
          </cell>
          <cell r="AA94">
            <v>0</v>
          </cell>
          <cell r="AB94" t="str">
            <v>ARIGUANI</v>
          </cell>
          <cell r="AC94" t="str">
            <v>MAGDALENA</v>
          </cell>
          <cell r="AD94">
            <v>41590</v>
          </cell>
          <cell r="AE94">
            <v>1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</row>
        <row r="95">
          <cell r="A95" t="str">
            <v>PAF-ATF-101-2013</v>
          </cell>
          <cell r="B95" t="str">
            <v>AMPLIACIÓN DEL RELLENO SANITARIO DEL MUNICIPIO DE MÁLAGA”</v>
          </cell>
          <cell r="C95">
            <v>1310069787</v>
          </cell>
          <cell r="D95">
            <v>1310069787</v>
          </cell>
          <cell r="E95">
            <v>0</v>
          </cell>
          <cell r="F95">
            <v>131006979</v>
          </cell>
          <cell r="G95">
            <v>131006979</v>
          </cell>
          <cell r="H95">
            <v>0</v>
          </cell>
          <cell r="I95">
            <v>0</v>
          </cell>
          <cell r="J95">
            <v>28821535.32</v>
          </cell>
          <cell r="K95">
            <v>33641535</v>
          </cell>
          <cell r="L95">
            <v>0</v>
          </cell>
          <cell r="M95">
            <v>41487</v>
          </cell>
          <cell r="N95" t="str">
            <v>Contrato No. 159 de 2013
CDP 137513
11 Nación</v>
          </cell>
          <cell r="O95" t="str">
            <v>Contrato No. 159 de 2013
CDP 137513
11 Nación</v>
          </cell>
          <cell r="P95">
            <v>0</v>
          </cell>
          <cell r="Q95" t="str">
            <v>GRUPO 13</v>
          </cell>
          <cell r="R95" t="str">
            <v>INGENIERO CARLOS MANRIQUE SAAVEDRA</v>
          </cell>
          <cell r="S95">
            <v>12130133</v>
          </cell>
          <cell r="T95">
            <v>41522</v>
          </cell>
          <cell r="U95">
            <v>1260787500</v>
          </cell>
          <cell r="V95">
            <v>1260787500</v>
          </cell>
          <cell r="W95">
            <v>0</v>
          </cell>
          <cell r="X95">
            <v>124691532</v>
          </cell>
          <cell r="Y95">
            <v>124691532</v>
          </cell>
          <cell r="Z95">
            <v>0</v>
          </cell>
          <cell r="AA95">
            <v>0</v>
          </cell>
          <cell r="AB95" t="str">
            <v>MALAGA</v>
          </cell>
          <cell r="AC95" t="str">
            <v>SANTANDER</v>
          </cell>
          <cell r="AD95">
            <v>41530</v>
          </cell>
          <cell r="AE95">
            <v>5</v>
          </cell>
          <cell r="AF95">
            <v>0</v>
          </cell>
          <cell r="AG95">
            <v>378236250</v>
          </cell>
          <cell r="AH95">
            <v>378236250</v>
          </cell>
          <cell r="AI95">
            <v>41669</v>
          </cell>
        </row>
        <row r="96">
          <cell r="A96" t="str">
            <v>PAF-ATF-103-2013</v>
          </cell>
          <cell r="B96" t="str">
            <v>“CONSTRUCCION DEL SISTEMA DE ALCANTARILLADO SANITARIO DEL DISTRITO No. 4 (INCLUYE ESTACION DE BOMBEO Y REDES SECUNDARIAS)”</v>
          </cell>
          <cell r="C96">
            <v>25933073506</v>
          </cell>
          <cell r="D96">
            <v>11585422897</v>
          </cell>
          <cell r="E96">
            <v>14347650609</v>
          </cell>
          <cell r="F96">
            <v>1897839332</v>
          </cell>
          <cell r="G96">
            <v>1897839332</v>
          </cell>
          <cell r="H96">
            <v>0</v>
          </cell>
          <cell r="I96" t="str">
            <v>FONDO NACIONAL DE GESTIÓN DE RIESGOS DE DESASTRES SUBCUENTA  ARCHIPIELAGO DE SAN ANDRES Y PROVIDENCIA $10.000.000.000
AUDICIENCIAS PÚBLICAS PDA $4.347.650.609</v>
          </cell>
          <cell r="J96">
            <v>556618256.75999999</v>
          </cell>
          <cell r="K96">
            <v>556618257</v>
          </cell>
          <cell r="L96">
            <v>0</v>
          </cell>
          <cell r="M96">
            <v>41487</v>
          </cell>
          <cell r="N96" t="str">
            <v>Contrato No. 159 de 2013
CDP 155913
11 Nación</v>
          </cell>
          <cell r="O96" t="str">
            <v>Contrato No. 159 de 2013
CDP 155913
11 Nación</v>
          </cell>
          <cell r="P96">
            <v>0</v>
          </cell>
          <cell r="Q96" t="str">
            <v>GRUPO 15</v>
          </cell>
          <cell r="R96" t="str">
            <v>INGEMAS S.A.</v>
          </cell>
          <cell r="S96" t="str">
            <v>A33613308</v>
          </cell>
          <cell r="T96">
            <v>41600</v>
          </cell>
          <cell r="U96">
            <v>24637944872</v>
          </cell>
          <cell r="V96">
            <v>10290294263</v>
          </cell>
          <cell r="W96">
            <v>14347650609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 t="str">
            <v>SAN ANDRES</v>
          </cell>
          <cell r="AC96" t="str">
            <v>SAN ANDRES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</row>
        <row r="97">
          <cell r="A97" t="str">
            <v>PAF-ATF-PJ-006
SIN NUMERO</v>
          </cell>
          <cell r="B97" t="str">
            <v>AJUSTE Y COMPLEMENTACIÒN DE LOS DISEÑOS PARA LA CONSTRUCCIÒN DE LA LINEA DE ABASTECIMIENTO ENTRE LA ESTRUCTURA DE CAPTACIÒN Y LA PLANTA DE TRATAMIENTO EN EL MUNICIPIO DE SOCORRO - SANTANDER</v>
          </cell>
          <cell r="C97">
            <v>649602691</v>
          </cell>
          <cell r="D97">
            <v>0</v>
          </cell>
          <cell r="E97">
            <v>0</v>
          </cell>
          <cell r="F97">
            <v>71500000</v>
          </cell>
          <cell r="G97">
            <v>71500000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 t="str">
            <v>Contrato No. 036 de 2012
CDP 274712
16 Fondos Especiales
Partida Seguimiento MVCT</v>
          </cell>
          <cell r="O97" t="str">
            <v>Contrato No. 036 de 2012
CDP 274712
16 Fondos Especiales
Partida Seguimiento MVCT</v>
          </cell>
          <cell r="P97">
            <v>0</v>
          </cell>
          <cell r="Q97">
            <v>0</v>
          </cell>
          <cell r="R97" t="str">
            <v>MANOV INGENIERIA LTDA
HIDROSAN LTDA</v>
          </cell>
          <cell r="S97">
            <v>0</v>
          </cell>
          <cell r="T97">
            <v>41663</v>
          </cell>
          <cell r="U97">
            <v>649602691</v>
          </cell>
          <cell r="V97">
            <v>649602691</v>
          </cell>
          <cell r="W97">
            <v>0</v>
          </cell>
          <cell r="X97">
            <v>71500000</v>
          </cell>
          <cell r="Y97">
            <v>71500000</v>
          </cell>
          <cell r="Z97">
            <v>0</v>
          </cell>
          <cell r="AA97">
            <v>0</v>
          </cell>
          <cell r="AB97" t="str">
            <v>SOCORRO</v>
          </cell>
          <cell r="AC97" t="str">
            <v>SANTANDER</v>
          </cell>
          <cell r="AD97" t="str">
            <v>1/22/2014
2/12/2013</v>
          </cell>
          <cell r="AE97" t="str">
            <v>4 Interventoria
105 dìas Obra</v>
          </cell>
          <cell r="AF97">
            <v>0</v>
          </cell>
          <cell r="AG97">
            <v>14300000</v>
          </cell>
          <cell r="AH97">
            <v>0</v>
          </cell>
          <cell r="AI97">
            <v>0</v>
          </cell>
        </row>
        <row r="98">
          <cell r="A98" t="str">
            <v>SIN CONTRATAR</v>
          </cell>
          <cell r="B98" t="str">
            <v>CONSTRUCCIÓN DE OBRAS DE OPTIMIZACIÓN DEL SISTEMA DE ALCANTARILLADO URBANO DEL MUNICIPIO DE AMAGA- ANTIOQUIA</v>
          </cell>
          <cell r="C98">
            <v>6885621098</v>
          </cell>
          <cell r="D98">
            <v>6885621098</v>
          </cell>
          <cell r="E98">
            <v>0</v>
          </cell>
          <cell r="F98">
            <v>382647373</v>
          </cell>
          <cell r="G98">
            <v>382647373</v>
          </cell>
          <cell r="H98">
            <v>0</v>
          </cell>
          <cell r="I98">
            <v>0</v>
          </cell>
          <cell r="J98">
            <v>145365369.42000002</v>
          </cell>
          <cell r="K98">
            <v>148332010</v>
          </cell>
          <cell r="L98">
            <v>0</v>
          </cell>
          <cell r="M98">
            <v>0</v>
          </cell>
          <cell r="N98" t="str">
            <v>Contrato No. 036 de 2012
CDP 274712
16 Fondos Especiales 
CDP 369913 
11 Naciòn
16 Naciòn</v>
          </cell>
          <cell r="O98" t="str">
            <v>Contrato 036 de 2012
CDP 274712
16 Fondos Especiales
Contrato 036
CDP 290212
11 Recursos del Tesoro
Contrato 036
CDP 1413
Vigencia Futura 2013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 t="str">
            <v>AMAGA</v>
          </cell>
          <cell r="AC98" t="str">
            <v>ANTIOQUIA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</row>
        <row r="99">
          <cell r="A99" t="str">
            <v>SIN CONTRATAR</v>
          </cell>
          <cell r="B99" t="str">
            <v>CONSTRUCCIÓN DE LA PLANTA DE TRATAMIENTO DE AGUAS RESIDUALES ZONA URBANA DEL MUNICIPIO DE SANTANDER DE QUILICHAO- CAUCA</v>
          </cell>
          <cell r="C99">
            <v>8052668470</v>
          </cell>
          <cell r="D99">
            <v>8052668470</v>
          </cell>
          <cell r="E99">
            <v>0</v>
          </cell>
          <cell r="F99">
            <v>570696290</v>
          </cell>
          <cell r="G99">
            <v>570696290</v>
          </cell>
          <cell r="H99">
            <v>0</v>
          </cell>
          <cell r="I99">
            <v>0</v>
          </cell>
          <cell r="J99">
            <v>172467295.20000002</v>
          </cell>
          <cell r="K99">
            <v>175987036</v>
          </cell>
          <cell r="L99">
            <v>0</v>
          </cell>
          <cell r="M99">
            <v>0</v>
          </cell>
          <cell r="N99" t="str">
            <v>Contrato No. 159 de 2013
CDP 141213
11 Nación</v>
          </cell>
          <cell r="O99" t="str">
            <v>Contrato No. 159 de 2013
CDP 141213
11 Nación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 t="str">
            <v>SANTANDER DE QUILICHAO</v>
          </cell>
          <cell r="AC99" t="str">
            <v>CAUCA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</row>
        <row r="100">
          <cell r="A100" t="str">
            <v>SIN CONTRATAR</v>
          </cell>
          <cell r="B100" t="str">
            <v>CONSTRUCCIÓN Y OPTIMIZACIÓN DEL SITEMA DE ACUEDUCTO URBANO DEL MUNICIPIO DE ZIPAQUIRA - CUNDINAMARCA</v>
          </cell>
          <cell r="C100">
            <v>12527050074</v>
          </cell>
          <cell r="D100">
            <v>12527050074</v>
          </cell>
          <cell r="E100">
            <v>0</v>
          </cell>
          <cell r="F100">
            <v>751623004</v>
          </cell>
          <cell r="G100">
            <v>751623004</v>
          </cell>
          <cell r="H100">
            <v>0</v>
          </cell>
          <cell r="I100">
            <v>0</v>
          </cell>
          <cell r="J100">
            <v>265573461.56</v>
          </cell>
          <cell r="K100">
            <v>270993328</v>
          </cell>
          <cell r="L100">
            <v>0</v>
          </cell>
          <cell r="M100">
            <v>0</v>
          </cell>
          <cell r="N100" t="str">
            <v>Contrato No. 159 de 2013
CDP 155913
11 Nación</v>
          </cell>
          <cell r="O100" t="str">
            <v>Contrato No. 159 de 2013
CDP 155913
11 Nación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 t="str">
            <v>ZIPAQUIRA</v>
          </cell>
          <cell r="AC100" t="str">
            <v>CUNDINAMARCA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</row>
        <row r="101">
          <cell r="A101" t="str">
            <v>SIN CONTRATAR</v>
          </cell>
          <cell r="B101" t="str">
            <v>SISTEMA DE ALCANTARILLADO BARRIO LOS ANGELES III, DISTRITO BARRANQUILLA</v>
          </cell>
          <cell r="C101">
            <v>1770623619</v>
          </cell>
          <cell r="D101">
            <v>1770623619</v>
          </cell>
          <cell r="E101">
            <v>0</v>
          </cell>
          <cell r="F101">
            <v>122597689</v>
          </cell>
          <cell r="G101">
            <v>122597689</v>
          </cell>
          <cell r="H101">
            <v>0</v>
          </cell>
          <cell r="I101">
            <v>0</v>
          </cell>
          <cell r="J101">
            <v>37864426.160000004</v>
          </cell>
          <cell r="K101">
            <v>38637170</v>
          </cell>
          <cell r="L101">
            <v>0</v>
          </cell>
          <cell r="M101">
            <v>0</v>
          </cell>
          <cell r="N101" t="str">
            <v>Contrato No. 159 de 2013
CDP 22813
11 Recursos del Tesoro</v>
          </cell>
          <cell r="O101" t="str">
            <v>Contrato No. 159 de 2013
CDP 22813
11 Recursos del Tesoro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 t="str">
            <v>BARRANQUILLA</v>
          </cell>
          <cell r="AC101" t="str">
            <v>ATLANTICO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</row>
        <row r="102">
          <cell r="A102" t="str">
            <v>SIN CONTRATAR</v>
          </cell>
          <cell r="B102" t="str">
            <v>CONSTRUCCIÓN PLANTA DE TRATAMIENTO DE AGUAS RESIDUALES  PRIMERA ETAPA DEL MUNICIPIO DE POPAYAN</v>
          </cell>
          <cell r="C102">
            <v>7795022691</v>
          </cell>
          <cell r="D102">
            <v>5179765339</v>
          </cell>
          <cell r="E102">
            <v>2615257352</v>
          </cell>
          <cell r="F102">
            <v>545651588</v>
          </cell>
          <cell r="G102">
            <v>545651588</v>
          </cell>
          <cell r="H102">
            <v>0</v>
          </cell>
          <cell r="I102" t="str">
            <v>PDA CAUCA- SGP MUNICIPIO</v>
          </cell>
          <cell r="J102">
            <v>114508338.54000001</v>
          </cell>
          <cell r="K102">
            <v>116845243</v>
          </cell>
          <cell r="L102">
            <v>0</v>
          </cell>
          <cell r="M102">
            <v>0</v>
          </cell>
          <cell r="N102" t="str">
            <v>Contrato No. 159 de 2013
CDP 141213
11 Nación</v>
          </cell>
          <cell r="O102" t="str">
            <v>Contrato No. 159 de 2013
CDP 141213
11 Nación</v>
          </cell>
          <cell r="P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</row>
        <row r="103">
          <cell r="A103" t="str">
            <v>ASEGURAMIENTO PROYECTOS EMBLEMATICOS</v>
          </cell>
          <cell r="B103" t="str">
            <v>“OPTIMIZACIÓN DEL SISTEMA DE ALCANTARILLADO CASCO URBANO FASE I MUNICIPIO DE FALAN (TOLIMA)”</v>
          </cell>
          <cell r="C103">
            <v>36282555</v>
          </cell>
          <cell r="D103">
            <v>36282555</v>
          </cell>
          <cell r="E103">
            <v>0</v>
          </cell>
          <cell r="F103">
            <v>2902604</v>
          </cell>
          <cell r="G103">
            <v>2902604</v>
          </cell>
          <cell r="H103">
            <v>0</v>
          </cell>
          <cell r="I103">
            <v>0</v>
          </cell>
          <cell r="J103">
            <v>783703.18</v>
          </cell>
          <cell r="K103">
            <v>799697</v>
          </cell>
          <cell r="L103">
            <v>0</v>
          </cell>
          <cell r="M103">
            <v>0</v>
          </cell>
          <cell r="N103" t="str">
            <v>Contrato No. 159 de 2013
CDP 141113
11 Nación</v>
          </cell>
          <cell r="O103" t="str">
            <v>Contrato 159
CDP 141113
11 Naciòn</v>
          </cell>
          <cell r="P103" t="str">
            <v>Contrato 159
CDP 141113
11 Naciòn</v>
          </cell>
          <cell r="Q103" t="str">
            <v>GRUPO1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 t="str">
            <v>FALAN</v>
          </cell>
          <cell r="AC103" t="str">
            <v>TOLIMA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</row>
        <row r="104">
          <cell r="A104" t="str">
            <v>ASEGURAMIENTO PROYECTOS EMBLEMATICOS</v>
          </cell>
          <cell r="B104" t="str">
            <v>CONSTRUCCIÓN Y OPTIMIZACIÓN DEL SISTEMA DE ALCANTARILLADO SANITARIO” FIRAVITOBA - BOYACA</v>
          </cell>
          <cell r="C104">
            <v>46489756</v>
          </cell>
          <cell r="D104">
            <v>46489756</v>
          </cell>
          <cell r="E104">
            <v>0</v>
          </cell>
          <cell r="F104">
            <v>3719180</v>
          </cell>
          <cell r="G104">
            <v>3719180</v>
          </cell>
          <cell r="H104">
            <v>0</v>
          </cell>
          <cell r="I104">
            <v>0</v>
          </cell>
          <cell r="J104">
            <v>1004178.72</v>
          </cell>
          <cell r="K104">
            <v>1024672</v>
          </cell>
          <cell r="L104">
            <v>0</v>
          </cell>
          <cell r="M104">
            <v>0</v>
          </cell>
          <cell r="N104" t="str">
            <v>Contrato No. 036 de 2012
CDP 274712
16 Fondos Especiales</v>
          </cell>
          <cell r="O104" t="str">
            <v>Contrato No. 036 de 2012
CDP 274712
16 Fondos Especiales</v>
          </cell>
          <cell r="P104" t="str">
            <v>Contrato No. 036 de 2012
CDP 274712
16 Fondos Especiales</v>
          </cell>
          <cell r="Q104" t="str">
            <v>GRUPO1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 t="str">
            <v>FIRAVITOBA</v>
          </cell>
          <cell r="AC104" t="str">
            <v>BOYACA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</row>
        <row r="105">
          <cell r="A105" t="str">
            <v>ASEGURAMIENTO PROYECTOS EMBLEMATICOS</v>
          </cell>
          <cell r="B105" t="str">
            <v>“CONSTRUCCIÓN PRIMERA ETAPA DESCOLE ALCANTARILLADO COMBINADO CORREGIMIENTO DE JOSÉ MARÍA HERNÁNDEZ, MUNICIPIO DE PUPIALES- NARIÑO”</v>
          </cell>
          <cell r="C105">
            <v>127469796</v>
          </cell>
          <cell r="D105">
            <v>127469796</v>
          </cell>
          <cell r="E105">
            <v>0</v>
          </cell>
          <cell r="F105">
            <v>10197584</v>
          </cell>
          <cell r="G105">
            <v>10197584</v>
          </cell>
          <cell r="H105">
            <v>0</v>
          </cell>
          <cell r="I105">
            <v>0</v>
          </cell>
          <cell r="J105">
            <v>2753347.6</v>
          </cell>
          <cell r="K105">
            <v>2809538</v>
          </cell>
          <cell r="L105">
            <v>0</v>
          </cell>
          <cell r="M105">
            <v>0</v>
          </cell>
          <cell r="N105" t="str">
            <v>Contrato No. 036 de 2012 
CDP 274712
16 Fondos Especiales</v>
          </cell>
          <cell r="O105" t="str">
            <v>Contrato No. 036 de 2012 
CDP 274712
16 Fondos Especiales</v>
          </cell>
          <cell r="P105" t="str">
            <v>Contrato No. 036 de 2012
CDP 274712
16 Fondos Especiales</v>
          </cell>
          <cell r="Q105" t="str">
            <v>GRUPO1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 t="str">
            <v>PUPIALES</v>
          </cell>
          <cell r="AC105" t="str">
            <v>NARIÑO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</row>
        <row r="106">
          <cell r="A106" t="str">
            <v>ASEGURAMIENTO PROYECTOS EMBLEMATICOS</v>
          </cell>
          <cell r="B106" t="str">
            <v>“CONSTRUCCIÓN DE ALCANTARILLADO SANITARIO, SISTEMA DE TRATAMIENTO DE AGUAS RESIDUALES VEREDA MOHECHIZA MUNICIPIO DE YACUANQUER- NARIÑO”</v>
          </cell>
          <cell r="C106">
            <v>59888073</v>
          </cell>
          <cell r="D106">
            <v>59888073</v>
          </cell>
          <cell r="E106">
            <v>0</v>
          </cell>
          <cell r="F106">
            <v>4791046</v>
          </cell>
          <cell r="G106">
            <v>4791046</v>
          </cell>
          <cell r="H106">
            <v>0</v>
          </cell>
          <cell r="I106">
            <v>0</v>
          </cell>
          <cell r="J106">
            <v>1293582.3800000001</v>
          </cell>
          <cell r="K106">
            <v>1319982</v>
          </cell>
          <cell r="L106">
            <v>0</v>
          </cell>
          <cell r="M106">
            <v>0</v>
          </cell>
          <cell r="N106" t="str">
            <v>Contrato No. 036 de 2012 
CDP 274712
16 Fondos Especiales</v>
          </cell>
          <cell r="O106" t="str">
            <v>Contrato No. 036 de 2012 
CDP 274712
16 Fondos Especiales</v>
          </cell>
          <cell r="P106" t="str">
            <v>Contrato No. 036 de 2012
CDP 274712
16 Fondos Especiales</v>
          </cell>
          <cell r="Q106" t="str">
            <v>GRUPO1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 t="str">
            <v>YACUANQUER</v>
          </cell>
          <cell r="AC106" t="str">
            <v>NARIÑO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</row>
        <row r="107">
          <cell r="A107" t="str">
            <v>ASEGURAMIENTO PROYECTOS EMBLEMATICOS</v>
          </cell>
          <cell r="B107" t="str">
            <v>“OPTIMIZACIÓN Y AMPLIACIÓN DEL SISTEMA DE ACUEDUCTO DE LA CABECERA MUNICIPAL DE LOS PALMITOS- SUCRE”</v>
          </cell>
          <cell r="C107">
            <v>196297366</v>
          </cell>
          <cell r="D107">
            <v>196297366</v>
          </cell>
          <cell r="E107">
            <v>0</v>
          </cell>
          <cell r="F107">
            <v>15703789</v>
          </cell>
          <cell r="G107">
            <v>15703789</v>
          </cell>
          <cell r="H107">
            <v>0</v>
          </cell>
          <cell r="I107">
            <v>0</v>
          </cell>
          <cell r="J107">
            <v>4240023.0999999996</v>
          </cell>
          <cell r="K107">
            <v>4326554</v>
          </cell>
          <cell r="L107">
            <v>0</v>
          </cell>
          <cell r="M107">
            <v>0</v>
          </cell>
          <cell r="N107" t="str">
            <v>Contrato No. 036 de 2012
CDP 274712
16 Fondos Especiales</v>
          </cell>
          <cell r="O107" t="str">
            <v>Contrato No. 036 de 2012
CDP 274712
16 Fondos Especiales</v>
          </cell>
          <cell r="P107" t="str">
            <v>Contrato No. 036 de 2012
CDP 274712
16 Fondos Especiales</v>
          </cell>
          <cell r="Q107" t="str">
            <v>GRUPO1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 t="str">
            <v>PALMITOS</v>
          </cell>
          <cell r="AC107" t="str">
            <v>SUCRE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</row>
        <row r="108">
          <cell r="A108" t="str">
            <v>ASEGURAMIENTO PROYECTOS EMBLEMATICOS</v>
          </cell>
          <cell r="B108" t="str">
            <v>OPTIMIZACIÓN Y AMPLIACIÓN DEL SISTEMA DE ACUEDUCTO DE LA CABECERA MUNICIPAL DEL MUNICIPIO DE OVEJAS, DEPARTAMENTO DE SUCRE”</v>
          </cell>
          <cell r="C108">
            <v>259048701</v>
          </cell>
          <cell r="D108">
            <v>259048701</v>
          </cell>
          <cell r="E108">
            <v>0</v>
          </cell>
          <cell r="F108">
            <v>20723896</v>
          </cell>
          <cell r="G108">
            <v>20723896</v>
          </cell>
          <cell r="H108">
            <v>0</v>
          </cell>
          <cell r="I108">
            <v>0</v>
          </cell>
          <cell r="J108">
            <v>5595451.9400000004</v>
          </cell>
          <cell r="K108">
            <v>5709645</v>
          </cell>
          <cell r="L108">
            <v>0</v>
          </cell>
          <cell r="M108">
            <v>0</v>
          </cell>
          <cell r="N108" t="str">
            <v>Contrato No. 036 de 2012
CDP 274712
16 Fondos Especiales</v>
          </cell>
          <cell r="O108" t="str">
            <v>Contrato No. 036 de 2012
CDP 274712
16 Fondos Especiales</v>
          </cell>
          <cell r="P108" t="str">
            <v>Contrato No. 036 de 2012
CDP 274712
16 Fondos Especiales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 t="str">
            <v>OVEJAS</v>
          </cell>
          <cell r="AC108" t="str">
            <v>SUCRE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</row>
        <row r="109">
          <cell r="A109" t="str">
            <v>ASEGURAMIENTO PROYECTOS EMBLEMATICOS</v>
          </cell>
          <cell r="B109" t="str">
            <v>CONSTRUCCIÓN DEL SISTEMA DE ACUEDUCTO PARA EL MUNICIPIO DE PROVIDENCIA Y SANTA CATALINA FASE I</v>
          </cell>
          <cell r="C109">
            <v>48653595</v>
          </cell>
          <cell r="D109">
            <v>48653595</v>
          </cell>
          <cell r="E109">
            <v>0</v>
          </cell>
          <cell r="F109">
            <v>3892288</v>
          </cell>
          <cell r="G109">
            <v>3892288</v>
          </cell>
          <cell r="H109">
            <v>0</v>
          </cell>
          <cell r="I109">
            <v>0</v>
          </cell>
          <cell r="J109">
            <v>1050917.6599999999</v>
          </cell>
          <cell r="K109">
            <v>1072365</v>
          </cell>
          <cell r="L109">
            <v>0</v>
          </cell>
          <cell r="M109">
            <v>0</v>
          </cell>
          <cell r="N109" t="str">
            <v>Contrato No. 036 de 2012
CDP 274712
16 Fondos Especiales</v>
          </cell>
          <cell r="O109" t="str">
            <v>Contrato No. 036 de 2012
CDP 274712
16 Fondos Especiales</v>
          </cell>
          <cell r="P109" t="str">
            <v>Contrato No. 036 de 2012
CDP 274712
16 Fondos Especiales</v>
          </cell>
          <cell r="Q109" t="str">
            <v>GRUPO1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 t="str">
            <v>PROVIDENCIA Y SANTA CATALINA</v>
          </cell>
          <cell r="AC109" t="str">
            <v>SAN ANDRES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</row>
        <row r="110">
          <cell r="A110" t="str">
            <v>ASEGURAMIENTO PROYECTOS EMBLEMATICOS</v>
          </cell>
          <cell r="B110" t="str">
            <v>CONSTRUCCIÓN ALCANTARILLADO SANITARIO EN EL MUNICIPIO DE LOS SANTOS SANTANDER</v>
          </cell>
          <cell r="C110">
            <v>40173094</v>
          </cell>
          <cell r="D110">
            <v>40173094</v>
          </cell>
          <cell r="E110">
            <v>0</v>
          </cell>
          <cell r="F110">
            <v>3213848</v>
          </cell>
          <cell r="G110">
            <v>3213848</v>
          </cell>
          <cell r="H110">
            <v>0</v>
          </cell>
          <cell r="I110">
            <v>0</v>
          </cell>
          <cell r="J110">
            <v>867738.84</v>
          </cell>
          <cell r="K110">
            <v>885448</v>
          </cell>
          <cell r="L110">
            <v>0</v>
          </cell>
          <cell r="M110">
            <v>0</v>
          </cell>
          <cell r="N110" t="str">
            <v>Contrato No. 036 de 2012
CDP 274712
16 Fondos Especiales</v>
          </cell>
          <cell r="O110" t="str">
            <v>Contrato No. 036 de 2012
CDP 274712
16 Fondos Especiales</v>
          </cell>
          <cell r="P110" t="str">
            <v>Contrato No. 036 de 2012
CDP 274712
16 Fondos Especiales</v>
          </cell>
          <cell r="Q110" t="str">
            <v>GRUPO1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 t="str">
            <v>LOS SANTOS</v>
          </cell>
          <cell r="AC110" t="str">
            <v>SANTANDER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</row>
        <row r="111">
          <cell r="A111" t="str">
            <v>ASEGURAMIENTO PROYECTOS EMBLEMATICOS</v>
          </cell>
          <cell r="B111" t="str">
            <v>“CONSTRUCCIÓN OPTIMIZACIÓN SISTEMAS DE ACUEDUCTO Y ALCANTARILLADO DEL MUNICIPIO DE CAROLINA DEL PRINCIPE ETAPA 1”</v>
          </cell>
          <cell r="C111">
            <v>59537133</v>
          </cell>
          <cell r="D111">
            <v>59537133</v>
          </cell>
          <cell r="E111">
            <v>0</v>
          </cell>
          <cell r="F111">
            <v>4762971</v>
          </cell>
          <cell r="G111">
            <v>4762971</v>
          </cell>
          <cell r="H111">
            <v>0</v>
          </cell>
          <cell r="I111">
            <v>0</v>
          </cell>
          <cell r="J111">
            <v>1286002.08</v>
          </cell>
          <cell r="K111">
            <v>0</v>
          </cell>
          <cell r="L111">
            <v>0</v>
          </cell>
          <cell r="M111">
            <v>0</v>
          </cell>
          <cell r="N111" t="str">
            <v>Contrato No. 159 de 2013
CDP 141113
11 Nación</v>
          </cell>
          <cell r="O111" t="str">
            <v>Contrato No. 159 de 2013
CDP 141113
11 Nación</v>
          </cell>
          <cell r="P111" t="str">
            <v>Contrato No. 159 de 2013
CDP 141113
11 Nación</v>
          </cell>
          <cell r="Q111" t="str">
            <v>GRUPO1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 t="str">
            <v>CAROLINA DEL PRINCIPE</v>
          </cell>
          <cell r="AC111" t="str">
            <v>ANTIOQUIA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</row>
        <row r="112">
          <cell r="A112" t="str">
            <v>ASEGURAMIENTO PROYECTOS EMBLEMATICOS</v>
          </cell>
          <cell r="B112" t="str">
            <v>“CONSTRUCCIÓN, AMPLIACIÓN Y OPTIMIZACIÓN DEL SISTEMA DE ACUEDUCTO URBANO, MUNICIPIO DE CISNEROS”</v>
          </cell>
          <cell r="C112">
            <v>154086617</v>
          </cell>
          <cell r="D112">
            <v>154086617</v>
          </cell>
          <cell r="E112">
            <v>0</v>
          </cell>
          <cell r="F112">
            <v>12326929</v>
          </cell>
          <cell r="G112">
            <v>12326929</v>
          </cell>
          <cell r="H112">
            <v>0</v>
          </cell>
          <cell r="I112">
            <v>0</v>
          </cell>
          <cell r="J112">
            <v>3328270.92</v>
          </cell>
          <cell r="K112">
            <v>0</v>
          </cell>
          <cell r="L112">
            <v>0</v>
          </cell>
          <cell r="M112">
            <v>0</v>
          </cell>
          <cell r="N112" t="str">
            <v>Contrato No. 159 de 2013
CDP 141113
11 Nación</v>
          </cell>
          <cell r="O112" t="str">
            <v>Contrato No. 159 de 2013
CDP 141113
11 Nación</v>
          </cell>
          <cell r="P112" t="str">
            <v>Contrato No. 159 de 2013
CDP 141113
11 Nación</v>
          </cell>
          <cell r="Q112" t="str">
            <v>GRUPO1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 t="str">
            <v>CISNEROS</v>
          </cell>
          <cell r="AC112" t="str">
            <v>ANTIOQUIA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</row>
        <row r="113">
          <cell r="A113" t="str">
            <v>ASEGURAMIENTO PROYECTOS EMBLEMATICOS</v>
          </cell>
          <cell r="B113" t="str">
            <v>“CONSTRUCCIÓN DEL PLAN MAESTRO DE ACUEDUCTO Y ALCANTARILLADO DEL MUNICIPIO DE SAN VICENTE DE FERRER”</v>
          </cell>
          <cell r="C113">
            <v>147854580</v>
          </cell>
          <cell r="D113">
            <v>147854580</v>
          </cell>
          <cell r="E113">
            <v>0</v>
          </cell>
          <cell r="F113">
            <v>11828366</v>
          </cell>
          <cell r="G113">
            <v>11828366</v>
          </cell>
          <cell r="H113">
            <v>0</v>
          </cell>
          <cell r="I113">
            <v>0</v>
          </cell>
          <cell r="J113">
            <v>3193658.92</v>
          </cell>
          <cell r="K113">
            <v>0</v>
          </cell>
          <cell r="L113">
            <v>0</v>
          </cell>
          <cell r="M113">
            <v>0</v>
          </cell>
          <cell r="N113" t="str">
            <v>Contrato No. 036 de 2012
CDP 274712
16 Fondos Especiales
Contrato 036 de 2012
CDP 1413 
Vigencias Futuras 2013</v>
          </cell>
          <cell r="O113" t="str">
            <v>Contrato No. 036 de 2012
CDP 274712
16 Fondos Especiales
Contrato 036 de 2012
CDP 1413 
Vigencias Futuras 2013</v>
          </cell>
          <cell r="P113" t="str">
            <v>Contrato No. 036 de 2012
CDP 274712
16 Fondos Especiales
Contrato 036 de 2012
CDP 1413 
Vigencias Futuras 2013</v>
          </cell>
          <cell r="Q113" t="str">
            <v>GRUPO1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 t="str">
            <v>SAN VICENTE DE FERRER</v>
          </cell>
          <cell r="AC113" t="str">
            <v>ANTIOQUIA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</row>
        <row r="114">
          <cell r="A114" t="str">
            <v>ASEGURAMIENTO PROYECTOS EMBLEMATICOS</v>
          </cell>
          <cell r="B114" t="str">
            <v>“CONSTRUCCIÓN TERCERA ETAPA PLAN MAESTRO DE ACUEDUCTO Y ALCANTARILLADO ZONA URBANA MUNICIPIO DE SANTO DOMINGO”</v>
          </cell>
          <cell r="C114">
            <v>40861189</v>
          </cell>
          <cell r="D114">
            <v>40861189</v>
          </cell>
          <cell r="E114">
            <v>0</v>
          </cell>
          <cell r="F114">
            <v>3268895</v>
          </cell>
          <cell r="G114">
            <v>3268895</v>
          </cell>
          <cell r="H114">
            <v>0</v>
          </cell>
          <cell r="I114">
            <v>0</v>
          </cell>
          <cell r="J114">
            <v>882601.68</v>
          </cell>
          <cell r="K114">
            <v>0</v>
          </cell>
          <cell r="L114">
            <v>0</v>
          </cell>
          <cell r="M114">
            <v>0</v>
          </cell>
          <cell r="N114" t="str">
            <v>Contrato No. 036 de 2012
CDP 274712
16 Fondos Especiales</v>
          </cell>
          <cell r="O114" t="str">
            <v>Contrato No. 036 de 2012
CDP 274712
16 Fondos Especiales</v>
          </cell>
          <cell r="P114" t="str">
            <v>Contrato No. 036 de 2012
CDP 274712
16 Fondos Especiales
Contrato 036 de 2012
CDP 1413 
Vigencias Futuras 2013</v>
          </cell>
          <cell r="Q114" t="str">
            <v>GRUPO1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 t="str">
            <v>SANTO DOMINGO</v>
          </cell>
          <cell r="AC114" t="str">
            <v>ANTIOQUIA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</row>
        <row r="115">
          <cell r="A115" t="str">
            <v>ASEGURAMIENTO PROYECTOS EMBLEMATICOS</v>
          </cell>
          <cell r="B115" t="str">
            <v>CONSTRUCCIÓN DE LA LÍNEA DE ABASTECIMIENTO DESDE LA QUEBRADA CINCO MIL, OPTIMIZACIÓN DEL SISTEMA DE TRATAMIENTO Y ALMACENAMIENTO DEL ACUEDUCTO URBANO DEL MUNICIPIO DE SOCORRO, SANTANDER</v>
          </cell>
          <cell r="C115">
            <v>392000000</v>
          </cell>
          <cell r="D115">
            <v>392000000</v>
          </cell>
          <cell r="E115">
            <v>0</v>
          </cell>
          <cell r="F115">
            <v>31360000</v>
          </cell>
          <cell r="G115">
            <v>31360000</v>
          </cell>
          <cell r="H115">
            <v>0</v>
          </cell>
          <cell r="I115">
            <v>0</v>
          </cell>
          <cell r="J115">
            <v>8467200</v>
          </cell>
          <cell r="K115">
            <v>8640000</v>
          </cell>
          <cell r="L115">
            <v>0</v>
          </cell>
          <cell r="M115">
            <v>0</v>
          </cell>
          <cell r="N115" t="str">
            <v>Contrato No. 036 de 2012
CDP 274712
16 Fondos Especiales</v>
          </cell>
          <cell r="O115" t="str">
            <v>Contrato No. 036 de 2012
CDP 274712
16 Fondos Especiales</v>
          </cell>
          <cell r="P115" t="str">
            <v>Contrato No. 036 de 2012
CDP 274712
16 Fondos Especiales
Contrato 036 de 2012
CDP 1413 
Vigencias Futuras 2013</v>
          </cell>
          <cell r="Q115" t="str">
            <v>GRUPO 2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>SOCORRO</v>
          </cell>
          <cell r="AC115" t="str">
            <v>SANTANDER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</row>
        <row r="116">
          <cell r="A116" t="str">
            <v xml:space="preserve">PAF-ATF-PJ-003-2014
</v>
          </cell>
          <cell r="B116" t="str">
            <v>APOYO AL ASEGURAMIENTO DE LA PRESTACIÒN DE LOS SERVCIOS EN EL MUNICIPIO DE ARACTACA - MAGDALENA 
CONTRATO DE PRESTACIÒN DE SERVICIOS PROFESIONALES
1) APOYO AL COMPONENTE TECNICO - OPERATIVO
2) ACTIVIDADES PARA EL ASEGURAMIENTO DE LA PRESTACIÒN DEL SERVICIO</v>
          </cell>
          <cell r="C116">
            <v>706554144</v>
          </cell>
          <cell r="D116">
            <v>706554144</v>
          </cell>
          <cell r="E116">
            <v>0</v>
          </cell>
          <cell r="F116">
            <v>13106450</v>
          </cell>
          <cell r="G116">
            <v>13106450</v>
          </cell>
          <cell r="H116">
            <v>0</v>
          </cell>
          <cell r="I116">
            <v>0</v>
          </cell>
          <cell r="J116">
            <v>0</v>
          </cell>
          <cell r="K116">
            <v>94012930</v>
          </cell>
          <cell r="L116">
            <v>0</v>
          </cell>
          <cell r="M116">
            <v>0</v>
          </cell>
          <cell r="N116" t="str">
            <v>Contrato No. 159 de 2013
CDP 141113
11 Nación</v>
          </cell>
          <cell r="O116" t="str">
            <v>Contrato No. 159 de 2013
CDP 141113
11 Nación</v>
          </cell>
          <cell r="P116" t="str">
            <v>Contrato No. 159 de 2013
CDP 141113
11 Nación</v>
          </cell>
          <cell r="Q116">
            <v>0</v>
          </cell>
          <cell r="R116" t="str">
            <v>PESTADORA DE SERVICIOS PUBLICOS DOMICILIARIOS S.A. E.S.P.- PRESEA S.A. E.S.P.</v>
          </cell>
          <cell r="S116">
            <v>0</v>
          </cell>
          <cell r="T116">
            <v>0</v>
          </cell>
          <cell r="U116">
            <v>0</v>
          </cell>
          <cell r="V116">
            <v>706554144</v>
          </cell>
          <cell r="W116">
            <v>0</v>
          </cell>
          <cell r="X116">
            <v>13106450</v>
          </cell>
          <cell r="Y116">
            <v>13106450</v>
          </cell>
          <cell r="Z116">
            <v>0</v>
          </cell>
          <cell r="AA116">
            <v>0</v>
          </cell>
          <cell r="AB116" t="str">
            <v>ARACATACA</v>
          </cell>
          <cell r="AC116" t="str">
            <v>MAGDALENA</v>
          </cell>
          <cell r="AD116">
            <v>41654</v>
          </cell>
          <cell r="AE116">
            <v>6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</row>
        <row r="117">
          <cell r="A117" t="str">
            <v>ASEGURAMIENTO PROYECTOS EMBLEMATICOS</v>
          </cell>
          <cell r="B117" t="str">
            <v>“ACUEDUCTO REGIONAL INTERDEPARTAMENTAL”</v>
          </cell>
          <cell r="C117">
            <v>1114109982</v>
          </cell>
          <cell r="D117">
            <v>1114109982</v>
          </cell>
          <cell r="E117">
            <v>0</v>
          </cell>
          <cell r="F117">
            <v>72254073</v>
          </cell>
          <cell r="G117">
            <v>72254073</v>
          </cell>
          <cell r="H117">
            <v>0</v>
          </cell>
          <cell r="I117">
            <v>0</v>
          </cell>
          <cell r="J117">
            <v>23727281.100000001</v>
          </cell>
          <cell r="K117">
            <v>22282200</v>
          </cell>
          <cell r="L117">
            <v>0</v>
          </cell>
          <cell r="M117">
            <v>0</v>
          </cell>
          <cell r="N117" t="str">
            <v>Contrato No. 159 de 2013
CDP 141113
11 Nación</v>
          </cell>
          <cell r="O117" t="str">
            <v>Contrato No. 159 de 2013
CDP 141113
11 Nación</v>
          </cell>
          <cell r="P117" t="str">
            <v>Contrato No. 159 de 2013
CDP 141113
11 Nación</v>
          </cell>
          <cell r="Q117" t="str">
            <v>GRUPO 5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 t="str">
            <v>GUACHENÈ, PADILLA,PUERTO TEJADA, VILLA RICA</v>
          </cell>
          <cell r="AC117" t="str">
            <v>VALLE DEL CAUCA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</row>
        <row r="118">
          <cell r="A118" t="str">
            <v>ASEGURAMIENTO PROYECTOS EMBLEMATICOS</v>
          </cell>
          <cell r="B118" t="str">
            <v>“CONSTRUCCIÓN SISTEMA DE ALCANTARILLADO PLUVIAL SECTORES CALLE 9 Y 8 ENTRE CARRERAS 12D Y 2 Y CALLE 7 ENTRE CARRERA 7 Y 2 DEL MUNICIPIO DE CIMITARRA (SANTANDER)”</v>
          </cell>
          <cell r="C118">
            <v>253360000</v>
          </cell>
          <cell r="D118">
            <v>253360000</v>
          </cell>
          <cell r="E118">
            <v>0</v>
          </cell>
          <cell r="F118">
            <v>17945200</v>
          </cell>
          <cell r="G118">
            <v>17945200</v>
          </cell>
          <cell r="H118">
            <v>0</v>
          </cell>
          <cell r="I118">
            <v>0</v>
          </cell>
          <cell r="J118">
            <v>5426104</v>
          </cell>
          <cell r="K118">
            <v>5650385</v>
          </cell>
          <cell r="L118">
            <v>0</v>
          </cell>
          <cell r="M118">
            <v>0</v>
          </cell>
          <cell r="N118" t="str">
            <v>Contrato No. 159 de 2013
CDP 141113
11 Nación</v>
          </cell>
          <cell r="O118" t="str">
            <v>Contrato No. 159 de 2013
CDP 141113
11 Nación</v>
          </cell>
          <cell r="P118" t="str">
            <v>Contrato No. 159 de 2013
CDP 141113
11 Nación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 t="str">
            <v>CIMITARRA</v>
          </cell>
          <cell r="AC118" t="str">
            <v>SANTANDER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</row>
        <row r="119">
          <cell r="A119" t="str">
            <v>ASEGURAMIENTO PROYECTOS EMBLEMATICOS</v>
          </cell>
          <cell r="B119" t="str">
            <v>“CONSTRUCCIÓN DEL POZO 3, SEGUNDO TANQUE EN EL CERRO EL GOLERO, SISTEMA DE CLORACIÓN EN LA EBAP 2 Y LA OPTIMIZACIÓN DE LAS EBAPS 2 Y 3 DEL SISTEMA DE ACUEDUCTO DEL MUNICIPIO DE ARIGUANÍ”.</v>
          </cell>
          <cell r="C119">
            <v>1318294821</v>
          </cell>
          <cell r="D119">
            <v>1318294821</v>
          </cell>
          <cell r="E119">
            <v>0</v>
          </cell>
          <cell r="F119">
            <v>105463585</v>
          </cell>
          <cell r="G119">
            <v>105463585</v>
          </cell>
          <cell r="H119">
            <v>0</v>
          </cell>
          <cell r="I119">
            <v>0</v>
          </cell>
          <cell r="J119">
            <v>28475168.120000001</v>
          </cell>
          <cell r="K119">
            <v>0</v>
          </cell>
          <cell r="L119">
            <v>0</v>
          </cell>
          <cell r="M119">
            <v>0</v>
          </cell>
          <cell r="N119" t="str">
            <v>Contrato No. 159 de 2013
CDP 141113
11 Nación</v>
          </cell>
          <cell r="O119" t="str">
            <v>Contrato No. 159 de 2013
CDP 141113
11 Nación</v>
          </cell>
          <cell r="P119" t="str">
            <v>Contrato No. 159 de 2013
CDP 141113
11 Nación</v>
          </cell>
          <cell r="Q119" t="str">
            <v>GRUPO 4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>ARIGUANI</v>
          </cell>
          <cell r="AC119" t="str">
            <v>MAGDALENA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</row>
        <row r="120">
          <cell r="A120" t="str">
            <v>ASEGURAMIENTO PROYECTOS EMBLEMATICOS</v>
          </cell>
          <cell r="B120" t="str">
            <v>OPTIMIZACIÓN ALCANTARILLADO CARRERA 3 ETAPA II, MUNICIPIO DE IPIALES”</v>
          </cell>
          <cell r="C120">
            <v>399500001</v>
          </cell>
          <cell r="D120">
            <v>399500001</v>
          </cell>
          <cell r="E120">
            <v>0</v>
          </cell>
          <cell r="F120">
            <v>27965000</v>
          </cell>
          <cell r="G120">
            <v>27965000</v>
          </cell>
          <cell r="H120">
            <v>0</v>
          </cell>
          <cell r="I120">
            <v>0</v>
          </cell>
          <cell r="J120">
            <v>8549300.0199999996</v>
          </cell>
          <cell r="K120">
            <v>0</v>
          </cell>
          <cell r="L120">
            <v>0</v>
          </cell>
          <cell r="M120">
            <v>0</v>
          </cell>
          <cell r="N120" t="str">
            <v>Contrato No. 036 de 2012
CDP 274712
16 Fondos Especiales</v>
          </cell>
          <cell r="O120" t="str">
            <v>Contrato No. 036 de 2012
CDP 274712
16 Fondos Especiales</v>
          </cell>
          <cell r="P120" t="str">
            <v>Contrato No. 036 de 2012
CDP 274712
16 Fondos Especiales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>IPIALES</v>
          </cell>
          <cell r="AC120" t="str">
            <v>NARIÑO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</row>
        <row r="121">
          <cell r="A121" t="str">
            <v xml:space="preserve">PAF-ATF-PJ-005-2014
</v>
          </cell>
          <cell r="B121" t="str">
            <v>OBRA CIVIL Y SUMINISTRO PARA LAS OBRAS DE EMERGENCIA PARA LAS REDES DE DISTRIBUCIÒN DEL ACUEDUCTO DEL MUNICIPIO DE ARACATACA - MAGDALENA</v>
          </cell>
          <cell r="C121">
            <v>163830627</v>
          </cell>
          <cell r="D121">
            <v>163830627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3276612.54</v>
          </cell>
          <cell r="K121">
            <v>3343382</v>
          </cell>
          <cell r="L121">
            <v>0</v>
          </cell>
          <cell r="M121">
            <v>0</v>
          </cell>
          <cell r="N121" t="str">
            <v>Contrato No. 159 de 2013
CDP 155913
11 Nación</v>
          </cell>
          <cell r="O121" t="str">
            <v>Contrato No. 159 de 2013
CDP 155913
11 Nación</v>
          </cell>
          <cell r="P121" t="str">
            <v>Contrato No. 159 de 2013
CDP 155913
11 Nación</v>
          </cell>
          <cell r="Q121">
            <v>0</v>
          </cell>
          <cell r="R121" t="str">
            <v>CONSORCIO BUILDING - CMIJ</v>
          </cell>
          <cell r="S121">
            <v>0</v>
          </cell>
          <cell r="T121" t="str">
            <v>24-01-2014</v>
          </cell>
          <cell r="U121">
            <v>163830627</v>
          </cell>
          <cell r="V121">
            <v>163830627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>ARACATACA</v>
          </cell>
          <cell r="AC121" t="str">
            <v>MAGDALENA</v>
          </cell>
          <cell r="AD121" t="str">
            <v>24-01-2013</v>
          </cell>
          <cell r="AE121">
            <v>2</v>
          </cell>
          <cell r="AF121">
            <v>0</v>
          </cell>
          <cell r="AG121">
            <v>49149188.100000001</v>
          </cell>
          <cell r="AH121">
            <v>0</v>
          </cell>
          <cell r="AI121">
            <v>0</v>
          </cell>
        </row>
        <row r="122">
          <cell r="A122" t="str">
            <v>SIN CONTRATAR</v>
          </cell>
          <cell r="B122" t="str">
            <v>ESTRUCTURACIÓN DE LOS ESQUEMAS DE OPERACIÓN PARA LA PRESTACIÓN DEL SERVICIO PÚBLICO DE ASEO - AMPLIACIÓN DEL RELLENO SANITARIO</v>
          </cell>
          <cell r="C122">
            <v>240824322</v>
          </cell>
          <cell r="D122">
            <v>240824322</v>
          </cell>
          <cell r="E122">
            <v>0</v>
          </cell>
          <cell r="F122">
            <v>131820035.20999999</v>
          </cell>
          <cell r="G122">
            <v>131820035.20999999</v>
          </cell>
          <cell r="H122">
            <v>0</v>
          </cell>
          <cell r="I122">
            <v>0</v>
          </cell>
          <cell r="J122">
            <v>7452887.1442</v>
          </cell>
          <cell r="K122">
            <v>0</v>
          </cell>
          <cell r="L122">
            <v>0</v>
          </cell>
          <cell r="M122">
            <v>0</v>
          </cell>
          <cell r="N122" t="str">
            <v>Contrato No. 159 de 2013
CDP 137513
11 Nación</v>
          </cell>
          <cell r="O122" t="str">
            <v>Contrato No. 159 de 2013
CDP 137513
11 Nación</v>
          </cell>
          <cell r="P122" t="str">
            <v>Contrato No. 159 de 2013
CDP 137513
11 Nación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 t="str">
            <v>MALAGA</v>
          </cell>
          <cell r="AC122" t="str">
            <v>SANTANDER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</row>
        <row r="123">
          <cell r="A123" t="str">
            <v>SIN CONTRATAR</v>
          </cell>
          <cell r="B123" t="str">
            <v>Estructuración de la prestación del Servicio Publico de Aseo y el Diseño de tres (3) Rellenos Sanitarios Regionales para el Departamento de Magdalena</v>
          </cell>
          <cell r="C123">
            <v>873228820.09600008</v>
          </cell>
          <cell r="D123">
            <v>873228820.09600008</v>
          </cell>
          <cell r="E123">
            <v>0</v>
          </cell>
          <cell r="F123">
            <v>64727290.776000001</v>
          </cell>
          <cell r="G123">
            <v>64727290.776000001</v>
          </cell>
          <cell r="H123">
            <v>0</v>
          </cell>
          <cell r="I123">
            <v>0</v>
          </cell>
          <cell r="J123">
            <v>18759122.217440002</v>
          </cell>
          <cell r="K123">
            <v>0</v>
          </cell>
          <cell r="L123">
            <v>0</v>
          </cell>
          <cell r="M123">
            <v>0</v>
          </cell>
          <cell r="N123" t="str">
            <v>Contrato No. 159 de 2013
CDP 137513
11 Nación</v>
          </cell>
          <cell r="O123" t="str">
            <v>Contrato No. 159 de 2013
CDP 137513
11 Nación</v>
          </cell>
          <cell r="P123" t="str">
            <v>Contrato No. 159 de 2013
CDP 137513
11 Nación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 t="str">
            <v>MAGDALENA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</row>
        <row r="124">
          <cell r="A124">
            <v>0</v>
          </cell>
          <cell r="B124">
            <v>0</v>
          </cell>
          <cell r="C124">
            <v>467540797070</v>
          </cell>
          <cell r="D124">
            <v>426865069929</v>
          </cell>
          <cell r="E124">
            <v>43488444371</v>
          </cell>
          <cell r="F124">
            <v>31559212837</v>
          </cell>
          <cell r="G124">
            <v>30139794034</v>
          </cell>
          <cell r="H124">
            <v>1419418803</v>
          </cell>
          <cell r="I124">
            <v>0</v>
          </cell>
          <cell r="J124">
            <v>10036824542.74</v>
          </cell>
          <cell r="K124">
            <v>9353882855.9999981</v>
          </cell>
          <cell r="L124">
            <v>40000000</v>
          </cell>
          <cell r="M124">
            <v>1774746</v>
          </cell>
          <cell r="N124">
            <v>0</v>
          </cell>
          <cell r="O124">
            <v>0</v>
          </cell>
          <cell r="P124">
            <v>0</v>
          </cell>
          <cell r="Q124" t="e">
            <v>#VALUE!</v>
          </cell>
          <cell r="R124">
            <v>0</v>
          </cell>
          <cell r="S124">
            <v>43006363211</v>
          </cell>
          <cell r="T124" t="e">
            <v>#VALUE!</v>
          </cell>
          <cell r="U124">
            <v>445985569763</v>
          </cell>
          <cell r="V124">
            <v>405959445302</v>
          </cell>
          <cell r="W124">
            <v>43488444371</v>
          </cell>
          <cell r="X124">
            <v>29851174789</v>
          </cell>
          <cell r="Y124">
            <v>28436700264</v>
          </cell>
          <cell r="Z124">
            <v>1414474525</v>
          </cell>
          <cell r="AA124">
            <v>40000000</v>
          </cell>
          <cell r="AB124" t="e">
            <v>#VALUE!</v>
          </cell>
          <cell r="AC124" t="e">
            <v>#VALUE!</v>
          </cell>
          <cell r="AD124">
            <v>2026611</v>
          </cell>
          <cell r="AE124">
            <v>524</v>
          </cell>
          <cell r="AF124">
            <v>41443</v>
          </cell>
          <cell r="AG124">
            <v>133615090121.59998</v>
          </cell>
          <cell r="AH124">
            <v>126460692909.59999</v>
          </cell>
          <cell r="AI124">
            <v>1823321</v>
          </cell>
        </row>
      </sheetData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"/>
      <sheetName val="SALDO POR CDP"/>
      <sheetName val="CONTROL CONTRATOS"/>
      <sheetName val="REMUNERACIÓN FINDETER"/>
      <sheetName val="DESEMBOLSOS"/>
      <sheetName val="RENDIMIENTOS FINANCIEROS "/>
      <sheetName val="PAGOS REALIZADOS"/>
      <sheetName val="PAGOS LEGALIZADOS CXC"/>
      <sheetName val="CONTROL DE SALDOS"/>
      <sheetName val="BALANCE"/>
    </sheetNames>
    <sheetDataSet>
      <sheetData sheetId="0">
        <row r="14">
          <cell r="D14" t="str">
            <v>01 de junio al 30 de junio de 2021</v>
          </cell>
        </row>
      </sheetData>
      <sheetData sheetId="1"/>
      <sheetData sheetId="2">
        <row r="30">
          <cell r="T30">
            <v>189255730992</v>
          </cell>
          <cell r="AA30">
            <v>39587612425.76001</v>
          </cell>
          <cell r="AB30">
            <v>1172249733.1299999</v>
          </cell>
          <cell r="AC30">
            <v>500000000</v>
          </cell>
        </row>
      </sheetData>
      <sheetData sheetId="3">
        <row r="17">
          <cell r="C17">
            <v>11318857050</v>
          </cell>
          <cell r="F17">
            <v>4278527965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5o2qhWog8U-4WB8-4SC6DrxpJILKNe1NieObjVgvwqcvnDxtml6TQ6H-g_HbrbZj" itemId="01FYOHEH3G5MFHFZ27LRH3OJP6DBZ3FLKF">
      <xxl21:absoluteUrl r:id="rId2"/>
      <xxl21:relativeUrl r:id="rId3"/>
    </xxl21:alternateUrls>
    <sheetNames>
      <sheetName val="I.E PRIORIZADAS"/>
      <sheetName val="Contrato"/>
      <sheetName val="GRUPO 10"/>
      <sheetName val="GRUPO 11"/>
      <sheetName val="GRUPO 9"/>
      <sheetName val="BALANCE GENERAL"/>
      <sheetName val="RETENCIONES"/>
      <sheetName val="CONTROL ICA"/>
      <sheetName val="Hoja1"/>
      <sheetName val="CAUSACION"/>
      <sheetName val="RETEGARANTIA"/>
      <sheetName val="PRESUPUESTO"/>
      <sheetName val="RENDIMIENTOS"/>
      <sheetName val="Cartera Colectiva No. 41573"/>
      <sheetName val="PAGOS CTA"/>
      <sheetName val="Cta Ahorros No. 55200"/>
      <sheetName val="GRUPO 1"/>
      <sheetName val="GRUPO 2"/>
      <sheetName val="GRUPO 3"/>
      <sheetName val="GRUPO 4"/>
      <sheetName val="GRUPO 5"/>
      <sheetName val="GRUPO 12"/>
      <sheetName val="GRUPO 6"/>
      <sheetName val="GRUPO 7"/>
      <sheetName val="GRUPO 8"/>
      <sheetName val="SUMINISTROS"/>
    </sheetNames>
    <sheetDataSet>
      <sheetData sheetId="0"/>
      <sheetData sheetId="1">
        <row r="28">
          <cell r="E28">
            <v>271854926</v>
          </cell>
        </row>
        <row r="29">
          <cell r="E29">
            <v>3827652872</v>
          </cell>
        </row>
        <row r="30">
          <cell r="E30">
            <v>71843032</v>
          </cell>
        </row>
        <row r="31">
          <cell r="E31">
            <v>127717610</v>
          </cell>
        </row>
        <row r="32">
          <cell r="E32">
            <v>185119770</v>
          </cell>
        </row>
        <row r="33">
          <cell r="E33">
            <v>307160350</v>
          </cell>
        </row>
        <row r="34">
          <cell r="E34">
            <v>3336225998</v>
          </cell>
        </row>
        <row r="35">
          <cell r="E35">
            <v>186982940</v>
          </cell>
        </row>
        <row r="36">
          <cell r="E36">
            <v>293769079</v>
          </cell>
        </row>
        <row r="37">
          <cell r="E37">
            <v>4423234543</v>
          </cell>
        </row>
        <row r="38">
          <cell r="E38">
            <v>184814718</v>
          </cell>
        </row>
        <row r="39">
          <cell r="E39">
            <v>258876370</v>
          </cell>
        </row>
        <row r="40">
          <cell r="E40">
            <v>3257941489</v>
          </cell>
        </row>
        <row r="41">
          <cell r="E41">
            <v>163389169</v>
          </cell>
        </row>
        <row r="42">
          <cell r="E42">
            <v>113848000</v>
          </cell>
        </row>
        <row r="43">
          <cell r="E43">
            <v>173406230</v>
          </cell>
        </row>
        <row r="44">
          <cell r="E44">
            <v>124006910</v>
          </cell>
        </row>
        <row r="45">
          <cell r="E45">
            <v>243573460</v>
          </cell>
        </row>
        <row r="46">
          <cell r="E46">
            <v>120358390</v>
          </cell>
        </row>
        <row r="47">
          <cell r="E47">
            <v>155656970</v>
          </cell>
        </row>
        <row r="48">
          <cell r="E48">
            <v>283305900</v>
          </cell>
        </row>
        <row r="49">
          <cell r="E49">
            <v>3840721132</v>
          </cell>
        </row>
        <row r="50">
          <cell r="E50">
            <v>151227087</v>
          </cell>
        </row>
        <row r="51">
          <cell r="E51">
            <v>139818960</v>
          </cell>
        </row>
        <row r="52">
          <cell r="E52">
            <v>180825090</v>
          </cell>
        </row>
        <row r="53">
          <cell r="E53">
            <v>271854924</v>
          </cell>
        </row>
        <row r="54">
          <cell r="E54">
            <v>4359282732</v>
          </cell>
        </row>
        <row r="55">
          <cell r="E55">
            <v>97691059</v>
          </cell>
        </row>
        <row r="56">
          <cell r="E56">
            <v>123582360</v>
          </cell>
        </row>
        <row r="57">
          <cell r="E57">
            <v>207031510</v>
          </cell>
        </row>
        <row r="58">
          <cell r="E58">
            <v>288330105</v>
          </cell>
        </row>
        <row r="59">
          <cell r="E59">
            <v>4418024636</v>
          </cell>
        </row>
        <row r="60">
          <cell r="E60">
            <v>213187529</v>
          </cell>
        </row>
        <row r="63">
          <cell r="E63">
            <v>284998265</v>
          </cell>
        </row>
        <row r="64">
          <cell r="E64">
            <v>5459385848</v>
          </cell>
        </row>
        <row r="65">
          <cell r="E65">
            <v>271571704</v>
          </cell>
        </row>
        <row r="66">
          <cell r="E66">
            <v>133937030</v>
          </cell>
        </row>
        <row r="67">
          <cell r="E67">
            <v>212395570</v>
          </cell>
        </row>
        <row r="68">
          <cell r="E68">
            <v>164628187</v>
          </cell>
        </row>
        <row r="69">
          <cell r="E69">
            <v>2004498759</v>
          </cell>
        </row>
        <row r="70">
          <cell r="E70">
            <v>30243690</v>
          </cell>
        </row>
        <row r="71">
          <cell r="E71">
            <v>57108888</v>
          </cell>
        </row>
        <row r="72">
          <cell r="E72">
            <v>107836405</v>
          </cell>
        </row>
        <row r="73">
          <cell r="E73">
            <v>297434620</v>
          </cell>
        </row>
        <row r="74">
          <cell r="E74">
            <v>3674330633</v>
          </cell>
        </row>
        <row r="75">
          <cell r="E75">
            <v>188944748</v>
          </cell>
        </row>
        <row r="76">
          <cell r="E76">
            <v>128610190</v>
          </cell>
        </row>
        <row r="77">
          <cell r="E77">
            <v>183926890</v>
          </cell>
        </row>
        <row r="78">
          <cell r="E78">
            <v>273012480</v>
          </cell>
        </row>
        <row r="79">
          <cell r="E79">
            <v>4466370624</v>
          </cell>
        </row>
        <row r="80">
          <cell r="E80">
            <v>160252320</v>
          </cell>
        </row>
        <row r="81">
          <cell r="E81">
            <v>128465400</v>
          </cell>
        </row>
        <row r="82">
          <cell r="E82">
            <v>185516080</v>
          </cell>
        </row>
        <row r="83">
          <cell r="E83">
            <v>273012483</v>
          </cell>
        </row>
        <row r="84">
          <cell r="E84">
            <v>4278171272</v>
          </cell>
        </row>
        <row r="85">
          <cell r="E85">
            <v>259292551</v>
          </cell>
        </row>
        <row r="86">
          <cell r="E86">
            <v>128312670</v>
          </cell>
        </row>
        <row r="87">
          <cell r="E87">
            <v>185516080</v>
          </cell>
        </row>
        <row r="88">
          <cell r="E88">
            <v>25183770.32</v>
          </cell>
        </row>
        <row r="89">
          <cell r="E89">
            <v>10000000</v>
          </cell>
        </row>
        <row r="90">
          <cell r="E90">
            <v>858000000</v>
          </cell>
        </row>
        <row r="91">
          <cell r="E91">
            <v>49106877</v>
          </cell>
        </row>
        <row r="92">
          <cell r="E92">
            <v>10000000</v>
          </cell>
        </row>
        <row r="93">
          <cell r="E93">
            <v>394497571.44</v>
          </cell>
        </row>
        <row r="94">
          <cell r="E94">
            <v>36738473.210000001</v>
          </cell>
        </row>
        <row r="95">
          <cell r="E95">
            <v>597000000</v>
          </cell>
        </row>
        <row r="96">
          <cell r="E96">
            <v>60000000</v>
          </cell>
        </row>
        <row r="97">
          <cell r="E97">
            <v>201152963</v>
          </cell>
        </row>
        <row r="98">
          <cell r="E98">
            <v>19522736</v>
          </cell>
        </row>
        <row r="100">
          <cell r="E100">
            <v>341572704</v>
          </cell>
        </row>
        <row r="101">
          <cell r="E101">
            <v>69110455.200000003</v>
          </cell>
        </row>
        <row r="102">
          <cell r="E102">
            <v>44178750</v>
          </cell>
        </row>
        <row r="104">
          <cell r="E104">
            <v>704289454</v>
          </cell>
        </row>
        <row r="105">
          <cell r="E105">
            <v>69224091.430000007</v>
          </cell>
        </row>
        <row r="106">
          <cell r="E106">
            <v>25583007</v>
          </cell>
        </row>
        <row r="107">
          <cell r="E107">
            <v>11712158.4</v>
          </cell>
        </row>
        <row r="108">
          <cell r="E108">
            <v>11900000</v>
          </cell>
        </row>
        <row r="110">
          <cell r="E110">
            <v>74684162</v>
          </cell>
        </row>
        <row r="111">
          <cell r="E111">
            <v>19509380.210000001</v>
          </cell>
        </row>
        <row r="112">
          <cell r="E112">
            <v>261003846</v>
          </cell>
        </row>
        <row r="113">
          <cell r="E113">
            <v>74471975.239999995</v>
          </cell>
        </row>
        <row r="114">
          <cell r="E114">
            <v>29812195.350000001</v>
          </cell>
        </row>
        <row r="116">
          <cell r="F116">
            <v>12104858.5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0">
          <cell r="F20">
            <v>91213418.060000002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  <xxl21:relativeUrl r:id="rId4"/>
    </xxl21:alternateUrls>
    <sheetNames>
      <sheetName val="FICHA TÉCNICA"/>
      <sheetName val="INDICE"/>
      <sheetName val="0. FICHA TECNICA"/>
      <sheetName val="1. RESUMEN FINANCIERO CONTRATO"/>
      <sheetName val="2. RESUMEN PRESUPUESTAL"/>
      <sheetName val="3. INGRESOS DEL CONTRATO"/>
      <sheetName val="4. E.F. CONTRATACION DEREIVADA"/>
      <sheetName val="5. PAGOS ASISTENCIA TECNICA"/>
      <sheetName val="6. REPORTES DE PAGOS"/>
      <sheetName val="7. RENDIMIENTOS FINANCIEROS"/>
      <sheetName val="8.1 PAGOS POR FUENTE"/>
      <sheetName val="8.2 CONCILIACION"/>
      <sheetName val="8.3 RETENCIONES X PAGAR"/>
      <sheetName val="PRESTÁMOS"/>
    </sheetNames>
    <sheetDataSet>
      <sheetData sheetId="0"/>
      <sheetData sheetId="1"/>
      <sheetData sheetId="2"/>
      <sheetData sheetId="3"/>
      <sheetData sheetId="4"/>
      <sheetData sheetId="5"/>
      <sheetData sheetId="6">
        <row r="20">
          <cell r="P20">
            <v>22546919.780000001</v>
          </cell>
        </row>
        <row r="21">
          <cell r="P21">
            <v>2636850.54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.E PRIORIZADAS"/>
      <sheetName val="Contrato"/>
      <sheetName val="GRUPO 11"/>
      <sheetName val="GRUPO 9"/>
      <sheetName val="BALANCE GENERAL"/>
      <sheetName val="Hoja2"/>
      <sheetName val="RETENCIONES"/>
      <sheetName val="CONTROL ICA"/>
      <sheetName val="Hoja1"/>
      <sheetName val="CAUSACION"/>
      <sheetName val="RETEGARANTIA"/>
      <sheetName val="PRESUPUESTO"/>
      <sheetName val="RENDIMIENTOS"/>
      <sheetName val="Cartera Colectiva No. 41573"/>
      <sheetName val="PAGOS CTA"/>
      <sheetName val="Cta Ahorros No. 55200"/>
      <sheetName val="GRUPO 1"/>
      <sheetName val="GRUPO 2"/>
      <sheetName val="GRUPO 3"/>
      <sheetName val="GRUPO 4"/>
      <sheetName val="GRUPO 5"/>
      <sheetName val="GRUPO 12"/>
      <sheetName val="GRUPO 6"/>
      <sheetName val="GRUPO 7"/>
      <sheetName val="GRUPO 10"/>
      <sheetName val="GRUPO 8"/>
      <sheetName val="SUMINISTROS"/>
    </sheetNames>
    <sheetDataSet>
      <sheetData sheetId="0" refreshError="1"/>
      <sheetData sheetId="1" refreshError="1">
        <row r="61">
          <cell r="F61">
            <v>119429590</v>
          </cell>
        </row>
        <row r="62">
          <cell r="F62">
            <v>198675498</v>
          </cell>
        </row>
        <row r="103">
          <cell r="F103">
            <v>50441503</v>
          </cell>
        </row>
        <row r="109">
          <cell r="F109">
            <v>33236212</v>
          </cell>
        </row>
        <row r="117">
          <cell r="F117">
            <v>37325362.030000001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9">
          <cell r="F19">
            <v>-109876099.07000001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AROLINA RODRIGUEZ MONTANA" id="{B91922C0-A8D4-44E5-BEEB-F6CE8115A3C0}" userId="S::CRODRIGUEZM@findeter.gov.co::2b975268-d279-47c1-b41a-433647876015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33" dT="2025-10-27T17:49:10.46" personId="{B91922C0-A8D4-44E5-BEEB-F6CE8115A3C0}" id="{353A8671-3071-4D90-8A79-EAAB23B7A57F}">
    <text xml:space="preserve">Incluye los $102.370,38 reconocidos como rendimientos por parte de la Fiduciaria y girados a la cuenta reportada para giro de rendimientos, en fecha 30/09/2025 según extracto. 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25"/>
  <sheetViews>
    <sheetView showGridLines="0" topLeftCell="A10" zoomScale="85" zoomScaleNormal="85" workbookViewId="0">
      <selection activeCell="XFD25" sqref="XFD25"/>
    </sheetView>
  </sheetViews>
  <sheetFormatPr baseColWidth="10" defaultColWidth="0" defaultRowHeight="15.5" zeroHeight="1" x14ac:dyDescent="0.35"/>
  <cols>
    <col min="1" max="5" width="6.36328125" style="52" customWidth="1"/>
    <col min="6" max="14" width="6.36328125" style="19" customWidth="1"/>
    <col min="15" max="15" width="0" style="19" hidden="1" customWidth="1"/>
    <col min="16" max="16383" width="5.6328125" style="19" hidden="1"/>
    <col min="16384" max="16384" width="77.08984375" style="19" customWidth="1"/>
  </cols>
  <sheetData>
    <row r="1" spans="1:14" ht="14.5" x14ac:dyDescent="0.35">
      <c r="A1" s="19"/>
      <c r="B1" s="19"/>
      <c r="C1" s="19"/>
      <c r="D1" s="19"/>
      <c r="E1" s="19"/>
    </row>
    <row r="2" spans="1:14" ht="14.5" x14ac:dyDescent="0.35">
      <c r="A2" s="19"/>
      <c r="B2" s="19"/>
      <c r="C2" s="19"/>
      <c r="D2" s="19"/>
      <c r="E2" s="19"/>
    </row>
    <row r="3" spans="1:14" ht="14.5" x14ac:dyDescent="0.35">
      <c r="A3" s="19"/>
      <c r="B3" s="19"/>
      <c r="C3" s="19"/>
      <c r="D3" s="19"/>
      <c r="E3" s="19"/>
    </row>
    <row r="4" spans="1:14" ht="14.5" x14ac:dyDescent="0.35">
      <c r="A4" s="19"/>
      <c r="B4" s="19"/>
      <c r="C4" s="19"/>
      <c r="D4" s="19"/>
      <c r="E4" s="19"/>
    </row>
    <row r="5" spans="1:14" ht="14.5" x14ac:dyDescent="0.35">
      <c r="A5" s="19"/>
      <c r="B5" s="19"/>
      <c r="C5" s="19"/>
      <c r="D5" s="19"/>
      <c r="E5" s="19"/>
    </row>
    <row r="6" spans="1:14" ht="14.5" x14ac:dyDescent="0.35">
      <c r="A6" s="19"/>
      <c r="B6" s="19"/>
      <c r="C6" s="19"/>
      <c r="D6" s="19"/>
      <c r="E6" s="19"/>
    </row>
    <row r="7" spans="1:14" ht="14.5" x14ac:dyDescent="0.35">
      <c r="A7" s="19"/>
      <c r="B7" s="19"/>
      <c r="C7" s="19"/>
      <c r="D7" s="19"/>
      <c r="E7" s="19"/>
    </row>
    <row r="8" spans="1:14" ht="23.5" x14ac:dyDescent="0.55000000000000004">
      <c r="A8" s="268" t="s">
        <v>0</v>
      </c>
      <c r="B8" s="268"/>
      <c r="C8" s="268"/>
      <c r="D8" s="268"/>
      <c r="E8" s="268"/>
      <c r="F8" s="268"/>
      <c r="G8" s="268"/>
      <c r="H8" s="268"/>
      <c r="I8" s="268"/>
      <c r="J8" s="268"/>
      <c r="K8" s="268"/>
      <c r="L8" s="268"/>
      <c r="M8" s="268"/>
      <c r="N8" s="268"/>
    </row>
    <row r="9" spans="1:14" ht="14.5" x14ac:dyDescent="0.35">
      <c r="A9" s="19"/>
      <c r="B9" s="19"/>
      <c r="C9" s="19"/>
      <c r="D9" s="19"/>
      <c r="E9" s="19"/>
    </row>
    <row r="10" spans="1:14" ht="14.5" x14ac:dyDescent="0.35">
      <c r="A10" s="267" t="s">
        <v>1</v>
      </c>
      <c r="B10" s="267"/>
      <c r="C10" s="267"/>
      <c r="D10" s="19" t="s">
        <v>166</v>
      </c>
      <c r="E10" s="19"/>
    </row>
    <row r="11" spans="1:14" ht="14.5" x14ac:dyDescent="0.35">
      <c r="A11" s="267" t="s">
        <v>2</v>
      </c>
      <c r="B11" s="267"/>
      <c r="C11" s="267"/>
      <c r="D11" s="19" t="s">
        <v>169</v>
      </c>
      <c r="E11" s="19"/>
    </row>
    <row r="12" spans="1:14" ht="14.5" x14ac:dyDescent="0.35">
      <c r="A12" s="267" t="s">
        <v>3</v>
      </c>
      <c r="B12" s="267"/>
      <c r="C12" s="267"/>
      <c r="D12" s="19" t="s">
        <v>4</v>
      </c>
      <c r="E12" s="19"/>
    </row>
    <row r="13" spans="1:14" ht="14.5" x14ac:dyDescent="0.35">
      <c r="A13" s="51"/>
      <c r="B13" s="51"/>
      <c r="C13" s="51"/>
      <c r="D13" s="19"/>
      <c r="E13" s="19"/>
    </row>
    <row r="14" spans="1:14" ht="14.5" x14ac:dyDescent="0.35">
      <c r="A14" s="267" t="s">
        <v>5</v>
      </c>
      <c r="B14" s="267"/>
      <c r="C14" s="267"/>
      <c r="D14" s="19" t="s">
        <v>661</v>
      </c>
      <c r="E14" s="19"/>
      <c r="M14" s="91">
        <v>46142</v>
      </c>
    </row>
    <row r="15" spans="1:14" ht="14.5" x14ac:dyDescent="0.35">
      <c r="A15" s="51"/>
      <c r="B15" s="51"/>
      <c r="C15" s="51"/>
      <c r="D15" s="19"/>
      <c r="E15" s="19"/>
    </row>
    <row r="16" spans="1:14" ht="14.5" x14ac:dyDescent="0.35">
      <c r="A16" s="267" t="s">
        <v>6</v>
      </c>
      <c r="B16" s="267"/>
      <c r="C16" s="267"/>
      <c r="D16" s="19"/>
      <c r="E16" s="19"/>
    </row>
    <row r="17" spans="1:14" ht="26.25" customHeight="1" x14ac:dyDescent="0.35">
      <c r="A17" s="265">
        <v>0</v>
      </c>
      <c r="B17" s="266"/>
      <c r="C17" s="266"/>
      <c r="D17" s="269" t="s">
        <v>7</v>
      </c>
      <c r="E17" s="269"/>
      <c r="F17" s="269"/>
      <c r="G17" s="269"/>
      <c r="H17" s="269"/>
      <c r="I17" s="269"/>
      <c r="J17" s="269"/>
      <c r="K17" s="269"/>
      <c r="L17" s="269"/>
      <c r="M17" s="269"/>
      <c r="N17" s="270"/>
    </row>
    <row r="18" spans="1:14" ht="26.25" customHeight="1" x14ac:dyDescent="0.35">
      <c r="A18" s="265">
        <v>1</v>
      </c>
      <c r="B18" s="266"/>
      <c r="C18" s="266"/>
      <c r="D18" s="269" t="s">
        <v>8</v>
      </c>
      <c r="E18" s="269"/>
      <c r="F18" s="269"/>
      <c r="G18" s="269"/>
      <c r="H18" s="269"/>
      <c r="I18" s="269"/>
      <c r="J18" s="269"/>
      <c r="K18" s="269"/>
      <c r="L18" s="269"/>
      <c r="M18" s="269"/>
      <c r="N18" s="270"/>
    </row>
    <row r="19" spans="1:14" ht="26.25" customHeight="1" x14ac:dyDescent="0.35">
      <c r="A19" s="265">
        <v>2</v>
      </c>
      <c r="B19" s="266"/>
      <c r="C19" s="266"/>
      <c r="D19" s="269" t="s">
        <v>9</v>
      </c>
      <c r="E19" s="269"/>
      <c r="F19" s="269"/>
      <c r="G19" s="269"/>
      <c r="H19" s="269"/>
      <c r="I19" s="269"/>
      <c r="J19" s="269"/>
      <c r="K19" s="269"/>
      <c r="L19" s="269"/>
      <c r="M19" s="269"/>
      <c r="N19" s="269"/>
    </row>
    <row r="20" spans="1:14" ht="26.25" customHeight="1" x14ac:dyDescent="0.35">
      <c r="A20" s="265">
        <v>3</v>
      </c>
      <c r="B20" s="266"/>
      <c r="C20" s="266"/>
      <c r="D20" s="269" t="s">
        <v>10</v>
      </c>
      <c r="E20" s="269"/>
      <c r="F20" s="269"/>
      <c r="G20" s="269"/>
      <c r="H20" s="269"/>
      <c r="I20" s="269"/>
      <c r="J20" s="269"/>
      <c r="K20" s="269"/>
      <c r="L20" s="269"/>
      <c r="M20" s="269"/>
      <c r="N20" s="269"/>
    </row>
    <row r="21" spans="1:14" ht="26.25" customHeight="1" x14ac:dyDescent="0.35">
      <c r="A21" s="265">
        <v>4</v>
      </c>
      <c r="B21" s="266"/>
      <c r="C21" s="266"/>
      <c r="D21" s="269" t="s">
        <v>11</v>
      </c>
      <c r="E21" s="269"/>
      <c r="F21" s="269"/>
      <c r="G21" s="269"/>
      <c r="H21" s="269"/>
      <c r="I21" s="269"/>
      <c r="J21" s="269"/>
      <c r="K21" s="269"/>
      <c r="L21" s="269"/>
      <c r="M21" s="269"/>
      <c r="N21" s="269"/>
    </row>
    <row r="22" spans="1:14" ht="26.25" customHeight="1" x14ac:dyDescent="0.35">
      <c r="A22" s="265">
        <v>5</v>
      </c>
      <c r="B22" s="266"/>
      <c r="C22" s="266"/>
      <c r="D22" s="269" t="s">
        <v>12</v>
      </c>
      <c r="E22" s="269"/>
      <c r="F22" s="269"/>
      <c r="G22" s="269"/>
      <c r="H22" s="269"/>
      <c r="I22" s="269"/>
      <c r="J22" s="269"/>
      <c r="K22" s="269"/>
      <c r="L22" s="269"/>
      <c r="M22" s="269"/>
      <c r="N22" s="269"/>
    </row>
    <row r="23" spans="1:14" ht="26.25" customHeight="1" x14ac:dyDescent="0.35">
      <c r="A23" s="265">
        <v>6</v>
      </c>
      <c r="B23" s="266"/>
      <c r="C23" s="266"/>
      <c r="D23" s="269" t="s">
        <v>13</v>
      </c>
      <c r="E23" s="269"/>
      <c r="F23" s="269"/>
      <c r="G23" s="269"/>
      <c r="H23" s="269"/>
      <c r="I23" s="269"/>
      <c r="J23" s="269"/>
      <c r="K23" s="269"/>
      <c r="L23" s="269"/>
      <c r="M23" s="269"/>
      <c r="N23" s="269"/>
    </row>
    <row r="24" spans="1:14" ht="26.25" customHeight="1" x14ac:dyDescent="0.35">
      <c r="A24" s="265">
        <v>7</v>
      </c>
      <c r="B24" s="266"/>
      <c r="C24" s="266"/>
      <c r="D24" s="269" t="s">
        <v>14</v>
      </c>
      <c r="E24" s="269"/>
      <c r="F24" s="269"/>
      <c r="G24" s="269"/>
      <c r="H24" s="269"/>
      <c r="I24" s="269"/>
      <c r="J24" s="269"/>
      <c r="K24" s="269"/>
      <c r="L24" s="269"/>
      <c r="M24" s="269"/>
      <c r="N24" s="269"/>
    </row>
    <row r="25" spans="1:14" ht="24" customHeight="1" x14ac:dyDescent="0.35"/>
  </sheetData>
  <sheetProtection algorithmName="SHA-512" hashValue="rS+fents+XoI4mkzJbzwOlwQWKGPmRBFo+cs0H8mam/cVRk0uIoObj4GOsadBPePUxaASXXnZWfCPv5O0RuTEQ==" saltValue="nj4fJ8iqkDHzfF7f15kxVA==" spinCount="100000" sheet="1" objects="1" scenarios="1"/>
  <mergeCells count="22">
    <mergeCell ref="D23:N23"/>
    <mergeCell ref="D24:N24"/>
    <mergeCell ref="D18:N18"/>
    <mergeCell ref="D19:N19"/>
    <mergeCell ref="D20:N20"/>
    <mergeCell ref="D21:N21"/>
    <mergeCell ref="D22:N22"/>
    <mergeCell ref="A24:C24"/>
    <mergeCell ref="A18:C18"/>
    <mergeCell ref="A19:C19"/>
    <mergeCell ref="A20:C20"/>
    <mergeCell ref="A21:C21"/>
    <mergeCell ref="A22:C22"/>
    <mergeCell ref="A23:C23"/>
    <mergeCell ref="A17:C17"/>
    <mergeCell ref="A16:C16"/>
    <mergeCell ref="A8:N8"/>
    <mergeCell ref="A10:C10"/>
    <mergeCell ref="A12:C12"/>
    <mergeCell ref="A11:C11"/>
    <mergeCell ref="A14:C14"/>
    <mergeCell ref="D17:N17"/>
  </mergeCells>
  <hyperlinks>
    <hyperlink ref="D17" location="'FICHA TÉCNICA'!A1" display="Ficha Técnica Contrato" xr:uid="{F567E511-D648-4416-A8C9-82216CE31785}"/>
    <hyperlink ref="D17:N17" location="'0.Ficha Técnica'!A1" display="Ficha Técnica" xr:uid="{BC23E6B5-A3CF-4694-A696-4FD81907A767}"/>
    <hyperlink ref="D19" location="'SALDO POR CDP'!A1" display="Saldo por CDP" xr:uid="{5B1CD429-C006-40FA-AF25-57786E0D4335}"/>
    <hyperlink ref="D21" location="'CONTROL CONTRATOS'!A1" display="Control Resumen de Contratos" xr:uid="{3FA010F5-7B39-4EA1-9AE7-DC1D47820A5F}"/>
    <hyperlink ref="D22" location="'REMUNERACIÓN FINDETER'!A1" display="Remuneación Findeter" xr:uid="{0F3A50AC-8863-4492-AB87-507015459875}"/>
    <hyperlink ref="D23" location="'PAGOS REALIZADOS'!A1" display="Pagos realizados" xr:uid="{15E6BD3B-8B29-4D39-BF86-5F1FE5B73CBB}"/>
    <hyperlink ref="D18" location="'CONTROL DE SALDOS'!A1" display="Control de Saldos - Recursos Contrato " xr:uid="{53A80965-56D7-4E77-923E-99325E29443B}"/>
    <hyperlink ref="D18:N18" location="'1.Resumen Financiero Contrato'!A1" display="Resumen Financiero del Contrato" xr:uid="{225505D5-85A1-471B-99A4-305167B746CC}"/>
    <hyperlink ref="D19:N19" location="'2.Resumen Presupuestal'!A1" display="Resumen Presupuestal" xr:uid="{46CC295E-472A-49F0-BBBD-CAD69257EF2C}"/>
    <hyperlink ref="D21:N21" location="'4.E.F. Contratación Derivada'!A1" display="Ejecución Financiero Contratación Derivada" xr:uid="{8874D027-2FD0-47B2-BAC4-8049BB3F89EE}"/>
    <hyperlink ref="D22:N22" location="'5.Pagos Asistencia Ténica'!A1" display="Pagos Asistencia Ténica" xr:uid="{4BF99CA8-55D2-4CC0-8142-68CD6D2FBC3A}"/>
    <hyperlink ref="D23:N23" location="'6.Reportes de Pagos'!A1" display="Reportes de Pagos" xr:uid="{BDBD6180-14D3-4626-B821-8CBD647BF9A9}"/>
    <hyperlink ref="D24" location="'RENDIMIENTOS FINANCIEROS '!A1" display="Rendimientos Financieros" xr:uid="{D561EBC0-E011-4D34-9912-2E428A7E1798}"/>
    <hyperlink ref="D24:N24" location="'7.Rendimientos Financieros'!A1" display="Rendimientos Financieros" xr:uid="{D788C475-B69F-424E-B14B-BF6B8BA34FF3}"/>
    <hyperlink ref="D20:N20" location="'3.Ingresos del Contrato'!A1" display="Ingresos del Contrato" xr:uid="{5463E7AE-EEC2-4692-92CB-B05F0020EEBC}"/>
    <hyperlink ref="D20" location="DESEMBOLSOS!A1" display="Desembolsos" xr:uid="{919A3E99-8370-4600-BBA3-0E5B6FB5B43A}"/>
  </hyperlinks>
  <pageMargins left="0.70866141732283472" right="0.70866141732283472" top="0.74803149606299213" bottom="0.74803149606299213" header="0.31496062992125984" footer="0.31496062992125984"/>
  <pageSetup scale="5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L40"/>
  <sheetViews>
    <sheetView showGridLines="0" topLeftCell="J7" zoomScale="85" zoomScaleNormal="85" zoomScaleSheetLayoutView="85" workbookViewId="0">
      <selection activeCell="T9" sqref="T9"/>
    </sheetView>
  </sheetViews>
  <sheetFormatPr baseColWidth="10" defaultColWidth="11.453125" defaultRowHeight="14.5" x14ac:dyDescent="0.35"/>
  <cols>
    <col min="1" max="1" width="7.36328125" style="19" customWidth="1"/>
    <col min="2" max="2" width="15.36328125" style="19" customWidth="1"/>
    <col min="3" max="3" width="36.6328125" style="19" customWidth="1"/>
    <col min="4" max="4" width="15.6328125" style="19" customWidth="1"/>
    <col min="5" max="5" width="12.6328125" style="19" customWidth="1"/>
    <col min="6" max="6" width="13" style="19" customWidth="1"/>
    <col min="7" max="7" width="11.54296875" style="19" customWidth="1"/>
    <col min="8" max="8" width="11.6328125" style="19" customWidth="1"/>
    <col min="9" max="9" width="19" style="19" customWidth="1"/>
    <col min="10" max="10" width="13.453125" style="19" customWidth="1"/>
    <col min="11" max="11" width="19" style="19" customWidth="1"/>
    <col min="12" max="12" width="16.6328125" style="19" customWidth="1"/>
    <col min="13" max="13" width="9.6328125" style="19" customWidth="1"/>
    <col min="14" max="14" width="16.6328125" style="19" customWidth="1"/>
    <col min="15" max="15" width="16.54296875" style="19" customWidth="1"/>
    <col min="16" max="16" width="10.36328125" style="19" customWidth="1"/>
    <col min="17" max="17" width="9.6328125" style="19" customWidth="1"/>
    <col min="18" max="18" width="16.6328125" style="19" customWidth="1"/>
    <col min="19" max="19" width="16.54296875" style="19" customWidth="1"/>
    <col min="20" max="20" width="10.36328125" style="19" customWidth="1"/>
    <col min="21" max="21" width="11.453125" style="19" customWidth="1"/>
    <col min="22" max="22" width="29.54296875" style="19" customWidth="1"/>
    <col min="23" max="24" width="11.453125" style="19" customWidth="1"/>
    <col min="25" max="25" width="11.453125" style="19" hidden="1" customWidth="1"/>
    <col min="26" max="26" width="30.6328125" style="19" hidden="1" customWidth="1"/>
    <col min="27" max="28" width="13.453125" style="19" hidden="1" customWidth="1"/>
    <col min="29" max="60" width="11.453125" style="19" hidden="1" customWidth="1"/>
    <col min="61" max="61" width="16.54296875" style="19" customWidth="1"/>
    <col min="62" max="62" width="19.453125" style="19" customWidth="1"/>
    <col min="63" max="63" width="13.453125" style="19" customWidth="1"/>
    <col min="64" max="64" width="14.6328125" style="19" customWidth="1"/>
    <col min="65" max="16384" width="11.453125" style="19"/>
  </cols>
  <sheetData>
    <row r="1" spans="1:64" ht="15.5" x14ac:dyDescent="0.35">
      <c r="A1" s="258" t="str">
        <f>CONTRATO</f>
        <v>Contrato Interadministrativo No. CO1.PCCNTR. 4917031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</row>
    <row r="2" spans="1:64" ht="15.5" x14ac:dyDescent="0.35">
      <c r="A2" s="258" t="s">
        <v>4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64" ht="15.5" x14ac:dyDescent="0.35">
      <c r="A3" s="258" t="s">
        <v>15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</row>
    <row r="4" spans="1:64" ht="18.5" x14ac:dyDescent="0.45">
      <c r="A4" s="259" t="s">
        <v>16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</row>
    <row r="5" spans="1:64" ht="18.5" x14ac:dyDescent="0.45">
      <c r="A5" s="140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</row>
    <row r="6" spans="1:64" x14ac:dyDescent="0.35">
      <c r="G6"/>
    </row>
    <row r="7" spans="1:64" s="76" customFormat="1" ht="29" x14ac:dyDescent="0.35">
      <c r="A7" s="260" t="s">
        <v>17</v>
      </c>
      <c r="B7" s="260" t="s">
        <v>18</v>
      </c>
      <c r="C7" s="260" t="s">
        <v>19</v>
      </c>
      <c r="D7" s="260" t="s">
        <v>20</v>
      </c>
      <c r="E7" s="260" t="s">
        <v>21</v>
      </c>
      <c r="F7" s="260" t="s">
        <v>22</v>
      </c>
      <c r="G7" s="260" t="s">
        <v>23</v>
      </c>
      <c r="H7" s="260" t="s">
        <v>24</v>
      </c>
      <c r="I7" s="260" t="s">
        <v>25</v>
      </c>
      <c r="J7" s="260" t="s">
        <v>26</v>
      </c>
      <c r="K7" s="260" t="s">
        <v>27</v>
      </c>
      <c r="L7" s="260" t="s">
        <v>28</v>
      </c>
      <c r="M7" s="262" t="s">
        <v>29</v>
      </c>
      <c r="N7" s="263"/>
      <c r="O7" s="263"/>
      <c r="P7" s="264"/>
      <c r="Q7" s="262" t="s">
        <v>30</v>
      </c>
      <c r="R7" s="263"/>
      <c r="S7" s="263"/>
      <c r="T7" s="264"/>
      <c r="U7" s="262" t="s">
        <v>31</v>
      </c>
      <c r="V7" s="263"/>
      <c r="W7" s="263"/>
      <c r="X7" s="264"/>
      <c r="Y7" s="262" t="s">
        <v>32</v>
      </c>
      <c r="Z7" s="263"/>
      <c r="AA7" s="263"/>
      <c r="AB7" s="264"/>
      <c r="AC7" s="262" t="s">
        <v>33</v>
      </c>
      <c r="AD7" s="263"/>
      <c r="AE7" s="263"/>
      <c r="AF7" s="264"/>
      <c r="AG7" s="125" t="s">
        <v>34</v>
      </c>
      <c r="AH7" s="125"/>
      <c r="AI7" s="125"/>
      <c r="AJ7" s="125"/>
      <c r="AK7" s="125" t="s">
        <v>35</v>
      </c>
      <c r="AL7" s="125"/>
      <c r="AM7" s="125"/>
      <c r="AN7" s="125"/>
      <c r="AO7" s="125" t="s">
        <v>36</v>
      </c>
      <c r="AP7" s="125"/>
      <c r="AQ7" s="125"/>
      <c r="AR7" s="125"/>
      <c r="AS7" s="125" t="s">
        <v>37</v>
      </c>
      <c r="AT7" s="125"/>
      <c r="AU7" s="125"/>
      <c r="AV7" s="125"/>
      <c r="AW7" s="125" t="s">
        <v>38</v>
      </c>
      <c r="AX7" s="125"/>
      <c r="AY7" s="125"/>
      <c r="AZ7" s="125"/>
      <c r="BA7" s="125" t="s">
        <v>39</v>
      </c>
      <c r="BB7" s="125"/>
      <c r="BC7" s="125"/>
      <c r="BD7" s="125"/>
      <c r="BE7" s="125" t="s">
        <v>40</v>
      </c>
      <c r="BF7" s="125"/>
      <c r="BG7" s="125"/>
      <c r="BH7" s="125"/>
      <c r="BI7" s="260" t="s">
        <v>41</v>
      </c>
      <c r="BJ7" s="260" t="s">
        <v>42</v>
      </c>
      <c r="BK7" s="260" t="s">
        <v>43</v>
      </c>
      <c r="BL7" s="260" t="s">
        <v>44</v>
      </c>
    </row>
    <row r="8" spans="1:64" s="76" customFormat="1" ht="72" customHeight="1" x14ac:dyDescent="0.35">
      <c r="A8" s="261"/>
      <c r="B8" s="261"/>
      <c r="C8" s="261"/>
      <c r="D8" s="261"/>
      <c r="E8" s="261"/>
      <c r="F8" s="261"/>
      <c r="G8" s="261"/>
      <c r="H8" s="261"/>
      <c r="I8" s="261"/>
      <c r="J8" s="261"/>
      <c r="K8" s="261"/>
      <c r="L8" s="261"/>
      <c r="M8" s="125" t="s">
        <v>45</v>
      </c>
      <c r="N8" s="125" t="s">
        <v>46</v>
      </c>
      <c r="O8" s="125" t="s">
        <v>47</v>
      </c>
      <c r="P8" s="125" t="s">
        <v>48</v>
      </c>
      <c r="Q8" s="125" t="s">
        <v>45</v>
      </c>
      <c r="R8" s="125" t="s">
        <v>46</v>
      </c>
      <c r="S8" s="125" t="s">
        <v>47</v>
      </c>
      <c r="T8" s="125" t="s">
        <v>48</v>
      </c>
      <c r="U8" s="125" t="s">
        <v>45</v>
      </c>
      <c r="V8" s="125" t="s">
        <v>46</v>
      </c>
      <c r="W8" s="125" t="s">
        <v>47</v>
      </c>
      <c r="X8" s="125" t="s">
        <v>48</v>
      </c>
      <c r="Y8" s="125" t="s">
        <v>45</v>
      </c>
      <c r="Z8" s="125" t="s">
        <v>46</v>
      </c>
      <c r="AA8" s="125" t="s">
        <v>47</v>
      </c>
      <c r="AB8" s="125" t="s">
        <v>48</v>
      </c>
      <c r="AC8" s="125" t="s">
        <v>45</v>
      </c>
      <c r="AD8" s="125" t="s">
        <v>46</v>
      </c>
      <c r="AE8" s="125" t="s">
        <v>47</v>
      </c>
      <c r="AF8" s="125" t="s">
        <v>48</v>
      </c>
      <c r="AG8" s="125" t="s">
        <v>45</v>
      </c>
      <c r="AH8" s="125" t="s">
        <v>46</v>
      </c>
      <c r="AI8" s="125" t="s">
        <v>47</v>
      </c>
      <c r="AJ8" s="125" t="s">
        <v>48</v>
      </c>
      <c r="AK8" s="125" t="s">
        <v>45</v>
      </c>
      <c r="AL8" s="125" t="s">
        <v>46</v>
      </c>
      <c r="AM8" s="125" t="s">
        <v>47</v>
      </c>
      <c r="AN8" s="125" t="s">
        <v>48</v>
      </c>
      <c r="AO8" s="125" t="s">
        <v>45</v>
      </c>
      <c r="AP8" s="125" t="s">
        <v>46</v>
      </c>
      <c r="AQ8" s="125" t="s">
        <v>47</v>
      </c>
      <c r="AR8" s="125" t="s">
        <v>48</v>
      </c>
      <c r="AS8" s="125" t="s">
        <v>45</v>
      </c>
      <c r="AT8" s="125" t="s">
        <v>46</v>
      </c>
      <c r="AU8" s="125" t="s">
        <v>47</v>
      </c>
      <c r="AV8" s="125" t="s">
        <v>48</v>
      </c>
      <c r="AW8" s="125" t="s">
        <v>45</v>
      </c>
      <c r="AX8" s="125" t="s">
        <v>46</v>
      </c>
      <c r="AY8" s="125" t="s">
        <v>47</v>
      </c>
      <c r="AZ8" s="125" t="s">
        <v>48</v>
      </c>
      <c r="BA8" s="125" t="s">
        <v>45</v>
      </c>
      <c r="BB8" s="125" t="s">
        <v>46</v>
      </c>
      <c r="BC8" s="125" t="s">
        <v>47</v>
      </c>
      <c r="BD8" s="125" t="s">
        <v>48</v>
      </c>
      <c r="BE8" s="125" t="s">
        <v>45</v>
      </c>
      <c r="BF8" s="125" t="s">
        <v>46</v>
      </c>
      <c r="BG8" s="125" t="s">
        <v>47</v>
      </c>
      <c r="BH8" s="125" t="s">
        <v>48</v>
      </c>
      <c r="BI8" s="261"/>
      <c r="BJ8" s="261"/>
      <c r="BK8" s="261"/>
      <c r="BL8" s="261"/>
    </row>
    <row r="9" spans="1:64" s="86" customFormat="1" ht="252" customHeight="1" x14ac:dyDescent="0.35">
      <c r="A9" s="77">
        <v>1</v>
      </c>
      <c r="B9" s="78" t="s">
        <v>167</v>
      </c>
      <c r="C9" s="79" t="s">
        <v>168</v>
      </c>
      <c r="D9" s="80" t="s">
        <v>49</v>
      </c>
      <c r="E9" s="80" t="s">
        <v>50</v>
      </c>
      <c r="F9" s="80" t="s">
        <v>51</v>
      </c>
      <c r="G9" s="80" t="s">
        <v>52</v>
      </c>
      <c r="H9" s="81" t="str">
        <f>+'Indice Informe Financiero'!D11</f>
        <v>5 de mayo de 2023</v>
      </c>
      <c r="I9" s="84">
        <v>63650000000</v>
      </c>
      <c r="J9" s="81">
        <v>45231</v>
      </c>
      <c r="K9" s="82" t="s">
        <v>170</v>
      </c>
      <c r="L9" s="82" t="s">
        <v>171</v>
      </c>
      <c r="M9" s="81">
        <v>45231</v>
      </c>
      <c r="N9" s="80" t="s">
        <v>172</v>
      </c>
      <c r="O9" s="84">
        <v>0</v>
      </c>
      <c r="P9" s="81" t="s">
        <v>173</v>
      </c>
      <c r="Q9" s="81">
        <v>45597</v>
      </c>
      <c r="R9" s="80" t="s">
        <v>174</v>
      </c>
      <c r="S9" s="84">
        <v>0</v>
      </c>
      <c r="T9" s="81">
        <v>45839</v>
      </c>
      <c r="U9" s="81">
        <v>45835</v>
      </c>
      <c r="V9" s="80" t="s">
        <v>565</v>
      </c>
      <c r="W9" s="84">
        <v>0</v>
      </c>
      <c r="X9" s="81">
        <v>46143</v>
      </c>
      <c r="Y9" s="81"/>
      <c r="Z9" s="83"/>
      <c r="AA9" s="84"/>
      <c r="AB9" s="81"/>
      <c r="AC9" s="85" t="s">
        <v>53</v>
      </c>
      <c r="AD9" s="83" t="s">
        <v>53</v>
      </c>
      <c r="AE9" s="84">
        <v>0</v>
      </c>
      <c r="AF9" s="81" t="s">
        <v>53</v>
      </c>
      <c r="AG9" s="85" t="s">
        <v>53</v>
      </c>
      <c r="AH9" s="83" t="s">
        <v>53</v>
      </c>
      <c r="AI9" s="84">
        <v>0</v>
      </c>
      <c r="AJ9" s="81" t="s">
        <v>53</v>
      </c>
      <c r="AK9" s="85" t="s">
        <v>53</v>
      </c>
      <c r="AL9" s="83" t="s">
        <v>53</v>
      </c>
      <c r="AM9" s="84">
        <v>0</v>
      </c>
      <c r="AN9" s="81" t="s">
        <v>53</v>
      </c>
      <c r="AO9" s="85" t="s">
        <v>53</v>
      </c>
      <c r="AP9" s="83" t="s">
        <v>53</v>
      </c>
      <c r="AQ9" s="84">
        <v>0</v>
      </c>
      <c r="AR9" s="81" t="s">
        <v>53</v>
      </c>
      <c r="AS9" s="85" t="s">
        <v>53</v>
      </c>
      <c r="AT9" s="83" t="s">
        <v>53</v>
      </c>
      <c r="AU9" s="84">
        <v>0</v>
      </c>
      <c r="AV9" s="81" t="s">
        <v>53</v>
      </c>
      <c r="AW9" s="85" t="s">
        <v>53</v>
      </c>
      <c r="AX9" s="84">
        <v>0</v>
      </c>
      <c r="AY9" s="84">
        <v>0</v>
      </c>
      <c r="AZ9" s="81" t="s">
        <v>53</v>
      </c>
      <c r="BA9" s="85" t="s">
        <v>53</v>
      </c>
      <c r="BB9" s="83" t="s">
        <v>53</v>
      </c>
      <c r="BC9" s="84">
        <v>0</v>
      </c>
      <c r="BD9" s="81" t="s">
        <v>53</v>
      </c>
      <c r="BE9" s="85" t="s">
        <v>53</v>
      </c>
      <c r="BF9" s="83" t="s">
        <v>53</v>
      </c>
      <c r="BG9" s="84">
        <v>0</v>
      </c>
      <c r="BH9" s="81" t="s">
        <v>53</v>
      </c>
      <c r="BI9" s="84">
        <f>+S9+W9+AA9+O9</f>
        <v>0</v>
      </c>
      <c r="BJ9" s="84">
        <f>+I9+BI9</f>
        <v>63650000000</v>
      </c>
      <c r="BK9" s="81">
        <f>+X9</f>
        <v>46143</v>
      </c>
      <c r="BL9" s="81" t="s">
        <v>54</v>
      </c>
    </row>
    <row r="11" spans="1:64" x14ac:dyDescent="0.35">
      <c r="O11" s="87"/>
    </row>
    <row r="14" spans="1:64" x14ac:dyDescent="0.35">
      <c r="B14" s="92"/>
    </row>
    <row r="15" spans="1:64" x14ac:dyDescent="0.35">
      <c r="B15" s="92"/>
    </row>
    <row r="16" spans="1:64" x14ac:dyDescent="0.35">
      <c r="B16" s="92"/>
      <c r="E16" s="139"/>
    </row>
    <row r="17" spans="2:2" x14ac:dyDescent="0.35">
      <c r="B17" s="92"/>
    </row>
    <row r="18" spans="2:2" x14ac:dyDescent="0.35">
      <c r="B18" s="92"/>
    </row>
    <row r="19" spans="2:2" x14ac:dyDescent="0.35">
      <c r="B19" s="92"/>
    </row>
    <row r="20" spans="2:2" x14ac:dyDescent="0.35">
      <c r="B20" s="92"/>
    </row>
    <row r="21" spans="2:2" x14ac:dyDescent="0.35">
      <c r="B21" s="92"/>
    </row>
    <row r="22" spans="2:2" x14ac:dyDescent="0.35">
      <c r="B22" s="92"/>
    </row>
    <row r="23" spans="2:2" x14ac:dyDescent="0.35">
      <c r="B23" s="92"/>
    </row>
    <row r="24" spans="2:2" x14ac:dyDescent="0.35">
      <c r="B24" s="92"/>
    </row>
    <row r="25" spans="2:2" x14ac:dyDescent="0.35">
      <c r="B25" s="92"/>
    </row>
    <row r="26" spans="2:2" x14ac:dyDescent="0.35">
      <c r="B26" s="92"/>
    </row>
    <row r="27" spans="2:2" x14ac:dyDescent="0.35">
      <c r="B27" s="92"/>
    </row>
    <row r="28" spans="2:2" x14ac:dyDescent="0.35">
      <c r="B28" s="92"/>
    </row>
    <row r="29" spans="2:2" x14ac:dyDescent="0.35">
      <c r="B29" s="92"/>
    </row>
    <row r="30" spans="2:2" x14ac:dyDescent="0.35">
      <c r="B30" s="92"/>
    </row>
    <row r="31" spans="2:2" x14ac:dyDescent="0.35">
      <c r="B31" s="92"/>
    </row>
    <row r="32" spans="2:2" x14ac:dyDescent="0.35">
      <c r="B32" s="92"/>
    </row>
    <row r="33" spans="2:2" x14ac:dyDescent="0.35">
      <c r="B33" s="92"/>
    </row>
    <row r="34" spans="2:2" x14ac:dyDescent="0.35">
      <c r="B34" s="92"/>
    </row>
    <row r="35" spans="2:2" x14ac:dyDescent="0.35">
      <c r="B35" s="92"/>
    </row>
    <row r="36" spans="2:2" x14ac:dyDescent="0.35">
      <c r="B36" s="92"/>
    </row>
    <row r="37" spans="2:2" x14ac:dyDescent="0.35">
      <c r="B37" s="92"/>
    </row>
    <row r="38" spans="2:2" x14ac:dyDescent="0.35">
      <c r="B38" s="92"/>
    </row>
    <row r="39" spans="2:2" x14ac:dyDescent="0.35">
      <c r="B39" s="92"/>
    </row>
    <row r="40" spans="2:2" x14ac:dyDescent="0.35">
      <c r="B40" s="92"/>
    </row>
  </sheetData>
  <mergeCells count="25">
    <mergeCell ref="BJ7:BJ8"/>
    <mergeCell ref="U7:X7"/>
    <mergeCell ref="Y7:AB7"/>
    <mergeCell ref="F7:F8"/>
    <mergeCell ref="M7:P7"/>
    <mergeCell ref="G7:G8"/>
    <mergeCell ref="H7:H8"/>
    <mergeCell ref="I7:I8"/>
    <mergeCell ref="AC7:AF7"/>
    <mergeCell ref="A1:P1"/>
    <mergeCell ref="A2:P2"/>
    <mergeCell ref="A3:P3"/>
    <mergeCell ref="A4:P4"/>
    <mergeCell ref="BL7:BL8"/>
    <mergeCell ref="J7:J8"/>
    <mergeCell ref="K7:K8"/>
    <mergeCell ref="L7:L8"/>
    <mergeCell ref="A7:A8"/>
    <mergeCell ref="B7:B8"/>
    <mergeCell ref="C7:C8"/>
    <mergeCell ref="BK7:BK8"/>
    <mergeCell ref="D7:D8"/>
    <mergeCell ref="E7:E8"/>
    <mergeCell ref="Q7:T7"/>
    <mergeCell ref="BI7:BI8"/>
  </mergeCells>
  <pageMargins left="0.70866141732283472" right="0.70866141732283472" top="0.74803149606299213" bottom="0.74803149606299213" header="0.31496062992125984" footer="0.31496062992125984"/>
  <pageSetup scale="55" fitToWidth="2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U54"/>
  <sheetViews>
    <sheetView showGridLines="0" view="pageBreakPreview" topLeftCell="E4" zoomScale="85" zoomScaleNormal="85" zoomScaleSheetLayoutView="85" workbookViewId="0">
      <pane ySplit="5" topLeftCell="A38" activePane="bottomLeft" state="frozen"/>
      <selection activeCell="A4" sqref="A4"/>
      <selection pane="bottomLeft" activeCell="K47" sqref="K47"/>
    </sheetView>
  </sheetViews>
  <sheetFormatPr baseColWidth="10" defaultColWidth="11.453125" defaultRowHeight="14.5" x14ac:dyDescent="0.35"/>
  <cols>
    <col min="1" max="1" width="16.1796875" bestFit="1" customWidth="1"/>
    <col min="2" max="2" width="28.36328125" bestFit="1" customWidth="1"/>
    <col min="3" max="3" width="18.54296875" customWidth="1"/>
    <col min="4" max="4" width="16.81640625" bestFit="1" customWidth="1"/>
    <col min="5" max="5" width="21.81640625" bestFit="1" customWidth="1"/>
    <col min="6" max="6" width="22.90625" bestFit="1" customWidth="1"/>
    <col min="7" max="7" width="17.1796875" bestFit="1" customWidth="1"/>
    <col min="8" max="8" width="22.90625" bestFit="1" customWidth="1"/>
    <col min="9" max="9" width="18" bestFit="1" customWidth="1"/>
    <col min="10" max="10" width="29.1796875" customWidth="1"/>
    <col min="11" max="11" width="22.1796875" bestFit="1" customWidth="1"/>
    <col min="12" max="12" width="22" bestFit="1" customWidth="1"/>
    <col min="13" max="13" width="26" bestFit="1" customWidth="1"/>
    <col min="14" max="14" width="22.453125" bestFit="1" customWidth="1"/>
    <col min="15" max="15" width="24" bestFit="1" customWidth="1"/>
    <col min="16" max="16" width="15.36328125" hidden="1" customWidth="1"/>
    <col min="17" max="17" width="17" hidden="1" customWidth="1"/>
    <col min="18" max="18" width="118.453125" bestFit="1" customWidth="1"/>
    <col min="19" max="19" width="17.1796875" bestFit="1" customWidth="1"/>
    <col min="20" max="20" width="18" customWidth="1"/>
    <col min="21" max="40" width="11.453125" customWidth="1"/>
  </cols>
  <sheetData>
    <row r="1" spans="1:18" ht="15.5" x14ac:dyDescent="0.35">
      <c r="A1" s="278" t="str">
        <f>CONTRATO</f>
        <v>Contrato Interadministrativo No. CO1.PCCNTR. 4917031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</row>
    <row r="2" spans="1:18" ht="15.5" x14ac:dyDescent="0.35">
      <c r="A2" s="278" t="s">
        <v>4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</row>
    <row r="3" spans="1:18" ht="15.5" x14ac:dyDescent="0.35">
      <c r="A3" s="278" t="s">
        <v>15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</row>
    <row r="4" spans="1:18" ht="18.5" x14ac:dyDescent="0.45">
      <c r="A4" s="259" t="s">
        <v>55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</row>
    <row r="5" spans="1:18" ht="15.5" x14ac:dyDescent="0.35">
      <c r="A5" s="278" t="str">
        <f>periodo</f>
        <v>01 de mayo al 31 de mayo de 2026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</row>
    <row r="6" spans="1:18" x14ac:dyDescent="0.35">
      <c r="B6" s="2"/>
      <c r="E6" s="17"/>
      <c r="H6" s="3"/>
      <c r="K6" s="2"/>
      <c r="M6" s="18"/>
    </row>
    <row r="7" spans="1:18" ht="46.5" customHeight="1" x14ac:dyDescent="0.35">
      <c r="A7" s="282" t="s">
        <v>56</v>
      </c>
      <c r="B7" s="282" t="s">
        <v>57</v>
      </c>
      <c r="C7" s="282" t="s">
        <v>58</v>
      </c>
      <c r="D7" s="282"/>
      <c r="E7" s="282"/>
      <c r="F7" s="282" t="s">
        <v>59</v>
      </c>
      <c r="G7" s="282"/>
      <c r="H7" s="282"/>
      <c r="I7" s="282" t="s">
        <v>60</v>
      </c>
      <c r="J7" s="282"/>
      <c r="K7" s="282"/>
      <c r="L7" s="282"/>
      <c r="M7" s="282" t="s">
        <v>497</v>
      </c>
      <c r="N7" s="282" t="s">
        <v>61</v>
      </c>
      <c r="O7" s="282" t="s">
        <v>62</v>
      </c>
    </row>
    <row r="8" spans="1:18" ht="11" customHeight="1" x14ac:dyDescent="0.35">
      <c r="A8" s="282"/>
      <c r="B8" s="282"/>
      <c r="C8" s="132" t="s">
        <v>63</v>
      </c>
      <c r="D8" s="132" t="s">
        <v>64</v>
      </c>
      <c r="E8" s="132" t="s">
        <v>65</v>
      </c>
      <c r="F8" s="132" t="s">
        <v>66</v>
      </c>
      <c r="G8" s="132" t="s">
        <v>67</v>
      </c>
      <c r="H8" s="132" t="s">
        <v>68</v>
      </c>
      <c r="I8" s="132" t="s">
        <v>69</v>
      </c>
      <c r="J8" s="132" t="s">
        <v>70</v>
      </c>
      <c r="K8" s="132" t="s">
        <v>71</v>
      </c>
      <c r="L8" s="132" t="s">
        <v>72</v>
      </c>
      <c r="M8" s="282"/>
      <c r="N8" s="282"/>
      <c r="O8" s="282"/>
    </row>
    <row r="9" spans="1:18" s="49" customFormat="1" ht="11" hidden="1" customHeight="1" x14ac:dyDescent="0.35">
      <c r="A9" s="75">
        <v>45291</v>
      </c>
      <c r="B9" s="68" t="s">
        <v>167</v>
      </c>
      <c r="C9" s="72">
        <f>SUMIFS('3.Ingresos del Contrato'!J:J,'3.Ingresos del Contrato'!H:H,"&lt;="&amp;(EOMONTH($A9,-1)))</f>
        <v>63650000000</v>
      </c>
      <c r="D9" s="70">
        <f>SUMIFS('3.Ingresos del Contrato'!J:J,'3.Ingresos del Contrato'!H:H,"&gt;"&amp;(EOMONTH($A9,-1)),'3.Ingresos del Contrato'!H:H,"&lt;="&amp;(EOMONTH($A9,0)))</f>
        <v>0</v>
      </c>
      <c r="E9" s="89">
        <f t="shared" ref="E9" si="0">SUM(C9:D9)</f>
        <v>63650000000</v>
      </c>
      <c r="F9" s="146">
        <f>SUMIFS('6.Reportes de Pagos'!N:N,'6.Reportes de Pagos'!H:H,"&lt;="&amp;(EOMONTH($A9,-1)))</f>
        <v>0</v>
      </c>
      <c r="G9" s="146">
        <f>SUMIFS('6.Reportes de Pagos'!N:N,'6.Reportes de Pagos'!H:H,"&gt;"&amp;(EOMONTH($A9,-1)),'6.Reportes de Pagos'!H:H,"&lt;="&amp;(EOMONTH($A9,0)))</f>
        <v>0</v>
      </c>
      <c r="H9" s="89">
        <f t="shared" ref="H9" si="1">SUM(F9:G9)</f>
        <v>0</v>
      </c>
      <c r="I9" s="153">
        <f>SUMIFS('7.Rendimientos Financieros'!D:D,'7.Rendimientos Financieros'!A:A,"&lt;="&amp;(EOMONTH($A9,-1)))</f>
        <v>2615149471.0799999</v>
      </c>
      <c r="J9" s="153">
        <f>SUMIFS('7.Rendimientos Financieros'!D:D,'7.Rendimientos Financieros'!A:A,"&gt;"&amp;(EOMONTH($A9,-1)),'7.Rendimientos Financieros'!A:A,"&lt;="&amp;(EOMONTH($A9,0)))</f>
        <v>931312131.99000001</v>
      </c>
      <c r="K9" s="153">
        <f>SUMIFS('7.Rendimientos Financieros'!F:F,'7.Rendimientos Financieros'!E:E,"&lt;="&amp;(EOMONTH($A9,0)))</f>
        <v>2615149472</v>
      </c>
      <c r="L9" s="89">
        <f t="shared" ref="L9" si="2">SUM(I9:J9)-SUM(K9)</f>
        <v>931312131.06999969</v>
      </c>
      <c r="M9" s="133">
        <f t="shared" ref="M9" si="3">+E9-H9+L9</f>
        <v>64581312131.07</v>
      </c>
      <c r="N9" s="89">
        <f>12873221270.44+51708090860.63</f>
        <v>64581312131.07</v>
      </c>
      <c r="O9" s="89">
        <f t="shared" ref="O9" si="4">+N9-M9</f>
        <v>0</v>
      </c>
      <c r="P9" s="71"/>
      <c r="Q9" s="186">
        <f t="shared" ref="Q9:Q18" si="5">+P9+O9</f>
        <v>0</v>
      </c>
    </row>
    <row r="10" spans="1:18" s="49" customFormat="1" ht="11" hidden="1" customHeight="1" x14ac:dyDescent="0.35">
      <c r="A10" s="75">
        <v>45322</v>
      </c>
      <c r="B10" s="68" t="s">
        <v>167</v>
      </c>
      <c r="C10" s="72">
        <f>SUMIFS('3.Ingresos del Contrato'!J:J,'3.Ingresos del Contrato'!H:H,"&lt;="&amp;(EOMONTH($A10,-1)))</f>
        <v>63650000000</v>
      </c>
      <c r="D10" s="70">
        <f>SUMIFS('3.Ingresos del Contrato'!J:J,'3.Ingresos del Contrato'!H:H,"&gt;"&amp;(EOMONTH($A10,-1)),'3.Ingresos del Contrato'!H:H,"&lt;="&amp;(EOMONTH($A10,0)))</f>
        <v>0</v>
      </c>
      <c r="E10" s="89">
        <f t="shared" ref="E10" si="6">SUM(C10:D10)</f>
        <v>63650000000</v>
      </c>
      <c r="F10" s="146">
        <f>SUMIFS('6.Reportes de Pagos'!N:N,'6.Reportes de Pagos'!H:H,"&lt;="&amp;(EOMONTH($A10,-1)))</f>
        <v>0</v>
      </c>
      <c r="G10" s="146">
        <f>SUMIFS('6.Reportes de Pagos'!N:N,'6.Reportes de Pagos'!H:H,"&gt;"&amp;(EOMONTH($A10,-1)),'6.Reportes de Pagos'!H:H,"&lt;="&amp;(EOMONTH($A10,0)))</f>
        <v>0</v>
      </c>
      <c r="H10" s="89">
        <f t="shared" ref="H10" si="7">SUM(F10:G10)</f>
        <v>0</v>
      </c>
      <c r="I10" s="153">
        <f>SUMIFS('7.Rendimientos Financieros'!D:D,'7.Rendimientos Financieros'!A:A,"&lt;="&amp;(EOMONTH($A10,-1)))</f>
        <v>3546461603.0699997</v>
      </c>
      <c r="J10" s="153">
        <f>SUMIFS('7.Rendimientos Financieros'!D:D,'7.Rendimientos Financieros'!A:A,"&gt;"&amp;(EOMONTH($A10,-1)),'7.Rendimientos Financieros'!A:A,"&lt;="&amp;(EOMONTH($A10,0)))</f>
        <v>561484431.07000005</v>
      </c>
      <c r="K10" s="153">
        <f>SUMIFS('7.Rendimientos Financieros'!F:F,'7.Rendimientos Financieros'!E:E,"&lt;="&amp;(EOMONTH($A10,0)))</f>
        <v>3546461603.9899998</v>
      </c>
      <c r="L10" s="89">
        <f t="shared" ref="L10" si="8">SUM(I10:J10)-SUM(K10)</f>
        <v>561484430.1500001</v>
      </c>
      <c r="M10" s="133">
        <f t="shared" ref="M10" si="9">+E10-H10+L10</f>
        <v>64211484430.150002</v>
      </c>
      <c r="N10" s="89">
        <f>12863626378.93+51347858051.59</f>
        <v>64211484430.519997</v>
      </c>
      <c r="O10" s="89">
        <f t="shared" ref="O10" si="10">+N10-M10</f>
        <v>0.3699951171875</v>
      </c>
      <c r="P10" s="71"/>
      <c r="Q10" s="186">
        <f t="shared" si="5"/>
        <v>0.3699951171875</v>
      </c>
      <c r="R10" s="186"/>
    </row>
    <row r="11" spans="1:18" s="49" customFormat="1" ht="11" hidden="1" customHeight="1" x14ac:dyDescent="0.35">
      <c r="A11" s="75">
        <v>45350</v>
      </c>
      <c r="B11" s="68" t="s">
        <v>167</v>
      </c>
      <c r="C11" s="72">
        <f>SUMIFS('3.Ingresos del Contrato'!J:J,'3.Ingresos del Contrato'!H:H,"&lt;="&amp;(EOMONTH($A11,-1)))</f>
        <v>63650000000</v>
      </c>
      <c r="D11" s="70">
        <f>SUMIFS('3.Ingresos del Contrato'!J:J,'3.Ingresos del Contrato'!H:H,"&gt;"&amp;(EOMONTH($A11,-1)),'3.Ingresos del Contrato'!H:H,"&lt;="&amp;(EOMONTH($A11,0)))</f>
        <v>0</v>
      </c>
      <c r="E11" s="89">
        <f t="shared" ref="E11" si="11">SUM(C11:D11)</f>
        <v>63650000000</v>
      </c>
      <c r="F11" s="146">
        <f>SUMIFS('6.Reportes de Pagos'!N:N,'6.Reportes de Pagos'!H:H,"&lt;="&amp;(EOMONTH($A11,-1)))</f>
        <v>0</v>
      </c>
      <c r="G11" s="146">
        <f>SUMIFS('6.Reportes de Pagos'!N:N,'6.Reportes de Pagos'!H:H,"&gt;"&amp;(EOMONTH($A11,-1)),'6.Reportes de Pagos'!H:H,"&lt;="&amp;(EOMONTH($A11,0)))</f>
        <v>2525522365.5300002</v>
      </c>
      <c r="H11" s="89">
        <f t="shared" ref="H11" si="12">SUM(F11:G11)</f>
        <v>2525522365.5300002</v>
      </c>
      <c r="I11" s="153">
        <f>SUMIFS('7.Rendimientos Financieros'!D:D,'7.Rendimientos Financieros'!A:A,"&lt;="&amp;(EOMONTH($A11,-1)))</f>
        <v>4107946034.1399999</v>
      </c>
      <c r="J11" s="153">
        <f>SUMIFS('7.Rendimientos Financieros'!D:D,'7.Rendimientos Financieros'!A:A,"&gt;"&amp;(EOMONTH($A11,-1)),'7.Rendimientos Financieros'!A:A,"&lt;="&amp;(EOMONTH($A11,0)))</f>
        <v>595517625.12</v>
      </c>
      <c r="K11" s="153">
        <f>SUMIFS('7.Rendimientos Financieros'!F:F,'7.Rendimientos Financieros'!E:E,"&lt;="&amp;(EOMONTH($A11,0)))</f>
        <v>4107946034.1399999</v>
      </c>
      <c r="L11" s="89">
        <f t="shared" ref="L11" si="13">SUM(I11:J11)-SUM(K11)</f>
        <v>595517625.12000036</v>
      </c>
      <c r="M11" s="133">
        <f t="shared" ref="M11" si="14">+E11-H11+L11</f>
        <v>61719995259.590004</v>
      </c>
      <c r="N11" s="89">
        <f>12793673761.69+48926321498.27</f>
        <v>61719995259.959999</v>
      </c>
      <c r="O11" s="89">
        <f t="shared" ref="O11" si="15">+N11-M11</f>
        <v>0.3699951171875</v>
      </c>
      <c r="P11" s="71"/>
      <c r="Q11" s="186">
        <f t="shared" si="5"/>
        <v>0.3699951171875</v>
      </c>
    </row>
    <row r="12" spans="1:18" s="49" customFormat="1" ht="11" hidden="1" customHeight="1" x14ac:dyDescent="0.35">
      <c r="A12" s="75">
        <v>45382</v>
      </c>
      <c r="B12" s="68" t="s">
        <v>167</v>
      </c>
      <c r="C12" s="72">
        <f>SUMIFS('3.Ingresos del Contrato'!J:J,'3.Ingresos del Contrato'!H:H,"&lt;="&amp;(EOMONTH($A12,-1)))</f>
        <v>63650000000</v>
      </c>
      <c r="D12" s="70">
        <f>SUMIFS('3.Ingresos del Contrato'!J:J,'3.Ingresos del Contrato'!H:H,"&gt;"&amp;(EOMONTH($A12,-1)),'3.Ingresos del Contrato'!H:H,"&lt;="&amp;(EOMONTH($A12,0)))</f>
        <v>0</v>
      </c>
      <c r="E12" s="89">
        <f t="shared" ref="E12" si="16">SUM(C12:D12)</f>
        <v>63650000000</v>
      </c>
      <c r="F12" s="146">
        <f>SUMIFS('6.Reportes de Pagos'!N:N,'6.Reportes de Pagos'!H:H,"&lt;="&amp;(EOMONTH($A12,-1)))</f>
        <v>2525522365.5300002</v>
      </c>
      <c r="G12" s="146">
        <f>SUMIFS('6.Reportes de Pagos'!N:N,'6.Reportes de Pagos'!H:H,"&gt;"&amp;(EOMONTH($A12,-1)),'6.Reportes de Pagos'!H:H,"&lt;="&amp;(EOMONTH($A12,0)))</f>
        <v>4050146106.1900001</v>
      </c>
      <c r="H12" s="89">
        <f t="shared" ref="H12" si="17">SUM(F12:G12)</f>
        <v>6575668471.7200003</v>
      </c>
      <c r="I12" s="153">
        <f>SUMIFS('7.Rendimientos Financieros'!D:D,'7.Rendimientos Financieros'!A:A,"&lt;="&amp;(EOMONTH($A12,-1)))</f>
        <v>4703463659.2600002</v>
      </c>
      <c r="J12" s="153">
        <f>SUMIFS('7.Rendimientos Financieros'!D:D,'7.Rendimientos Financieros'!A:A,"&gt;"&amp;(EOMONTH($A12,-1)),'7.Rendimientos Financieros'!A:A,"&lt;="&amp;(EOMONTH($A12,0)))</f>
        <v>596241840.11000001</v>
      </c>
      <c r="K12" s="153">
        <f>SUMIFS('7.Rendimientos Financieros'!F:F,'7.Rendimientos Financieros'!E:E,"&lt;="&amp;(EOMONTH($A12,0)))</f>
        <v>4703463659.2600002</v>
      </c>
      <c r="L12" s="89">
        <f t="shared" ref="L12" si="18">SUM(I12:J12)-SUM(K12)</f>
        <v>596241840.10999966</v>
      </c>
      <c r="M12" s="133">
        <f t="shared" ref="M12" si="19">+E12-H12+L12</f>
        <v>57670573368.389999</v>
      </c>
      <c r="N12" s="89">
        <f>12148954422.51+45507167338.23</f>
        <v>57656121760.740005</v>
      </c>
      <c r="O12" s="89">
        <f t="shared" ref="O12" si="20">+N12-M12</f>
        <v>-14451607.649993896</v>
      </c>
      <c r="P12" s="71"/>
      <c r="Q12" s="186">
        <f t="shared" si="5"/>
        <v>-14451607.649993896</v>
      </c>
    </row>
    <row r="13" spans="1:18" s="49" customFormat="1" ht="11" hidden="1" customHeight="1" x14ac:dyDescent="0.35">
      <c r="A13" s="75">
        <v>45412</v>
      </c>
      <c r="B13" s="68" t="s">
        <v>167</v>
      </c>
      <c r="C13" s="72">
        <f>SUMIFS('3.Ingresos del Contrato'!J:J,'3.Ingresos del Contrato'!H:H,"&lt;="&amp;(EOMONTH($A13,-1)))</f>
        <v>63650000000</v>
      </c>
      <c r="D13" s="70">
        <f>SUMIFS('3.Ingresos del Contrato'!J:J,'3.Ingresos del Contrato'!H:H,"&gt;"&amp;(EOMONTH($A13,-1)),'3.Ingresos del Contrato'!H:H,"&lt;="&amp;(EOMONTH($A13,0)))</f>
        <v>0</v>
      </c>
      <c r="E13" s="89">
        <f t="shared" ref="E13" si="21">SUM(C13:D13)</f>
        <v>63650000000</v>
      </c>
      <c r="F13" s="146">
        <f>SUMIFS('6.Reportes de Pagos'!N:N,'6.Reportes de Pagos'!H:H,"&lt;="&amp;(EOMONTH($A13,-1)))</f>
        <v>6575668471.7200003</v>
      </c>
      <c r="G13" s="146">
        <f>SUMIFS('6.Reportes de Pagos'!N:N,'6.Reportes de Pagos'!H:H,"&gt;"&amp;(EOMONTH($A13,-1)),'6.Reportes de Pagos'!H:H,"&lt;="&amp;(EOMONTH($A13,0)))</f>
        <v>4911826608.6999998</v>
      </c>
      <c r="H13" s="89">
        <f t="shared" ref="H13" si="22">SUM(F13:G13)</f>
        <v>11487495080.42</v>
      </c>
      <c r="I13" s="153">
        <f>SUMIFS('7.Rendimientos Financieros'!D:D,'7.Rendimientos Financieros'!A:A,"&lt;="&amp;(EOMONTH($A13,-1)))</f>
        <v>5299705499.3699999</v>
      </c>
      <c r="J13" s="153">
        <f>SUMIFS('7.Rendimientos Financieros'!D:D,'7.Rendimientos Financieros'!A:A,"&gt;"&amp;(EOMONTH($A13,-1)),'7.Rendimientos Financieros'!A:A,"&lt;="&amp;(EOMONTH($A13,0)))</f>
        <v>360068290.38999999</v>
      </c>
      <c r="K13" s="153">
        <f>SUMIFS('7.Rendimientos Financieros'!F:F,'7.Rendimientos Financieros'!E:E,"&lt;="&amp;(EOMONTH($A13,0)))</f>
        <v>5299705499.3699999</v>
      </c>
      <c r="L13" s="89">
        <f t="shared" ref="L13" si="23">SUM(I13:J13)-SUM(K13)</f>
        <v>360068290.39000034</v>
      </c>
      <c r="M13" s="133">
        <f t="shared" ref="M13" si="24">+E13-H13+L13</f>
        <v>52522573209.970001</v>
      </c>
      <c r="N13" s="89">
        <f>11096675626.99+41425897583.35</f>
        <v>52522573210.339996</v>
      </c>
      <c r="O13" s="89">
        <f t="shared" ref="O13" si="25">+N13-M13</f>
        <v>0.3699951171875</v>
      </c>
      <c r="P13" s="71"/>
      <c r="Q13" s="186">
        <f t="shared" si="5"/>
        <v>0.3699951171875</v>
      </c>
    </row>
    <row r="14" spans="1:18" s="49" customFormat="1" ht="11" hidden="1" customHeight="1" x14ac:dyDescent="0.35">
      <c r="A14" s="75">
        <v>45443</v>
      </c>
      <c r="B14" s="68" t="s">
        <v>167</v>
      </c>
      <c r="C14" s="72">
        <f>SUMIFS('3.Ingresos del Contrato'!J:J,'3.Ingresos del Contrato'!H:H,"&lt;="&amp;(EOMONTH($A14,-1)))</f>
        <v>63650000000</v>
      </c>
      <c r="D14" s="70">
        <f>SUMIFS('3.Ingresos del Contrato'!J:J,'3.Ingresos del Contrato'!H:H,"&gt;"&amp;(EOMONTH($A14,-1)),'3.Ingresos del Contrato'!H:H,"&lt;="&amp;(EOMONTH($A14,0)))</f>
        <v>0</v>
      </c>
      <c r="E14" s="89">
        <f t="shared" ref="E14" si="26">SUM(C14:D14)</f>
        <v>63650000000</v>
      </c>
      <c r="F14" s="146">
        <f>SUMIFS('6.Reportes de Pagos'!N:N,'6.Reportes de Pagos'!H:H,"&lt;="&amp;(EOMONTH($A14,-1)))</f>
        <v>11487495080.42</v>
      </c>
      <c r="G14" s="146">
        <f>SUMIFS('6.Reportes de Pagos'!N:N,'6.Reportes de Pagos'!H:H,"&gt;"&amp;(EOMONTH($A14,-1)),'6.Reportes de Pagos'!H:H,"&lt;="&amp;(EOMONTH($A14,0)))</f>
        <v>4662867194.7799988</v>
      </c>
      <c r="H14" s="89">
        <f t="shared" ref="H14" si="27">SUM(F14:G14)</f>
        <v>16150362275.199999</v>
      </c>
      <c r="I14" s="153">
        <f>SUMIFS('7.Rendimientos Financieros'!D:D,'7.Rendimientos Financieros'!A:A,"&lt;="&amp;(EOMONTH($A14,-1)))</f>
        <v>5659773789.7600002</v>
      </c>
      <c r="J14" s="153">
        <f>SUMIFS('7.Rendimientos Financieros'!D:D,'7.Rendimientos Financieros'!A:A,"&gt;"&amp;(EOMONTH($A14,-1)),'7.Rendimientos Financieros'!A:A,"&lt;="&amp;(EOMONTH($A14,0)))</f>
        <v>443006621.22000003</v>
      </c>
      <c r="K14" s="153">
        <f>SUMIFS('7.Rendimientos Financieros'!F:F,'7.Rendimientos Financieros'!E:E,"&lt;="&amp;(EOMONTH($A14,0)))</f>
        <v>5659773789.7600002</v>
      </c>
      <c r="L14" s="89">
        <f t="shared" ref="L14" si="28">SUM(I14:J14)-SUM(K14)</f>
        <v>443006621.22000027</v>
      </c>
      <c r="M14" s="133">
        <f t="shared" ref="M14" si="29">+E14-H14+L14</f>
        <v>47942644346.020004</v>
      </c>
      <c r="N14" s="89">
        <f>10095101270.67+37847543075.72</f>
        <v>47942644346.389999</v>
      </c>
      <c r="O14" s="89">
        <f t="shared" ref="O14" si="30">+N14-M14</f>
        <v>0.3699951171875</v>
      </c>
      <c r="P14" s="71"/>
      <c r="Q14" s="186">
        <f t="shared" si="5"/>
        <v>0.3699951171875</v>
      </c>
    </row>
    <row r="15" spans="1:18" s="49" customFormat="1" ht="11" hidden="1" customHeight="1" x14ac:dyDescent="0.35">
      <c r="A15" s="75">
        <v>45473</v>
      </c>
      <c r="B15" s="68" t="s">
        <v>167</v>
      </c>
      <c r="C15" s="72">
        <f>SUMIFS('3.Ingresos del Contrato'!J:J,'3.Ingresos del Contrato'!H:H,"&lt;="&amp;(EOMONTH($A15,-1)))</f>
        <v>63650000000</v>
      </c>
      <c r="D15" s="70">
        <f>SUMIFS('3.Ingresos del Contrato'!J:J,'3.Ingresos del Contrato'!H:H,"&gt;"&amp;(EOMONTH($A15,-1)),'3.Ingresos del Contrato'!H:H,"&lt;="&amp;(EOMONTH($A15,0)))</f>
        <v>0</v>
      </c>
      <c r="E15" s="89">
        <f t="shared" ref="E15" si="31">SUM(C15:D15)</f>
        <v>63650000000</v>
      </c>
      <c r="F15" s="146">
        <f>SUMIFS('6.Reportes de Pagos'!N:N,'6.Reportes de Pagos'!H:H,"&lt;="&amp;(EOMONTH($A15,-1)))</f>
        <v>16150362275.200001</v>
      </c>
      <c r="G15" s="146">
        <f>SUMIFS('6.Reportes de Pagos'!N:N,'6.Reportes de Pagos'!H:H,"&gt;"&amp;(EOMONTH($A15,-1)),'6.Reportes de Pagos'!H:H,"&lt;="&amp;(EOMONTH($A15,0)))</f>
        <v>6014916943.249999</v>
      </c>
      <c r="H15" s="89">
        <f t="shared" ref="H15" si="32">SUM(F15:G15)</f>
        <v>22165279218.450001</v>
      </c>
      <c r="I15" s="153">
        <f>SUMIFS('7.Rendimientos Financieros'!D:D,'7.Rendimientos Financieros'!A:A,"&lt;="&amp;(EOMONTH($A15,-1)))</f>
        <v>6102780410.9800005</v>
      </c>
      <c r="J15" s="153">
        <f>SUMIFS('7.Rendimientos Financieros'!D:D,'7.Rendimientos Financieros'!A:A,"&gt;"&amp;(EOMONTH($A15,-1)),'7.Rendimientos Financieros'!A:A,"&lt;="&amp;(EOMONTH($A15,0)))</f>
        <v>343143922.30000001</v>
      </c>
      <c r="K15" s="153">
        <f>SUMIFS('7.Rendimientos Financieros'!F:F,'7.Rendimientos Financieros'!E:E,"&lt;="&amp;(EOMONTH($A15,0)))</f>
        <v>6102780410.9800005</v>
      </c>
      <c r="L15" s="89">
        <f t="shared" ref="L15" si="33">SUM(I15:J15)-SUM(K15)</f>
        <v>343143922.30000019</v>
      </c>
      <c r="M15" s="133">
        <f t="shared" ref="M15" si="34">+E15-H15+L15</f>
        <v>41827864703.850006</v>
      </c>
      <c r="N15" s="89">
        <f>8935407677.32+32892457026.9</f>
        <v>41827864704.220001</v>
      </c>
      <c r="O15" s="89">
        <f t="shared" ref="O15" si="35">+N15-M15</f>
        <v>0.3699951171875</v>
      </c>
      <c r="P15" s="71"/>
      <c r="Q15" s="186">
        <f t="shared" si="5"/>
        <v>0.3699951171875</v>
      </c>
    </row>
    <row r="16" spans="1:18" s="49" customFormat="1" ht="11" hidden="1" customHeight="1" x14ac:dyDescent="0.35">
      <c r="A16" s="75">
        <v>45504</v>
      </c>
      <c r="B16" s="68" t="s">
        <v>167</v>
      </c>
      <c r="C16" s="72">
        <f>SUMIFS('3.Ingresos del Contrato'!J:J,'3.Ingresos del Contrato'!H:H,"&lt;="&amp;(EOMONTH($A16,-1)))</f>
        <v>63650000000</v>
      </c>
      <c r="D16" s="70">
        <f>SUMIFS('3.Ingresos del Contrato'!J:J,'3.Ingresos del Contrato'!H:H,"&gt;"&amp;(EOMONTH($A16,-1)),'3.Ingresos del Contrato'!H:H,"&lt;="&amp;(EOMONTH($A16,0)))</f>
        <v>0</v>
      </c>
      <c r="E16" s="89">
        <f t="shared" ref="E16" si="36">SUM(C16:D16)</f>
        <v>63650000000</v>
      </c>
      <c r="F16" s="146">
        <f>SUMIFS('6.Reportes de Pagos'!N:N,'6.Reportes de Pagos'!H:H,"&lt;="&amp;(EOMONTH($A16,-1)))</f>
        <v>22165279218.449993</v>
      </c>
      <c r="G16" s="146">
        <f>SUMIFS('6.Reportes de Pagos'!N:N,'6.Reportes de Pagos'!H:H,"&gt;"&amp;(EOMONTH($A16,-1)),'6.Reportes de Pagos'!H:H,"&lt;="&amp;(EOMONTH($A16,0)))</f>
        <v>5977640443.1100006</v>
      </c>
      <c r="H16" s="89">
        <f t="shared" ref="H16" si="37">SUM(F16:G16)</f>
        <v>28142919661.559994</v>
      </c>
      <c r="I16" s="153">
        <f>SUMIFS('7.Rendimientos Financieros'!D:D,'7.Rendimientos Financieros'!A:A,"&lt;="&amp;(EOMONTH($A16,-1)))</f>
        <v>6445924333.2800007</v>
      </c>
      <c r="J16" s="153">
        <f>SUMIFS('7.Rendimientos Financieros'!D:D,'7.Rendimientos Financieros'!A:A,"&gt;"&amp;(EOMONTH($A16,-1)),'7.Rendimientos Financieros'!A:A,"&lt;="&amp;(EOMONTH($A16,0)))</f>
        <v>362246417.68000001</v>
      </c>
      <c r="K16" s="153">
        <f>SUMIFS('7.Rendimientos Financieros'!F:F,'7.Rendimientos Financieros'!E:E,"&lt;="&amp;(EOMONTH($A16,0)))</f>
        <v>6445924333.2800007</v>
      </c>
      <c r="L16" s="89">
        <f t="shared" ref="L16" si="38">SUM(I16:J16)-SUM(K16)</f>
        <v>362246417.68000031</v>
      </c>
      <c r="M16" s="133">
        <f t="shared" ref="M16" si="39">+E16-H16+L16</f>
        <v>35869326756.120003</v>
      </c>
      <c r="N16" s="89">
        <f>8188348240.06+27650043917.36</f>
        <v>35838392157.419998</v>
      </c>
      <c r="O16" s="89">
        <f t="shared" ref="O16" si="40">+N16-M16</f>
        <v>-30934598.700004578</v>
      </c>
      <c r="P16" s="71">
        <v>30934599.07</v>
      </c>
      <c r="Q16" s="186">
        <f t="shared" si="5"/>
        <v>0.36999542266130447</v>
      </c>
    </row>
    <row r="17" spans="1:21" s="49" customFormat="1" ht="11" hidden="1" customHeight="1" x14ac:dyDescent="0.35">
      <c r="A17" s="75">
        <v>45535</v>
      </c>
      <c r="B17" s="68" t="s">
        <v>167</v>
      </c>
      <c r="C17" s="72">
        <f>SUMIFS('3.Ingresos del Contrato'!J:J,'3.Ingresos del Contrato'!H:H,"&lt;="&amp;(EOMONTH($A17,-1)))</f>
        <v>63650000000</v>
      </c>
      <c r="D17" s="70">
        <f>SUMIFS('3.Ingresos del Contrato'!J:J,'3.Ingresos del Contrato'!H:H,"&gt;"&amp;(EOMONTH($A17,-1)),'3.Ingresos del Contrato'!H:H,"&lt;="&amp;(EOMONTH($A17,0)))</f>
        <v>0</v>
      </c>
      <c r="E17" s="89">
        <f t="shared" ref="E17" si="41">SUM(C17:D17)</f>
        <v>63650000000</v>
      </c>
      <c r="F17" s="146">
        <f>SUMIFS('6.Reportes de Pagos'!N:N,'6.Reportes de Pagos'!H:H,"&lt;="&amp;(EOMONTH($A17,-1)))</f>
        <v>28142919661.55999</v>
      </c>
      <c r="G17" s="146">
        <f>SUMIFS('6.Reportes de Pagos'!N:N,'6.Reportes de Pagos'!H:H,"&gt;"&amp;(EOMONTH($A17,-1)),'6.Reportes de Pagos'!H:H,"&lt;="&amp;(EOMONTH($A17,0)))</f>
        <v>6034983644.6099987</v>
      </c>
      <c r="H17" s="89">
        <f t="shared" ref="H17:H22" si="42">SUM(F17:G17)</f>
        <v>34177903306.169991</v>
      </c>
      <c r="I17" s="153">
        <f>SUMIFS('7.Rendimientos Financieros'!D:D,'7.Rendimientos Financieros'!A:A,"&lt;="&amp;(EOMONTH($A17,-1)))</f>
        <v>6808170750.960001</v>
      </c>
      <c r="J17" s="153">
        <f>SUMIFS('7.Rendimientos Financieros'!D:D,'7.Rendimientos Financieros'!A:A,"&gt;"&amp;(EOMONTH($A17,-1)),'7.Rendimientos Financieros'!A:A,"&lt;="&amp;(EOMONTH($A17,0)))</f>
        <v>334747856.27999997</v>
      </c>
      <c r="K17" s="153">
        <f>SUMIFS('7.Rendimientos Financieros'!F:F,'7.Rendimientos Financieros'!E:E,"&lt;="&amp;(EOMONTH($A17,0)))</f>
        <v>6808170750.960001</v>
      </c>
      <c r="L17" s="89">
        <f t="shared" ref="L17" si="43">SUM(I17:J17)-SUM(K17)</f>
        <v>334747856.27999973</v>
      </c>
      <c r="M17" s="133">
        <f t="shared" ref="M17" si="44">+E17-H17+L17</f>
        <v>29806844550.110008</v>
      </c>
      <c r="N17" s="89">
        <f>2316074944.09+27365517249.44</f>
        <v>29681592193.529999</v>
      </c>
      <c r="O17" s="89">
        <f t="shared" ref="O17" si="45">+N17-M17</f>
        <v>-125252356.58000946</v>
      </c>
      <c r="P17" s="71">
        <f>26379960.74+98872396.2</f>
        <v>125252356.94</v>
      </c>
      <c r="Q17" s="186">
        <f t="shared" si="5"/>
        <v>0.35999053716659546</v>
      </c>
    </row>
    <row r="18" spans="1:21" s="49" customFormat="1" ht="11" hidden="1" customHeight="1" x14ac:dyDescent="0.35">
      <c r="A18" s="75">
        <v>45565</v>
      </c>
      <c r="B18" s="68" t="s">
        <v>167</v>
      </c>
      <c r="C18" s="72">
        <f>SUMIFS('3.Ingresos del Contrato'!J:J,'3.Ingresos del Contrato'!H:H,"&lt;="&amp;(EOMONTH($A18,-1)))</f>
        <v>63650000000</v>
      </c>
      <c r="D18" s="70">
        <f>SUMIFS('3.Ingresos del Contrato'!J:J,'3.Ingresos del Contrato'!H:H,"&gt;"&amp;(EOMONTH($A18,-1)),'3.Ingresos del Contrato'!H:H,"&lt;="&amp;(EOMONTH($A18,0)))</f>
        <v>0</v>
      </c>
      <c r="E18" s="89">
        <f t="shared" ref="E18" si="46">SUM(C18:D18)</f>
        <v>63650000000</v>
      </c>
      <c r="F18" s="146">
        <f>SUMIFS('6.Reportes de Pagos'!N:N,'6.Reportes de Pagos'!H:H,"&lt;="&amp;(EOMONTH($A18,-1)))</f>
        <v>34177903306.169994</v>
      </c>
      <c r="G18" s="146">
        <f>SUMIFS('6.Reportes de Pagos'!N:N,'6.Reportes de Pagos'!H:H,"&gt;"&amp;(EOMONTH($A18,-1)),'6.Reportes de Pagos'!H:H,"&lt;="&amp;(EOMONTH($A18,0)))</f>
        <v>5323420733.8900003</v>
      </c>
      <c r="H18" s="89">
        <f t="shared" si="42"/>
        <v>39501324040.059998</v>
      </c>
      <c r="I18" s="153">
        <f>SUMIFS('7.Rendimientos Financieros'!D:D,'7.Rendimientos Financieros'!A:A,"&lt;="&amp;(EOMONTH($A18,-1)))</f>
        <v>7142918607.2400007</v>
      </c>
      <c r="J18" s="153">
        <f>SUMIFS('7.Rendimientos Financieros'!D:D,'7.Rendimientos Financieros'!A:A,"&gt;"&amp;(EOMONTH($A18,-1)),'7.Rendimientos Financieros'!A:A,"&lt;="&amp;(EOMONTH($A18,0)))</f>
        <v>213046621.19</v>
      </c>
      <c r="K18" s="153">
        <f>SUMIFS('7.Rendimientos Financieros'!F:F,'7.Rendimientos Financieros'!E:E,"&lt;="&amp;(EOMONTH($A18,0)))</f>
        <v>7142918607.2400007</v>
      </c>
      <c r="L18" s="89">
        <f t="shared" ref="L18" si="47">SUM(I18:J18)-SUM(K18)</f>
        <v>213046621.18999958</v>
      </c>
      <c r="M18" s="133">
        <f t="shared" ref="M18" si="48">+E18-H18+L18</f>
        <v>24361722581.130001</v>
      </c>
      <c r="N18" s="89">
        <f>6124756615.99+18205590313.93</f>
        <v>24330346929.919998</v>
      </c>
      <c r="O18" s="89">
        <f t="shared" ref="O18" si="49">+N18-M18</f>
        <v>-31375651.210002899</v>
      </c>
      <c r="P18" s="71">
        <v>31375651.579999998</v>
      </c>
      <c r="Q18" s="186">
        <f t="shared" si="5"/>
        <v>0.36999709904193878</v>
      </c>
      <c r="T18" s="186"/>
    </row>
    <row r="19" spans="1:21" s="49" customFormat="1" ht="11" hidden="1" customHeight="1" x14ac:dyDescent="0.35">
      <c r="A19" s="75">
        <v>45596</v>
      </c>
      <c r="B19" s="68" t="s">
        <v>167</v>
      </c>
      <c r="C19" s="72">
        <f>SUMIFS('3.Ingresos del Contrato'!J:J,'3.Ingresos del Contrato'!H:H,"&lt;="&amp;(EOMONTH($A19,-1)))</f>
        <v>63650000000</v>
      </c>
      <c r="D19" s="70">
        <f>SUMIFS('3.Ingresos del Contrato'!J:J,'3.Ingresos del Contrato'!H:H,"&gt;"&amp;(EOMONTH($A19,-1)),'3.Ingresos del Contrato'!H:H,"&lt;="&amp;(EOMONTH($A19,0)))</f>
        <v>0</v>
      </c>
      <c r="E19" s="89">
        <f t="shared" ref="E19:E21" si="50">SUM(C19:D19)</f>
        <v>63650000000</v>
      </c>
      <c r="F19" s="146">
        <f>SUMIFS('6.Reportes de Pagos'!N:N,'6.Reportes de Pagos'!H:H,"&lt;="&amp;(EOMONTH($A19,-1)))</f>
        <v>39501324040.060005</v>
      </c>
      <c r="G19" s="146">
        <f>SUMIFS('6.Reportes de Pagos'!N:N,'6.Reportes de Pagos'!H:H,"&gt;"&amp;(EOMONTH($A19,-1)),'6.Reportes de Pagos'!H:H,"&lt;="&amp;(EOMONTH($A19,0)))</f>
        <v>3633218276.0799999</v>
      </c>
      <c r="H19" s="89">
        <f t="shared" si="42"/>
        <v>43134542316.140007</v>
      </c>
      <c r="I19" s="153">
        <f>SUMIFS('7.Rendimientos Financieros'!D:D,'7.Rendimientos Financieros'!A:A,"&lt;="&amp;(EOMONTH($A19,-1)))</f>
        <v>7355965228.4300003</v>
      </c>
      <c r="J19" s="153">
        <f>SUMIFS('7.Rendimientos Financieros'!D:D,'7.Rendimientos Financieros'!A:A,"&gt;"&amp;(EOMONTH($A19,-1)),'7.Rendimientos Financieros'!A:A,"&lt;="&amp;(EOMONTH($A19,0)))</f>
        <v>98198671.549999997</v>
      </c>
      <c r="K19" s="153">
        <f>SUMIFS('7.Rendimientos Financieros'!F:F,'7.Rendimientos Financieros'!E:E,"&lt;="&amp;(EOMONTH($A19,0)))</f>
        <v>7355965228.4300003</v>
      </c>
      <c r="L19" s="89">
        <f t="shared" ref="L19:L21" si="51">SUM(I19:J19)-SUM(K19)</f>
        <v>98198671.550000191</v>
      </c>
      <c r="M19" s="133">
        <f t="shared" ref="M19:M21" si="52">+E19-H19+L19</f>
        <v>20613656355.409992</v>
      </c>
      <c r="N19" s="89">
        <f>15990803994.63+4618790726.63</f>
        <v>20609594721.259998</v>
      </c>
      <c r="O19" s="89">
        <f t="shared" ref="O19" si="53">+N19-M19</f>
        <v>-4061634.1499938965</v>
      </c>
      <c r="P19" s="71">
        <f t="shared" ref="P19:P24" si="54">3011103.57</f>
        <v>3011103.57</v>
      </c>
      <c r="Q19" s="186">
        <f t="shared" ref="Q19:Q24" si="55">+P19+O19</f>
        <v>-1050530.5799938967</v>
      </c>
      <c r="S19" s="186"/>
    </row>
    <row r="20" spans="1:21" s="49" customFormat="1" ht="11" hidden="1" customHeight="1" x14ac:dyDescent="0.35">
      <c r="A20" s="75">
        <v>45626</v>
      </c>
      <c r="B20" s="68" t="s">
        <v>167</v>
      </c>
      <c r="C20" s="72">
        <f>SUMIFS('3.Ingresos del Contrato'!J:J,'3.Ingresos del Contrato'!H:H,"&lt;="&amp;(EOMONTH($A20,-1)))</f>
        <v>63650000000</v>
      </c>
      <c r="D20" s="70">
        <f>SUMIFS('3.Ingresos del Contrato'!J:J,'3.Ingresos del Contrato'!H:H,"&gt;"&amp;(EOMONTH($A20,-1)),'3.Ingresos del Contrato'!H:H,"&lt;="&amp;(EOMONTH($A20,0)))</f>
        <v>0</v>
      </c>
      <c r="E20" s="89">
        <f t="shared" si="50"/>
        <v>63650000000</v>
      </c>
      <c r="F20" s="146">
        <f>SUMIFS('6.Reportes de Pagos'!N:N,'6.Reportes de Pagos'!H:H,"&lt;="&amp;(EOMONTH($A20,-1)))</f>
        <v>43134542316.139999</v>
      </c>
      <c r="G20" s="146">
        <f>SUMIFS('6.Reportes de Pagos'!N:N,'6.Reportes de Pagos'!H:H,"&gt;"&amp;(EOMONTH($A20,-1)),'6.Reportes de Pagos'!H:H,"&lt;="&amp;(EOMONTH($A20,0)))</f>
        <v>3135560542.2099996</v>
      </c>
      <c r="H20" s="89">
        <f t="shared" si="42"/>
        <v>46270102858.349998</v>
      </c>
      <c r="I20" s="153">
        <f>SUMIFS('7.Rendimientos Financieros'!D:D,'7.Rendimientos Financieros'!A:A,"&lt;="&amp;(EOMONTH($A20,-1)))</f>
        <v>7454163899.9800005</v>
      </c>
      <c r="J20" s="153">
        <f>SUMIFS('7.Rendimientos Financieros'!D:D,'7.Rendimientos Financieros'!A:A,"&gt;"&amp;(EOMONTH($A20,-1)),'7.Rendimientos Financieros'!A:A,"&lt;="&amp;(EOMONTH($A20,0)))</f>
        <v>150942557.03</v>
      </c>
      <c r="K20" s="153">
        <f>SUMIFS('7.Rendimientos Financieros'!F:F,'7.Rendimientos Financieros'!E:E,"&lt;="&amp;(EOMONTH($A20,0)))</f>
        <v>7454163899.9800005</v>
      </c>
      <c r="L20" s="89">
        <f t="shared" si="51"/>
        <v>150942557.02999973</v>
      </c>
      <c r="M20" s="133">
        <f t="shared" si="52"/>
        <v>17530839698.68</v>
      </c>
      <c r="N20" s="89">
        <f>13459633542.04+4068320556.05</f>
        <v>17527954098.09</v>
      </c>
      <c r="O20" s="89">
        <f t="shared" ref="O20:O25" si="56">+N20-M20</f>
        <v>-2885600.5900001526</v>
      </c>
      <c r="P20" s="71">
        <f t="shared" si="54"/>
        <v>3011103.57</v>
      </c>
      <c r="Q20" s="186">
        <f t="shared" si="55"/>
        <v>125502.97999984724</v>
      </c>
      <c r="R20" s="186"/>
      <c r="S20" s="201"/>
      <c r="T20" s="201"/>
      <c r="U20" s="201"/>
    </row>
    <row r="21" spans="1:21" s="49" customFormat="1" ht="11" hidden="1" customHeight="1" x14ac:dyDescent="0.35">
      <c r="A21" s="75">
        <v>45657</v>
      </c>
      <c r="B21" s="68" t="s">
        <v>167</v>
      </c>
      <c r="C21" s="72">
        <f>SUMIFS('3.Ingresos del Contrato'!J:J,'3.Ingresos del Contrato'!H:H,"&lt;="&amp;(EOMONTH($A21,-1)))</f>
        <v>63650000000</v>
      </c>
      <c r="D21" s="70">
        <f>SUMIFS('3.Ingresos del Contrato'!J:J,'3.Ingresos del Contrato'!H:H,"&gt;"&amp;(EOMONTH($A21,-1)),'3.Ingresos del Contrato'!H:H,"&lt;="&amp;(EOMONTH($A21,0)))</f>
        <v>0</v>
      </c>
      <c r="E21" s="89">
        <f t="shared" si="50"/>
        <v>63650000000</v>
      </c>
      <c r="F21" s="146">
        <f>SUMIFS('6.Reportes de Pagos'!N:N,'6.Reportes de Pagos'!H:H,"&lt;="&amp;(EOMONTH($A21,-1)))</f>
        <v>46270102858.349991</v>
      </c>
      <c r="G21" s="146">
        <f>SUMIFS('6.Reportes de Pagos'!N:N,'6.Reportes de Pagos'!H:H,"&gt;"&amp;(EOMONTH($A21,-1)),'6.Reportes de Pagos'!H:H,"&lt;="&amp;(EOMONTH($A21,0)))</f>
        <v>2341706022.6199989</v>
      </c>
      <c r="H21" s="89">
        <f t="shared" si="42"/>
        <v>48611808880.969986</v>
      </c>
      <c r="I21" s="153">
        <f>SUMIFS('7.Rendimientos Financieros'!D:D,'7.Rendimientos Financieros'!A:A,"&lt;="&amp;(EOMONTH($A21,-1)))</f>
        <v>7605106457.0100002</v>
      </c>
      <c r="J21" s="153">
        <f>SUMIFS('7.Rendimientos Financieros'!D:D,'7.Rendimientos Financieros'!A:A,"&gt;"&amp;(EOMONTH($A21,-1)),'7.Rendimientos Financieros'!A:A,"&lt;="&amp;(EOMONTH($A21,0)))</f>
        <v>86139269.040000007</v>
      </c>
      <c r="K21" s="153">
        <f>SUMIFS('7.Rendimientos Financieros'!F:F,'7.Rendimientos Financieros'!E:E,"&lt;="&amp;(EOMONTH($A21,0)))</f>
        <v>7605106457.0100002</v>
      </c>
      <c r="L21" s="89">
        <f t="shared" si="51"/>
        <v>86139269.039999962</v>
      </c>
      <c r="M21" s="133">
        <f t="shared" si="52"/>
        <v>15124330388.070015</v>
      </c>
      <c r="N21" s="89">
        <v>15121444787.48</v>
      </c>
      <c r="O21" s="89">
        <f t="shared" si="56"/>
        <v>-2885600.5900154114</v>
      </c>
      <c r="P21" s="71">
        <f t="shared" si="54"/>
        <v>3011103.57</v>
      </c>
      <c r="Q21" s="186">
        <f t="shared" si="55"/>
        <v>125502.97998458846</v>
      </c>
      <c r="R21" s="186"/>
      <c r="S21" s="201"/>
      <c r="T21" s="201"/>
      <c r="U21" s="201"/>
    </row>
    <row r="22" spans="1:21" s="49" customFormat="1" ht="11" hidden="1" customHeight="1" x14ac:dyDescent="0.35">
      <c r="A22" s="75">
        <v>45688</v>
      </c>
      <c r="B22" s="68" t="s">
        <v>167</v>
      </c>
      <c r="C22" s="72">
        <f>SUMIFS('3.Ingresos del Contrato'!J:J,'3.Ingresos del Contrato'!H:H,"&lt;="&amp;(EOMONTH($A22,-1)))</f>
        <v>63650000000</v>
      </c>
      <c r="D22" s="70">
        <f>SUMIFS('3.Ingresos del Contrato'!J:J,'3.Ingresos del Contrato'!H:H,"&gt;"&amp;(EOMONTH($A22,-1)),'3.Ingresos del Contrato'!H:H,"&lt;="&amp;(EOMONTH($A22,0)))</f>
        <v>0</v>
      </c>
      <c r="E22" s="89">
        <f t="shared" ref="E22" si="57">SUM(C22:D22)</f>
        <v>63650000000</v>
      </c>
      <c r="F22" s="146">
        <f>SUMIFS('6.Reportes de Pagos'!N:N,'6.Reportes de Pagos'!H:H,"&lt;="&amp;(EOMONTH($A22,-1)))</f>
        <v>48611808880.969978</v>
      </c>
      <c r="G22" s="146">
        <f>SUMIFS('6.Reportes de Pagos'!N:N,'6.Reportes de Pagos'!H:H,"&gt;"&amp;(EOMONTH($A22,-1)),'6.Reportes de Pagos'!H:H,"&lt;="&amp;(EOMONTH($A22,0)))</f>
        <v>2087139711.4300001</v>
      </c>
      <c r="H22" s="89">
        <f t="shared" si="42"/>
        <v>50698948592.399979</v>
      </c>
      <c r="I22" s="153">
        <f>SUMIFS('7.Rendimientos Financieros'!D:D,'7.Rendimientos Financieros'!A:A,"&lt;="&amp;(EOMONTH($A22,-1)))</f>
        <v>7691245726.0500002</v>
      </c>
      <c r="J22" s="153">
        <f>SUMIFS('7.Rendimientos Financieros'!D:D,'7.Rendimientos Financieros'!A:A,"&gt;"&amp;(EOMONTH($A22,-1)),'7.Rendimientos Financieros'!A:A,"&lt;="&amp;(EOMONTH($A22,0)))</f>
        <v>100508050.86</v>
      </c>
      <c r="K22" s="153">
        <f>SUMIFS('7.Rendimientos Financieros'!F:F,'7.Rendimientos Financieros'!E:E,"&lt;="&amp;(EOMONTH($A22,0)))</f>
        <v>7691245726.0500002</v>
      </c>
      <c r="L22" s="89">
        <f t="shared" ref="L22" si="58">SUM(I22:J22)-SUM(K22)</f>
        <v>100508050.85999966</v>
      </c>
      <c r="M22" s="133">
        <f t="shared" ref="M22" si="59">+E22-H22+L22</f>
        <v>13051559458.460022</v>
      </c>
      <c r="N22" s="89">
        <v>13048673857.869999</v>
      </c>
      <c r="O22" s="89">
        <f t="shared" si="56"/>
        <v>-2885600.5900230408</v>
      </c>
      <c r="P22" s="71">
        <f t="shared" si="54"/>
        <v>3011103.57</v>
      </c>
      <c r="Q22" s="186">
        <f t="shared" si="55"/>
        <v>125502.97997695906</v>
      </c>
      <c r="R22" s="186"/>
      <c r="S22" s="205"/>
      <c r="T22" s="206"/>
      <c r="U22" s="57"/>
    </row>
    <row r="23" spans="1:21" s="49" customFormat="1" ht="11" hidden="1" customHeight="1" x14ac:dyDescent="0.35">
      <c r="A23" s="75">
        <v>45716</v>
      </c>
      <c r="B23" s="68" t="s">
        <v>167</v>
      </c>
      <c r="C23" s="72">
        <f>SUMIFS('3.Ingresos del Contrato'!J:J,'3.Ingresos del Contrato'!H:H,"&lt;="&amp;(EOMONTH($A23,-1)))</f>
        <v>63650000000</v>
      </c>
      <c r="D23" s="70">
        <f>SUMIFS('3.Ingresos del Contrato'!J:J,'3.Ingresos del Contrato'!H:H,"&gt;"&amp;(EOMONTH($A23,-1)),'3.Ingresos del Contrato'!H:H,"&lt;="&amp;(EOMONTH($A23,0)))</f>
        <v>0</v>
      </c>
      <c r="E23" s="89">
        <f t="shared" ref="E23" si="60">SUM(C23:D23)</f>
        <v>63650000000</v>
      </c>
      <c r="F23" s="146">
        <f>SUMIFS('6.Reportes de Pagos'!N:N,'6.Reportes de Pagos'!H:H,"&lt;="&amp;(EOMONTH($A23,-1)))</f>
        <v>50698948592.399979</v>
      </c>
      <c r="G23" s="146">
        <f>SUMIFS('6.Reportes de Pagos'!N:N,'6.Reportes de Pagos'!H:H,"&gt;"&amp;(EOMONTH($A23,-1)),'6.Reportes de Pagos'!H:H,"&lt;="&amp;(EOMONTH($A23,0)))</f>
        <v>2037890413.8300002</v>
      </c>
      <c r="H23" s="89">
        <f t="shared" ref="H23" si="61">SUM(F23:G23)</f>
        <v>52736839006.22998</v>
      </c>
      <c r="I23" s="153">
        <f>SUMIFS('7.Rendimientos Financieros'!D:D,'7.Rendimientos Financieros'!A:A,"&lt;="&amp;(EOMONTH($A23,-1)))</f>
        <v>7791753776.9099998</v>
      </c>
      <c r="J23" s="153">
        <f>SUMIFS('7.Rendimientos Financieros'!D:D,'7.Rendimientos Financieros'!A:A,"&gt;"&amp;(EOMONTH($A23,-1)),'7.Rendimientos Financieros'!A:A,"&lt;="&amp;(EOMONTH($A23,0)))</f>
        <v>79870995.150000006</v>
      </c>
      <c r="K23" s="153">
        <f>SUMIFS('7.Rendimientos Financieros'!F:F,'7.Rendimientos Financieros'!E:E,"&lt;="&amp;(EOMONTH($A23,0)))</f>
        <v>7791753776.9099998</v>
      </c>
      <c r="L23" s="89">
        <f t="shared" ref="L23" si="62">SUM(I23:J23)-SUM(K23)</f>
        <v>79870995.149999619</v>
      </c>
      <c r="M23" s="133">
        <f t="shared" ref="M23" si="63">+E23-H23+L23</f>
        <v>10993031988.920019</v>
      </c>
      <c r="N23" s="89">
        <f>8412428683+2577520745.33</f>
        <v>10989949428.33</v>
      </c>
      <c r="O23" s="89">
        <f t="shared" si="56"/>
        <v>-3082560.5900192261</v>
      </c>
      <c r="P23" s="71">
        <f t="shared" si="54"/>
        <v>3011103.57</v>
      </c>
      <c r="Q23" s="186">
        <f t="shared" si="55"/>
        <v>-71457.020019226242</v>
      </c>
      <c r="R23" s="186"/>
      <c r="S23" s="205"/>
      <c r="T23" s="206"/>
      <c r="U23" s="57"/>
    </row>
    <row r="24" spans="1:21" s="49" customFormat="1" ht="11" hidden="1" customHeight="1" x14ac:dyDescent="0.35">
      <c r="A24" s="75">
        <v>45747</v>
      </c>
      <c r="B24" s="68" t="s">
        <v>167</v>
      </c>
      <c r="C24" s="72">
        <f>SUMIFS('3.Ingresos del Contrato'!J:J,'3.Ingresos del Contrato'!H:H,"&lt;="&amp;(EOMONTH($A24,-1)))</f>
        <v>63650000000</v>
      </c>
      <c r="D24" s="70">
        <f>SUMIFS('3.Ingresos del Contrato'!J:J,'3.Ingresos del Contrato'!H:H,"&gt;"&amp;(EOMONTH($A24,-1)),'3.Ingresos del Contrato'!H:H,"&lt;="&amp;(EOMONTH($A24,0)))</f>
        <v>0</v>
      </c>
      <c r="E24" s="89">
        <f t="shared" ref="E24" si="64">SUM(C24:D24)</f>
        <v>63650000000</v>
      </c>
      <c r="F24" s="146">
        <f>SUMIFS('6.Reportes de Pagos'!N:N,'6.Reportes de Pagos'!H:H,"&lt;="&amp;(EOMONTH($A24,-1)))</f>
        <v>52736839006.229988</v>
      </c>
      <c r="G24" s="146">
        <f>SUMIFS('6.Reportes de Pagos'!N:N,'6.Reportes de Pagos'!H:H,"&gt;"&amp;(EOMONTH($A24,-1)),'6.Reportes de Pagos'!H:H,"&lt;="&amp;(EOMONTH($A24,0)))</f>
        <v>1186877085.73</v>
      </c>
      <c r="H24" s="89">
        <f t="shared" ref="H24" si="65">SUM(F24:G24)</f>
        <v>53923716091.959991</v>
      </c>
      <c r="I24" s="153">
        <f>SUMIFS('7.Rendimientos Financieros'!D:D,'7.Rendimientos Financieros'!A:A,"&lt;="&amp;(EOMONTH($A24,-1)))</f>
        <v>7871624772.0599995</v>
      </c>
      <c r="J24" s="153">
        <f>SUMIFS('7.Rendimientos Financieros'!D:D,'7.Rendimientos Financieros'!A:A,"&gt;"&amp;(EOMONTH($A24,-1)),'7.Rendimientos Financieros'!A:A,"&lt;="&amp;(EOMONTH($A24,0)))</f>
        <v>71484532.870000005</v>
      </c>
      <c r="K24" s="153">
        <f>SUMIFS('7.Rendimientos Financieros'!F:F,'7.Rendimientos Financieros'!E:E,"&lt;="&amp;(EOMONTH($A24,0)))</f>
        <v>7871624772.0599995</v>
      </c>
      <c r="L24" s="89">
        <f t="shared" ref="L24" si="66">SUM(I24:J24)-SUM(K24)</f>
        <v>71484532.869999886</v>
      </c>
      <c r="M24" s="133">
        <f t="shared" ref="M24" si="67">+E24-H24+L24</f>
        <v>9797768440.9100075</v>
      </c>
      <c r="N24" s="89">
        <f>7619953492.64+2174427745.07</f>
        <v>9794381237.710001</v>
      </c>
      <c r="O24" s="89">
        <f t="shared" si="56"/>
        <v>-3387203.200006485</v>
      </c>
      <c r="P24" s="71">
        <f t="shared" si="54"/>
        <v>3011103.57</v>
      </c>
      <c r="Q24" s="186">
        <f t="shared" si="55"/>
        <v>-376099.63000648515</v>
      </c>
      <c r="R24" s="186"/>
      <c r="S24" s="205"/>
      <c r="T24" s="206"/>
      <c r="U24" s="57"/>
    </row>
    <row r="25" spans="1:21" s="49" customFormat="1" ht="11" hidden="1" customHeight="1" x14ac:dyDescent="0.35">
      <c r="A25" s="75">
        <v>45777</v>
      </c>
      <c r="B25" s="68" t="s">
        <v>167</v>
      </c>
      <c r="C25" s="72">
        <f>SUMIFS('3.Ingresos del Contrato'!J:J,'3.Ingresos del Contrato'!H:H,"&lt;="&amp;(EOMONTH($A25,-1)))</f>
        <v>63650000000</v>
      </c>
      <c r="D25" s="70">
        <f>SUMIFS('3.Ingresos del Contrato'!J:J,'3.Ingresos del Contrato'!H:H,"&gt;"&amp;(EOMONTH($A25,-1)),'3.Ingresos del Contrato'!H:H,"&lt;="&amp;(EOMONTH($A25,0)))</f>
        <v>0</v>
      </c>
      <c r="E25" s="89">
        <f t="shared" ref="E25" si="68">SUM(C25:D25)</f>
        <v>63650000000</v>
      </c>
      <c r="F25" s="146">
        <f>SUMIFS('6.Reportes de Pagos'!N:N,'6.Reportes de Pagos'!H:H,"&lt;="&amp;(EOMONTH($A25,-1)))</f>
        <v>53923716091.959969</v>
      </c>
      <c r="G25" s="146">
        <f>SUMIFS('6.Reportes de Pagos'!N:N,'6.Reportes de Pagos'!H:H,"&gt;"&amp;(EOMONTH($A25,-1)),'6.Reportes de Pagos'!H:H,"&lt;="&amp;(EOMONTH($A25,0)))</f>
        <v>1599912240.4199998</v>
      </c>
      <c r="H25" s="89">
        <f t="shared" ref="H25" si="69">SUM(F25:G25)</f>
        <v>55523628332.379967</v>
      </c>
      <c r="I25" s="153">
        <f>SUMIFS('7.Rendimientos Financieros'!D:D,'7.Rendimientos Financieros'!A:A,"&lt;="&amp;(EOMONTH($A25,-1)))</f>
        <v>7943109304.9299994</v>
      </c>
      <c r="J25" s="153">
        <f>SUMIFS('7.Rendimientos Financieros'!D:D,'7.Rendimientos Financieros'!A:A,"&gt;"&amp;(EOMONTH($A25,-1)),'7.Rendimientos Financieros'!A:A,"&lt;="&amp;(EOMONTH($A25,0)))</f>
        <v>63442805.710000001</v>
      </c>
      <c r="K25" s="153">
        <f>SUMIFS('7.Rendimientos Financieros'!F:F,'7.Rendimientos Financieros'!E:E,"&lt;="&amp;(EOMONTH($A25,0)))</f>
        <v>7943109304.9299994</v>
      </c>
      <c r="L25" s="89">
        <f t="shared" ref="L25" si="70">SUM(I25:J25)-SUM(K25)</f>
        <v>63442805.710000038</v>
      </c>
      <c r="M25" s="133">
        <f t="shared" ref="M25" si="71">+E25-H25+L25</f>
        <v>8189814473.3300333</v>
      </c>
      <c r="N25" s="89">
        <f>1941761909.25+6247676464.45</f>
        <v>8189438373.6999998</v>
      </c>
      <c r="O25" s="89">
        <f t="shared" si="56"/>
        <v>-376099.63003349304</v>
      </c>
      <c r="P25" s="186">
        <f t="shared" ref="P25:P34" si="72">196960+179140</f>
        <v>376100</v>
      </c>
      <c r="Q25" s="186">
        <f t="shared" ref="Q25:Q30" si="73">+O25+P25</f>
        <v>0.36996650695800781</v>
      </c>
      <c r="S25" s="205"/>
      <c r="T25" s="206"/>
      <c r="U25" s="57"/>
    </row>
    <row r="26" spans="1:21" s="49" customFormat="1" ht="11" hidden="1" customHeight="1" x14ac:dyDescent="0.35">
      <c r="A26" s="75">
        <v>45808</v>
      </c>
      <c r="B26" s="68" t="s">
        <v>167</v>
      </c>
      <c r="C26" s="72">
        <f>SUMIFS('3.Ingresos del Contrato'!J:J,'3.Ingresos del Contrato'!H:H,"&lt;="&amp;(EOMONTH($A26,-1)))</f>
        <v>63650000000</v>
      </c>
      <c r="D26" s="70">
        <f>SUMIFS('3.Ingresos del Contrato'!J:J,'3.Ingresos del Contrato'!H:H,"&gt;"&amp;(EOMONTH($A26,-1)),'3.Ingresos del Contrato'!H:H,"&lt;="&amp;(EOMONTH($A26,0)))</f>
        <v>0</v>
      </c>
      <c r="E26" s="89">
        <f t="shared" ref="E26" si="74">SUM(C26:D26)</f>
        <v>63650000000</v>
      </c>
      <c r="F26" s="146">
        <f>SUMIFS('6.Reportes de Pagos'!N:N,'6.Reportes de Pagos'!H:H,"&lt;="&amp;(EOMONTH($A26,-1)))</f>
        <v>55523628332.379967</v>
      </c>
      <c r="G26" s="146">
        <f>SUMIFS('6.Reportes de Pagos'!N:N,'6.Reportes de Pagos'!H:H,"&gt;"&amp;(EOMONTH($A26,-1)),'6.Reportes de Pagos'!H:H,"&lt;="&amp;(EOMONTH($A26,0)))</f>
        <v>1490382054.97</v>
      </c>
      <c r="H26" s="89">
        <f t="shared" ref="H26" si="75">SUM(F26:G26)</f>
        <v>57014010387.349968</v>
      </c>
      <c r="I26" s="153">
        <f>SUMIFS('7.Rendimientos Financieros'!D:D,'7.Rendimientos Financieros'!A:A,"&lt;="&amp;(EOMONTH($A26,-1)))</f>
        <v>8006552110.6399994</v>
      </c>
      <c r="J26" s="153">
        <f>SUMIFS('7.Rendimientos Financieros'!D:D,'7.Rendimientos Financieros'!A:A,"&gt;"&amp;(EOMONTH($A26,-1)),'7.Rendimientos Financieros'!A:A,"&lt;="&amp;(EOMONTH($A26,0)))</f>
        <v>57970031.329999998</v>
      </c>
      <c r="K26" s="153">
        <f>SUMIFS('7.Rendimientos Financieros'!F:F,'7.Rendimientos Financieros'!E:E,"&lt;="&amp;(EOMONTH($A26,0)))</f>
        <v>8006552110.6399994</v>
      </c>
      <c r="L26" s="89">
        <f t="shared" ref="L26" si="76">SUM(I26:J26)-SUM(K26)</f>
        <v>57970031.329999924</v>
      </c>
      <c r="M26" s="133">
        <f t="shared" ref="M26" si="77">+E26-H26+L26</f>
        <v>6693959643.980032</v>
      </c>
      <c r="N26" s="89">
        <f>1488146663.14+5205436881.21</f>
        <v>6693583544.3500004</v>
      </c>
      <c r="O26" s="89">
        <f t="shared" ref="O26" si="78">+N26-M26</f>
        <v>-376099.63003158569</v>
      </c>
      <c r="P26" s="186">
        <f t="shared" si="72"/>
        <v>376100</v>
      </c>
      <c r="Q26" s="186">
        <f t="shared" si="73"/>
        <v>0.36996841430664063</v>
      </c>
      <c r="S26" s="205"/>
      <c r="T26" s="206"/>
      <c r="U26" s="57"/>
    </row>
    <row r="27" spans="1:21" s="49" customFormat="1" ht="11" hidden="1" customHeight="1" x14ac:dyDescent="0.35">
      <c r="A27" s="75">
        <v>45838</v>
      </c>
      <c r="B27" s="68" t="s">
        <v>167</v>
      </c>
      <c r="C27" s="72">
        <f>SUMIFS('3.Ingresos del Contrato'!J:J,'3.Ingresos del Contrato'!H:H,"&lt;="&amp;(EOMONTH($A27,-1)))</f>
        <v>63650000000</v>
      </c>
      <c r="D27" s="70">
        <f>SUMIFS('3.Ingresos del Contrato'!J:J,'3.Ingresos del Contrato'!H:H,"&gt;"&amp;(EOMONTH($A27,-1)),'3.Ingresos del Contrato'!H:H,"&lt;="&amp;(EOMONTH($A27,0)))</f>
        <v>0</v>
      </c>
      <c r="E27" s="89">
        <f t="shared" ref="E27" si="79">SUM(C27:D27)</f>
        <v>63650000000</v>
      </c>
      <c r="F27" s="146">
        <f>SUMIFS('6.Reportes de Pagos'!N:N,'6.Reportes de Pagos'!H:H,"&lt;="&amp;(EOMONTH($A27,-1)))</f>
        <v>57014010387.349976</v>
      </c>
      <c r="G27" s="146">
        <f>SUMIFS('6.Reportes de Pagos'!N:N,'6.Reportes de Pagos'!H:H,"&gt;"&amp;(EOMONTH($A27,-1)),'6.Reportes de Pagos'!H:H,"&lt;="&amp;(EOMONTH($A27,0)))</f>
        <v>599506266.51999998</v>
      </c>
      <c r="H27" s="89">
        <f t="shared" ref="H27" si="80">SUM(F27:G27)</f>
        <v>57613516653.869972</v>
      </c>
      <c r="I27" s="153">
        <f>SUMIFS('7.Rendimientos Financieros'!D:D,'7.Rendimientos Financieros'!A:A,"&lt;="&amp;(EOMONTH($A27,-1)))</f>
        <v>8064522141.9699993</v>
      </c>
      <c r="J27" s="153">
        <f>SUMIFS('7.Rendimientos Financieros'!D:D,'7.Rendimientos Financieros'!A:A,"&gt;"&amp;(EOMONTH($A27,-1)),'7.Rendimientos Financieros'!A:A,"&lt;="&amp;(EOMONTH($A27,0)))</f>
        <v>36896148.549999997</v>
      </c>
      <c r="K27" s="153">
        <f>SUMIFS('7.Rendimientos Financieros'!F:F,'7.Rendimientos Financieros'!E:E,"&lt;="&amp;(EOMONTH($A27,0)))</f>
        <v>8064419771.5899992</v>
      </c>
      <c r="L27" s="89">
        <f t="shared" ref="L27" si="81">SUM(I27:J27)-SUM(K27)</f>
        <v>36998518.930000305</v>
      </c>
      <c r="M27" s="133">
        <f t="shared" ref="M27" si="82">+E27-H27+L27</f>
        <v>6073481865.0600281</v>
      </c>
      <c r="N27" s="89">
        <f>1322656535.96+4750449229.47</f>
        <v>6073105765.4300003</v>
      </c>
      <c r="O27" s="89">
        <f t="shared" ref="O27" si="83">+N27-M27</f>
        <v>-376099.630027771</v>
      </c>
      <c r="P27" s="186">
        <f t="shared" si="72"/>
        <v>376100</v>
      </c>
      <c r="Q27" s="186">
        <f t="shared" si="73"/>
        <v>0.36997222900390625</v>
      </c>
      <c r="R27" s="186"/>
      <c r="S27" s="205"/>
      <c r="T27" s="206"/>
      <c r="U27" s="57"/>
    </row>
    <row r="28" spans="1:21" s="49" customFormat="1" ht="11" hidden="1" customHeight="1" x14ac:dyDescent="0.35">
      <c r="A28" s="75">
        <v>45869</v>
      </c>
      <c r="B28" s="68" t="s">
        <v>167</v>
      </c>
      <c r="C28" s="72">
        <f>SUMIFS('3.Ingresos del Contrato'!J:J,'3.Ingresos del Contrato'!H:H,"&lt;="&amp;(EOMONTH($A28,-1)))</f>
        <v>63650000000</v>
      </c>
      <c r="D28" s="70">
        <f>SUMIFS('3.Ingresos del Contrato'!J:J,'3.Ingresos del Contrato'!H:H,"&gt;"&amp;(EOMONTH($A28,-1)),'3.Ingresos del Contrato'!H:H,"&lt;="&amp;(EOMONTH($A28,0)))</f>
        <v>0</v>
      </c>
      <c r="E28" s="89">
        <f t="shared" ref="E28" si="84">SUM(C28:D28)</f>
        <v>63650000000</v>
      </c>
      <c r="F28" s="146">
        <f>ROUND(SUMIFS('6.Reportes de Pagos'!N:N,'6.Reportes de Pagos'!H:H,"&lt;="&amp;(EOMONTH($A28,-1)))-0.37,2)</f>
        <v>57613516653.5</v>
      </c>
      <c r="G28" s="146">
        <f>SUMIFS('6.Reportes de Pagos'!N:N,'6.Reportes de Pagos'!H:H,"&gt;"&amp;(EOMONTH($A28,-1)),'6.Reportes de Pagos'!H:H,"&lt;="&amp;(EOMONTH($A28,0)))</f>
        <v>189621505.14000005</v>
      </c>
      <c r="H28" s="89">
        <f t="shared" ref="H28" si="85">SUM(F28:G28)</f>
        <v>57803138158.639999</v>
      </c>
      <c r="I28" s="153">
        <f>ROUND(SUMIFS('7.Rendimientos Financieros'!D:D,'7.Rendimientos Financieros'!A:A,"&lt;="&amp;(EOMONTH($A28,-1))),2)</f>
        <v>8101418290.5200005</v>
      </c>
      <c r="J28" s="153">
        <f>ROUND(SUMIFS('7.Rendimientos Financieros'!D:D,'7.Rendimientos Financieros'!A:A,"&gt;"&amp;(EOMONTH($A28,-1)),'7.Rendimientos Financieros'!A:A,"&lt;="&amp;(EOMONTH($A28,0))),2)</f>
        <v>42662914.950000003</v>
      </c>
      <c r="K28" s="153">
        <f>ROUND(SUMIFS('7.Rendimientos Financieros'!F:F,'7.Rendimientos Financieros'!E:E,"&lt;="&amp;(EOMONTH($A28,0))),2)</f>
        <v>8101315920.1400003</v>
      </c>
      <c r="L28" s="231">
        <f>+ROUND(I28+J28-K28,2)</f>
        <v>42765285.329999998</v>
      </c>
      <c r="M28" s="133">
        <f t="shared" ref="M28" si="86">+E28-H28+L28</f>
        <v>5889627126.6900005</v>
      </c>
      <c r="N28" s="89">
        <f>4693352647.86+1196274478.83</f>
        <v>5889627126.6899996</v>
      </c>
      <c r="O28" s="89">
        <f t="shared" ref="O28" si="87">+N28-M28</f>
        <v>0</v>
      </c>
      <c r="P28" s="186">
        <f t="shared" si="72"/>
        <v>376100</v>
      </c>
      <c r="Q28" s="186">
        <f t="shared" si="73"/>
        <v>376100</v>
      </c>
      <c r="R28" s="186"/>
      <c r="S28" s="205"/>
      <c r="T28" s="206"/>
      <c r="U28" s="57"/>
    </row>
    <row r="29" spans="1:21" s="49" customFormat="1" ht="11" hidden="1" customHeight="1" x14ac:dyDescent="0.35">
      <c r="A29" s="75">
        <v>45900</v>
      </c>
      <c r="B29" s="68" t="s">
        <v>167</v>
      </c>
      <c r="C29" s="72">
        <f>SUMIFS('3.Ingresos del Contrato'!J:J,'3.Ingresos del Contrato'!H:H,"&lt;="&amp;(EOMONTH($A29,-1)))</f>
        <v>63650000000</v>
      </c>
      <c r="D29" s="70">
        <f>SUMIFS('3.Ingresos del Contrato'!J:J,'3.Ingresos del Contrato'!H:H,"&gt;"&amp;(EOMONTH($A29,-1)),'3.Ingresos del Contrato'!H:H,"&lt;="&amp;(EOMONTH($A29,0)))</f>
        <v>0</v>
      </c>
      <c r="E29" s="89">
        <f t="shared" ref="E29" si="88">SUM(C29:D29)</f>
        <v>63650000000</v>
      </c>
      <c r="F29" s="146">
        <f>ROUND(SUMIFS('6.Reportes de Pagos'!N:N,'6.Reportes de Pagos'!H:H,"&lt;="&amp;(EOMONTH($A29,-1)))-0.37,2)</f>
        <v>57803138158.639999</v>
      </c>
      <c r="G29" s="146">
        <f>SUMIFS('6.Reportes de Pagos'!N:N,'6.Reportes de Pagos'!H:H,"&gt;"&amp;(EOMONTH($A29,-1)),'6.Reportes de Pagos'!H:H,"&lt;="&amp;(EOMONTH($A29,0)))</f>
        <v>2254032560.6299996</v>
      </c>
      <c r="H29" s="89">
        <f t="shared" ref="H29" si="89">SUM(F29:G29)</f>
        <v>60057170719.269997</v>
      </c>
      <c r="I29" s="153">
        <f>ROUND(SUMIFS('7.Rendimientos Financieros'!D:D,'7.Rendimientos Financieros'!A:A,"&lt;="&amp;(EOMONTH($A29,-1))),2)</f>
        <v>8144081205.4700003</v>
      </c>
      <c r="J29" s="153">
        <f>ROUND(SUMIFS('7.Rendimientos Financieros'!D:D,'7.Rendimientos Financieros'!A:A,"&gt;"&amp;(EOMONTH($A29,-1)),'7.Rendimientos Financieros'!A:A,"&lt;="&amp;(EOMONTH($A29,0))),2)</f>
        <v>34478776.979999997</v>
      </c>
      <c r="K29" s="153">
        <f>ROUND(SUMIFS('7.Rendimientos Financieros'!F:F,'7.Rendimientos Financieros'!E:E,"&lt;="&amp;(EOMONTH($A29,0))),2)</f>
        <v>8143978835.0900002</v>
      </c>
      <c r="L29" s="89">
        <f>+ROUND(I29+J29-K29,2)</f>
        <v>34581147.359999999</v>
      </c>
      <c r="M29" s="133">
        <f t="shared" ref="M29" si="90">+E29-H29+L29</f>
        <v>3627410428.0900035</v>
      </c>
      <c r="N29" s="89">
        <v>3627410428.0900002</v>
      </c>
      <c r="O29" s="89">
        <f t="shared" ref="O29" si="91">+N29-M29</f>
        <v>0</v>
      </c>
      <c r="P29" s="186">
        <f t="shared" si="72"/>
        <v>376100</v>
      </c>
      <c r="Q29" s="186">
        <f t="shared" si="73"/>
        <v>376100</v>
      </c>
      <c r="R29" s="186"/>
      <c r="S29" s="205"/>
      <c r="T29" s="206"/>
      <c r="U29" s="57"/>
    </row>
    <row r="30" spans="1:21" s="49" customFormat="1" ht="11" hidden="1" customHeight="1" x14ac:dyDescent="0.35">
      <c r="A30" s="75">
        <v>45930</v>
      </c>
      <c r="B30" s="68" t="s">
        <v>167</v>
      </c>
      <c r="C30" s="72">
        <f>SUMIFS('3.Ingresos del Contrato'!J:J,'3.Ingresos del Contrato'!H:H,"&lt;="&amp;(EOMONTH($A30,-1)))</f>
        <v>63650000000</v>
      </c>
      <c r="D30" s="70">
        <f>SUMIFS('3.Ingresos del Contrato'!J:J,'3.Ingresos del Contrato'!H:H,"&gt;"&amp;(EOMONTH($A30,-1)),'3.Ingresos del Contrato'!H:H,"&lt;="&amp;(EOMONTH($A30,0)))</f>
        <v>0</v>
      </c>
      <c r="E30" s="89">
        <f t="shared" ref="E30" si="92">SUM(C30:D30)</f>
        <v>63650000000</v>
      </c>
      <c r="F30" s="146">
        <f>ROUND(SUMIFS('6.Reportes de Pagos'!N:N,'6.Reportes de Pagos'!H:H,"&lt;="&amp;(EOMONTH($A30,-1)))-0.37,2)</f>
        <v>60057170719.269997</v>
      </c>
      <c r="G30" s="146">
        <f>SUMIFS('6.Reportes de Pagos'!N:N,'6.Reportes de Pagos'!H:H,"&gt;"&amp;(EOMONTH($A30,-1)),'6.Reportes de Pagos'!H:H,"&lt;="&amp;(EOMONTH($A30,0)))</f>
        <v>679692804.32000005</v>
      </c>
      <c r="H30" s="89">
        <f t="shared" ref="H30" si="93">SUM(F30:G30)</f>
        <v>60736863523.589996</v>
      </c>
      <c r="I30" s="153">
        <f>ROUND(SUMIFS('7.Rendimientos Financieros'!D:D,'7.Rendimientos Financieros'!A:A,"&lt;="&amp;(EOMONTH($A30,-1))),2)</f>
        <v>8178559982.4499998</v>
      </c>
      <c r="J30" s="153">
        <f>ROUND(SUMIFS('7.Rendimientos Financieros'!D:D,'7.Rendimientos Financieros'!A:A,"&gt;"&amp;(EOMONTH($A30,-1)),'7.Rendimientos Financieros'!A:A,"&lt;="&amp;(EOMONTH($A30,0))),2)</f>
        <v>20534849.329999998</v>
      </c>
      <c r="K30" s="153">
        <f>ROUND(SUMIFS('7.Rendimientos Financieros'!F:F,'7.Rendimientos Financieros'!E:E,"&lt;="&amp;(EOMONTH($A30,0))),2)</f>
        <v>8178559982.4499998</v>
      </c>
      <c r="L30" s="89">
        <f>+ROUND(I30+J30-K30,2)</f>
        <v>20534849.329999998</v>
      </c>
      <c r="M30" s="133">
        <f t="shared" ref="M30" si="94">+E30-H30+L30</f>
        <v>2933671325.7400036</v>
      </c>
      <c r="N30" s="89">
        <f>717883329.1+2215787996.64</f>
        <v>2933671325.7399998</v>
      </c>
      <c r="O30" s="89">
        <f t="shared" ref="O30" si="95">+N30-M30</f>
        <v>-3.814697265625E-6</v>
      </c>
      <c r="P30" s="186">
        <f t="shared" si="72"/>
        <v>376100</v>
      </c>
      <c r="Q30" s="186">
        <f t="shared" si="73"/>
        <v>376099.9999961853</v>
      </c>
      <c r="R30" s="186"/>
      <c r="S30" s="205"/>
      <c r="T30" s="206"/>
      <c r="U30" s="57"/>
    </row>
    <row r="31" spans="1:21" s="49" customFormat="1" ht="11" hidden="1" customHeight="1" x14ac:dyDescent="0.35">
      <c r="A31" s="75">
        <v>45961</v>
      </c>
      <c r="B31" s="68" t="s">
        <v>167</v>
      </c>
      <c r="C31" s="72">
        <f>SUMIFS('3.Ingresos del Contrato'!J:J,'3.Ingresos del Contrato'!H:H,"&lt;="&amp;(EOMONTH($A31,-1)))</f>
        <v>63650000000</v>
      </c>
      <c r="D31" s="70">
        <f>SUMIFS('3.Ingresos del Contrato'!J:J,'3.Ingresos del Contrato'!H:H,"&gt;"&amp;(EOMONTH($A31,-1)),'3.Ingresos del Contrato'!H:H,"&lt;="&amp;(EOMONTH($A31,0)))</f>
        <v>0</v>
      </c>
      <c r="E31" s="89">
        <f t="shared" ref="E31" si="96">SUM(C31:D31)</f>
        <v>63650000000</v>
      </c>
      <c r="F31" s="146">
        <f>ROUND(SUMIFS('6.Reportes de Pagos'!N:N,'6.Reportes de Pagos'!H:H,"&lt;="&amp;(EOMONTH($A31,-1)))-0.37,2)</f>
        <v>60736863523.589996</v>
      </c>
      <c r="G31" s="146">
        <f>SUMIFS('6.Reportes de Pagos'!N:N,'6.Reportes de Pagos'!H:H,"&gt;"&amp;(EOMONTH($A31,-1)),'6.Reportes de Pagos'!H:H,"&lt;="&amp;(EOMONTH($A31,0)))</f>
        <v>261789055.33000001</v>
      </c>
      <c r="H31" s="89">
        <f t="shared" ref="H31" si="97">SUM(F31:G31)</f>
        <v>60998652578.919998</v>
      </c>
      <c r="I31" s="153">
        <f>ROUND(SUMIFS('7.Rendimientos Financieros'!D:D,'7.Rendimientos Financieros'!A:A,"&lt;="&amp;(EOMONTH($A31,-1))),2)</f>
        <v>8199094831.7799997</v>
      </c>
      <c r="J31" s="153">
        <f>ROUND(SUMIFS('7.Rendimientos Financieros'!D:D,'7.Rendimientos Financieros'!A:A,"&gt;"&amp;(EOMONTH($A31,-1)),'7.Rendimientos Financieros'!A:A,"&lt;="&amp;(EOMONTH($A31,0))),2)</f>
        <v>17966513.809999999</v>
      </c>
      <c r="K31" s="153">
        <f>ROUND(SUMIFS('7.Rendimientos Financieros'!F:F,'7.Rendimientos Financieros'!E:E,"&lt;="&amp;(EOMONTH($A31,0))),2)</f>
        <v>8199094831.7799997</v>
      </c>
      <c r="L31" s="89">
        <f>+ROUND(I31+J31-K31,2)</f>
        <v>17966513.809999999</v>
      </c>
      <c r="M31" s="133">
        <f t="shared" ref="M31" si="98">+E31-H31+L31</f>
        <v>2669313934.8900018</v>
      </c>
      <c r="N31" s="89">
        <f>584683047.4+2084630887.49</f>
        <v>2669313934.8899999</v>
      </c>
      <c r="O31" s="89">
        <f t="shared" ref="O31" si="99">+N31-M31</f>
        <v>0</v>
      </c>
      <c r="P31" s="186">
        <f t="shared" si="72"/>
        <v>376100</v>
      </c>
      <c r="Q31" s="186">
        <f t="shared" ref="Q31" si="100">+O31+P31</f>
        <v>376100</v>
      </c>
      <c r="R31" s="186"/>
      <c r="S31" s="205"/>
      <c r="T31" s="206"/>
      <c r="U31" s="57"/>
    </row>
    <row r="32" spans="1:21" s="49" customFormat="1" ht="11" hidden="1" customHeight="1" x14ac:dyDescent="0.35">
      <c r="A32" s="75">
        <v>45991</v>
      </c>
      <c r="B32" s="68" t="s">
        <v>167</v>
      </c>
      <c r="C32" s="72">
        <f>SUMIFS('3.Ingresos del Contrato'!J:J,'3.Ingresos del Contrato'!H:H,"&lt;="&amp;(EOMONTH($A32,-1)))</f>
        <v>63650000000</v>
      </c>
      <c r="D32" s="70">
        <f>SUMIFS('3.Ingresos del Contrato'!J:J,'3.Ingresos del Contrato'!H:H,"&gt;"&amp;(EOMONTH($A32,-1)),'3.Ingresos del Contrato'!H:H,"&lt;="&amp;(EOMONTH($A32,0)))</f>
        <v>0</v>
      </c>
      <c r="E32" s="89">
        <f t="shared" ref="E32:E33" si="101">SUM(C32:D32)</f>
        <v>63650000000</v>
      </c>
      <c r="F32" s="146">
        <f>ROUND(SUMIFS('6.Reportes de Pagos'!N:N,'6.Reportes de Pagos'!H:H,"&lt;="&amp;(EOMONTH($A32,-1)))-0.37,2)</f>
        <v>60998652578.919998</v>
      </c>
      <c r="G32" s="146">
        <f>SUMIFS('6.Reportes de Pagos'!N:N,'6.Reportes de Pagos'!H:H,"&gt;"&amp;(EOMONTH($A32,-1)),'6.Reportes de Pagos'!H:H,"&lt;="&amp;(EOMONTH($A32,0)))</f>
        <v>1191458538.3399999</v>
      </c>
      <c r="H32" s="89">
        <f t="shared" ref="H32:H33" si="102">SUM(F32:G32)</f>
        <v>62190111117.259995</v>
      </c>
      <c r="I32" s="153">
        <f>ROUND(SUMIFS('7.Rendimientos Financieros'!D:D,'7.Rendimientos Financieros'!A:A,"&lt;="&amp;(EOMONTH($A32,-1))),2)</f>
        <v>8217061345.5900002</v>
      </c>
      <c r="J32" s="153">
        <f>ROUND(SUMIFS('7.Rendimientos Financieros'!D:D,'7.Rendimientos Financieros'!A:A,"&gt;"&amp;(EOMONTH($A32,-1)),'7.Rendimientos Financieros'!A:A,"&lt;="&amp;(EOMONTH($A32,0))),2)</f>
        <v>10757795.189999999</v>
      </c>
      <c r="K32" s="153">
        <f>ROUND(SUMIFS('7.Rendimientos Financieros'!F:F,'7.Rendimientos Financieros'!E:E,"&lt;="&amp;(EOMONTH($A32,0))),2)</f>
        <v>8217061345.5900002</v>
      </c>
      <c r="L32" s="89">
        <f t="shared" ref="L32:L33" si="103">+ROUND(I32+J32-K32,2)</f>
        <v>10757795.189999999</v>
      </c>
      <c r="M32" s="133">
        <f t="shared" ref="M32:M33" si="104">+E32-H32+L32</f>
        <v>1470646677.9300056</v>
      </c>
      <c r="N32" s="89">
        <v>1470646677.9300056</v>
      </c>
      <c r="O32" s="89">
        <f t="shared" ref="O32:O33" si="105">+N32-M32</f>
        <v>0</v>
      </c>
      <c r="P32" s="186"/>
      <c r="Q32" s="186"/>
      <c r="R32" s="186"/>
      <c r="S32" s="205"/>
      <c r="T32" s="206"/>
      <c r="U32" s="57"/>
    </row>
    <row r="33" spans="1:21" s="49" customFormat="1" ht="11" hidden="1" customHeight="1" x14ac:dyDescent="0.35">
      <c r="A33" s="75">
        <v>46022</v>
      </c>
      <c r="B33" s="68" t="s">
        <v>167</v>
      </c>
      <c r="C33" s="72">
        <f>SUMIFS('3.Ingresos del Contrato'!J:J,'3.Ingresos del Contrato'!H:H,"&lt;="&amp;(EOMONTH($A33,-1)))</f>
        <v>63650000000</v>
      </c>
      <c r="D33" s="70">
        <f>SUMIFS('3.Ingresos del Contrato'!J:J,'3.Ingresos del Contrato'!H:H,"&gt;"&amp;(EOMONTH($A33,-1)),'3.Ingresos del Contrato'!H:H,"&lt;="&amp;(EOMONTH($A33,0)))</f>
        <v>0</v>
      </c>
      <c r="E33" s="89">
        <f t="shared" si="101"/>
        <v>63650000000</v>
      </c>
      <c r="F33" s="146">
        <f>ROUND(SUMIFS('6.Reportes de Pagos'!N:N,'6.Reportes de Pagos'!H:H,"&lt;="&amp;(EOMONTH($A33,-1)))-0.37,2)</f>
        <v>62190111117.260002</v>
      </c>
      <c r="G33" s="146">
        <f>SUMIFS('6.Reportes de Pagos'!N:N,'6.Reportes de Pagos'!H:H,"&gt;"&amp;(EOMONTH($A33,-1)),'6.Reportes de Pagos'!H:H,"&lt;="&amp;(EOMONTH($A33,0)))</f>
        <v>269566098.12</v>
      </c>
      <c r="H33" s="89">
        <f t="shared" si="102"/>
        <v>62459677215.380005</v>
      </c>
      <c r="I33" s="153">
        <f>ROUND(SUMIFS('7.Rendimientos Financieros'!D:D,'7.Rendimientos Financieros'!A:A,"&lt;="&amp;(EOMONTH($A33,-1))),2)</f>
        <v>8227819140.7799997</v>
      </c>
      <c r="J33" s="153">
        <f>ROUND(SUMIFS('7.Rendimientos Financieros'!D:D,'7.Rendimientos Financieros'!A:A,"&gt;"&amp;(EOMONTH($A33,-1)),'7.Rendimientos Financieros'!A:A,"&lt;="&amp;(EOMONTH($A33,0))),2)</f>
        <v>6937473.4299999997</v>
      </c>
      <c r="K33" s="153">
        <f>ROUND(SUMIFS('7.Rendimientos Financieros'!F:F,'7.Rendimientos Financieros'!E:E,"&lt;="&amp;(EOMONTH($A33,0))),2)</f>
        <v>8227819140.7799997</v>
      </c>
      <c r="L33" s="89">
        <f t="shared" si="103"/>
        <v>6937473.4299999997</v>
      </c>
      <c r="M33" s="133">
        <f t="shared" si="104"/>
        <v>1197260258.0499952</v>
      </c>
      <c r="N33" s="89">
        <v>1197260258.0499952</v>
      </c>
      <c r="O33" s="89">
        <f t="shared" si="105"/>
        <v>0</v>
      </c>
      <c r="P33" s="186"/>
      <c r="Q33" s="186"/>
      <c r="R33" s="186"/>
      <c r="S33" s="205"/>
      <c r="T33" s="206"/>
      <c r="U33" s="57"/>
    </row>
    <row r="34" spans="1:21" s="49" customFormat="1" ht="11" hidden="1" customHeight="1" x14ac:dyDescent="0.35">
      <c r="A34" s="75">
        <v>46053</v>
      </c>
      <c r="B34" s="236" t="s">
        <v>167</v>
      </c>
      <c r="C34" s="237">
        <f>SUMIFS('3.Ingresos del Contrato'!J:J,'3.Ingresos del Contrato'!H:H,"&lt;="&amp;(EOMONTH($A34,-1)))</f>
        <v>63650000000</v>
      </c>
      <c r="D34" s="146">
        <f>SUMIFS('3.Ingresos del Contrato'!J:J,'3.Ingresos del Contrato'!H:H,"&gt;"&amp;(EOMONTH($A34,-1)),'3.Ingresos del Contrato'!H:H,"&lt;="&amp;(EOMONTH($A34,0)))</f>
        <v>0</v>
      </c>
      <c r="E34" s="89">
        <f t="shared" ref="E34" si="106">SUM(C34:D34)</f>
        <v>63650000000</v>
      </c>
      <c r="F34" s="146">
        <f>ROUND(SUMIFS('6.Reportes de Pagos'!N:N,'6.Reportes de Pagos'!H:H,"&lt;="&amp;(EOMONTH($A34,-1)))-0.37,2)</f>
        <v>62459677215.379997</v>
      </c>
      <c r="G34" s="146">
        <f>SUMIFS('6.Reportes de Pagos'!N:N,'6.Reportes de Pagos'!H:H,"&gt;"&amp;(EOMONTH($A34,-1)),'6.Reportes de Pagos'!H:H,"&lt;="&amp;(EOMONTH($A34,0)))</f>
        <v>133644189.265</v>
      </c>
      <c r="H34" s="89">
        <f t="shared" ref="H34" si="107">SUM(F34:G34)</f>
        <v>62593321404.644997</v>
      </c>
      <c r="I34" s="153">
        <f>ROUND(SUMIFS('7.Rendimientos Financieros'!D:D,'7.Rendimientos Financieros'!A:A,"&lt;="&amp;(EOMONTH($A34,-1))),2)</f>
        <v>8234756614.21</v>
      </c>
      <c r="J34" s="153">
        <f>ROUND(SUMIFS('7.Rendimientos Financieros'!D:D,'7.Rendimientos Financieros'!A:A,"&gt;"&amp;(EOMONTH($A34,-1)),'7.Rendimientos Financieros'!A:A,"&lt;="&amp;(EOMONTH($A34,0))),2)</f>
        <v>5918501.5</v>
      </c>
      <c r="K34" s="153">
        <f>ROUND(SUMIFS('7.Rendimientos Financieros'!F:F,'7.Rendimientos Financieros'!E:E,"&lt;="&amp;(EOMONTH($A34,0))),2)</f>
        <v>8234756614.21</v>
      </c>
      <c r="L34" s="89">
        <f>+ROUND(I34+J34-K34,2)</f>
        <v>5918501.5</v>
      </c>
      <c r="M34" s="133">
        <f t="shared" ref="M34" si="108">+E34-H34+L34</f>
        <v>1062597096.8550034</v>
      </c>
      <c r="N34" s="89">
        <f>241440817.67+821156279.19</f>
        <v>1062597096.86</v>
      </c>
      <c r="O34" s="89">
        <f t="shared" ref="O34" si="109">+N34-M34</f>
        <v>4.9966573715209961E-3</v>
      </c>
      <c r="P34" s="186">
        <f t="shared" si="72"/>
        <v>376100</v>
      </c>
      <c r="Q34" s="186">
        <f t="shared" ref="Q34" si="110">+O34+P34</f>
        <v>376100.00499665737</v>
      </c>
      <c r="R34" s="186"/>
      <c r="S34" s="205"/>
      <c r="T34" s="206"/>
      <c r="U34" s="57"/>
    </row>
    <row r="35" spans="1:21" s="49" customFormat="1" ht="11" hidden="1" customHeight="1" x14ac:dyDescent="0.35">
      <c r="A35" s="75">
        <v>46081</v>
      </c>
      <c r="B35" s="236" t="s">
        <v>167</v>
      </c>
      <c r="C35" s="237">
        <f>SUMIFS('3.Ingresos del Contrato'!J:J,'3.Ingresos del Contrato'!H:H,"&lt;="&amp;(EOMONTH($A35,-1)))</f>
        <v>63650000000</v>
      </c>
      <c r="D35" s="146">
        <f>SUMIFS('3.Ingresos del Contrato'!J:J,'3.Ingresos del Contrato'!H:H,"&gt;"&amp;(EOMONTH($A35,-1)),'3.Ingresos del Contrato'!H:H,"&lt;="&amp;(EOMONTH($A35,0)))</f>
        <v>0</v>
      </c>
      <c r="E35" s="89">
        <f t="shared" ref="E35" si="111">SUM(C35:D35)</f>
        <v>63650000000</v>
      </c>
      <c r="F35" s="146">
        <f>ROUND(SUMIFS('6.Reportes de Pagos'!N:N,'6.Reportes de Pagos'!H:H,"&lt;="&amp;(EOMONTH($A35,-1)))-0.37,2)</f>
        <v>62593321404.650002</v>
      </c>
      <c r="G35" s="146">
        <f>SUMIFS('6.Reportes de Pagos'!N:N,'6.Reportes de Pagos'!H:H,"&gt;"&amp;(EOMONTH($A35,-1)),'6.Reportes de Pagos'!H:H,"&lt;="&amp;(EOMONTH($A35,0)))</f>
        <v>0</v>
      </c>
      <c r="H35" s="89">
        <f>SUM(F35:G35)-0.01</f>
        <v>62593321404.639999</v>
      </c>
      <c r="I35" s="153">
        <f>ROUND(SUMIFS('7.Rendimientos Financieros'!D:D,'7.Rendimientos Financieros'!A:A,"&lt;="&amp;(EOMONTH($A35,-1))),2)</f>
        <v>8240675115.71</v>
      </c>
      <c r="J35" s="153">
        <f>ROUND(SUMIFS('7.Rendimientos Financieros'!D:D,'7.Rendimientos Financieros'!A:A,"&gt;"&amp;(EOMONTH($A35,-1)),'7.Rendimientos Financieros'!A:A,"&lt;="&amp;(EOMONTH($A35,0))),2)</f>
        <v>4725008.3899999997</v>
      </c>
      <c r="K35" s="153">
        <f>ROUND(SUMIFS('7.Rendimientos Financieros'!F:F,'7.Rendimientos Financieros'!E:E,"&lt;="&amp;(EOMONTH($A35,0))),2)</f>
        <v>8240675115.71</v>
      </c>
      <c r="L35" s="89">
        <f>+ROUND(I35+J35-K35,2)</f>
        <v>4725008.3899999997</v>
      </c>
      <c r="M35" s="133">
        <f t="shared" ref="M35" si="112">+E35-H35+L35</f>
        <v>1061403603.7500006</v>
      </c>
      <c r="N35" s="89">
        <v>1061403603.75</v>
      </c>
      <c r="O35" s="89">
        <f t="shared" ref="O35" si="113">+N35-M35</f>
        <v>0</v>
      </c>
      <c r="P35" s="186"/>
      <c r="Q35" s="186"/>
      <c r="R35" s="186"/>
      <c r="S35" s="205"/>
      <c r="T35" s="206"/>
      <c r="U35" s="57"/>
    </row>
    <row r="36" spans="1:21" ht="11" hidden="1" customHeight="1" x14ac:dyDescent="0.35">
      <c r="A36" s="75">
        <v>46112</v>
      </c>
      <c r="B36" s="236" t="s">
        <v>167</v>
      </c>
      <c r="C36" s="237">
        <f>SUMIFS('3.Ingresos del Contrato'!J:J,'3.Ingresos del Contrato'!H:H,"&lt;="&amp;(EOMONTH($A36,-1)))</f>
        <v>63650000000</v>
      </c>
      <c r="D36" s="146">
        <f>SUMIFS('3.Ingresos del Contrato'!J:J,'3.Ingresos del Contrato'!H:H,"&gt;"&amp;(EOMONTH($A36,-1)),'3.Ingresos del Contrato'!H:H,"&lt;="&amp;(EOMONTH($A36,0)))</f>
        <v>0</v>
      </c>
      <c r="E36" s="89">
        <f t="shared" ref="E36" si="114">SUM(C36:D36)</f>
        <v>63650000000</v>
      </c>
      <c r="F36" s="146">
        <f>ROUND(SUMIFS('6.Reportes de Pagos'!N:N,'6.Reportes de Pagos'!H:H,"&lt;="&amp;(EOMONTH($A36,-1)))-0.37,2)</f>
        <v>62593321404.650002</v>
      </c>
      <c r="G36" s="146">
        <f>SUMIFS('6.Reportes de Pagos'!N:N,'6.Reportes de Pagos'!H:H,"&gt;"&amp;(EOMONTH($A36,-1)),'6.Reportes de Pagos'!H:H,"&lt;="&amp;(EOMONTH($A36,0)))</f>
        <v>75396616.390000001</v>
      </c>
      <c r="H36" s="89">
        <f>SUM(F36:G36)-0.01</f>
        <v>62668718021.029999</v>
      </c>
      <c r="I36" s="153">
        <f>ROUND(SUMIFS('7.Rendimientos Financieros'!D:D,'7.Rendimientos Financieros'!A:A,"&lt;="&amp;(EOMONTH($A36,-1))),2)</f>
        <v>8245400124.1000004</v>
      </c>
      <c r="J36" s="153">
        <f>ROUND(SUMIFS('7.Rendimientos Financieros'!D:D,'7.Rendimientos Financieros'!A:A,"&gt;"&amp;(EOMONTH($A36,-1)),'7.Rendimientos Financieros'!A:A,"&lt;="&amp;(EOMONTH($A36,0))),2)</f>
        <v>7669314.5700000003</v>
      </c>
      <c r="K36" s="153">
        <f>ROUND(SUMIFS('7.Rendimientos Financieros'!F:F,'7.Rendimientos Financieros'!E:E,"&lt;="&amp;(EOMONTH($A36,0))),2)</f>
        <v>8245400124.1000004</v>
      </c>
      <c r="L36" s="89">
        <f>+ROUND(I36+J36-K36,2)</f>
        <v>7669314.5700000003</v>
      </c>
      <c r="M36" s="133">
        <f t="shared" ref="M36" si="115">+E36-H36+L36</f>
        <v>988951293.54000127</v>
      </c>
      <c r="N36" s="89">
        <v>988951293.53999996</v>
      </c>
      <c r="O36" s="89">
        <f t="shared" ref="O36" si="116">+N36-M36</f>
        <v>-1.3113021850585938E-6</v>
      </c>
      <c r="R36" s="145"/>
      <c r="S36" s="145"/>
    </row>
    <row r="37" spans="1:21" ht="11" hidden="1" customHeight="1" x14ac:dyDescent="0.35">
      <c r="A37" s="75">
        <v>46142</v>
      </c>
      <c r="B37" s="236" t="s">
        <v>167</v>
      </c>
      <c r="C37" s="237">
        <f>SUMIFS('3.Ingresos del Contrato'!J:J,'3.Ingresos del Contrato'!H:H,"&lt;="&amp;(EOMONTH($A37,-1)))</f>
        <v>63650000000</v>
      </c>
      <c r="D37" s="146">
        <f>SUMIFS('3.Ingresos del Contrato'!J:J,'3.Ingresos del Contrato'!H:H,"&gt;"&amp;(EOMONTH($A37,-1)),'3.Ingresos del Contrato'!H:H,"&lt;="&amp;(EOMONTH($A37,0)))</f>
        <v>0</v>
      </c>
      <c r="E37" s="89">
        <f t="shared" ref="E37:E38" si="117">SUM(C37:D37)</f>
        <v>63650000000</v>
      </c>
      <c r="F37" s="146">
        <f>ROUND(SUMIFS('6.Reportes de Pagos'!N:N,'6.Reportes de Pagos'!H:H,"&lt;="&amp;(EOMONTH($A37,-1)))-0.37,2)</f>
        <v>62668718021.040001</v>
      </c>
      <c r="G37" s="146">
        <f>SUMIFS('6.Reportes de Pagos'!N:N,'6.Reportes de Pagos'!H:H,"&gt;"&amp;(EOMONTH($A37,-1)),'6.Reportes de Pagos'!H:H,"&lt;="&amp;(EOMONTH($A37,0)))</f>
        <v>265006842.32000002</v>
      </c>
      <c r="H37" s="89">
        <f>SUM(F37:G37)-0.01</f>
        <v>62933724863.349998</v>
      </c>
      <c r="I37" s="153">
        <f>ROUND(SUMIFS('7.Rendimientos Financieros'!D:D,'7.Rendimientos Financieros'!A:A,"&lt;="&amp;(EOMONTH($A37,-1))),2)</f>
        <v>8253069438.6700001</v>
      </c>
      <c r="J37" s="153">
        <f>ROUND(SUMIFS('7.Rendimientos Financieros'!D:D,'7.Rendimientos Financieros'!A:A,"&gt;"&amp;(EOMONTH($A37,-1)),'7.Rendimientos Financieros'!A:A,"&lt;="&amp;(EOMONTH($A37,0))),2)</f>
        <v>8167039.4699999997</v>
      </c>
      <c r="K37" s="153">
        <f>ROUND(SUMIFS('7.Rendimientos Financieros'!F:F,'7.Rendimientos Financieros'!E:E,"&lt;="&amp;(EOMONTH($A37,0))),2)</f>
        <v>8253069438.6700001</v>
      </c>
      <c r="L37" s="89">
        <f>+ROUND(I37+J37-K37,2)</f>
        <v>8167039.4699999997</v>
      </c>
      <c r="M37" s="133">
        <f t="shared" ref="M37:M38" si="118">+E37-H37+L37</f>
        <v>724442176.12000155</v>
      </c>
      <c r="N37" s="89">
        <f>579575419.04+144871993.09</f>
        <v>724447412.13</v>
      </c>
      <c r="O37" s="89">
        <f>+N37-M37</f>
        <v>5236.0099984407425</v>
      </c>
      <c r="R37" s="145"/>
      <c r="S37" s="145"/>
    </row>
    <row r="38" spans="1:21" ht="11" customHeight="1" x14ac:dyDescent="0.35">
      <c r="A38" s="75">
        <v>46143</v>
      </c>
      <c r="B38" s="236" t="s">
        <v>167</v>
      </c>
      <c r="C38" s="237">
        <f>SUMIFS('3.Ingresos del Contrato'!J:J,'3.Ingresos del Contrato'!H:H,"&lt;="&amp;(EOMONTH($A38,-1)))</f>
        <v>63650000000</v>
      </c>
      <c r="D38" s="146">
        <f>SUMIFS('3.Ingresos del Contrato'!J:J,'3.Ingresos del Contrato'!H:H,"&gt;"&amp;(EOMONTH($A38,-1)),'3.Ingresos del Contrato'!H:H,"&lt;="&amp;(EOMONTH($A38,0)))</f>
        <v>0</v>
      </c>
      <c r="E38" s="89">
        <f t="shared" si="117"/>
        <v>63650000000</v>
      </c>
      <c r="F38" s="146">
        <f>ROUND(SUMIFS('6.Reportes de Pagos'!N:N,'6.Reportes de Pagos'!H:H,"&lt;="&amp;(EOMONTH($A38,-1)))-0.37,2)</f>
        <v>62933724863.360001</v>
      </c>
      <c r="G38" s="146">
        <f>SUMIFS('6.Reportes de Pagos'!N:N,'6.Reportes de Pagos'!H:H,"&gt;"&amp;(EOMONTH($A38,-1)),'6.Reportes de Pagos'!H:H,"&lt;="&amp;(EOMONTH($A38,0)))</f>
        <v>45160499.990000002</v>
      </c>
      <c r="H38" s="89">
        <f>SUM(F38:G38)-0.01</f>
        <v>62978885363.339996</v>
      </c>
      <c r="I38" s="153">
        <f>ROUND(SUMIFS('7.Rendimientos Financieros'!D:D,'7.Rendimientos Financieros'!A:A,"&lt;="&amp;(EOMONTH($A38,-1))),2)</f>
        <v>8261236478.1400003</v>
      </c>
      <c r="J38" s="153">
        <f>ROUND(SUMIFS('7.Rendimientos Financieros'!D:D,'7.Rendimientos Financieros'!A:A,"&gt;"&amp;(EOMONTH($A38,-1)),'7.Rendimientos Financieros'!A:A,"&lt;="&amp;(EOMONTH($A38,0))),2)</f>
        <v>6148734.9000000004</v>
      </c>
      <c r="K38" s="153">
        <f>ROUND(SUMIFS('7.Rendimientos Financieros'!F:F,'7.Rendimientos Financieros'!E:E,"&lt;="&amp;(EOMONTH($A38,0))),2)</f>
        <v>8261236478.1400003</v>
      </c>
      <c r="L38" s="89">
        <f>+ROUND(I38+J38-K38,2)</f>
        <v>6148734.9000000004</v>
      </c>
      <c r="M38" s="133">
        <f t="shared" si="118"/>
        <v>677263371.56000364</v>
      </c>
      <c r="N38" s="89">
        <f>545049456.75+132219151.01</f>
        <v>677268607.75999999</v>
      </c>
      <c r="O38" s="89">
        <f>+N38-M38</f>
        <v>5236.1999963521957</v>
      </c>
      <c r="P38" s="90"/>
      <c r="Q38" s="34"/>
    </row>
    <row r="39" spans="1:21" ht="24.65" customHeight="1" x14ac:dyDescent="0.35">
      <c r="A39" s="257"/>
      <c r="B39" s="25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184"/>
      <c r="S39" s="20"/>
    </row>
    <row r="40" spans="1:21" x14ac:dyDescent="0.35">
      <c r="F40" s="145"/>
      <c r="G40" s="34"/>
      <c r="J40" s="2"/>
      <c r="M40" s="246"/>
      <c r="N40" s="248"/>
      <c r="O40" s="37"/>
      <c r="R40" s="90"/>
      <c r="S40" s="34"/>
    </row>
    <row r="41" spans="1:21" ht="15" thickBot="1" x14ac:dyDescent="0.4">
      <c r="F41" s="132" t="s">
        <v>156</v>
      </c>
      <c r="G41" s="271" t="s">
        <v>157</v>
      </c>
      <c r="H41" s="272"/>
      <c r="I41" s="273"/>
      <c r="J41" s="279" t="s">
        <v>496</v>
      </c>
      <c r="K41" s="156"/>
      <c r="L41" s="157"/>
      <c r="M41" s="244" t="s">
        <v>652</v>
      </c>
      <c r="N41" s="245">
        <v>144871993.09</v>
      </c>
      <c r="O41" s="185"/>
      <c r="R41" s="37"/>
    </row>
    <row r="42" spans="1:21" ht="27.65" customHeight="1" x14ac:dyDescent="0.35">
      <c r="F42" s="158">
        <f>+N37</f>
        <v>724447412.13</v>
      </c>
      <c r="G42" s="274" t="s">
        <v>158</v>
      </c>
      <c r="H42" s="275"/>
      <c r="I42" s="275"/>
      <c r="J42" s="280"/>
      <c r="K42" s="157"/>
      <c r="L42" s="157"/>
      <c r="M42" s="244" t="s">
        <v>653</v>
      </c>
      <c r="N42" s="245">
        <v>579575419.39999998</v>
      </c>
      <c r="O42" s="185"/>
    </row>
    <row r="43" spans="1:21" x14ac:dyDescent="0.35">
      <c r="F43" s="159">
        <f>+O38</f>
        <v>5236.1999963521957</v>
      </c>
      <c r="G43" s="276" t="s">
        <v>159</v>
      </c>
      <c r="H43" s="277"/>
      <c r="I43" s="277"/>
      <c r="J43" s="280"/>
      <c r="K43" s="90"/>
      <c r="L43" s="34"/>
      <c r="M43" s="246" t="s">
        <v>90</v>
      </c>
      <c r="N43" s="247">
        <f>+N42+N41</f>
        <v>724447412.49000001</v>
      </c>
      <c r="R43" s="37"/>
    </row>
    <row r="44" spans="1:21" x14ac:dyDescent="0.35">
      <c r="E44" s="34"/>
      <c r="F44" s="159">
        <f>+J38</f>
        <v>6148734.9000000004</v>
      </c>
      <c r="G44" s="276" t="s">
        <v>160</v>
      </c>
      <c r="H44" s="277"/>
      <c r="I44" s="277"/>
      <c r="J44" s="280"/>
      <c r="M44" s="246"/>
      <c r="N44" s="246"/>
      <c r="R44" s="37"/>
    </row>
    <row r="45" spans="1:21" x14ac:dyDescent="0.35">
      <c r="E45" s="34"/>
      <c r="F45" s="159">
        <v>0</v>
      </c>
      <c r="G45" s="276" t="s">
        <v>161</v>
      </c>
      <c r="H45" s="277"/>
      <c r="I45" s="277"/>
      <c r="J45" s="280"/>
      <c r="L45" s="145"/>
      <c r="M45" s="246"/>
      <c r="N45" s="246"/>
    </row>
    <row r="46" spans="1:21" x14ac:dyDescent="0.35">
      <c r="E46" s="34"/>
      <c r="F46" s="159">
        <v>0</v>
      </c>
      <c r="G46" s="276" t="s">
        <v>162</v>
      </c>
      <c r="H46" s="277"/>
      <c r="I46" s="277"/>
      <c r="J46" s="280"/>
      <c r="K46" s="207"/>
      <c r="L46" s="90"/>
    </row>
    <row r="47" spans="1:21" ht="15" thickBot="1" x14ac:dyDescent="0.4">
      <c r="E47" s="34"/>
      <c r="F47" s="159">
        <f>+VRRTEGTIACTO</f>
        <v>680125062.03499997</v>
      </c>
      <c r="G47" s="283" t="s">
        <v>163</v>
      </c>
      <c r="H47" s="284"/>
      <c r="I47" s="284"/>
      <c r="J47" s="281"/>
    </row>
    <row r="48" spans="1:21" x14ac:dyDescent="0.35">
      <c r="E48" s="34"/>
      <c r="F48" s="160">
        <f>+F42+F43-F44-F45-F46-F47</f>
        <v>38178851.394996405</v>
      </c>
      <c r="G48" s="271"/>
      <c r="H48" s="272"/>
      <c r="I48" s="273"/>
      <c r="J48" s="160">
        <f>+F48</f>
        <v>38178851.394996405</v>
      </c>
      <c r="K48" s="34"/>
      <c r="L48" s="34"/>
    </row>
    <row r="49" spans="5:12" x14ac:dyDescent="0.35">
      <c r="E49" s="34"/>
      <c r="F49" s="34"/>
      <c r="K49" s="34"/>
    </row>
    <row r="50" spans="5:12" x14ac:dyDescent="0.35">
      <c r="E50" s="34"/>
      <c r="F50" s="34"/>
      <c r="J50" s="34"/>
      <c r="K50" s="34"/>
      <c r="L50" s="34"/>
    </row>
    <row r="51" spans="5:12" x14ac:dyDescent="0.35">
      <c r="E51" s="34"/>
      <c r="J51" s="34"/>
      <c r="K51" s="34"/>
      <c r="L51" s="34"/>
    </row>
    <row r="52" spans="5:12" x14ac:dyDescent="0.35">
      <c r="J52" s="34"/>
      <c r="K52" s="34"/>
    </row>
    <row r="53" spans="5:12" x14ac:dyDescent="0.35">
      <c r="J53" s="34"/>
      <c r="K53" s="34"/>
    </row>
    <row r="54" spans="5:12" x14ac:dyDescent="0.35">
      <c r="F54" s="90"/>
    </row>
  </sheetData>
  <mergeCells count="22">
    <mergeCell ref="G41:I41"/>
    <mergeCell ref="J41:J47"/>
    <mergeCell ref="O7:O8"/>
    <mergeCell ref="A7:A8"/>
    <mergeCell ref="M7:M8"/>
    <mergeCell ref="N7:N8"/>
    <mergeCell ref="B7:B8"/>
    <mergeCell ref="C7:E7"/>
    <mergeCell ref="F7:H7"/>
    <mergeCell ref="I7:L7"/>
    <mergeCell ref="G47:I47"/>
    <mergeCell ref="A3:N3"/>
    <mergeCell ref="A2:N2"/>
    <mergeCell ref="A1:N1"/>
    <mergeCell ref="A4:N4"/>
    <mergeCell ref="A5:N5"/>
    <mergeCell ref="G48:I48"/>
    <mergeCell ref="G42:I42"/>
    <mergeCell ref="G43:I43"/>
    <mergeCell ref="G44:I44"/>
    <mergeCell ref="G45:I45"/>
    <mergeCell ref="G46:I46"/>
  </mergeCells>
  <pageMargins left="0.70866141732283472" right="0.70866141732283472" top="0.74803149606299213" bottom="0.74803149606299213" header="0.31496062992125984" footer="0.31496062992125984"/>
  <pageSetup scale="3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4"/>
  <sheetViews>
    <sheetView showGridLines="0" view="pageBreakPreview" zoomScale="85" zoomScaleNormal="100" zoomScaleSheetLayoutView="85" workbookViewId="0">
      <selection activeCell="A8" sqref="A8"/>
    </sheetView>
  </sheetViews>
  <sheetFormatPr baseColWidth="10" defaultColWidth="11.453125" defaultRowHeight="14.5" x14ac:dyDescent="0.35"/>
  <cols>
    <col min="1" max="1" width="12.453125" style="25" customWidth="1"/>
    <col min="2" max="2" width="12.453125" customWidth="1"/>
    <col min="3" max="5" width="19.36328125" customWidth="1"/>
    <col min="6" max="6" width="9.54296875" customWidth="1"/>
    <col min="7" max="7" width="15.6328125" customWidth="1"/>
    <col min="8" max="15" width="19.36328125" customWidth="1"/>
    <col min="16" max="16" width="24" customWidth="1"/>
    <col min="17" max="17" width="20.6328125" customWidth="1"/>
    <col min="18" max="18" width="17.54296875" customWidth="1"/>
  </cols>
  <sheetData>
    <row r="1" spans="1:18" s="19" customFormat="1" ht="16.25" customHeight="1" x14ac:dyDescent="0.35">
      <c r="A1" s="278" t="str">
        <f>CONTRATO</f>
        <v>Contrato Interadministrativo No. CO1.PCCNTR. 4917031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1:18" s="19" customFormat="1" ht="16.25" customHeight="1" x14ac:dyDescent="0.35">
      <c r="A2" s="278" t="s">
        <v>4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</row>
    <row r="3" spans="1:18" s="19" customFormat="1" ht="16.25" customHeight="1" x14ac:dyDescent="0.35">
      <c r="A3" s="278" t="s">
        <v>15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</row>
    <row r="4" spans="1:18" s="19" customFormat="1" ht="16.25" customHeight="1" x14ac:dyDescent="0.45">
      <c r="A4" s="259" t="s">
        <v>73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</row>
    <row r="5" spans="1:18" s="19" customFormat="1" ht="16.25" customHeight="1" x14ac:dyDescent="0.35">
      <c r="A5" s="286" t="str">
        <f>periodo</f>
        <v>01 de mayo al 31 de mayo de 2026</v>
      </c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</row>
    <row r="6" spans="1:18" s="25" customFormat="1" x14ac:dyDescent="0.35">
      <c r="E6" s="95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8" ht="85.5" customHeight="1" x14ac:dyDescent="0.35">
      <c r="A7" s="125" t="s">
        <v>74</v>
      </c>
      <c r="B7" s="125" t="s">
        <v>75</v>
      </c>
      <c r="C7" s="125" t="s">
        <v>76</v>
      </c>
      <c r="D7" s="125" t="s">
        <v>77</v>
      </c>
      <c r="E7" s="125" t="s">
        <v>78</v>
      </c>
      <c r="F7" s="132" t="s">
        <v>79</v>
      </c>
      <c r="G7" s="132" t="s">
        <v>80</v>
      </c>
      <c r="H7" s="132" t="s">
        <v>81</v>
      </c>
      <c r="I7" s="125" t="s">
        <v>82</v>
      </c>
      <c r="J7" s="125" t="s">
        <v>83</v>
      </c>
      <c r="K7" s="125" t="s">
        <v>84</v>
      </c>
      <c r="L7" s="125" t="s">
        <v>85</v>
      </c>
      <c r="M7" s="125" t="s">
        <v>86</v>
      </c>
      <c r="N7" s="125" t="s">
        <v>87</v>
      </c>
      <c r="O7" s="125" t="s">
        <v>88</v>
      </c>
    </row>
    <row r="8" spans="1:18" ht="57.75" customHeight="1" x14ac:dyDescent="0.35">
      <c r="A8" s="98">
        <f>+'3.Ingresos del Contrato'!A8</f>
        <v>222190</v>
      </c>
      <c r="B8" s="98">
        <v>2023</v>
      </c>
      <c r="C8" s="99">
        <f>+'3.Ingresos del Contrato'!C8</f>
        <v>63650000000</v>
      </c>
      <c r="D8" s="99">
        <v>0</v>
      </c>
      <c r="E8" s="100">
        <f>SUM(C8:D8)</f>
        <v>63650000000</v>
      </c>
      <c r="F8" s="80" t="s">
        <v>89</v>
      </c>
      <c r="G8" s="80">
        <v>10</v>
      </c>
      <c r="H8" s="101">
        <f>+'3.Ingresos del Contrato'!G9</f>
        <v>63650000000</v>
      </c>
      <c r="I8" s="73">
        <v>0</v>
      </c>
      <c r="J8" s="237">
        <f>VRFINDETER</f>
        <v>4164018692</v>
      </c>
      <c r="K8" s="237">
        <f>VRCONTRATOS-VLMAYPERM</f>
        <v>59924886315.699997</v>
      </c>
      <c r="L8" s="72">
        <f>VRLIBERACIONES</f>
        <v>479782880.82000005</v>
      </c>
      <c r="M8" s="106">
        <f>+E8-K8-J8+L8</f>
        <v>40877873.120003104</v>
      </c>
      <c r="N8" s="73">
        <f>VRFACT+(VRPAGOSCTOS-VRRTEGTIACTO)</f>
        <v>63531624114.495003</v>
      </c>
      <c r="O8" s="105">
        <f>(K8+J8)-(N8+L8)+VLMAYPERM</f>
        <v>630243479.23499453</v>
      </c>
      <c r="P8" s="34"/>
      <c r="Q8" s="34"/>
      <c r="R8" s="34"/>
    </row>
    <row r="9" spans="1:18" s="2" customFormat="1" ht="57.75" customHeight="1" x14ac:dyDescent="0.35">
      <c r="A9" s="285" t="s">
        <v>90</v>
      </c>
      <c r="B9" s="285"/>
      <c r="C9" s="102">
        <f>SUM(C8:C8)</f>
        <v>63650000000</v>
      </c>
      <c r="D9" s="102">
        <f>SUM(D8:D8)</f>
        <v>0</v>
      </c>
      <c r="E9" s="102">
        <f>SUM(E8:E8)</f>
        <v>63650000000</v>
      </c>
      <c r="F9" s="103"/>
      <c r="G9" s="103"/>
      <c r="H9" s="104">
        <f t="shared" ref="H9:O9" si="0">SUM(H8:H8)</f>
        <v>63650000000</v>
      </c>
      <c r="I9" s="104">
        <f t="shared" si="0"/>
        <v>0</v>
      </c>
      <c r="J9" s="105">
        <f t="shared" ref="J9" si="1">SUM(J8:J8)</f>
        <v>4164018692</v>
      </c>
      <c r="K9" s="105">
        <f t="shared" si="0"/>
        <v>59924886315.699997</v>
      </c>
      <c r="L9" s="105">
        <f t="shared" si="0"/>
        <v>479782880.82000005</v>
      </c>
      <c r="M9" s="106">
        <f t="shared" ref="M9" si="2">SUM(M8:M8)</f>
        <v>40877873.120003104</v>
      </c>
      <c r="N9" s="105">
        <f t="shared" si="0"/>
        <v>63531624114.495003</v>
      </c>
      <c r="O9" s="105">
        <f t="shared" si="0"/>
        <v>630243479.23499453</v>
      </c>
      <c r="P9"/>
    </row>
    <row r="10" spans="1:18" s="19" customFormat="1" ht="20.25" customHeight="1" x14ac:dyDescent="0.35">
      <c r="A10" s="22"/>
      <c r="J10" s="23"/>
      <c r="K10" s="23"/>
      <c r="L10" s="23"/>
      <c r="M10" s="24"/>
    </row>
    <row r="11" spans="1:18" s="19" customFormat="1" ht="20.25" customHeight="1" x14ac:dyDescent="0.35">
      <c r="A11" s="22"/>
      <c r="J11" s="19" t="s">
        <v>660</v>
      </c>
      <c r="K11" s="94">
        <f>+K9-L9+M9</f>
        <v>59485981308</v>
      </c>
      <c r="L11" s="94"/>
    </row>
    <row r="12" spans="1:18" s="19" customFormat="1" x14ac:dyDescent="0.35">
      <c r="A12" s="22"/>
      <c r="K12" s="94"/>
      <c r="L12" s="94"/>
      <c r="P12"/>
    </row>
    <row r="13" spans="1:18" s="19" customFormat="1" x14ac:dyDescent="0.35">
      <c r="A13" s="22"/>
      <c r="M13" s="24"/>
      <c r="O13" s="39"/>
    </row>
    <row r="14" spans="1:18" s="19" customFormat="1" x14ac:dyDescent="0.35">
      <c r="A14" s="22"/>
      <c r="M14" s="24"/>
      <c r="O14" s="39"/>
    </row>
  </sheetData>
  <sheetProtection algorithmName="SHA-512" hashValue="2+OW2/s+5Z/AEhUs5rh1J9hTGMcFslD7o/N1iCykZEOhz1JviKYJJQAWrMAwBGxiULvEnB1mnWLFTkpboDP6Hg==" saltValue="kjFwm4CcrEt5f7PaMQ/5mQ==" spinCount="100000" sheet="1" objects="1" scenarios="1"/>
  <mergeCells count="6">
    <mergeCell ref="A9:B9"/>
    <mergeCell ref="A1:O1"/>
    <mergeCell ref="A2:O2"/>
    <mergeCell ref="A3:O3"/>
    <mergeCell ref="A4:O4"/>
    <mergeCell ref="A5:O5"/>
  </mergeCells>
  <conditionalFormatting sqref="A8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scale="4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10"/>
  <sheetViews>
    <sheetView showGridLines="0" view="pageBreakPreview" zoomScale="85" zoomScaleNormal="85" zoomScaleSheetLayoutView="85" workbookViewId="0">
      <selection activeCell="I8" sqref="I8"/>
    </sheetView>
  </sheetViews>
  <sheetFormatPr baseColWidth="10" defaultColWidth="11.453125" defaultRowHeight="14.5" x14ac:dyDescent="0.35"/>
  <cols>
    <col min="1" max="2" width="11.6328125" customWidth="1"/>
    <col min="3" max="8" width="22" customWidth="1"/>
    <col min="9" max="9" width="41.6328125" customWidth="1"/>
    <col min="10" max="11" width="22" customWidth="1"/>
  </cols>
  <sheetData>
    <row r="1" spans="1:11" ht="15.75" customHeight="1" x14ac:dyDescent="0.35">
      <c r="A1" s="278" t="str">
        <f>CONTRATO</f>
        <v>Contrato Interadministrativo No. CO1.PCCNTR. 4917031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</row>
    <row r="2" spans="1:11" ht="15.5" x14ac:dyDescent="0.35">
      <c r="A2" s="278" t="s">
        <v>4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</row>
    <row r="3" spans="1:11" ht="15.75" customHeight="1" x14ac:dyDescent="0.35">
      <c r="A3" s="278" t="s">
        <v>15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</row>
    <row r="4" spans="1:11" ht="15.75" customHeight="1" x14ac:dyDescent="0.45">
      <c r="A4" s="259" t="s">
        <v>91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</row>
    <row r="5" spans="1:11" ht="15.75" customHeight="1" x14ac:dyDescent="0.35">
      <c r="A5" s="286" t="str">
        <f>periodo</f>
        <v>01 de mayo al 31 de mayo de 2026</v>
      </c>
      <c r="B5" s="286"/>
      <c r="C5" s="286"/>
      <c r="D5" s="286"/>
      <c r="E5" s="286"/>
      <c r="F5" s="286"/>
      <c r="G5" s="286"/>
      <c r="H5" s="286"/>
      <c r="I5" s="286"/>
      <c r="J5" s="286"/>
      <c r="K5" s="286"/>
    </row>
    <row r="6" spans="1:11" x14ac:dyDescent="0.35">
      <c r="F6" s="4"/>
      <c r="G6" s="2"/>
      <c r="H6" s="2"/>
      <c r="I6" s="2"/>
    </row>
    <row r="7" spans="1:11" ht="56.25" customHeight="1" x14ac:dyDescent="0.35">
      <c r="A7" s="125" t="s">
        <v>74</v>
      </c>
      <c r="B7" s="125" t="s">
        <v>75</v>
      </c>
      <c r="C7" s="125" t="s">
        <v>76</v>
      </c>
      <c r="D7" s="125" t="s">
        <v>92</v>
      </c>
      <c r="E7" s="125" t="s">
        <v>93</v>
      </c>
      <c r="F7" s="132" t="s">
        <v>79</v>
      </c>
      <c r="G7" s="125" t="s">
        <v>94</v>
      </c>
      <c r="H7" s="125" t="s">
        <v>56</v>
      </c>
      <c r="I7" s="125" t="s">
        <v>95</v>
      </c>
      <c r="J7" s="125" t="s">
        <v>96</v>
      </c>
      <c r="K7" s="125" t="s">
        <v>97</v>
      </c>
    </row>
    <row r="8" spans="1:11" ht="42.75" customHeight="1" x14ac:dyDescent="0.35">
      <c r="A8" s="166">
        <v>222190</v>
      </c>
      <c r="B8" s="166">
        <v>2023</v>
      </c>
      <c r="C8" s="142">
        <v>63650000000</v>
      </c>
      <c r="D8" s="142">
        <v>0</v>
      </c>
      <c r="E8" s="165">
        <f>SUM(C8:D8)</f>
        <v>63650000000</v>
      </c>
      <c r="F8" s="143" t="s">
        <v>89</v>
      </c>
      <c r="G8" s="144">
        <f>+E8</f>
        <v>63650000000</v>
      </c>
      <c r="H8" s="121">
        <v>45142</v>
      </c>
      <c r="I8" s="122" t="s">
        <v>150</v>
      </c>
      <c r="J8" s="123">
        <f>+G8</f>
        <v>63650000000</v>
      </c>
      <c r="K8" s="141">
        <f>+E8-SUM(J8:J8)</f>
        <v>0</v>
      </c>
    </row>
    <row r="9" spans="1:11" ht="40.5" customHeight="1" x14ac:dyDescent="0.35">
      <c r="A9" s="285" t="s">
        <v>90</v>
      </c>
      <c r="B9" s="285"/>
      <c r="C9" s="134">
        <f>SUM(C8:C8)</f>
        <v>63650000000</v>
      </c>
      <c r="D9" s="134">
        <f>SUM(D8:D8)</f>
        <v>0</v>
      </c>
      <c r="E9" s="134">
        <f>SUM(E8:E8)</f>
        <v>63650000000</v>
      </c>
      <c r="F9" s="67"/>
      <c r="G9" s="134">
        <f>SUM(G8:G8)</f>
        <v>63650000000</v>
      </c>
      <c r="H9" s="65"/>
      <c r="I9" s="66"/>
      <c r="J9" s="134">
        <f>SUM(J8:J8)</f>
        <v>63650000000</v>
      </c>
      <c r="K9" s="134">
        <f>+G9-J9</f>
        <v>0</v>
      </c>
    </row>
    <row r="10" spans="1:11" x14ac:dyDescent="0.35">
      <c r="G10" s="64"/>
      <c r="H10" s="64"/>
      <c r="I10" s="64"/>
      <c r="J10" s="64"/>
      <c r="K10" s="64"/>
    </row>
  </sheetData>
  <sheetProtection algorithmName="SHA-512" hashValue="oU/oKk05xaneiYvgshTvt52bac81jeZDn5Gx2xUPo9LgxOEpCH43Hcoqg8bOE72PX+4hghEjVSWXLdWXWgUOYw==" saltValue="aBCaTZSaqRoyNFkq6RtQ+Q==" spinCount="100000" sheet="1" objects="1" scenarios="1"/>
  <mergeCells count="6">
    <mergeCell ref="A9:B9"/>
    <mergeCell ref="A1:K1"/>
    <mergeCell ref="A2:K2"/>
    <mergeCell ref="A3:K3"/>
    <mergeCell ref="A4:K4"/>
    <mergeCell ref="A5:K5"/>
  </mergeCells>
  <conditionalFormatting sqref="A8">
    <cfRule type="duplicateValues" dxfId="0" priority="3"/>
  </conditionalFormatting>
  <pageMargins left="0.70866141732283472" right="0.70866141732283472" top="0.74803149606299213" bottom="0.74803149606299213" header="0.31496062992125984" footer="0.31496062992125984"/>
  <pageSetup scale="5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R36"/>
  <sheetViews>
    <sheetView showGridLines="0" tabSelected="1" view="pageBreakPreview" topLeftCell="AD1" zoomScale="85" zoomScaleNormal="85" zoomScaleSheetLayoutView="85" zoomScalePageLayoutView="80" workbookViewId="0">
      <pane ySplit="7" topLeftCell="A20" activePane="bottomLeft" state="frozen"/>
      <selection pane="bottomLeft" activeCell="AD21" sqref="AD21"/>
    </sheetView>
  </sheetViews>
  <sheetFormatPr baseColWidth="10" defaultColWidth="37" defaultRowHeight="13" x14ac:dyDescent="0.3"/>
  <cols>
    <col min="1" max="1" width="5.36328125" style="11" customWidth="1"/>
    <col min="2" max="2" width="19.6328125" style="8" customWidth="1"/>
    <col min="3" max="3" width="9" style="9" customWidth="1"/>
    <col min="4" max="4" width="8.36328125" style="7" bestFit="1" customWidth="1"/>
    <col min="5" max="5" width="9.6328125" style="7" bestFit="1" customWidth="1"/>
    <col min="6" max="6" width="7.6328125" style="14" customWidth="1"/>
    <col min="7" max="7" width="11" style="14" bestFit="1" customWidth="1"/>
    <col min="8" max="8" width="17" style="14" customWidth="1"/>
    <col min="9" max="9" width="17" style="14" hidden="1" customWidth="1"/>
    <col min="10" max="10" width="62" style="5" customWidth="1"/>
    <col min="11" max="11" width="25.36328125" style="1" customWidth="1"/>
    <col min="12" max="12" width="25.36328125" style="10" customWidth="1"/>
    <col min="13" max="13" width="18.36328125" style="10" customWidth="1"/>
    <col min="14" max="14" width="18.36328125" style="10" hidden="1" customWidth="1"/>
    <col min="15" max="15" width="26.453125" style="10" customWidth="1"/>
    <col min="16" max="16" width="14.6328125" style="10" customWidth="1"/>
    <col min="17" max="17" width="16.36328125" style="11" customWidth="1"/>
    <col min="18" max="18" width="19.54296875" style="12" bestFit="1" customWidth="1"/>
    <col min="19" max="19" width="30.54296875" style="13" customWidth="1"/>
    <col min="20" max="20" width="12.6328125" style="1" bestFit="1" customWidth="1"/>
    <col min="21" max="21" width="15.54296875" style="54" customWidth="1"/>
    <col min="22" max="22" width="19.90625" style="54" bestFit="1" customWidth="1"/>
    <col min="23" max="23" width="18.36328125" style="226" customWidth="1"/>
    <col min="24" max="24" width="16.1796875" style="226" bestFit="1" customWidth="1"/>
    <col min="25" max="25" width="19.90625" style="55" customWidth="1"/>
    <col min="26" max="26" width="16.6328125" style="53" bestFit="1" customWidth="1"/>
    <col min="27" max="27" width="15" style="53" bestFit="1" customWidth="1"/>
    <col min="28" max="28" width="15" style="53" customWidth="1"/>
    <col min="29" max="29" width="15.453125" style="53" customWidth="1"/>
    <col min="30" max="30" width="15" style="53" bestFit="1" customWidth="1"/>
    <col min="31" max="34" width="15" style="53" customWidth="1"/>
    <col min="35" max="35" width="18.36328125" style="53" bestFit="1" customWidth="1"/>
    <col min="36" max="36" width="17" style="53" bestFit="1" customWidth="1"/>
    <col min="37" max="37" width="15.6328125" style="53" bestFit="1" customWidth="1"/>
    <col min="38" max="38" width="17.1796875" style="7" bestFit="1" customWidth="1"/>
    <col min="39" max="39" width="12" style="38" bestFit="1" customWidth="1"/>
    <col min="40" max="40" width="13.36328125" style="38" customWidth="1"/>
    <col min="41" max="41" width="21.6328125" style="11" hidden="1" customWidth="1"/>
    <col min="42" max="42" width="17.90625" style="11" hidden="1" customWidth="1"/>
    <col min="43" max="43" width="37" style="11" customWidth="1"/>
    <col min="44" max="16384" width="37" style="11"/>
  </cols>
  <sheetData>
    <row r="1" spans="1:43" s="19" customFormat="1" ht="16.25" customHeight="1" x14ac:dyDescent="0.35">
      <c r="A1" s="278" t="str">
        <f>CONTRATO</f>
        <v>Contrato Interadministrativo No. CO1.PCCNTR. 4917031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W1" s="229"/>
      <c r="X1" s="22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</row>
    <row r="2" spans="1:43" s="19" customFormat="1" ht="16.25" customHeight="1" x14ac:dyDescent="0.35">
      <c r="A2" s="278" t="s">
        <v>4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W2" s="229"/>
      <c r="X2" s="22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</row>
    <row r="3" spans="1:43" s="19" customFormat="1" ht="16.25" customHeight="1" x14ac:dyDescent="0.35">
      <c r="A3" s="278" t="s">
        <v>15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W3" s="229"/>
      <c r="X3" s="22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</row>
    <row r="4" spans="1:43" s="19" customFormat="1" ht="16.25" customHeight="1" x14ac:dyDescent="0.35">
      <c r="A4" s="288" t="s">
        <v>98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/>
      <c r="W4" s="229"/>
      <c r="X4" s="22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</row>
    <row r="5" spans="1:43" s="19" customFormat="1" ht="16.25" customHeight="1" x14ac:dyDescent="0.35">
      <c r="A5" s="286" t="str">
        <f>periodo</f>
        <v>01 de mayo al 31 de mayo de 2026</v>
      </c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286"/>
      <c r="Q5" s="286"/>
      <c r="R5" s="286"/>
      <c r="W5" s="229"/>
      <c r="X5" s="22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</row>
    <row r="6" spans="1:43" customFormat="1" ht="14.5" x14ac:dyDescent="0.35">
      <c r="B6" s="25"/>
      <c r="W6" s="90"/>
      <c r="X6" s="9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</row>
    <row r="7" spans="1:43" s="20" customFormat="1" ht="76.5" customHeight="1" x14ac:dyDescent="0.35">
      <c r="A7" s="127" t="s">
        <v>99</v>
      </c>
      <c r="B7" s="127" t="s">
        <v>57</v>
      </c>
      <c r="C7" s="127" t="s">
        <v>74</v>
      </c>
      <c r="D7" s="127" t="s">
        <v>79</v>
      </c>
      <c r="E7" s="127" t="s">
        <v>75</v>
      </c>
      <c r="F7" s="127" t="s">
        <v>100</v>
      </c>
      <c r="G7" s="127" t="s">
        <v>56</v>
      </c>
      <c r="H7" s="127" t="s">
        <v>93</v>
      </c>
      <c r="I7" s="127" t="s">
        <v>101</v>
      </c>
      <c r="J7" s="127" t="s">
        <v>102</v>
      </c>
      <c r="K7" s="127" t="s">
        <v>103</v>
      </c>
      <c r="L7" s="127" t="s">
        <v>104</v>
      </c>
      <c r="M7" s="127" t="s">
        <v>105</v>
      </c>
      <c r="N7" s="127" t="s">
        <v>106</v>
      </c>
      <c r="O7" s="127" t="s">
        <v>107</v>
      </c>
      <c r="P7" s="127" t="s">
        <v>108</v>
      </c>
      <c r="Q7" s="127" t="s">
        <v>109</v>
      </c>
      <c r="R7" s="127" t="s">
        <v>110</v>
      </c>
      <c r="S7" s="127" t="s">
        <v>111</v>
      </c>
      <c r="T7" s="127" t="s">
        <v>112</v>
      </c>
      <c r="U7" s="128" t="s">
        <v>113</v>
      </c>
      <c r="V7" s="128" t="s">
        <v>114</v>
      </c>
      <c r="W7" s="129" t="s">
        <v>115</v>
      </c>
      <c r="X7" s="129" t="s">
        <v>281</v>
      </c>
      <c r="Y7" s="128" t="s">
        <v>116</v>
      </c>
      <c r="Z7" s="129" t="str">
        <f>"VALOR ACUMULADO PAGADO AL" &amp;CHAR(10)&amp;UPPER(TEXT((EOMONTH(FECHA,-1)),"dd/mmm/yy"))</f>
        <v>VALOR ACUMULADO PAGADO AL
31/MAR/26</v>
      </c>
      <c r="AA7" s="129" t="str">
        <f>"VALOR ACUMULADO RETEGARANTIA AL" &amp;CHAR(10)&amp;UPPER(TEXT((EOMONTH(FECHA,-1)),"dd/mmm/yy"))</f>
        <v>VALOR ACUMULADO RETEGARANTIA AL
31/MAR/26</v>
      </c>
      <c r="AB7" s="129" t="str">
        <f>"VALOR LIBERACIONES ACTA DE LIQUIDACION AL" &amp;CHAR(10)&amp;UPPER(TEXT((EOMONTH(FECHA,-1)),"dd/mmm/yy"))</f>
        <v>VALOR LIBERACIONES ACTA DE LIQUIDACION AL
31/MAR/26</v>
      </c>
      <c r="AC7" s="129" t="str">
        <f>"VALOR PAGADO"&amp;CHAR(10)&amp;UPPER(TEXT(FECHA,"mmmm/yyyy"))</f>
        <v>VALOR PAGADO
ABRIL/2026</v>
      </c>
      <c r="AD7" s="129" t="str">
        <f>"VALOR RETEGARANTIA "&amp;CHAR(10)&amp;UPPER(TEXT(FECHA,"mmmm/yyyy"))</f>
        <v>VALOR RETEGARANTIA 
ABRIL/2026</v>
      </c>
      <c r="AE7" s="129" t="str">
        <f>"VALOR LIBERACIONES ACTA DE LIQUIDACION "&amp;CHAR(10)&amp;UPPER(TEXT(FECHA,"mmmm/yyyy"))</f>
        <v>VALOR LIBERACIONES ACTA DE LIQUIDACION 
ABRIL/2026</v>
      </c>
      <c r="AF7" s="129" t="s">
        <v>666</v>
      </c>
      <c r="AG7" s="129" t="s">
        <v>667</v>
      </c>
      <c r="AH7" s="129" t="s">
        <v>668</v>
      </c>
      <c r="AI7" s="129" t="s">
        <v>669</v>
      </c>
      <c r="AJ7" s="129" t="s">
        <v>670</v>
      </c>
      <c r="AK7" s="129" t="s">
        <v>671</v>
      </c>
      <c r="AL7" s="130" t="s">
        <v>117</v>
      </c>
      <c r="AM7" s="131" t="s">
        <v>118</v>
      </c>
      <c r="AN7" s="131" t="s">
        <v>540</v>
      </c>
    </row>
    <row r="8" spans="1:43" s="20" customFormat="1" ht="72.5" x14ac:dyDescent="0.35">
      <c r="A8" s="107">
        <v>1</v>
      </c>
      <c r="B8" s="108" t="s">
        <v>167</v>
      </c>
      <c r="C8" s="80">
        <v>222190</v>
      </c>
      <c r="D8" s="109" t="s">
        <v>89</v>
      </c>
      <c r="E8" s="110">
        <v>2023</v>
      </c>
      <c r="F8" s="111" t="s">
        <v>175</v>
      </c>
      <c r="G8" s="112" t="s">
        <v>397</v>
      </c>
      <c r="H8" s="113">
        <f>+[5]Contrato!$E$33+[5]Contrato!$E$34+[5]Contrato!$E$35+[5]Contrato!$E$97</f>
        <v>4031522251</v>
      </c>
      <c r="I8" s="111"/>
      <c r="J8" s="69" t="s">
        <v>187</v>
      </c>
      <c r="K8" s="74" t="s">
        <v>212</v>
      </c>
      <c r="L8" s="111" t="s">
        <v>224</v>
      </c>
      <c r="M8" s="111">
        <v>1</v>
      </c>
      <c r="N8" s="111"/>
      <c r="O8" s="137" t="s">
        <v>236</v>
      </c>
      <c r="P8" s="114">
        <v>45223</v>
      </c>
      <c r="Q8" s="112" t="s">
        <v>155</v>
      </c>
      <c r="R8" s="107" t="s">
        <v>154</v>
      </c>
      <c r="S8" s="115" t="s">
        <v>257</v>
      </c>
      <c r="T8" s="111" t="s">
        <v>279</v>
      </c>
      <c r="U8" s="116">
        <v>3447332359</v>
      </c>
      <c r="V8" s="116">
        <v>0</v>
      </c>
      <c r="W8" s="225">
        <v>201152963</v>
      </c>
      <c r="X8" s="225">
        <v>-28580295</v>
      </c>
      <c r="Y8" s="228">
        <f>+U8+W8</f>
        <v>3648485322</v>
      </c>
      <c r="Z8" s="118">
        <f>SUMIFS('6.Reportes de Pagos'!I:I,'6.Reportes de Pagos'!H:H,"&lt;="&amp;(EOMONTH(FECHA,-1)),'6.Reportes de Pagos'!D:D,$O8)</f>
        <v>3425566080.21</v>
      </c>
      <c r="AA8" s="118">
        <f>SUMIFS('6.Reportes de Pagos'!J:J,'6.Reportes de Pagos'!H:H,"&lt;="&amp;(EOMONTH(FECHA,-1)),'6.Reportes de Pagos'!D:D,$O8)</f>
        <v>0</v>
      </c>
      <c r="AB8" s="120">
        <v>0</v>
      </c>
      <c r="AC8" s="117">
        <f>SUMIFS('6.Reportes de Pagos'!I:I,'6.Reportes de Pagos'!H:H,"&gt;"&amp;(EOMONTH(FECHA,-1)),'6.Reportes de Pagos'!H:H,"&lt;="&amp;(EOMONTH(FECHA,0)),'6.Reportes de Pagos'!D:D,$O8)</f>
        <v>0</v>
      </c>
      <c r="AD8" s="117">
        <f>SUMIFS('6.Reportes de Pagos'!J:J,'6.Reportes de Pagos'!H:H,"&gt;"&amp;(EOMONTH(FECHA,-1)),'6.Reportes de Pagos'!H:H,"&lt;="&amp;(EOMONTH(FECHA,0)),'6.Reportes de Pagos'!D:D,$O8)</f>
        <v>0</v>
      </c>
      <c r="AE8" s="117">
        <v>222919241.79000011</v>
      </c>
      <c r="AF8" s="254"/>
      <c r="AG8" s="254"/>
      <c r="AH8" s="254"/>
      <c r="AI8" s="255">
        <f>SUMIFS('6.Reportes de Pagos'!I:I,'6.Reportes de Pagos'!H:H,"&lt;="&amp;(EOMONTH(FECHA,0)),'6.Reportes de Pagos'!D:D,$O8)</f>
        <v>3425566080.21</v>
      </c>
      <c r="AJ8" s="255">
        <f>SUMIFS('6.Reportes de Pagos'!J:J,'6.Reportes de Pagos'!H:H,"&lt;="&amp;(EOMONTH(FECHA,0)),'6.Reportes de Pagos'!D:D,$O8)</f>
        <v>0</v>
      </c>
      <c r="AK8" s="255">
        <f>+AB8+AE8</f>
        <v>222919241.79000011</v>
      </c>
      <c r="AL8" s="136">
        <f t="shared" ref="AL8:AL31" si="0">+Y8-(AI8-AJ8)-AK8</f>
        <v>0</v>
      </c>
      <c r="AM8" s="119">
        <f t="shared" ref="AM8:AM33" si="1">IFERROR(((AI8-AJ8+AK8)/Y8),0)</f>
        <v>1</v>
      </c>
      <c r="AN8" s="119" t="s">
        <v>542</v>
      </c>
      <c r="AO8" s="197">
        <f>+AI8-AJ8</f>
        <v>3425566080.21</v>
      </c>
      <c r="AP8" s="198">
        <f>+AO8/Y8</f>
        <v>0.93890088019655193</v>
      </c>
      <c r="AQ8" s="202"/>
    </row>
    <row r="9" spans="1:43" s="20" customFormat="1" ht="72.5" x14ac:dyDescent="0.35">
      <c r="A9" s="107">
        <v>2</v>
      </c>
      <c r="B9" s="108" t="s">
        <v>167</v>
      </c>
      <c r="C9" s="80">
        <v>222190</v>
      </c>
      <c r="D9" s="109" t="s">
        <v>89</v>
      </c>
      <c r="E9" s="110">
        <v>2023</v>
      </c>
      <c r="F9" s="111" t="s">
        <v>176</v>
      </c>
      <c r="G9" s="112" t="s">
        <v>398</v>
      </c>
      <c r="H9" s="113">
        <f>+[5]Contrato!$E$42+[5]Contrato!$E$43+[5]Contrato!$E$88</f>
        <v>312438000.31999999</v>
      </c>
      <c r="I9" s="111"/>
      <c r="J9" s="69" t="s">
        <v>188</v>
      </c>
      <c r="K9" s="74" t="s">
        <v>212</v>
      </c>
      <c r="L9" s="111" t="s">
        <v>224</v>
      </c>
      <c r="M9" s="111">
        <v>1</v>
      </c>
      <c r="N9" s="111"/>
      <c r="O9" s="137" t="s">
        <v>237</v>
      </c>
      <c r="P9" s="114">
        <v>45218</v>
      </c>
      <c r="Q9" s="112" t="s">
        <v>256</v>
      </c>
      <c r="R9" s="107" t="s">
        <v>154</v>
      </c>
      <c r="S9" s="115" t="s">
        <v>258</v>
      </c>
      <c r="T9" s="111">
        <v>900503646</v>
      </c>
      <c r="U9" s="116">
        <v>271455247</v>
      </c>
      <c r="V9" s="116">
        <v>0</v>
      </c>
      <c r="W9" s="225">
        <f>+'[6]4. E.F. CONTRATACION DEREIVADA'!$P$20+'[6]4. E.F. CONTRATACION DEREIVADA'!$P$21</f>
        <v>25183770.32</v>
      </c>
      <c r="X9" s="225">
        <v>28580295</v>
      </c>
      <c r="Y9" s="228">
        <f>+U9+W9+X9</f>
        <v>325219312.31999999</v>
      </c>
      <c r="Z9" s="118">
        <f>SUMIFS('6.Reportes de Pagos'!I:I,'6.Reportes de Pagos'!H:H,"&lt;="&amp;(EOMONTH(FECHA,-1)),'6.Reportes de Pagos'!D:D,$O9)</f>
        <v>320061237.63999999</v>
      </c>
      <c r="AA9" s="118">
        <f>SUMIFS('6.Reportes de Pagos'!J:J,'6.Reportes de Pagos'!H:H,"&lt;="&amp;(EOMONTH(FECHA,-1)),'6.Reportes de Pagos'!D:D,$O9)</f>
        <v>0</v>
      </c>
      <c r="AB9" s="120">
        <v>0</v>
      </c>
      <c r="AC9" s="117">
        <f>SUMIFS('6.Reportes de Pagos'!I:I,'6.Reportes de Pagos'!H:H,"&gt;"&amp;(EOMONTH(FECHA,-1)),'6.Reportes de Pagos'!H:H,"&lt;="&amp;(EOMONTH(FECHA,0)),'6.Reportes de Pagos'!D:D,$O9)</f>
        <v>0</v>
      </c>
      <c r="AD9" s="117">
        <f>SUMIFS('6.Reportes de Pagos'!J:J,'6.Reportes de Pagos'!H:H,"&gt;"&amp;(EOMONTH(FECHA,-1)),'6.Reportes de Pagos'!H:H,"&lt;="&amp;(EOMONTH(FECHA,0)),'6.Reportes de Pagos'!D:D,$O9)</f>
        <v>0</v>
      </c>
      <c r="AE9" s="117">
        <v>5158074.68</v>
      </c>
      <c r="AF9" s="117"/>
      <c r="AG9" s="117"/>
      <c r="AH9" s="117"/>
      <c r="AI9" s="200">
        <f>SUMIFS('6.Reportes de Pagos'!I:I,'6.Reportes de Pagos'!H:H,"&lt;="&amp;(EOMONTH(FECHA,0)),'6.Reportes de Pagos'!D:D,$O9)</f>
        <v>320061237.63999999</v>
      </c>
      <c r="AJ9" s="118">
        <f>SUMIFS('6.Reportes de Pagos'!J:J,'6.Reportes de Pagos'!H:H,"&lt;="&amp;(EOMONTH(FECHA,0)),'6.Reportes de Pagos'!D:D,$O9)</f>
        <v>0</v>
      </c>
      <c r="AK9" s="200">
        <f>+AB9+AE9</f>
        <v>5158074.68</v>
      </c>
      <c r="AL9" s="136">
        <f t="shared" si="0"/>
        <v>7.4505805969238281E-9</v>
      </c>
      <c r="AM9" s="119">
        <f t="shared" si="1"/>
        <v>1</v>
      </c>
      <c r="AN9" s="119" t="s">
        <v>542</v>
      </c>
    </row>
    <row r="10" spans="1:43" s="20" customFormat="1" ht="72.5" x14ac:dyDescent="0.35">
      <c r="A10" s="107">
        <f>+A9+1</f>
        <v>3</v>
      </c>
      <c r="B10" s="108" t="s">
        <v>167</v>
      </c>
      <c r="C10" s="80">
        <v>222190</v>
      </c>
      <c r="D10" s="109" t="s">
        <v>89</v>
      </c>
      <c r="E10" s="110">
        <v>2023</v>
      </c>
      <c r="F10" s="111">
        <v>3</v>
      </c>
      <c r="G10" s="112">
        <v>45147</v>
      </c>
      <c r="H10" s="113">
        <f>+[5]Contrato!$E$28+[5]Contrato!$E$29+[5]Contrato!$E$30</f>
        <v>4171350830</v>
      </c>
      <c r="I10" s="111"/>
      <c r="J10" s="69" t="s">
        <v>189</v>
      </c>
      <c r="K10" s="74" t="s">
        <v>213</v>
      </c>
      <c r="L10" s="111" t="s">
        <v>225</v>
      </c>
      <c r="M10" s="111">
        <v>2</v>
      </c>
      <c r="N10" s="111"/>
      <c r="O10" s="137" t="s">
        <v>238</v>
      </c>
      <c r="P10" s="114">
        <v>45217</v>
      </c>
      <c r="Q10" s="112" t="s">
        <v>155</v>
      </c>
      <c r="R10" s="107" t="s">
        <v>154</v>
      </c>
      <c r="S10" s="115" t="s">
        <v>259</v>
      </c>
      <c r="T10" s="111">
        <v>901762612</v>
      </c>
      <c r="U10" s="116">
        <v>4044124630</v>
      </c>
      <c r="V10" s="116">
        <v>0</v>
      </c>
      <c r="W10" s="225"/>
      <c r="X10" s="225">
        <v>-57808105.600000001</v>
      </c>
      <c r="Y10" s="228">
        <f>+U10+W10</f>
        <v>4044124630</v>
      </c>
      <c r="Z10" s="118">
        <f>SUMIFS('6.Reportes de Pagos'!I:I,'6.Reportes de Pagos'!H:H,"&lt;="&amp;(EOMONTH(FECHA,-1)),'6.Reportes de Pagos'!D:D,$O10)</f>
        <v>4028747780.96</v>
      </c>
      <c r="AA10" s="118">
        <f>SUMIFS('6.Reportes de Pagos'!J:J,'6.Reportes de Pagos'!H:H,"&lt;="&amp;(EOMONTH(FECHA,-1)),'6.Reportes de Pagos'!D:D,$O10)</f>
        <v>0</v>
      </c>
      <c r="AB10" s="120">
        <v>0</v>
      </c>
      <c r="AC10" s="117">
        <f>SUMIFS('6.Reportes de Pagos'!I:I,'6.Reportes de Pagos'!H:H,"&gt;"&amp;(EOMONTH(FECHA,-1)),'6.Reportes de Pagos'!H:H,"&lt;="&amp;(EOMONTH(FECHA,0)),'6.Reportes de Pagos'!D:D,$O10)</f>
        <v>0</v>
      </c>
      <c r="AD10" s="117">
        <f>SUMIFS('6.Reportes de Pagos'!J:J,'6.Reportes de Pagos'!H:H,"&gt;"&amp;(EOMONTH(FECHA,-1)),'6.Reportes de Pagos'!H:H,"&lt;="&amp;(EOMONTH(FECHA,0)),'6.Reportes de Pagos'!D:D,$O10)</f>
        <v>0</v>
      </c>
      <c r="AE10" s="117">
        <v>0</v>
      </c>
      <c r="AF10" s="254"/>
      <c r="AG10" s="254"/>
      <c r="AH10" s="254"/>
      <c r="AI10" s="255">
        <f>SUMIFS('6.Reportes de Pagos'!I:I,'6.Reportes de Pagos'!H:H,"&lt;="&amp;(EOMONTH(FECHA,0)),'6.Reportes de Pagos'!D:D,$O10)</f>
        <v>4028747780.96</v>
      </c>
      <c r="AJ10" s="256">
        <f>SUMIFS('6.Reportes de Pagos'!J:J,'6.Reportes de Pagos'!H:H,"&lt;="&amp;(EOMONTH(FECHA,0)),'6.Reportes de Pagos'!D:D,$O10)</f>
        <v>0</v>
      </c>
      <c r="AK10" s="255">
        <v>15376849.039999962</v>
      </c>
      <c r="AL10" s="136">
        <f t="shared" si="0"/>
        <v>0</v>
      </c>
      <c r="AM10" s="119">
        <f t="shared" si="1"/>
        <v>1</v>
      </c>
      <c r="AN10" s="119" t="s">
        <v>542</v>
      </c>
      <c r="AO10" s="197">
        <f>+AI10-AJ10</f>
        <v>4028747780.96</v>
      </c>
      <c r="AP10" s="198">
        <f>+AO10/Y10</f>
        <v>0.99619773116636123</v>
      </c>
      <c r="AQ10" s="219"/>
    </row>
    <row r="11" spans="1:43" s="20" customFormat="1" ht="72.5" x14ac:dyDescent="0.35">
      <c r="A11" s="107">
        <f t="shared" ref="A11:A32" si="2">+A10+1</f>
        <v>4</v>
      </c>
      <c r="B11" s="108" t="s">
        <v>167</v>
      </c>
      <c r="C11" s="80">
        <v>222190</v>
      </c>
      <c r="D11" s="109" t="s">
        <v>89</v>
      </c>
      <c r="E11" s="110">
        <v>2023</v>
      </c>
      <c r="F11" s="111" t="s">
        <v>177</v>
      </c>
      <c r="G11" s="112" t="s">
        <v>399</v>
      </c>
      <c r="H11" s="113">
        <f>+[5]Contrato!$E$31+[5]Contrato!$E$32+[5]Contrato!$E$102+[5]Contrato!$E$107</f>
        <v>368728288.39999998</v>
      </c>
      <c r="I11" s="111"/>
      <c r="J11" s="69" t="s">
        <v>190</v>
      </c>
      <c r="K11" s="74" t="s">
        <v>213</v>
      </c>
      <c r="L11" s="111" t="s">
        <v>225</v>
      </c>
      <c r="M11" s="111">
        <v>2</v>
      </c>
      <c r="N11" s="111"/>
      <c r="O11" s="137" t="s">
        <v>239</v>
      </c>
      <c r="P11" s="114">
        <v>45205</v>
      </c>
      <c r="Q11" s="112" t="s">
        <v>256</v>
      </c>
      <c r="R11" s="107" t="s">
        <v>154</v>
      </c>
      <c r="S11" s="115" t="s">
        <v>260</v>
      </c>
      <c r="T11" s="111">
        <v>900345967</v>
      </c>
      <c r="U11" s="116">
        <v>295715000</v>
      </c>
      <c r="V11" s="116">
        <v>0</v>
      </c>
      <c r="W11" s="225">
        <v>55890908.399999999</v>
      </c>
      <c r="X11" s="225">
        <v>57808105.600000001</v>
      </c>
      <c r="Y11" s="228">
        <f>+U11+W11+X11</f>
        <v>409414014</v>
      </c>
      <c r="Z11" s="118">
        <f>SUMIFS('6.Reportes de Pagos'!I:I,'6.Reportes de Pagos'!H:H,"&lt;="&amp;(EOMONTH(FECHA,-1)),'6.Reportes de Pagos'!D:D,$O11)</f>
        <v>403312038.94000006</v>
      </c>
      <c r="AA11" s="118">
        <f>SUMIFS('6.Reportes de Pagos'!J:J,'6.Reportes de Pagos'!H:H,"&lt;="&amp;(EOMONTH(FECHA,-1)),'6.Reportes de Pagos'!D:D,$O11)</f>
        <v>0</v>
      </c>
      <c r="AB11" s="120">
        <v>0</v>
      </c>
      <c r="AC11" s="117">
        <f>SUMIFS('6.Reportes de Pagos'!I:I,'6.Reportes de Pagos'!H:H,"&gt;"&amp;(EOMONTH(FECHA,-1)),'6.Reportes de Pagos'!H:H,"&lt;="&amp;(EOMONTH(FECHA,0)),'6.Reportes de Pagos'!D:D,$O11)</f>
        <v>0</v>
      </c>
      <c r="AD11" s="117">
        <f>SUMIFS('6.Reportes de Pagos'!J:J,'6.Reportes de Pagos'!H:H,"&gt;"&amp;(EOMONTH(FECHA,-1)),'6.Reportes de Pagos'!H:H,"&lt;="&amp;(EOMONTH(FECHA,0)),'6.Reportes de Pagos'!D:D,$O11)</f>
        <v>0</v>
      </c>
      <c r="AE11" s="117">
        <v>0</v>
      </c>
      <c r="AF11" s="117"/>
      <c r="AG11" s="117"/>
      <c r="AH11" s="117"/>
      <c r="AI11" s="200">
        <f>SUMIFS('6.Reportes de Pagos'!I:I,'6.Reportes de Pagos'!H:H,"&lt;="&amp;(EOMONTH(FECHA,0)),'6.Reportes de Pagos'!D:D,$O11)</f>
        <v>403312038.94000006</v>
      </c>
      <c r="AJ11" s="118">
        <f>SUMIFS('6.Reportes de Pagos'!J:J,'6.Reportes de Pagos'!H:H,"&lt;="&amp;(EOMONTH(FECHA,0)),'6.Reportes de Pagos'!D:D,$O11)</f>
        <v>0</v>
      </c>
      <c r="AK11" s="238">
        <v>6101975.0599999996</v>
      </c>
      <c r="AL11" s="136">
        <f t="shared" si="0"/>
        <v>-5.6810677051544189E-8</v>
      </c>
      <c r="AM11" s="119">
        <f t="shared" si="1"/>
        <v>1.0000000000000002</v>
      </c>
      <c r="AN11" s="119" t="s">
        <v>542</v>
      </c>
    </row>
    <row r="12" spans="1:43" s="20" customFormat="1" ht="58" x14ac:dyDescent="0.35">
      <c r="A12" s="107">
        <f t="shared" si="2"/>
        <v>5</v>
      </c>
      <c r="B12" s="108" t="s">
        <v>167</v>
      </c>
      <c r="C12" s="80">
        <v>222190</v>
      </c>
      <c r="D12" s="109" t="s">
        <v>89</v>
      </c>
      <c r="E12" s="110">
        <v>2023</v>
      </c>
      <c r="F12" s="111">
        <v>5</v>
      </c>
      <c r="G12" s="112">
        <v>45152</v>
      </c>
      <c r="H12" s="113">
        <f>+[5]Contrato!$E$36+[5]Contrato!$E$37+[5]Contrato!$E$38</f>
        <v>4901818340</v>
      </c>
      <c r="I12" s="111"/>
      <c r="J12" s="69" t="s">
        <v>191</v>
      </c>
      <c r="K12" s="74" t="s">
        <v>214</v>
      </c>
      <c r="L12" s="111" t="s">
        <v>226</v>
      </c>
      <c r="M12" s="111">
        <v>3</v>
      </c>
      <c r="N12" s="111"/>
      <c r="O12" s="137" t="s">
        <v>240</v>
      </c>
      <c r="P12" s="114">
        <v>45219</v>
      </c>
      <c r="Q12" s="112" t="s">
        <v>155</v>
      </c>
      <c r="R12" s="107" t="s">
        <v>154</v>
      </c>
      <c r="S12" s="115" t="s">
        <v>261</v>
      </c>
      <c r="T12" s="111">
        <v>901763421</v>
      </c>
      <c r="U12" s="116">
        <v>4744960153</v>
      </c>
      <c r="V12" s="116">
        <v>0</v>
      </c>
      <c r="W12" s="225"/>
      <c r="X12" s="225">
        <v>-10000000</v>
      </c>
      <c r="Y12" s="228">
        <f>+U12+W12</f>
        <v>4744960153</v>
      </c>
      <c r="Z12" s="118">
        <f>SUMIFS('6.Reportes de Pagos'!I:I,'6.Reportes de Pagos'!H:H,"&lt;="&amp;(EOMONTH(FECHA,-1)),'6.Reportes de Pagos'!D:D,$O12)</f>
        <v>4744960153</v>
      </c>
      <c r="AA12" s="118">
        <f>SUMIFS('6.Reportes de Pagos'!J:J,'6.Reportes de Pagos'!H:H,"&lt;="&amp;(EOMONTH(FECHA,-1)),'6.Reportes de Pagos'!D:D,$O12)</f>
        <v>0</v>
      </c>
      <c r="AB12" s="120">
        <v>0</v>
      </c>
      <c r="AC12" s="117">
        <f>SUMIFS('6.Reportes de Pagos'!I:I,'6.Reportes de Pagos'!H:H,"&gt;"&amp;(EOMONTH(FECHA,-1)),'6.Reportes de Pagos'!H:H,"&lt;="&amp;(EOMONTH(FECHA,0)),'6.Reportes de Pagos'!D:D,$O12)</f>
        <v>0</v>
      </c>
      <c r="AD12" s="117">
        <f>SUMIFS('6.Reportes de Pagos'!J:J,'6.Reportes de Pagos'!H:H,"&gt;"&amp;(EOMONTH(FECHA,-1)),'6.Reportes de Pagos'!H:H,"&lt;="&amp;(EOMONTH(FECHA,0)),'6.Reportes de Pagos'!D:D,$O12)</f>
        <v>0</v>
      </c>
      <c r="AE12" s="117">
        <v>0</v>
      </c>
      <c r="AF12" s="254"/>
      <c r="AG12" s="254"/>
      <c r="AH12" s="254"/>
      <c r="AI12" s="255">
        <f>SUMIFS('6.Reportes de Pagos'!I:I,'6.Reportes de Pagos'!H:H,"&lt;="&amp;(EOMONTH(FECHA,0)),'6.Reportes de Pagos'!D:D,$O12)</f>
        <v>4744960153</v>
      </c>
      <c r="AJ12" s="256">
        <f>SUMIFS('6.Reportes de Pagos'!J:J,'6.Reportes de Pagos'!H:H,"&lt;="&amp;(EOMONTH(FECHA,0)),'6.Reportes de Pagos'!D:D,$O12)</f>
        <v>0</v>
      </c>
      <c r="AK12" s="255">
        <f>+AB12+AE12</f>
        <v>0</v>
      </c>
      <c r="AL12" s="136">
        <f t="shared" si="0"/>
        <v>0</v>
      </c>
      <c r="AM12" s="119">
        <f t="shared" si="1"/>
        <v>1</v>
      </c>
      <c r="AN12" s="119" t="s">
        <v>542</v>
      </c>
      <c r="AO12" s="197">
        <f>+AI12-AJ12</f>
        <v>4744960153</v>
      </c>
      <c r="AP12" s="198">
        <f>+AO12/Y12</f>
        <v>1</v>
      </c>
    </row>
    <row r="13" spans="1:43" s="20" customFormat="1" ht="72.5" x14ac:dyDescent="0.35">
      <c r="A13" s="107">
        <f t="shared" si="2"/>
        <v>6</v>
      </c>
      <c r="B13" s="108" t="s">
        <v>167</v>
      </c>
      <c r="C13" s="80">
        <v>222190</v>
      </c>
      <c r="D13" s="109" t="s">
        <v>89</v>
      </c>
      <c r="E13" s="110">
        <v>2023</v>
      </c>
      <c r="F13" s="111" t="s">
        <v>178</v>
      </c>
      <c r="G13" s="112" t="s">
        <v>400</v>
      </c>
      <c r="H13" s="113">
        <f>+[5]Contrato!$E$44+[5]Contrato!$E$45+[5]Contrato!$E$92</f>
        <v>377580370</v>
      </c>
      <c r="I13" s="111"/>
      <c r="J13" s="69" t="s">
        <v>192</v>
      </c>
      <c r="K13" s="74" t="s">
        <v>214</v>
      </c>
      <c r="L13" s="111" t="s">
        <v>226</v>
      </c>
      <c r="M13" s="111">
        <v>3</v>
      </c>
      <c r="N13" s="111"/>
      <c r="O13" s="137" t="s">
        <v>241</v>
      </c>
      <c r="P13" s="114">
        <v>45212</v>
      </c>
      <c r="Q13" s="112" t="s">
        <v>256</v>
      </c>
      <c r="R13" s="107" t="s">
        <v>154</v>
      </c>
      <c r="S13" s="115" t="s">
        <v>262</v>
      </c>
      <c r="T13" s="111">
        <v>901760153</v>
      </c>
      <c r="U13" s="116">
        <v>351774412</v>
      </c>
      <c r="V13" s="116">
        <v>0</v>
      </c>
      <c r="W13" s="225">
        <v>10000000</v>
      </c>
      <c r="X13" s="225">
        <v>10000000</v>
      </c>
      <c r="Y13" s="228">
        <f>+U13+W13+X13</f>
        <v>371774412</v>
      </c>
      <c r="Z13" s="118">
        <f>SUMIFS('6.Reportes de Pagos'!I:I,'6.Reportes de Pagos'!H:H,"&lt;="&amp;(EOMONTH(FECHA,-1)),'6.Reportes de Pagos'!D:D,$O13)</f>
        <v>371774412</v>
      </c>
      <c r="AA13" s="118">
        <f>SUMIFS('6.Reportes de Pagos'!J:J,'6.Reportes de Pagos'!H:H,"&lt;="&amp;(EOMONTH(FECHA,-1)),'6.Reportes de Pagos'!D:D,$O13)</f>
        <v>0</v>
      </c>
      <c r="AB13" s="120">
        <v>0</v>
      </c>
      <c r="AC13" s="117">
        <f>SUMIFS('6.Reportes de Pagos'!I:I,'6.Reportes de Pagos'!H:H,"&gt;"&amp;(EOMONTH(FECHA,-1)),'6.Reportes de Pagos'!H:H,"&lt;="&amp;(EOMONTH(FECHA,0)),'6.Reportes de Pagos'!D:D,$O13)</f>
        <v>0</v>
      </c>
      <c r="AD13" s="117">
        <f>SUMIFS('6.Reportes de Pagos'!J:J,'6.Reportes de Pagos'!H:H,"&gt;"&amp;(EOMONTH(FECHA,-1)),'6.Reportes de Pagos'!H:H,"&lt;="&amp;(EOMONTH(FECHA,0)),'6.Reportes de Pagos'!D:D,$O13)</f>
        <v>0</v>
      </c>
      <c r="AE13" s="117">
        <v>0</v>
      </c>
      <c r="AF13" s="117"/>
      <c r="AG13" s="117"/>
      <c r="AH13" s="117"/>
      <c r="AI13" s="200">
        <f>SUMIFS('6.Reportes de Pagos'!I:I,'6.Reportes de Pagos'!H:H,"&lt;="&amp;(EOMONTH(FECHA,0)),'6.Reportes de Pagos'!D:D,$O13)</f>
        <v>371774412</v>
      </c>
      <c r="AJ13" s="118">
        <f>SUMIFS('6.Reportes de Pagos'!J:J,'6.Reportes de Pagos'!H:H,"&lt;="&amp;(EOMONTH(FECHA,0)),'6.Reportes de Pagos'!D:D,$O13)</f>
        <v>0</v>
      </c>
      <c r="AK13" s="200">
        <f>+AB13+AE13</f>
        <v>0</v>
      </c>
      <c r="AL13" s="136">
        <f t="shared" si="0"/>
        <v>0</v>
      </c>
      <c r="AM13" s="119">
        <f t="shared" si="1"/>
        <v>1</v>
      </c>
      <c r="AN13" s="119" t="s">
        <v>542</v>
      </c>
    </row>
    <row r="14" spans="1:43" s="20" customFormat="1" ht="58" x14ac:dyDescent="0.35">
      <c r="A14" s="107">
        <f t="shared" si="2"/>
        <v>7</v>
      </c>
      <c r="B14" s="108" t="s">
        <v>167</v>
      </c>
      <c r="C14" s="80">
        <v>222190</v>
      </c>
      <c r="D14" s="109" t="s">
        <v>89</v>
      </c>
      <c r="E14" s="110">
        <v>2023</v>
      </c>
      <c r="F14" s="111">
        <v>6</v>
      </c>
      <c r="G14" s="112">
        <v>45153</v>
      </c>
      <c r="H14" s="113">
        <f>+[5]Contrato!$E$39+[5]Contrato!$E$40+[5]Contrato!$E$41</f>
        <v>3680207028</v>
      </c>
      <c r="I14" s="111"/>
      <c r="J14" s="69" t="s">
        <v>193</v>
      </c>
      <c r="K14" s="74" t="s">
        <v>215</v>
      </c>
      <c r="L14" s="111" t="s">
        <v>227</v>
      </c>
      <c r="M14" s="111">
        <v>4</v>
      </c>
      <c r="N14" s="111"/>
      <c r="O14" s="137" t="s">
        <v>242</v>
      </c>
      <c r="P14" s="114">
        <v>45203</v>
      </c>
      <c r="Q14" s="112" t="s">
        <v>155</v>
      </c>
      <c r="R14" s="107" t="s">
        <v>154</v>
      </c>
      <c r="S14" s="115" t="s">
        <v>263</v>
      </c>
      <c r="T14" s="111">
        <v>800177012</v>
      </c>
      <c r="U14" s="116">
        <v>3566467466</v>
      </c>
      <c r="V14" s="116">
        <v>0</v>
      </c>
      <c r="W14" s="225"/>
      <c r="X14" s="225">
        <v>-10000000</v>
      </c>
      <c r="Y14" s="228">
        <f>+U14+W14</f>
        <v>3566467466</v>
      </c>
      <c r="Z14" s="118">
        <f>SUMIFS('6.Reportes de Pagos'!I:I,'6.Reportes de Pagos'!H:H,"&lt;="&amp;(EOMONTH(FECHA,-1)),'6.Reportes de Pagos'!D:D,$O14)</f>
        <v>3361652674.5700002</v>
      </c>
      <c r="AA14" s="118">
        <f>SUMIFS('6.Reportes de Pagos'!J:J,'6.Reportes de Pagos'!H:H,"&lt;="&amp;(EOMONTH(FECHA,-1)),'6.Reportes de Pagos'!D:D,$O14)</f>
        <v>5.9604644775390625E-8</v>
      </c>
      <c r="AB14" s="120">
        <v>204814791.43000001</v>
      </c>
      <c r="AC14" s="117">
        <f>SUMIFS('6.Reportes de Pagos'!I:I,'6.Reportes de Pagos'!H:H,"&gt;"&amp;(EOMONTH(FECHA,-1)),'6.Reportes de Pagos'!H:H,"&lt;="&amp;(EOMONTH(FECHA,0)),'6.Reportes de Pagos'!D:D,$O14)</f>
        <v>0</v>
      </c>
      <c r="AD14" s="117">
        <f>SUMIFS('6.Reportes de Pagos'!J:J,'6.Reportes de Pagos'!H:H,"&gt;"&amp;(EOMONTH(FECHA,-1)),'6.Reportes de Pagos'!H:H,"&lt;="&amp;(EOMONTH(FECHA,0)),'6.Reportes de Pagos'!D:D,$O14)</f>
        <v>0</v>
      </c>
      <c r="AE14" s="117">
        <v>0</v>
      </c>
      <c r="AF14" s="254"/>
      <c r="AG14" s="254"/>
      <c r="AH14" s="254"/>
      <c r="AI14" s="255">
        <f>SUMIFS('6.Reportes de Pagos'!I:I,'6.Reportes de Pagos'!H:H,"&lt;="&amp;(EOMONTH(FECHA,0)),'6.Reportes de Pagos'!D:D,$O14)</f>
        <v>3361652674.5700002</v>
      </c>
      <c r="AJ14" s="255">
        <f>SUMIFS('6.Reportes de Pagos'!J:J,'6.Reportes de Pagos'!H:H,"&lt;="&amp;(EOMONTH(FECHA,0)),'6.Reportes de Pagos'!D:D,$O14)</f>
        <v>5.9604644775390625E-8</v>
      </c>
      <c r="AK14" s="255">
        <f>+AB14+AE14</f>
        <v>204814791.43000001</v>
      </c>
      <c r="AL14" s="136">
        <f t="shared" si="0"/>
        <v>0</v>
      </c>
      <c r="AM14" s="119">
        <f t="shared" si="1"/>
        <v>1</v>
      </c>
      <c r="AN14" s="119" t="s">
        <v>542</v>
      </c>
      <c r="AO14" s="197">
        <f>+AI14-AJ14</f>
        <v>3361652674.5700002</v>
      </c>
      <c r="AP14" s="198">
        <f>+AO14/Y14</f>
        <v>0.94257208473579279</v>
      </c>
    </row>
    <row r="15" spans="1:43" s="20" customFormat="1" ht="72.5" x14ac:dyDescent="0.35">
      <c r="A15" s="107">
        <f t="shared" si="2"/>
        <v>8</v>
      </c>
      <c r="B15" s="108" t="s">
        <v>167</v>
      </c>
      <c r="C15" s="80">
        <v>222190</v>
      </c>
      <c r="D15" s="109" t="s">
        <v>89</v>
      </c>
      <c r="E15" s="110">
        <v>2023</v>
      </c>
      <c r="F15" s="111" t="s">
        <v>179</v>
      </c>
      <c r="G15" s="112" t="s">
        <v>401</v>
      </c>
      <c r="H15" s="113">
        <f>+[5]Contrato!$E$46+[5]Contrato!$E$47+[5]Contrato!$E$89</f>
        <v>286015360</v>
      </c>
      <c r="I15" s="111"/>
      <c r="J15" s="69" t="s">
        <v>194</v>
      </c>
      <c r="K15" s="74" t="s">
        <v>215</v>
      </c>
      <c r="L15" s="111" t="s">
        <v>227</v>
      </c>
      <c r="M15" s="111">
        <v>4</v>
      </c>
      <c r="N15" s="111"/>
      <c r="O15" s="137" t="s">
        <v>243</v>
      </c>
      <c r="P15" s="114">
        <v>45212</v>
      </c>
      <c r="Q15" s="112" t="s">
        <v>256</v>
      </c>
      <c r="R15" s="107" t="s">
        <v>154</v>
      </c>
      <c r="S15" s="115" t="s">
        <v>264</v>
      </c>
      <c r="T15" s="111">
        <v>901758661</v>
      </c>
      <c r="U15" s="116">
        <v>264974745</v>
      </c>
      <c r="V15" s="116">
        <v>0</v>
      </c>
      <c r="W15" s="225">
        <v>10000000</v>
      </c>
      <c r="X15" s="225">
        <v>10000000</v>
      </c>
      <c r="Y15" s="228">
        <f>+U15+W15+X15</f>
        <v>284974745</v>
      </c>
      <c r="Z15" s="118">
        <f>SUMIFS('6.Reportes de Pagos'!I:I,'6.Reportes de Pagos'!H:H,"&lt;="&amp;(EOMONTH(FECHA,-1)),'6.Reportes de Pagos'!D:D,$O15)</f>
        <v>279439929.41000003</v>
      </c>
      <c r="AA15" s="118">
        <f>SUMIFS('6.Reportes de Pagos'!J:J,'6.Reportes de Pagos'!H:H,"&lt;="&amp;(EOMONTH(FECHA,-1)),'6.Reportes de Pagos'!D:D,$O15)</f>
        <v>26449686.039999999</v>
      </c>
      <c r="AB15" s="120">
        <v>0</v>
      </c>
      <c r="AC15" s="117">
        <f>SUMIFS('6.Reportes de Pagos'!I:I,'6.Reportes de Pagos'!H:H,"&gt;"&amp;(EOMONTH(FECHA,-1)),'6.Reportes de Pagos'!H:H,"&lt;="&amp;(EOMONTH(FECHA,0)),'6.Reportes de Pagos'!D:D,$O15)</f>
        <v>0</v>
      </c>
      <c r="AD15" s="117">
        <f>SUMIFS('6.Reportes de Pagos'!J:J,'6.Reportes de Pagos'!H:H,"&gt;"&amp;(EOMONTH(FECHA,-1)),'6.Reportes de Pagos'!H:H,"&lt;="&amp;(EOMONTH(FECHA,0)),'6.Reportes de Pagos'!D:D,$O15)</f>
        <v>0</v>
      </c>
      <c r="AE15" s="117">
        <v>5534815.5899999999</v>
      </c>
      <c r="AF15" s="117"/>
      <c r="AG15" s="117"/>
      <c r="AH15" s="117"/>
      <c r="AI15" s="200">
        <f>SUMIFS('6.Reportes de Pagos'!I:I,'6.Reportes de Pagos'!H:H,"&lt;="&amp;(EOMONTH(FECHA,0)),'6.Reportes de Pagos'!D:D,$O15)</f>
        <v>279439929.41000003</v>
      </c>
      <c r="AJ15" s="118">
        <f>SUMIFS('6.Reportes de Pagos'!J:J,'6.Reportes de Pagos'!H:H,"&lt;="&amp;(EOMONTH(FECHA,0)),'6.Reportes de Pagos'!D:D,$O15)</f>
        <v>26449686.039999999</v>
      </c>
      <c r="AK15" s="200">
        <f>+AB15+AE15</f>
        <v>5534815.5899999999</v>
      </c>
      <c r="AL15" s="136">
        <f t="shared" si="0"/>
        <v>26449686.039999966</v>
      </c>
      <c r="AM15" s="119">
        <f t="shared" si="1"/>
        <v>0.9071858594346669</v>
      </c>
      <c r="AN15" s="119" t="s">
        <v>542</v>
      </c>
    </row>
    <row r="16" spans="1:43" s="20" customFormat="1" ht="87" x14ac:dyDescent="0.35">
      <c r="A16" s="107">
        <f t="shared" si="2"/>
        <v>9</v>
      </c>
      <c r="B16" s="108" t="s">
        <v>167</v>
      </c>
      <c r="C16" s="80">
        <v>222190</v>
      </c>
      <c r="D16" s="109" t="s">
        <v>89</v>
      </c>
      <c r="E16" s="110">
        <v>2023</v>
      </c>
      <c r="F16" s="111" t="s">
        <v>403</v>
      </c>
      <c r="G16" s="112" t="s">
        <v>402</v>
      </c>
      <c r="H16" s="113">
        <f>+[5]Contrato!$E$48+[5]Contrato!$E$49+[5]Contrato!$E$50+[5]Contrato!$E$104+[5]Contrato!$E$110</f>
        <v>5054227735</v>
      </c>
      <c r="I16" s="111"/>
      <c r="J16" s="69" t="s">
        <v>195</v>
      </c>
      <c r="K16" s="74" t="s">
        <v>216</v>
      </c>
      <c r="L16" s="111" t="s">
        <v>228</v>
      </c>
      <c r="M16" s="111">
        <v>5</v>
      </c>
      <c r="N16" s="111"/>
      <c r="O16" s="137" t="s">
        <v>244</v>
      </c>
      <c r="P16" s="114">
        <v>45217</v>
      </c>
      <c r="Q16" s="112" t="s">
        <v>155</v>
      </c>
      <c r="R16" s="107" t="s">
        <v>154</v>
      </c>
      <c r="S16" s="115" t="s">
        <v>265</v>
      </c>
      <c r="T16" s="111">
        <v>901760521</v>
      </c>
      <c r="U16" s="116">
        <v>4102044984</v>
      </c>
      <c r="V16" s="116">
        <v>0</v>
      </c>
      <c r="W16" s="225">
        <v>778973616</v>
      </c>
      <c r="X16" s="225">
        <v>-91100000</v>
      </c>
      <c r="Y16" s="228">
        <f>+U16+W16</f>
        <v>4881018600</v>
      </c>
      <c r="Z16" s="118">
        <f>SUMIFS('6.Reportes de Pagos'!I:I,'6.Reportes de Pagos'!H:H,"&lt;="&amp;(EOMONTH(FECHA,-1)),'6.Reportes de Pagos'!D:D,$O16)</f>
        <v>4880051459</v>
      </c>
      <c r="AA16" s="118">
        <f>SUMIFS('6.Reportes de Pagos'!J:J,'6.Reportes de Pagos'!H:H,"&lt;="&amp;(EOMONTH(FECHA,-1)),'6.Reportes de Pagos'!D:D,$O16)</f>
        <v>0</v>
      </c>
      <c r="AB16" s="120">
        <v>0</v>
      </c>
      <c r="AC16" s="117">
        <f>SUMIFS('6.Reportes de Pagos'!I:I,'6.Reportes de Pagos'!H:H,"&gt;"&amp;(EOMONTH(FECHA,-1)),'6.Reportes de Pagos'!H:H,"&lt;="&amp;(EOMONTH(FECHA,0)),'6.Reportes de Pagos'!D:D,$O16)</f>
        <v>0</v>
      </c>
      <c r="AD16" s="117">
        <f>SUMIFS('6.Reportes de Pagos'!J:J,'6.Reportes de Pagos'!H:H,"&gt;"&amp;(EOMONTH(FECHA,-1)),'6.Reportes de Pagos'!H:H,"&lt;="&amp;(EOMONTH(FECHA,0)),'6.Reportes de Pagos'!D:D,$O16)</f>
        <v>0</v>
      </c>
      <c r="AE16" s="117">
        <v>0</v>
      </c>
      <c r="AF16" s="254"/>
      <c r="AG16" s="254"/>
      <c r="AH16" s="254"/>
      <c r="AI16" s="255">
        <f>SUMIFS('6.Reportes de Pagos'!I:I,'6.Reportes de Pagos'!H:H,"&lt;="&amp;(EOMONTH(FECHA,0)),'6.Reportes de Pagos'!D:D,$O16)</f>
        <v>4880051459</v>
      </c>
      <c r="AJ16" s="256">
        <f>SUMIFS('6.Reportes de Pagos'!J:J,'6.Reportes de Pagos'!H:H,"&lt;="&amp;(EOMONTH(FECHA,0)),'6.Reportes de Pagos'!D:D,$O16)</f>
        <v>0</v>
      </c>
      <c r="AK16" s="255">
        <v>967141</v>
      </c>
      <c r="AL16" s="136">
        <f t="shared" si="0"/>
        <v>0</v>
      </c>
      <c r="AM16" s="119">
        <f t="shared" si="1"/>
        <v>1</v>
      </c>
      <c r="AN16" s="119" t="s">
        <v>542</v>
      </c>
      <c r="AO16" s="197">
        <f>+AI16-AJ16</f>
        <v>4880051459</v>
      </c>
      <c r="AP16" s="198">
        <f>+AO16/Y16</f>
        <v>0.99980185672720034</v>
      </c>
    </row>
    <row r="17" spans="1:42" s="20" customFormat="1" ht="87" x14ac:dyDescent="0.35">
      <c r="A17" s="107">
        <f t="shared" si="2"/>
        <v>10</v>
      </c>
      <c r="B17" s="108" t="s">
        <v>167</v>
      </c>
      <c r="C17" s="80">
        <v>222190</v>
      </c>
      <c r="D17" s="109" t="s">
        <v>89</v>
      </c>
      <c r="E17" s="110">
        <v>2023</v>
      </c>
      <c r="F17" s="111" t="s">
        <v>180</v>
      </c>
      <c r="G17" s="112" t="s">
        <v>404</v>
      </c>
      <c r="H17" s="113">
        <f>+[5]Contrato!$E$51+[5]Contrato!$E$52+[5]Contrato!$E$105+[5]Contrato!$E$108</f>
        <v>401768141.43000001</v>
      </c>
      <c r="I17" s="111"/>
      <c r="J17" s="69" t="s">
        <v>196</v>
      </c>
      <c r="K17" s="74" t="s">
        <v>216</v>
      </c>
      <c r="L17" s="111" t="s">
        <v>228</v>
      </c>
      <c r="M17" s="111">
        <v>5</v>
      </c>
      <c r="N17" s="111"/>
      <c r="O17" s="137" t="s">
        <v>245</v>
      </c>
      <c r="P17" s="114">
        <v>45231</v>
      </c>
      <c r="Q17" s="112" t="s">
        <v>256</v>
      </c>
      <c r="R17" s="107" t="s">
        <v>154</v>
      </c>
      <c r="S17" s="115" t="s">
        <v>266</v>
      </c>
      <c r="T17" s="111">
        <v>901765663</v>
      </c>
      <c r="U17" s="225">
        <v>300856990</v>
      </c>
      <c r="V17" s="116">
        <v>0</v>
      </c>
      <c r="W17" s="225">
        <v>81124091</v>
      </c>
      <c r="X17" s="225">
        <v>91100000</v>
      </c>
      <c r="Y17" s="228">
        <f>+U17+W17+X17</f>
        <v>473081081</v>
      </c>
      <c r="Z17" s="118">
        <f>SUMIFS('6.Reportes de Pagos'!I:I,'6.Reportes de Pagos'!H:H,"&lt;="&amp;(EOMONTH(FECHA,-1)),'6.Reportes de Pagos'!D:D,$O17)</f>
        <v>473081081</v>
      </c>
      <c r="AA17" s="118">
        <f>SUMIFS('6.Reportes de Pagos'!J:J,'6.Reportes de Pagos'!H:H,"&lt;="&amp;(EOMONTH(FECHA,-1)),'6.Reportes de Pagos'!D:D,$O17)</f>
        <v>0</v>
      </c>
      <c r="AB17" s="120">
        <v>0</v>
      </c>
      <c r="AC17" s="117">
        <f>SUMIFS('6.Reportes de Pagos'!I:I,'6.Reportes de Pagos'!H:H,"&gt;"&amp;(EOMONTH(FECHA,-1)),'6.Reportes de Pagos'!H:H,"&lt;="&amp;(EOMONTH(FECHA,0)),'6.Reportes de Pagos'!D:D,$O17)</f>
        <v>0</v>
      </c>
      <c r="AD17" s="117">
        <f>SUMIFS('6.Reportes de Pagos'!J:J,'6.Reportes de Pagos'!H:H,"&gt;"&amp;(EOMONTH(FECHA,-1)),'6.Reportes de Pagos'!H:H,"&lt;="&amp;(EOMONTH(FECHA,0)),'6.Reportes de Pagos'!D:D,$O17)</f>
        <v>0</v>
      </c>
      <c r="AE17" s="117">
        <v>0</v>
      </c>
      <c r="AF17" s="117"/>
      <c r="AG17" s="117"/>
      <c r="AH17" s="117"/>
      <c r="AI17" s="200">
        <f>SUMIFS('6.Reportes de Pagos'!I:I,'6.Reportes de Pagos'!H:H,"&lt;="&amp;(EOMONTH(FECHA,0)),'6.Reportes de Pagos'!D:D,$O17)</f>
        <v>473081081</v>
      </c>
      <c r="AJ17" s="118">
        <f>SUMIFS('6.Reportes de Pagos'!J:J,'6.Reportes de Pagos'!H:H,"&lt;="&amp;(EOMONTH(FECHA,0)),'6.Reportes de Pagos'!D:D,$O17)</f>
        <v>0</v>
      </c>
      <c r="AK17" s="200">
        <f t="shared" ref="AK17:AK32" si="3">+AB17+AE17</f>
        <v>0</v>
      </c>
      <c r="AL17" s="136">
        <f t="shared" si="0"/>
        <v>0</v>
      </c>
      <c r="AM17" s="119">
        <f t="shared" si="1"/>
        <v>1</v>
      </c>
      <c r="AN17" s="119" t="s">
        <v>542</v>
      </c>
    </row>
    <row r="18" spans="1:42" s="20" customFormat="1" ht="58" x14ac:dyDescent="0.35">
      <c r="A18" s="107">
        <f t="shared" si="2"/>
        <v>11</v>
      </c>
      <c r="B18" s="108" t="s">
        <v>167</v>
      </c>
      <c r="C18" s="80">
        <v>222190</v>
      </c>
      <c r="D18" s="109" t="s">
        <v>89</v>
      </c>
      <c r="E18" s="110">
        <v>2023</v>
      </c>
      <c r="F18" s="111" t="s">
        <v>181</v>
      </c>
      <c r="G18" s="112" t="s">
        <v>405</v>
      </c>
      <c r="H18" s="113">
        <f>+[5]Contrato!$E$68+[5]Contrato!$E$69+[5]Contrato!$E$70+[5]Contrato!$E$93</f>
        <v>2593868207.4400001</v>
      </c>
      <c r="I18" s="111"/>
      <c r="J18" s="69" t="s">
        <v>197</v>
      </c>
      <c r="K18" s="74" t="s">
        <v>217</v>
      </c>
      <c r="L18" s="111" t="s">
        <v>229</v>
      </c>
      <c r="M18" s="111">
        <v>6</v>
      </c>
      <c r="N18" s="111"/>
      <c r="O18" s="137" t="s">
        <v>246</v>
      </c>
      <c r="P18" s="114">
        <v>45212</v>
      </c>
      <c r="Q18" s="112" t="s">
        <v>155</v>
      </c>
      <c r="R18" s="107" t="s">
        <v>154</v>
      </c>
      <c r="S18" s="115" t="s">
        <v>267</v>
      </c>
      <c r="T18" s="111">
        <v>900549325</v>
      </c>
      <c r="U18" s="116">
        <v>2102352000</v>
      </c>
      <c r="V18" s="116">
        <v>0</v>
      </c>
      <c r="W18" s="225">
        <v>394497571.44</v>
      </c>
      <c r="X18" s="225">
        <v>-8019957.79</v>
      </c>
      <c r="Y18" s="228">
        <f>+U18+W18</f>
        <v>2496849571.4400001</v>
      </c>
      <c r="Z18" s="118">
        <f>SUMIFS('6.Reportes de Pagos'!I:I,'6.Reportes de Pagos'!H:H,"&lt;="&amp;(EOMONTH(FECHA,-1)),'6.Reportes de Pagos'!D:D,$O18)</f>
        <v>2496849571.4500003</v>
      </c>
      <c r="AA18" s="118">
        <f>SUMIFS('6.Reportes de Pagos'!J:J,'6.Reportes de Pagos'!H:H,"&lt;="&amp;(EOMONTH(FECHA,-1)),'6.Reportes de Pagos'!D:D,$O18)</f>
        <v>-2.9802322387695313E-8</v>
      </c>
      <c r="AB18" s="120">
        <v>0</v>
      </c>
      <c r="AC18" s="117">
        <f>SUMIFS('6.Reportes de Pagos'!I:I,'6.Reportes de Pagos'!H:H,"&gt;"&amp;(EOMONTH(FECHA,-1)),'6.Reportes de Pagos'!H:H,"&lt;="&amp;(EOMONTH(FECHA,0)),'6.Reportes de Pagos'!D:D,$O18)</f>
        <v>0</v>
      </c>
      <c r="AD18" s="117">
        <f>SUMIFS('6.Reportes de Pagos'!J:J,'6.Reportes de Pagos'!H:H,"&gt;"&amp;(EOMONTH(FECHA,-1)),'6.Reportes de Pagos'!H:H,"&lt;="&amp;(EOMONTH(FECHA,0)),'6.Reportes de Pagos'!D:D,$O18)</f>
        <v>0</v>
      </c>
      <c r="AE18" s="117">
        <v>0</v>
      </c>
      <c r="AF18" s="254"/>
      <c r="AG18" s="254"/>
      <c r="AH18" s="254"/>
      <c r="AI18" s="255">
        <f>SUMIFS('6.Reportes de Pagos'!I:I,'6.Reportes de Pagos'!H:H,"&lt;="&amp;(EOMONTH(FECHA,0)),'6.Reportes de Pagos'!D:D,$O18)</f>
        <v>2496849571.4500003</v>
      </c>
      <c r="AJ18" s="256">
        <f>SUMIFS('6.Reportes de Pagos'!J:J,'6.Reportes de Pagos'!H:H,"&lt;="&amp;(EOMONTH(FECHA,0)),'6.Reportes de Pagos'!D:D,$O18)</f>
        <v>-2.9802322387695313E-8</v>
      </c>
      <c r="AK18" s="255">
        <f t="shared" si="3"/>
        <v>0</v>
      </c>
      <c r="AL18" s="136">
        <f t="shared" si="0"/>
        <v>-1.0000228881835938E-2</v>
      </c>
      <c r="AM18" s="119">
        <f t="shared" si="1"/>
        <v>1.0000000000040052</v>
      </c>
      <c r="AN18" s="119" t="s">
        <v>542</v>
      </c>
      <c r="AO18" s="197">
        <f>+AI18-AJ18</f>
        <v>2496849571.4500003</v>
      </c>
      <c r="AP18" s="198">
        <f>+AO18/Y18</f>
        <v>1.0000000000040052</v>
      </c>
    </row>
    <row r="19" spans="1:42" s="20" customFormat="1" ht="72.5" x14ac:dyDescent="0.35">
      <c r="A19" s="107">
        <f t="shared" si="2"/>
        <v>12</v>
      </c>
      <c r="B19" s="108" t="s">
        <v>167</v>
      </c>
      <c r="C19" s="80">
        <v>222190</v>
      </c>
      <c r="D19" s="109" t="s">
        <v>89</v>
      </c>
      <c r="E19" s="110">
        <v>2023</v>
      </c>
      <c r="F19" s="111" t="s">
        <v>182</v>
      </c>
      <c r="G19" s="112" t="s">
        <v>405</v>
      </c>
      <c r="H19" s="113">
        <f>+[5]Contrato!$E$71+[5]Contrato!$E$72+[5]Contrato!$E$94</f>
        <v>201683766.21000001</v>
      </c>
      <c r="I19" s="111"/>
      <c r="J19" s="69" t="s">
        <v>198</v>
      </c>
      <c r="K19" s="74" t="s">
        <v>217</v>
      </c>
      <c r="L19" s="111" t="s">
        <v>229</v>
      </c>
      <c r="M19" s="111">
        <v>6</v>
      </c>
      <c r="N19" s="111"/>
      <c r="O19" s="137" t="s">
        <v>247</v>
      </c>
      <c r="P19" s="114">
        <v>45218</v>
      </c>
      <c r="Q19" s="112" t="s">
        <v>256</v>
      </c>
      <c r="R19" s="107" t="s">
        <v>154</v>
      </c>
      <c r="S19" s="115" t="s">
        <v>268</v>
      </c>
      <c r="T19" s="111">
        <v>901761848</v>
      </c>
      <c r="U19" s="116">
        <v>155543411</v>
      </c>
      <c r="V19" s="116">
        <v>0</v>
      </c>
      <c r="W19" s="225">
        <v>36738473.210000001</v>
      </c>
      <c r="X19" s="225">
        <v>8019957.79</v>
      </c>
      <c r="Y19" s="228">
        <f>+U19+W19+X19</f>
        <v>200301842</v>
      </c>
      <c r="Z19" s="118">
        <f>SUMIFS('6.Reportes de Pagos'!I:I,'6.Reportes de Pagos'!H:H,"&lt;="&amp;(EOMONTH(FECHA,-1)),'6.Reportes de Pagos'!D:D,$O19)</f>
        <v>200301841.99000001</v>
      </c>
      <c r="AA19" s="118">
        <f>SUMIFS('6.Reportes de Pagos'!J:J,'6.Reportes de Pagos'!H:H,"&lt;="&amp;(EOMONTH(FECHA,-1)),'6.Reportes de Pagos'!D:D,$O19)</f>
        <v>-3.7252902984619141E-9</v>
      </c>
      <c r="AB19" s="120">
        <v>0</v>
      </c>
      <c r="AC19" s="117">
        <f>SUMIFS('6.Reportes de Pagos'!I:I,'6.Reportes de Pagos'!H:H,"&gt;"&amp;(EOMONTH(FECHA,-1)),'6.Reportes de Pagos'!H:H,"&lt;="&amp;(EOMONTH(FECHA,0)),'6.Reportes de Pagos'!D:D,$O19)</f>
        <v>0</v>
      </c>
      <c r="AD19" s="117">
        <f>SUMIFS('6.Reportes de Pagos'!J:J,'6.Reportes de Pagos'!H:H,"&gt;"&amp;(EOMONTH(FECHA,-1)),'6.Reportes de Pagos'!H:H,"&lt;="&amp;(EOMONTH(FECHA,0)),'6.Reportes de Pagos'!D:D,$O19)</f>
        <v>0</v>
      </c>
      <c r="AE19" s="117">
        <v>0</v>
      </c>
      <c r="AF19" s="117"/>
      <c r="AG19" s="117"/>
      <c r="AH19" s="117"/>
      <c r="AI19" s="200">
        <f>SUMIFS('6.Reportes de Pagos'!I:I,'6.Reportes de Pagos'!H:H,"&lt;="&amp;(EOMONTH(FECHA,0)),'6.Reportes de Pagos'!D:D,$O19)</f>
        <v>200301841.99000001</v>
      </c>
      <c r="AJ19" s="118">
        <f>SUMIFS('6.Reportes de Pagos'!J:J,'6.Reportes de Pagos'!H:H,"&lt;="&amp;(EOMONTH(FECHA,0)),'6.Reportes de Pagos'!D:D,$O19)</f>
        <v>-3.7252902984619141E-9</v>
      </c>
      <c r="AK19" s="200">
        <f t="shared" si="3"/>
        <v>0</v>
      </c>
      <c r="AL19" s="136">
        <f t="shared" si="0"/>
        <v>9.9999904632568359E-3</v>
      </c>
      <c r="AM19" s="119">
        <f t="shared" si="1"/>
        <v>0.99999999995007538</v>
      </c>
      <c r="AN19" s="119" t="s">
        <v>542</v>
      </c>
    </row>
    <row r="20" spans="1:42" s="20" customFormat="1" ht="58" x14ac:dyDescent="0.35">
      <c r="A20" s="107">
        <f t="shared" si="2"/>
        <v>13</v>
      </c>
      <c r="B20" s="108" t="s">
        <v>167</v>
      </c>
      <c r="C20" s="80">
        <v>222190</v>
      </c>
      <c r="D20" s="109" t="s">
        <v>89</v>
      </c>
      <c r="E20" s="110">
        <v>2023</v>
      </c>
      <c r="F20" s="111">
        <v>20</v>
      </c>
      <c r="G20" s="112">
        <v>45161</v>
      </c>
      <c r="H20" s="113">
        <f>+[5]Contrato!$E$73+[5]Contrato!$E$74+[5]Contrato!$E$75</f>
        <v>4160710001</v>
      </c>
      <c r="I20" s="111"/>
      <c r="J20" s="69" t="s">
        <v>199</v>
      </c>
      <c r="K20" s="74" t="s">
        <v>218</v>
      </c>
      <c r="L20" s="111" t="s">
        <v>230</v>
      </c>
      <c r="M20" s="111">
        <v>7</v>
      </c>
      <c r="N20" s="111"/>
      <c r="O20" s="137" t="s">
        <v>348</v>
      </c>
      <c r="P20" s="114">
        <v>45397</v>
      </c>
      <c r="Q20" s="112" t="s">
        <v>155</v>
      </c>
      <c r="R20" s="107" t="s">
        <v>154</v>
      </c>
      <c r="S20" s="115" t="s">
        <v>269</v>
      </c>
      <c r="T20" s="111" t="s">
        <v>280</v>
      </c>
      <c r="U20" s="116">
        <v>4158777879</v>
      </c>
      <c r="V20" s="116">
        <v>0</v>
      </c>
      <c r="W20" s="225"/>
      <c r="X20" s="225"/>
      <c r="Y20" s="228">
        <f t="shared" ref="Y20:Y22" si="4">+U20+W20</f>
        <v>4158777879</v>
      </c>
      <c r="Z20" s="118">
        <f>SUMIFS('6.Reportes de Pagos'!I:I,'6.Reportes de Pagos'!H:H,"&lt;="&amp;(EOMONTH(FECHA,-1)),'6.Reportes de Pagos'!D:D,$O20)</f>
        <v>4158777879</v>
      </c>
      <c r="AA20" s="118">
        <f>SUMIFS('6.Reportes de Pagos'!J:J,'6.Reportes de Pagos'!H:H,"&lt;="&amp;(EOMONTH(FECHA,-1)),'6.Reportes de Pagos'!D:D,$O20)</f>
        <v>0</v>
      </c>
      <c r="AB20" s="120">
        <v>0</v>
      </c>
      <c r="AC20" s="117">
        <f>SUMIFS('6.Reportes de Pagos'!I:I,'6.Reportes de Pagos'!H:H,"&gt;"&amp;(EOMONTH(FECHA,-1)),'6.Reportes de Pagos'!H:H,"&lt;="&amp;(EOMONTH(FECHA,0)),'6.Reportes de Pagos'!D:D,$O20)</f>
        <v>0</v>
      </c>
      <c r="AD20" s="117">
        <f>SUMIFS('6.Reportes de Pagos'!J:J,'6.Reportes de Pagos'!H:H,"&gt;"&amp;(EOMONTH(FECHA,-1)),'6.Reportes de Pagos'!H:H,"&lt;="&amp;(EOMONTH(FECHA,0)),'6.Reportes de Pagos'!D:D,$O20)</f>
        <v>0</v>
      </c>
      <c r="AE20" s="117">
        <v>0</v>
      </c>
      <c r="AF20" s="117"/>
      <c r="AG20" s="117"/>
      <c r="AH20" s="117"/>
      <c r="AI20" s="200">
        <f>SUMIFS('6.Reportes de Pagos'!I:I,'6.Reportes de Pagos'!H:H,"&lt;="&amp;(EOMONTH(FECHA,0)),'6.Reportes de Pagos'!D:D,$O20)</f>
        <v>4158777879</v>
      </c>
      <c r="AJ20" s="118">
        <f>SUMIFS('6.Reportes de Pagos'!J:J,'6.Reportes de Pagos'!H:H,"&lt;="&amp;(EOMONTH(FECHA,0)),'6.Reportes de Pagos'!D:D,$O20)</f>
        <v>0</v>
      </c>
      <c r="AK20" s="200">
        <f t="shared" si="3"/>
        <v>0</v>
      </c>
      <c r="AL20" s="136">
        <f t="shared" si="0"/>
        <v>0</v>
      </c>
      <c r="AM20" s="119">
        <f t="shared" si="1"/>
        <v>1</v>
      </c>
      <c r="AN20" s="119" t="s">
        <v>542</v>
      </c>
      <c r="AO20" s="197">
        <f>+AI20-AJ20</f>
        <v>4158777879</v>
      </c>
      <c r="AP20" s="198">
        <f>+AO20/Y20</f>
        <v>1</v>
      </c>
    </row>
    <row r="21" spans="1:42" s="20" customFormat="1" ht="72.5" x14ac:dyDescent="0.35">
      <c r="A21" s="107">
        <f t="shared" si="2"/>
        <v>14</v>
      </c>
      <c r="B21" s="108" t="s">
        <v>167</v>
      </c>
      <c r="C21" s="80">
        <v>222190</v>
      </c>
      <c r="D21" s="109" t="s">
        <v>89</v>
      </c>
      <c r="E21" s="110">
        <v>2023</v>
      </c>
      <c r="F21" s="111">
        <v>21</v>
      </c>
      <c r="G21" s="112">
        <v>45166</v>
      </c>
      <c r="H21" s="113">
        <f>+[5]Contrato!$E$76+[5]Contrato!$E$77</f>
        <v>312537080</v>
      </c>
      <c r="I21" s="111"/>
      <c r="J21" s="69" t="s">
        <v>200</v>
      </c>
      <c r="K21" s="74" t="s">
        <v>218</v>
      </c>
      <c r="L21" s="111" t="s">
        <v>230</v>
      </c>
      <c r="M21" s="111">
        <v>7</v>
      </c>
      <c r="N21" s="111"/>
      <c r="O21" s="137" t="s">
        <v>248</v>
      </c>
      <c r="P21" s="114">
        <v>45415</v>
      </c>
      <c r="Q21" s="112" t="s">
        <v>256</v>
      </c>
      <c r="R21" s="107" t="s">
        <v>154</v>
      </c>
      <c r="S21" s="115" t="s">
        <v>270</v>
      </c>
      <c r="T21" s="111">
        <v>80418195</v>
      </c>
      <c r="U21" s="116">
        <v>295239000</v>
      </c>
      <c r="V21" s="116">
        <v>0</v>
      </c>
      <c r="W21" s="225"/>
      <c r="X21" s="225"/>
      <c r="Y21" s="228">
        <f>+U21+W21</f>
        <v>295239000</v>
      </c>
      <c r="Z21" s="118">
        <f>SUMIFS('6.Reportes de Pagos'!I:I,'6.Reportes de Pagos'!H:H,"&lt;="&amp;(EOMONTH(FECHA,-1)),'6.Reportes de Pagos'!D:D,$O21)</f>
        <v>277865000</v>
      </c>
      <c r="AA21" s="118">
        <f>SUMIFS('6.Reportes de Pagos'!J:J,'6.Reportes de Pagos'!H:H,"&lt;="&amp;(EOMONTH(FECHA,-1)),'6.Reportes de Pagos'!D:D,$O21)</f>
        <v>27786500</v>
      </c>
      <c r="AB21" s="120">
        <v>0</v>
      </c>
      <c r="AC21" s="117">
        <f>SUMIFS('6.Reportes de Pagos'!I:I,'6.Reportes de Pagos'!H:H,"&gt;"&amp;(EOMONTH(FECHA,-1)),'6.Reportes de Pagos'!H:H,"&lt;="&amp;(EOMONTH(FECHA,0)),'6.Reportes de Pagos'!D:D,$O21)</f>
        <v>0</v>
      </c>
      <c r="AD21" s="117">
        <f>SUMIFS('6.Reportes de Pagos'!J:J,'6.Reportes de Pagos'!H:H,"&gt;"&amp;(EOMONTH(FECHA,-1)),'6.Reportes de Pagos'!H:H,"&lt;="&amp;(EOMONTH(FECHA,0)),'6.Reportes de Pagos'!D:D,$O21)</f>
        <v>0</v>
      </c>
      <c r="AE21" s="117">
        <v>0</v>
      </c>
      <c r="AF21" s="118">
        <f>+'6.Reportes de Pagos'!I496+'6.Reportes de Pagos'!I495</f>
        <v>45160499.989999995</v>
      </c>
      <c r="AG21" s="254">
        <v>0</v>
      </c>
      <c r="AH21" s="254">
        <v>0</v>
      </c>
      <c r="AI21" s="255">
        <f>+Z21+AF21</f>
        <v>323025499.99000001</v>
      </c>
      <c r="AJ21" s="256">
        <f>+AA21+AG21</f>
        <v>27786500</v>
      </c>
      <c r="AK21" s="255">
        <f t="shared" si="3"/>
        <v>0</v>
      </c>
      <c r="AL21" s="136">
        <f t="shared" si="0"/>
        <v>9.9999904632568359E-3</v>
      </c>
      <c r="AM21" s="119">
        <f t="shared" si="1"/>
        <v>0.9999999999661292</v>
      </c>
      <c r="AN21" s="119" t="s">
        <v>543</v>
      </c>
    </row>
    <row r="22" spans="1:42" s="20" customFormat="1" ht="101.5" x14ac:dyDescent="0.35">
      <c r="A22" s="107">
        <f t="shared" si="2"/>
        <v>15</v>
      </c>
      <c r="B22" s="108" t="s">
        <v>167</v>
      </c>
      <c r="C22" s="80">
        <v>222190</v>
      </c>
      <c r="D22" s="109" t="s">
        <v>89</v>
      </c>
      <c r="E22" s="110">
        <v>2023</v>
      </c>
      <c r="F22" s="111" t="s">
        <v>183</v>
      </c>
      <c r="G22" s="112" t="s">
        <v>406</v>
      </c>
      <c r="H22" s="113">
        <f>+[5]Contrato!$E$78+[5]Contrato!$E$79+[5]Contrato!$E$80+[5]Contrato!$E$90+[5]Contrato!$E$95</f>
        <v>6354635424</v>
      </c>
      <c r="I22" s="111"/>
      <c r="J22" s="69" t="s">
        <v>201</v>
      </c>
      <c r="K22" s="74" t="s">
        <v>219</v>
      </c>
      <c r="L22" s="111" t="s">
        <v>231</v>
      </c>
      <c r="M22" s="111">
        <v>8</v>
      </c>
      <c r="N22" s="111"/>
      <c r="O22" s="137" t="s">
        <v>249</v>
      </c>
      <c r="P22" s="114">
        <v>45212</v>
      </c>
      <c r="Q22" s="112" t="s">
        <v>155</v>
      </c>
      <c r="R22" s="107" t="s">
        <v>154</v>
      </c>
      <c r="S22" s="115" t="s">
        <v>267</v>
      </c>
      <c r="T22" s="111">
        <v>900549325</v>
      </c>
      <c r="U22" s="116">
        <v>4706470280</v>
      </c>
      <c r="V22" s="116">
        <v>0</v>
      </c>
      <c r="W22" s="225">
        <v>1455000000</v>
      </c>
      <c r="X22" s="225">
        <v>-35000000</v>
      </c>
      <c r="Y22" s="228">
        <f t="shared" si="4"/>
        <v>6161470280</v>
      </c>
      <c r="Z22" s="118">
        <f>SUMIFS('6.Reportes de Pagos'!I:I,'6.Reportes de Pagos'!H:H,"&lt;="&amp;(EOMONTH(FECHA,-1)),'6.Reportes de Pagos'!D:D,$O22)</f>
        <v>6161470280</v>
      </c>
      <c r="AA22" s="208">
        <f>SUMIFS('6.Reportes de Pagos'!J:J,'6.Reportes de Pagos'!H:H,"&lt;="&amp;(EOMONTH(FECHA,-1)),'6.Reportes de Pagos'!D:D,$O22)</f>
        <v>0</v>
      </c>
      <c r="AB22" s="120">
        <v>0</v>
      </c>
      <c r="AC22" s="117">
        <f>SUMIFS('6.Reportes de Pagos'!I:I,'6.Reportes de Pagos'!H:H,"&gt;"&amp;(EOMONTH(FECHA,-1)),'6.Reportes de Pagos'!H:H,"&lt;="&amp;(EOMONTH(FECHA,0)),'6.Reportes de Pagos'!D:D,$O22)</f>
        <v>0</v>
      </c>
      <c r="AD22" s="117">
        <f>SUMIFS('6.Reportes de Pagos'!J:J,'6.Reportes de Pagos'!H:H,"&gt;"&amp;(EOMONTH(FECHA,-1)),'6.Reportes de Pagos'!H:H,"&lt;="&amp;(EOMONTH(FECHA,0)),'6.Reportes de Pagos'!D:D,$O22)</f>
        <v>0</v>
      </c>
      <c r="AE22" s="117">
        <v>0</v>
      </c>
      <c r="AF22" s="254"/>
      <c r="AG22" s="254"/>
      <c r="AH22" s="254"/>
      <c r="AI22" s="255">
        <f>SUMIFS('6.Reportes de Pagos'!I:I,'6.Reportes de Pagos'!H:H,"&lt;="&amp;(EOMONTH(FECHA,0)),'6.Reportes de Pagos'!D:D,$O22)</f>
        <v>6161470280</v>
      </c>
      <c r="AJ22" s="256">
        <f>SUMIFS('6.Reportes de Pagos'!J:J,'6.Reportes de Pagos'!H:H,"&lt;="&amp;(EOMONTH(FECHA,0)),'6.Reportes de Pagos'!D:D,$O22)</f>
        <v>0</v>
      </c>
      <c r="AK22" s="255">
        <f t="shared" si="3"/>
        <v>0</v>
      </c>
      <c r="AL22" s="136">
        <f t="shared" si="0"/>
        <v>0</v>
      </c>
      <c r="AM22" s="119">
        <f t="shared" si="1"/>
        <v>1</v>
      </c>
      <c r="AN22" s="119" t="s">
        <v>542</v>
      </c>
      <c r="AO22" s="197">
        <f>+AI22-AJ22</f>
        <v>6161470280</v>
      </c>
      <c r="AP22" s="198">
        <f>+AO22/Y22</f>
        <v>1</v>
      </c>
    </row>
    <row r="23" spans="1:42" s="20" customFormat="1" ht="101.5" x14ac:dyDescent="0.35">
      <c r="A23" s="107">
        <f t="shared" si="2"/>
        <v>16</v>
      </c>
      <c r="B23" s="108" t="s">
        <v>167</v>
      </c>
      <c r="C23" s="80">
        <v>222190</v>
      </c>
      <c r="D23" s="109" t="s">
        <v>89</v>
      </c>
      <c r="E23" s="110">
        <v>2023</v>
      </c>
      <c r="F23" s="111" t="s">
        <v>184</v>
      </c>
      <c r="G23" s="112" t="s">
        <v>407</v>
      </c>
      <c r="H23" s="113">
        <f>+[5]Contrato!$E$81+[5]Contrato!$E$82+[5]Contrato!$E$91+[5]Contrato!$E$96</f>
        <v>423088357</v>
      </c>
      <c r="I23" s="111"/>
      <c r="J23" s="69" t="s">
        <v>202</v>
      </c>
      <c r="K23" s="74" t="s">
        <v>219</v>
      </c>
      <c r="L23" s="111" t="s">
        <v>231</v>
      </c>
      <c r="M23" s="111">
        <v>8</v>
      </c>
      <c r="N23" s="111"/>
      <c r="O23" s="137" t="s">
        <v>250</v>
      </c>
      <c r="P23" s="114">
        <v>45218</v>
      </c>
      <c r="Q23" s="112" t="s">
        <v>256</v>
      </c>
      <c r="R23" s="107" t="s">
        <v>154</v>
      </c>
      <c r="S23" s="115" t="s">
        <v>271</v>
      </c>
      <c r="T23" s="111">
        <v>9050725</v>
      </c>
      <c r="U23" s="116">
        <v>297097668</v>
      </c>
      <c r="V23" s="116">
        <v>0</v>
      </c>
      <c r="W23" s="225">
        <v>109106877</v>
      </c>
      <c r="X23" s="225">
        <v>35000000</v>
      </c>
      <c r="Y23" s="228">
        <f>+U23+W23+X23</f>
        <v>441204545</v>
      </c>
      <c r="Z23" s="118">
        <f>SUMIFS('6.Reportes de Pagos'!I:I,'6.Reportes de Pagos'!H:H,"&lt;="&amp;(EOMONTH(FECHA,-1)),'6.Reportes de Pagos'!D:D,$O23)</f>
        <v>441204545</v>
      </c>
      <c r="AA23" s="118">
        <f>SUMIFS('6.Reportes de Pagos'!J:J,'6.Reportes de Pagos'!H:H,"&lt;="&amp;(EOMONTH(FECHA,-1)),'6.Reportes de Pagos'!D:D,$O23)</f>
        <v>0</v>
      </c>
      <c r="AB23" s="120">
        <v>0</v>
      </c>
      <c r="AC23" s="117">
        <f>SUMIFS('6.Reportes de Pagos'!I:I,'6.Reportes de Pagos'!H:H,"&gt;"&amp;(EOMONTH(FECHA,-1)),'6.Reportes de Pagos'!H:H,"&lt;="&amp;(EOMONTH(FECHA,0)),'6.Reportes de Pagos'!D:D,$O23)</f>
        <v>0</v>
      </c>
      <c r="AD23" s="117">
        <f>SUMIFS('6.Reportes de Pagos'!J:J,'6.Reportes de Pagos'!H:H,"&gt;"&amp;(EOMONTH(FECHA,-1)),'6.Reportes de Pagos'!H:H,"&lt;="&amp;(EOMONTH(FECHA,0)),'6.Reportes de Pagos'!D:D,$O23)</f>
        <v>0</v>
      </c>
      <c r="AE23" s="117">
        <v>0</v>
      </c>
      <c r="AF23" s="117"/>
      <c r="AG23" s="117"/>
      <c r="AH23" s="117"/>
      <c r="AI23" s="200">
        <f>SUMIFS('6.Reportes de Pagos'!I:I,'6.Reportes de Pagos'!H:H,"&lt;="&amp;(EOMONTH(FECHA,0)),'6.Reportes de Pagos'!D:D,$O23)</f>
        <v>441204545</v>
      </c>
      <c r="AJ23" s="118">
        <f>SUMIFS('6.Reportes de Pagos'!J:J,'6.Reportes de Pagos'!H:H,"&lt;="&amp;(EOMONTH(FECHA,0)),'6.Reportes de Pagos'!D:D,$O23)</f>
        <v>0</v>
      </c>
      <c r="AK23" s="200">
        <f t="shared" si="3"/>
        <v>0</v>
      </c>
      <c r="AL23" s="136">
        <f t="shared" si="0"/>
        <v>0</v>
      </c>
      <c r="AM23" s="119">
        <f t="shared" si="1"/>
        <v>1</v>
      </c>
      <c r="AN23" s="119" t="s">
        <v>542</v>
      </c>
    </row>
    <row r="24" spans="1:42" s="20" customFormat="1" ht="159.5" x14ac:dyDescent="0.35">
      <c r="A24" s="107">
        <f t="shared" si="2"/>
        <v>17</v>
      </c>
      <c r="B24" s="108" t="s">
        <v>167</v>
      </c>
      <c r="C24" s="80">
        <v>222190</v>
      </c>
      <c r="D24" s="109" t="s">
        <v>89</v>
      </c>
      <c r="E24" s="110">
        <v>2023</v>
      </c>
      <c r="F24" s="111">
        <v>24</v>
      </c>
      <c r="G24" s="112">
        <v>45161</v>
      </c>
      <c r="H24" s="113">
        <f>+[5]Contrato!$E$83+[5]Contrato!$E$84+[5]Contrato!$E$85</f>
        <v>4810476306</v>
      </c>
      <c r="I24" s="111"/>
      <c r="J24" s="69" t="s">
        <v>203</v>
      </c>
      <c r="K24" s="74" t="s">
        <v>220</v>
      </c>
      <c r="L24" s="111" t="s">
        <v>232</v>
      </c>
      <c r="M24" s="111">
        <v>9</v>
      </c>
      <c r="N24" s="111"/>
      <c r="O24" s="137" t="s">
        <v>349</v>
      </c>
      <c r="P24" s="114">
        <v>45390</v>
      </c>
      <c r="Q24" s="112" t="s">
        <v>155</v>
      </c>
      <c r="R24" s="107" t="s">
        <v>154</v>
      </c>
      <c r="S24" s="115" t="s">
        <v>272</v>
      </c>
      <c r="T24" s="111">
        <v>901815944</v>
      </c>
      <c r="U24" s="116">
        <v>4810476306</v>
      </c>
      <c r="V24" s="116">
        <f t="shared" ref="V24" si="5">+H24-U24</f>
        <v>0</v>
      </c>
      <c r="W24" s="225"/>
      <c r="X24" s="225">
        <f>-91213418.06-18662681.01</f>
        <v>-109876099.07000001</v>
      </c>
      <c r="Y24" s="228">
        <f>+U24+W24</f>
        <v>4810476306</v>
      </c>
      <c r="Z24" s="118">
        <f>SUMIFS('6.Reportes de Pagos'!I:I,'6.Reportes de Pagos'!H:H,"&lt;="&amp;(EOMONTH(FECHA,-1)),'6.Reportes de Pagos'!D:D,$O24)</f>
        <v>4637848258.1900005</v>
      </c>
      <c r="AA24" s="118">
        <f>SUMIFS('6.Reportes de Pagos'!J:J,'6.Reportes de Pagos'!H:H,"&lt;="&amp;(EOMONTH(FECHA,-1)),'6.Reportes de Pagos'!D:D,$O24)</f>
        <v>463784825.82700002</v>
      </c>
      <c r="AB24" s="120">
        <v>0</v>
      </c>
      <c r="AC24" s="117">
        <f>SUMIFS('6.Reportes de Pagos'!I:I,'6.Reportes de Pagos'!H:H,"&gt;"&amp;(EOMONTH(FECHA,-1)),'6.Reportes de Pagos'!H:H,"&lt;="&amp;(EOMONTH(FECHA,0)),'6.Reportes de Pagos'!D:D,$O24)</f>
        <v>172628047.81</v>
      </c>
      <c r="AD24" s="117">
        <f>SUMIFS('6.Reportes de Pagos'!J:J,'6.Reportes de Pagos'!H:H,"&gt;"&amp;(EOMONTH(FECHA,-1)),'6.Reportes de Pagos'!H:H,"&lt;="&amp;(EOMONTH(FECHA,0)),'6.Reportes de Pagos'!D:D,$O24)</f>
        <v>17262804.780000001</v>
      </c>
      <c r="AE24" s="117">
        <v>0</v>
      </c>
      <c r="AF24" s="117"/>
      <c r="AG24" s="117"/>
      <c r="AH24" s="117"/>
      <c r="AI24" s="200">
        <f>SUMIFS('6.Reportes de Pagos'!I:I,'6.Reportes de Pagos'!H:H,"&lt;="&amp;(EOMONTH(FECHA,0)),'6.Reportes de Pagos'!D:D,$O24)</f>
        <v>4810476306.000001</v>
      </c>
      <c r="AJ24" s="118">
        <f>SUMIFS('6.Reportes de Pagos'!J:J,'6.Reportes de Pagos'!H:H,"&lt;="&amp;(EOMONTH(FECHA,0)),'6.Reportes de Pagos'!D:D,$O24)</f>
        <v>481047630.60699999</v>
      </c>
      <c r="AK24" s="200">
        <f t="shared" si="3"/>
        <v>0</v>
      </c>
      <c r="AL24" s="136">
        <f t="shared" si="0"/>
        <v>481047630.6069994</v>
      </c>
      <c r="AM24" s="119">
        <f t="shared" si="1"/>
        <v>0.89999999999854496</v>
      </c>
      <c r="AN24" s="119" t="s">
        <v>541</v>
      </c>
      <c r="AO24" s="197">
        <f>+AI24-AJ24</f>
        <v>4329428675.3930006</v>
      </c>
      <c r="AP24" s="198">
        <f>+AO24/Y24</f>
        <v>0.89999999999854496</v>
      </c>
    </row>
    <row r="25" spans="1:42" s="20" customFormat="1" ht="159.5" x14ac:dyDescent="0.35">
      <c r="A25" s="107">
        <f t="shared" si="2"/>
        <v>18</v>
      </c>
      <c r="B25" s="108" t="s">
        <v>167</v>
      </c>
      <c r="C25" s="80">
        <v>222190</v>
      </c>
      <c r="D25" s="109" t="s">
        <v>89</v>
      </c>
      <c r="E25" s="110">
        <v>2023</v>
      </c>
      <c r="F25" s="111" t="s">
        <v>602</v>
      </c>
      <c r="G25" s="112" t="s">
        <v>603</v>
      </c>
      <c r="H25" s="113">
        <f>+[5]Contrato!$E$86+[5]Contrato!$E$87+[5]Contrato!$E$113+[7]Contrato!$F$117</f>
        <v>425626087.26999998</v>
      </c>
      <c r="I25" s="111"/>
      <c r="J25" s="69" t="s">
        <v>204</v>
      </c>
      <c r="K25" s="74" t="s">
        <v>220</v>
      </c>
      <c r="L25" s="111" t="s">
        <v>232</v>
      </c>
      <c r="M25" s="111">
        <v>9</v>
      </c>
      <c r="N25" s="111"/>
      <c r="O25" s="137" t="s">
        <v>251</v>
      </c>
      <c r="P25" s="114">
        <v>45496</v>
      </c>
      <c r="Q25" s="112" t="s">
        <v>256</v>
      </c>
      <c r="R25" s="107" t="s">
        <v>154</v>
      </c>
      <c r="S25" s="115" t="s">
        <v>273</v>
      </c>
      <c r="T25" s="111">
        <v>901849554</v>
      </c>
      <c r="U25" s="116">
        <v>313800000</v>
      </c>
      <c r="V25" s="116">
        <v>0</v>
      </c>
      <c r="W25" s="225">
        <f>74471975.24+37325362.03</f>
        <v>111797337.27</v>
      </c>
      <c r="X25" s="225">
        <f>91213418.06+18662681.01</f>
        <v>109876099.07000001</v>
      </c>
      <c r="Y25" s="228">
        <f>+U25+W25+X25</f>
        <v>535473436.33999997</v>
      </c>
      <c r="Z25" s="118">
        <f>SUMIFS('6.Reportes de Pagos'!I:I,'6.Reportes de Pagos'!H:H,"&lt;="&amp;(EOMONTH(FECHA,-1)),'6.Reportes de Pagos'!D:D,$O25)</f>
        <v>493784740.26999992</v>
      </c>
      <c r="AA25" s="118">
        <f>SUMIFS('6.Reportes de Pagos'!J:J,'6.Reportes de Pagos'!H:H,"&lt;="&amp;(EOMONTH(FECHA,-1)),'6.Reportes de Pagos'!D:D,$O25)</f>
        <v>49378474.03800001</v>
      </c>
      <c r="AB25" s="120">
        <v>0</v>
      </c>
      <c r="AC25" s="117">
        <f>SUMIFS('6.Reportes de Pagos'!I:I,'6.Reportes de Pagos'!H:H,"&gt;"&amp;(EOMONTH(FECHA,-1)),'6.Reportes de Pagos'!H:H,"&lt;="&amp;(EOMONTH(FECHA,0)),'6.Reportes de Pagos'!D:D,$O25)</f>
        <v>17723534.68</v>
      </c>
      <c r="AD25" s="117">
        <f>SUMIFS('6.Reportes de Pagos'!J:J,'6.Reportes de Pagos'!H:H,"&gt;"&amp;(EOMONTH(FECHA,-1)),'6.Reportes de Pagos'!H:H,"&lt;="&amp;(EOMONTH(FECHA,0)),'6.Reportes de Pagos'!D:D,$O25)</f>
        <v>1772353.47</v>
      </c>
      <c r="AE25" s="117">
        <v>0</v>
      </c>
      <c r="AF25" s="117"/>
      <c r="AG25" s="117"/>
      <c r="AH25" s="117"/>
      <c r="AI25" s="200">
        <f>SUMIFS('6.Reportes de Pagos'!I:I,'6.Reportes de Pagos'!H:H,"&lt;="&amp;(EOMONTH(FECHA,0)),'6.Reportes de Pagos'!D:D,$O25)</f>
        <v>511508274.94999993</v>
      </c>
      <c r="AJ25" s="118">
        <f>SUMIFS('6.Reportes de Pagos'!J:J,'6.Reportes de Pagos'!H:H,"&lt;="&amp;(EOMONTH(FECHA,0)),'6.Reportes de Pagos'!D:D,$O25)</f>
        <v>51150827.508000009</v>
      </c>
      <c r="AK25" s="200">
        <f t="shared" si="3"/>
        <v>0</v>
      </c>
      <c r="AL25" s="136">
        <f t="shared" si="0"/>
        <v>75115988.898000062</v>
      </c>
      <c r="AM25" s="119">
        <f t="shared" si="1"/>
        <v>0.85972041972534929</v>
      </c>
      <c r="AN25" s="119" t="s">
        <v>541</v>
      </c>
    </row>
    <row r="26" spans="1:42" s="20" customFormat="1" ht="72.5" x14ac:dyDescent="0.35">
      <c r="A26" s="107">
        <f t="shared" si="2"/>
        <v>19</v>
      </c>
      <c r="B26" s="108" t="s">
        <v>167</v>
      </c>
      <c r="C26" s="80">
        <v>222190</v>
      </c>
      <c r="D26" s="109" t="s">
        <v>89</v>
      </c>
      <c r="E26" s="110">
        <v>2023</v>
      </c>
      <c r="F26" s="111" t="s">
        <v>408</v>
      </c>
      <c r="G26" s="112" t="s">
        <v>409</v>
      </c>
      <c r="H26" s="113">
        <f>+[5]Contrato!$E$63+[5]Contrato!$E$64+[5]Contrato!$E$65+[5]Contrato!$E$100+[5]Contrato!$E$112</f>
        <v>6618532367</v>
      </c>
      <c r="I26" s="111"/>
      <c r="J26" s="69" t="s">
        <v>205</v>
      </c>
      <c r="K26" s="74" t="s">
        <v>221</v>
      </c>
      <c r="L26" s="111" t="s">
        <v>233</v>
      </c>
      <c r="M26" s="111">
        <v>10</v>
      </c>
      <c r="N26" s="111"/>
      <c r="O26" s="137" t="s">
        <v>345</v>
      </c>
      <c r="P26" s="114">
        <v>45278</v>
      </c>
      <c r="Q26" s="112" t="s">
        <v>155</v>
      </c>
      <c r="R26" s="107" t="s">
        <v>154</v>
      </c>
      <c r="S26" s="115" t="s">
        <v>274</v>
      </c>
      <c r="T26" s="111">
        <v>901778790</v>
      </c>
      <c r="U26" s="116">
        <v>6014978800</v>
      </c>
      <c r="V26" s="116">
        <v>0</v>
      </c>
      <c r="W26" s="225">
        <v>602576550</v>
      </c>
      <c r="X26" s="225">
        <v>-79155973.390000001</v>
      </c>
      <c r="Y26" s="228">
        <f>+U26+W26</f>
        <v>6617555350</v>
      </c>
      <c r="Z26" s="118">
        <f>SUMIFS('6.Reportes de Pagos'!I:I,'6.Reportes de Pagos'!H:H,"&lt;="&amp;(EOMONTH(FECHA,-1)),'6.Reportes de Pagos'!D:D,$O26)</f>
        <v>6617555350</v>
      </c>
      <c r="AA26" s="118">
        <f>SUMIFS('6.Reportes de Pagos'!J:J,'6.Reportes de Pagos'!H:H,"&lt;="&amp;(EOMONTH(FECHA,-1)),'6.Reportes de Pagos'!D:D,$O26)</f>
        <v>0</v>
      </c>
      <c r="AB26" s="120">
        <v>0</v>
      </c>
      <c r="AC26" s="117">
        <f>SUMIFS('6.Reportes de Pagos'!I:I,'6.Reportes de Pagos'!H:H,"&gt;"&amp;(EOMONTH(FECHA,-1)),'6.Reportes de Pagos'!H:H,"&lt;="&amp;(EOMONTH(FECHA,0)),'6.Reportes de Pagos'!D:D,$O26)</f>
        <v>0</v>
      </c>
      <c r="AD26" s="117">
        <f>SUMIFS('6.Reportes de Pagos'!J:J,'6.Reportes de Pagos'!H:H,"&gt;"&amp;(EOMONTH(FECHA,-1)),'6.Reportes de Pagos'!H:H,"&lt;="&amp;(EOMONTH(FECHA,0)),'6.Reportes de Pagos'!D:D,$O26)</f>
        <v>0</v>
      </c>
      <c r="AE26" s="117">
        <v>0</v>
      </c>
      <c r="AF26" s="254"/>
      <c r="AG26" s="254"/>
      <c r="AH26" s="254"/>
      <c r="AI26" s="255">
        <f>SUMIFS('6.Reportes de Pagos'!I:I,'6.Reportes de Pagos'!H:H,"&lt;="&amp;(EOMONTH(FECHA,0)),'6.Reportes de Pagos'!D:D,$O26)</f>
        <v>6617555350</v>
      </c>
      <c r="AJ26" s="256">
        <f>SUMIFS('6.Reportes de Pagos'!J:J,'6.Reportes de Pagos'!H:H,"&lt;="&amp;(EOMONTH(FECHA,0)),'6.Reportes de Pagos'!D:D,$O26)</f>
        <v>0</v>
      </c>
      <c r="AK26" s="255">
        <f t="shared" si="3"/>
        <v>0</v>
      </c>
      <c r="AL26" s="136">
        <f t="shared" si="0"/>
        <v>0</v>
      </c>
      <c r="AM26" s="119">
        <f t="shared" si="1"/>
        <v>1</v>
      </c>
      <c r="AN26" s="119" t="s">
        <v>542</v>
      </c>
      <c r="AO26" s="197">
        <f>+AI26-AJ26</f>
        <v>6617555350</v>
      </c>
      <c r="AP26" s="198">
        <f>+AO26/Y26</f>
        <v>1</v>
      </c>
    </row>
    <row r="27" spans="1:42" s="20" customFormat="1" ht="72.5" x14ac:dyDescent="0.35">
      <c r="A27" s="107">
        <f t="shared" si="2"/>
        <v>20</v>
      </c>
      <c r="B27" s="108" t="s">
        <v>167</v>
      </c>
      <c r="C27" s="80">
        <v>222190</v>
      </c>
      <c r="D27" s="109" t="s">
        <v>89</v>
      </c>
      <c r="E27" s="110">
        <v>2023</v>
      </c>
      <c r="F27" s="111" t="s">
        <v>600</v>
      </c>
      <c r="G27" s="112" t="s">
        <v>601</v>
      </c>
      <c r="H27" s="113">
        <f>+[5]Contrato!$E$66+[5]Contrato!$E$67+[5]Contrato!$E$101+[5]Contrato!$E$111+[5]Contrato!$E$114+[5]Contrato!$F$116</f>
        <v>476869489.25999999</v>
      </c>
      <c r="I27" s="111"/>
      <c r="J27" s="69" t="s">
        <v>206</v>
      </c>
      <c r="K27" s="74" t="s">
        <v>221</v>
      </c>
      <c r="L27" s="111" t="s">
        <v>233</v>
      </c>
      <c r="M27" s="111">
        <v>10</v>
      </c>
      <c r="N27" s="111"/>
      <c r="O27" s="137" t="s">
        <v>252</v>
      </c>
      <c r="P27" s="114">
        <v>45282</v>
      </c>
      <c r="Q27" s="112" t="s">
        <v>256</v>
      </c>
      <c r="R27" s="107" t="s">
        <v>154</v>
      </c>
      <c r="S27" s="115" t="s">
        <v>275</v>
      </c>
      <c r="T27" s="111">
        <v>19244715</v>
      </c>
      <c r="U27" s="116">
        <v>327496568</v>
      </c>
      <c r="V27" s="116">
        <v>0</v>
      </c>
      <c r="W27" s="225">
        <f>118432030.76+12104858.5</f>
        <v>130536889.26000001</v>
      </c>
      <c r="X27" s="225">
        <v>79155973.390000001</v>
      </c>
      <c r="Y27" s="228">
        <f>+U27+W27+X27</f>
        <v>537189430.64999998</v>
      </c>
      <c r="Z27" s="118">
        <f>SUMIFS('6.Reportes de Pagos'!I:I,'6.Reportes de Pagos'!H:H,"&lt;="&amp;(EOMONTH(FECHA,-1)),'6.Reportes de Pagos'!D:D,$O27)</f>
        <v>537189430.64999998</v>
      </c>
      <c r="AA27" s="118">
        <f>SUMIFS('6.Reportes de Pagos'!J:J,'6.Reportes de Pagos'!H:H,"&lt;="&amp;(EOMONTH(FECHA,-1)),'6.Reportes de Pagos'!D:D,$O27)</f>
        <v>-7.4505805969238281E-9</v>
      </c>
      <c r="AB27" s="120">
        <v>0</v>
      </c>
      <c r="AC27" s="117">
        <f>SUMIFS('6.Reportes de Pagos'!I:I,'6.Reportes de Pagos'!H:H,"&gt;"&amp;(EOMONTH(FECHA,-1)),'6.Reportes de Pagos'!H:H,"&lt;="&amp;(EOMONTH(FECHA,0)),'6.Reportes de Pagos'!D:D,$O27)</f>
        <v>0</v>
      </c>
      <c r="AD27" s="117">
        <f>SUMIFS('6.Reportes de Pagos'!J:J,'6.Reportes de Pagos'!H:H,"&gt;"&amp;(EOMONTH(FECHA,-1)),'6.Reportes de Pagos'!H:H,"&lt;="&amp;(EOMONTH(FECHA,0)),'6.Reportes de Pagos'!D:D,$O27)</f>
        <v>0</v>
      </c>
      <c r="AE27" s="117">
        <v>0</v>
      </c>
      <c r="AF27" s="117"/>
      <c r="AG27" s="117"/>
      <c r="AH27" s="117"/>
      <c r="AI27" s="200">
        <f>SUMIFS('6.Reportes de Pagos'!I:I,'6.Reportes de Pagos'!H:H,"&lt;="&amp;(EOMONTH(FECHA,0)),'6.Reportes de Pagos'!D:D,$O27)</f>
        <v>537189430.64999998</v>
      </c>
      <c r="AJ27" s="118">
        <f>SUMIFS('6.Reportes de Pagos'!J:J,'6.Reportes de Pagos'!H:H,"&lt;="&amp;(EOMONTH(FECHA,0)),'6.Reportes de Pagos'!D:D,$O27)</f>
        <v>-7.4505805969238281E-9</v>
      </c>
      <c r="AK27" s="200">
        <f t="shared" si="3"/>
        <v>0</v>
      </c>
      <c r="AL27" s="136">
        <f t="shared" si="0"/>
        <v>0</v>
      </c>
      <c r="AM27" s="119">
        <f t="shared" si="1"/>
        <v>1</v>
      </c>
      <c r="AN27" s="119" t="s">
        <v>542</v>
      </c>
    </row>
    <row r="28" spans="1:42" s="20" customFormat="1" ht="87" x14ac:dyDescent="0.35">
      <c r="A28" s="107">
        <f t="shared" si="2"/>
        <v>21</v>
      </c>
      <c r="B28" s="108" t="s">
        <v>167</v>
      </c>
      <c r="C28" s="80">
        <v>222190</v>
      </c>
      <c r="D28" s="109" t="s">
        <v>89</v>
      </c>
      <c r="E28" s="110">
        <v>2023</v>
      </c>
      <c r="F28" s="111">
        <v>12</v>
      </c>
      <c r="G28" s="112">
        <v>45156</v>
      </c>
      <c r="H28" s="113">
        <f>+[5]Contrato!$E$53+[5]Contrato!$E$54+[5]Contrato!$E$55</f>
        <v>4728828715</v>
      </c>
      <c r="I28" s="111"/>
      <c r="J28" s="69" t="s">
        <v>207</v>
      </c>
      <c r="K28" s="74" t="s">
        <v>222</v>
      </c>
      <c r="L28" s="111" t="s">
        <v>234</v>
      </c>
      <c r="M28" s="111">
        <v>11</v>
      </c>
      <c r="N28" s="111"/>
      <c r="O28" s="137" t="s">
        <v>347</v>
      </c>
      <c r="P28" s="114">
        <v>45275</v>
      </c>
      <c r="Q28" s="112" t="s">
        <v>155</v>
      </c>
      <c r="R28" s="107" t="s">
        <v>154</v>
      </c>
      <c r="S28" s="115" t="s">
        <v>276</v>
      </c>
      <c r="T28" s="111">
        <v>901780031</v>
      </c>
      <c r="U28" s="116">
        <v>4728021810</v>
      </c>
      <c r="V28" s="116">
        <v>0</v>
      </c>
      <c r="W28" s="225"/>
      <c r="X28" s="225">
        <v>-54867110</v>
      </c>
      <c r="Y28" s="228">
        <f>+U28+W28</f>
        <v>4728021810</v>
      </c>
      <c r="Z28" s="118">
        <f>SUMIFS('6.Reportes de Pagos'!I:I,'6.Reportes de Pagos'!H:H,"&lt;="&amp;(EOMONTH(FECHA,-1)),'6.Reportes de Pagos'!D:D,$O28)</f>
        <v>4728021810</v>
      </c>
      <c r="AA28" s="118">
        <f>SUMIFS('6.Reportes de Pagos'!J:J,'6.Reportes de Pagos'!H:H,"&lt;="&amp;(EOMONTH(FECHA,-1)),'6.Reportes de Pagos'!D:D,$O28)</f>
        <v>0</v>
      </c>
      <c r="AB28" s="120">
        <v>0</v>
      </c>
      <c r="AC28" s="117">
        <f>SUMIFS('6.Reportes de Pagos'!I:I,'6.Reportes de Pagos'!H:H,"&gt;"&amp;(EOMONTH(FECHA,-1)),'6.Reportes de Pagos'!H:H,"&lt;="&amp;(EOMONTH(FECHA,0)),'6.Reportes de Pagos'!D:D,$O28)</f>
        <v>0</v>
      </c>
      <c r="AD28" s="117">
        <f>SUMIFS('6.Reportes de Pagos'!J:J,'6.Reportes de Pagos'!H:H,"&gt;"&amp;(EOMONTH(FECHA,-1)),'6.Reportes de Pagos'!H:H,"&lt;="&amp;(EOMONTH(FECHA,0)),'6.Reportes de Pagos'!D:D,$O28)</f>
        <v>0</v>
      </c>
      <c r="AE28" s="117">
        <v>0</v>
      </c>
      <c r="AF28" s="254"/>
      <c r="AG28" s="254"/>
      <c r="AH28" s="254"/>
      <c r="AI28" s="255">
        <f>SUMIFS('6.Reportes de Pagos'!I:I,'6.Reportes de Pagos'!H:H,"&lt;="&amp;(EOMONTH(FECHA,0)),'6.Reportes de Pagos'!D:D,$O28)</f>
        <v>4728021810</v>
      </c>
      <c r="AJ28" s="256">
        <f>SUMIFS('6.Reportes de Pagos'!J:J,'6.Reportes de Pagos'!H:H,"&lt;="&amp;(EOMONTH(FECHA,0)),'6.Reportes de Pagos'!D:D,$O28)</f>
        <v>0</v>
      </c>
      <c r="AK28" s="255">
        <f t="shared" si="3"/>
        <v>0</v>
      </c>
      <c r="AL28" s="136">
        <f t="shared" si="0"/>
        <v>0</v>
      </c>
      <c r="AM28" s="119">
        <f t="shared" si="1"/>
        <v>1</v>
      </c>
      <c r="AN28" s="119" t="s">
        <v>542</v>
      </c>
      <c r="AO28" s="197">
        <f>+AI28-AJ28</f>
        <v>4728021810</v>
      </c>
      <c r="AP28" s="198">
        <f>+AO28/Y28</f>
        <v>1</v>
      </c>
    </row>
    <row r="29" spans="1:42" s="20" customFormat="1" ht="87" x14ac:dyDescent="0.35">
      <c r="A29" s="107">
        <f t="shared" si="2"/>
        <v>22</v>
      </c>
      <c r="B29" s="108" t="s">
        <v>167</v>
      </c>
      <c r="C29" s="80">
        <v>222190</v>
      </c>
      <c r="D29" s="109" t="s">
        <v>89</v>
      </c>
      <c r="E29" s="110">
        <v>2023</v>
      </c>
      <c r="F29" s="111" t="s">
        <v>185</v>
      </c>
      <c r="G29" s="112" t="s">
        <v>410</v>
      </c>
      <c r="H29" s="113">
        <f>+[5]Contrato!$E$56+[5]Contrato!$E$57+[5]Contrato!$E$98+[5]Contrato!$E$106</f>
        <v>375719613</v>
      </c>
      <c r="I29" s="111"/>
      <c r="J29" s="69" t="s">
        <v>208</v>
      </c>
      <c r="K29" s="74" t="s">
        <v>222</v>
      </c>
      <c r="L29" s="111" t="s">
        <v>234</v>
      </c>
      <c r="M29" s="111">
        <v>11</v>
      </c>
      <c r="N29" s="111"/>
      <c r="O29" s="137" t="s">
        <v>253</v>
      </c>
      <c r="P29" s="114">
        <v>45289</v>
      </c>
      <c r="Q29" s="112" t="s">
        <v>256</v>
      </c>
      <c r="R29" s="107" t="s">
        <v>154</v>
      </c>
      <c r="S29" s="115" t="s">
        <v>275</v>
      </c>
      <c r="T29" s="111">
        <v>19244715</v>
      </c>
      <c r="U29" s="116">
        <v>312927160</v>
      </c>
      <c r="V29" s="116">
        <v>0</v>
      </c>
      <c r="W29" s="225">
        <v>45105743</v>
      </c>
      <c r="X29" s="225">
        <v>54867110</v>
      </c>
      <c r="Y29" s="228">
        <f>+U29+W29+X29</f>
        <v>412900013</v>
      </c>
      <c r="Z29" s="118">
        <f>SUMIFS('6.Reportes de Pagos'!I:I,'6.Reportes de Pagos'!H:H,"&lt;="&amp;(EOMONTH(FECHA,-1)),'6.Reportes de Pagos'!D:D,$O29)</f>
        <v>412900012.99999994</v>
      </c>
      <c r="AA29" s="118">
        <f>SUMIFS('6.Reportes de Pagos'!J:J,'6.Reportes de Pagos'!H:H,"&lt;="&amp;(EOMONTH(FECHA,-1)),'6.Reportes de Pagos'!D:D,$O29)</f>
        <v>0</v>
      </c>
      <c r="AB29" s="120">
        <v>0</v>
      </c>
      <c r="AC29" s="117">
        <f>SUMIFS('6.Reportes de Pagos'!I:I,'6.Reportes de Pagos'!H:H,"&gt;"&amp;(EOMONTH(FECHA,-1)),'6.Reportes de Pagos'!H:H,"&lt;="&amp;(EOMONTH(FECHA,0)),'6.Reportes de Pagos'!D:D,$O29)</f>
        <v>0</v>
      </c>
      <c r="AD29" s="117">
        <f>SUMIFS('6.Reportes de Pagos'!J:J,'6.Reportes de Pagos'!H:H,"&gt;"&amp;(EOMONTH(FECHA,-1)),'6.Reportes de Pagos'!H:H,"&lt;="&amp;(EOMONTH(FECHA,0)),'6.Reportes de Pagos'!D:D,$O29)</f>
        <v>0</v>
      </c>
      <c r="AE29" s="117">
        <v>0</v>
      </c>
      <c r="AF29" s="117"/>
      <c r="AG29" s="117"/>
      <c r="AH29" s="117"/>
      <c r="AI29" s="200">
        <f>SUMIFS('6.Reportes de Pagos'!I:I,'6.Reportes de Pagos'!H:H,"&lt;="&amp;(EOMONTH(FECHA,0)),'6.Reportes de Pagos'!D:D,$O29)</f>
        <v>412900012.99999994</v>
      </c>
      <c r="AJ29" s="118">
        <f>SUMIFS('6.Reportes de Pagos'!J:J,'6.Reportes de Pagos'!H:H,"&lt;="&amp;(EOMONTH(FECHA,0)),'6.Reportes de Pagos'!D:D,$O29)</f>
        <v>0</v>
      </c>
      <c r="AK29" s="200">
        <f t="shared" si="3"/>
        <v>0</v>
      </c>
      <c r="AL29" s="136">
        <f t="shared" si="0"/>
        <v>5.9604644775390625E-8</v>
      </c>
      <c r="AM29" s="119">
        <f t="shared" si="1"/>
        <v>0.99999999999999989</v>
      </c>
      <c r="AN29" s="119" t="s">
        <v>542</v>
      </c>
    </row>
    <row r="30" spans="1:42" s="20" customFormat="1" ht="159.5" x14ac:dyDescent="0.35">
      <c r="A30" s="107">
        <f t="shared" si="2"/>
        <v>23</v>
      </c>
      <c r="B30" s="108" t="s">
        <v>167</v>
      </c>
      <c r="C30" s="80">
        <v>222190</v>
      </c>
      <c r="D30" s="109" t="s">
        <v>89</v>
      </c>
      <c r="E30" s="110">
        <v>2023</v>
      </c>
      <c r="F30" s="111">
        <v>14</v>
      </c>
      <c r="G30" s="112">
        <v>45156</v>
      </c>
      <c r="H30" s="113">
        <f>+[5]Contrato!$E$58+[5]Contrato!$E$59+[5]Contrato!$E$60</f>
        <v>4919542270</v>
      </c>
      <c r="I30" s="111"/>
      <c r="J30" s="69" t="s">
        <v>209</v>
      </c>
      <c r="K30" s="74" t="s">
        <v>223</v>
      </c>
      <c r="L30" s="111" t="s">
        <v>235</v>
      </c>
      <c r="M30" s="111">
        <v>12</v>
      </c>
      <c r="N30" s="111"/>
      <c r="O30" s="137" t="s">
        <v>346</v>
      </c>
      <c r="P30" s="114">
        <v>45275</v>
      </c>
      <c r="Q30" s="112" t="s">
        <v>155</v>
      </c>
      <c r="R30" s="107" t="s">
        <v>154</v>
      </c>
      <c r="S30" s="115" t="s">
        <v>277</v>
      </c>
      <c r="T30" s="111">
        <v>901779143</v>
      </c>
      <c r="U30" s="116">
        <v>4918276400</v>
      </c>
      <c r="V30" s="116">
        <v>0</v>
      </c>
      <c r="W30" s="225"/>
      <c r="X30" s="225">
        <v>-68337926</v>
      </c>
      <c r="Y30" s="228">
        <f>+U30+W30</f>
        <v>4918276400</v>
      </c>
      <c r="Z30" s="118">
        <f>SUMIFS('6.Reportes de Pagos'!I:I,'6.Reportes de Pagos'!H:H,"&lt;="&amp;(EOMONTH(FECHA,-1)),'6.Reportes de Pagos'!D:D,$O30)</f>
        <v>4906717683.79</v>
      </c>
      <c r="AA30" s="118">
        <f>SUMIFS('6.Reportes de Pagos'!J:J,'6.Reportes de Pagos'!H:H,"&lt;="&amp;(EOMONTH(FECHA,-1)),'6.Reportes de Pagos'!D:D,$O30)</f>
        <v>-5.9604644775390625E-8</v>
      </c>
      <c r="AB30" s="120">
        <v>11558716.210000001</v>
      </c>
      <c r="AC30" s="117">
        <f>SUMIFS('6.Reportes de Pagos'!I:I,'6.Reportes de Pagos'!H:H,"&gt;"&amp;(EOMONTH(FECHA,-1)),'6.Reportes de Pagos'!H:H,"&lt;="&amp;(EOMONTH(FECHA,0)),'6.Reportes de Pagos'!D:D,$O30)</f>
        <v>0</v>
      </c>
      <c r="AD30" s="117">
        <f>SUMIFS('6.Reportes de Pagos'!J:J,'6.Reportes de Pagos'!H:H,"&gt;"&amp;(EOMONTH(FECHA,-1)),'6.Reportes de Pagos'!H:H,"&lt;="&amp;(EOMONTH(FECHA,0)),'6.Reportes de Pagos'!D:D,$O30)</f>
        <v>0</v>
      </c>
      <c r="AE30" s="117">
        <v>0</v>
      </c>
      <c r="AF30" s="254"/>
      <c r="AG30" s="254"/>
      <c r="AH30" s="254"/>
      <c r="AI30" s="255">
        <f>SUMIFS('6.Reportes de Pagos'!I:I,'6.Reportes de Pagos'!H:H,"&lt;="&amp;(EOMONTH(FECHA,0)),'6.Reportes de Pagos'!D:D,$O30)</f>
        <v>4906717683.79</v>
      </c>
      <c r="AJ30" s="255">
        <f>SUMIFS('6.Reportes de Pagos'!J:J,'6.Reportes de Pagos'!H:H,"&lt;="&amp;(EOMONTH(FECHA,0)),'6.Reportes de Pagos'!D:D,$O30)</f>
        <v>-5.9604644775390625E-8</v>
      </c>
      <c r="AK30" s="255">
        <f t="shared" si="3"/>
        <v>11558716.210000001</v>
      </c>
      <c r="AL30" s="136">
        <f t="shared" si="0"/>
        <v>3.7252902984619141E-8</v>
      </c>
      <c r="AM30" s="119">
        <f t="shared" si="1"/>
        <v>1</v>
      </c>
      <c r="AN30" s="119" t="s">
        <v>542</v>
      </c>
      <c r="AO30" s="197">
        <f>+AI30-AJ30</f>
        <v>4906717683.79</v>
      </c>
      <c r="AP30" s="198">
        <f>+AO30/Y30</f>
        <v>0.99764984411815483</v>
      </c>
    </row>
    <row r="31" spans="1:42" s="20" customFormat="1" ht="159.5" x14ac:dyDescent="0.35">
      <c r="A31" s="107">
        <f t="shared" si="2"/>
        <v>24</v>
      </c>
      <c r="B31" s="108" t="s">
        <v>167</v>
      </c>
      <c r="C31" s="80">
        <v>222190</v>
      </c>
      <c r="D31" s="109" t="s">
        <v>89</v>
      </c>
      <c r="E31" s="110">
        <v>2023</v>
      </c>
      <c r="F31" s="111" t="s">
        <v>186</v>
      </c>
      <c r="G31" s="112" t="s">
        <v>411</v>
      </c>
      <c r="H31" s="113">
        <f>+[7]Contrato!$F$61+[7]Contrato!$F$62+[7]Contrato!$F$103+[7]Contrato!$F$109</f>
        <v>401782803</v>
      </c>
      <c r="I31" s="111"/>
      <c r="J31" s="69" t="s">
        <v>210</v>
      </c>
      <c r="K31" s="74" t="s">
        <v>223</v>
      </c>
      <c r="L31" s="111" t="s">
        <v>235</v>
      </c>
      <c r="M31" s="111">
        <v>12</v>
      </c>
      <c r="N31" s="111"/>
      <c r="O31" s="137" t="s">
        <v>254</v>
      </c>
      <c r="P31" s="114">
        <v>45289</v>
      </c>
      <c r="Q31" s="112" t="s">
        <v>256</v>
      </c>
      <c r="R31" s="107" t="s">
        <v>154</v>
      </c>
      <c r="S31" s="115" t="s">
        <v>275</v>
      </c>
      <c r="T31" s="111">
        <v>19244715</v>
      </c>
      <c r="U31" s="116">
        <v>318105088</v>
      </c>
      <c r="V31" s="116">
        <v>0</v>
      </c>
      <c r="W31" s="225">
        <v>83677715</v>
      </c>
      <c r="X31" s="225">
        <v>68337926</v>
      </c>
      <c r="Y31" s="228">
        <f>+U31+W31+X31</f>
        <v>470120729</v>
      </c>
      <c r="Z31" s="118">
        <f>SUMIFS('6.Reportes de Pagos'!I:I,'6.Reportes de Pagos'!H:H,"&lt;="&amp;(EOMONTH(FECHA,-1)),'6.Reportes de Pagos'!D:D,$O31)</f>
        <v>470120729</v>
      </c>
      <c r="AA31" s="118">
        <f>SUMIFS('6.Reportes de Pagos'!J:J,'6.Reportes de Pagos'!H:H,"&lt;="&amp;(EOMONTH(FECHA,-1)),'6.Reportes de Pagos'!D:D,$O31)</f>
        <v>0</v>
      </c>
      <c r="AB31" s="120">
        <v>0</v>
      </c>
      <c r="AC31" s="117">
        <f>SUMIFS('6.Reportes de Pagos'!I:I,'6.Reportes de Pagos'!H:H,"&gt;"&amp;(EOMONTH(FECHA,-1)),'6.Reportes de Pagos'!H:H,"&lt;="&amp;(EOMONTH(FECHA,0)),'6.Reportes de Pagos'!D:D,$O31)</f>
        <v>0</v>
      </c>
      <c r="AD31" s="117">
        <f>SUMIFS('6.Reportes de Pagos'!J:J,'6.Reportes de Pagos'!H:H,"&gt;"&amp;(EOMONTH(FECHA,-1)),'6.Reportes de Pagos'!H:H,"&lt;="&amp;(EOMONTH(FECHA,0)),'6.Reportes de Pagos'!D:D,$O31)</f>
        <v>0</v>
      </c>
      <c r="AE31" s="117">
        <v>0</v>
      </c>
      <c r="AF31" s="117"/>
      <c r="AG31" s="117"/>
      <c r="AH31" s="117"/>
      <c r="AI31" s="200">
        <f>SUMIFS('6.Reportes de Pagos'!I:I,'6.Reportes de Pagos'!H:H,"&lt;="&amp;(EOMONTH(FECHA,0)),'6.Reportes de Pagos'!D:D,$O31)</f>
        <v>470120729</v>
      </c>
      <c r="AJ31" s="118">
        <f>SUMIFS('6.Reportes de Pagos'!J:J,'6.Reportes de Pagos'!H:H,"&lt;="&amp;(EOMONTH(FECHA,0)),'6.Reportes de Pagos'!D:D,$O31)</f>
        <v>0</v>
      </c>
      <c r="AK31" s="200">
        <f t="shared" si="3"/>
        <v>0</v>
      </c>
      <c r="AL31" s="136">
        <f t="shared" si="0"/>
        <v>0</v>
      </c>
      <c r="AM31" s="119">
        <f t="shared" si="1"/>
        <v>1</v>
      </c>
      <c r="AN31" s="119" t="s">
        <v>542</v>
      </c>
    </row>
    <row r="32" spans="1:42" s="20" customFormat="1" ht="43.5" x14ac:dyDescent="0.35">
      <c r="A32" s="107">
        <f t="shared" si="2"/>
        <v>25</v>
      </c>
      <c r="B32" s="108" t="s">
        <v>167</v>
      </c>
      <c r="C32" s="80">
        <v>222190</v>
      </c>
      <c r="D32" s="109" t="s">
        <v>89</v>
      </c>
      <c r="E32" s="110">
        <v>2023</v>
      </c>
      <c r="F32" s="111" t="s">
        <v>514</v>
      </c>
      <c r="G32" s="112" t="s">
        <v>515</v>
      </c>
      <c r="H32" s="113">
        <f>758497441+359945454.8</f>
        <v>1118442895.8</v>
      </c>
      <c r="I32" s="111"/>
      <c r="J32" s="69" t="s">
        <v>211</v>
      </c>
      <c r="K32" s="74" t="s">
        <v>412</v>
      </c>
      <c r="L32" s="74" t="s">
        <v>412</v>
      </c>
      <c r="M32" s="111" t="s">
        <v>54</v>
      </c>
      <c r="N32" s="74" t="s">
        <v>412</v>
      </c>
      <c r="O32" s="137" t="s">
        <v>255</v>
      </c>
      <c r="P32" s="114"/>
      <c r="Q32" s="112" t="s">
        <v>153</v>
      </c>
      <c r="R32" s="107" t="s">
        <v>154</v>
      </c>
      <c r="S32" s="115" t="s">
        <v>278</v>
      </c>
      <c r="T32" s="111">
        <v>800048663</v>
      </c>
      <c r="U32" s="116">
        <v>584310000</v>
      </c>
      <c r="V32" s="116">
        <v>0</v>
      </c>
      <c r="W32" s="225">
        <v>359945454.80000001</v>
      </c>
      <c r="X32" s="225">
        <v>0</v>
      </c>
      <c r="Y32" s="228">
        <f>+U32+W32</f>
        <v>944255454.79999995</v>
      </c>
      <c r="Z32" s="118">
        <f>SUMIFS('6.Reportes de Pagos'!I:I,'6.Reportes de Pagos'!H:H,"&lt;="&amp;(EOMONTH(FECHA,-1)),'6.Reportes de Pagos'!D:D,$O32)</f>
        <v>936904178.77999997</v>
      </c>
      <c r="AA32" s="118">
        <f>SUMIFS('6.Reportes de Pagos'!J:J,'6.Reportes de Pagos'!H:H,"&lt;="&amp;(EOMONTH(FECHA,-1)),'6.Reportes de Pagos'!D:D,$O32)</f>
        <v>93690417.879999995</v>
      </c>
      <c r="AB32" s="120">
        <v>0</v>
      </c>
      <c r="AC32" s="117">
        <f>SUMIFS('6.Reportes de Pagos'!I:I,'6.Reportes de Pagos'!H:H,"&gt;"&amp;(EOMONTH(FECHA,-1)),'6.Reportes de Pagos'!H:H,"&lt;="&amp;(EOMONTH(FECHA,0)),'6.Reportes de Pagos'!D:D,$O32)</f>
        <v>93690417.879999995</v>
      </c>
      <c r="AD32" s="117">
        <f>SUMIFS('6.Reportes de Pagos'!J:J,'6.Reportes de Pagos'!H:H,"&gt;"&amp;(EOMONTH(FECHA,-1)),'6.Reportes de Pagos'!H:H,"&lt;="&amp;(EOMONTH(FECHA,0)),'6.Reportes de Pagos'!D:D,$O32)</f>
        <v>0</v>
      </c>
      <c r="AE32" s="117">
        <v>7351276.0199999996</v>
      </c>
      <c r="AF32" s="117"/>
      <c r="AG32" s="117"/>
      <c r="AH32" s="117"/>
      <c r="AI32" s="200">
        <f>SUMIFS('6.Reportes de Pagos'!I:I,'6.Reportes de Pagos'!H:H,"&lt;="&amp;(EOMONTH(FECHA,0)),'6.Reportes de Pagos'!D:D,$O32)</f>
        <v>1030594596.66</v>
      </c>
      <c r="AJ32" s="118">
        <f>SUMIFS('6.Reportes de Pagos'!J:J,'6.Reportes de Pagos'!H:H,"&lt;="&amp;(EOMONTH(FECHA,0)),'6.Reportes de Pagos'!D:D,$O32)</f>
        <v>93690417.879999995</v>
      </c>
      <c r="AK32" s="200">
        <f t="shared" si="3"/>
        <v>7351276.0199999996</v>
      </c>
      <c r="AL32" s="136">
        <f>+Y32-(AI32-AJ32)-AK32</f>
        <v>-1.862645149230957E-8</v>
      </c>
      <c r="AM32" s="119">
        <f t="shared" si="1"/>
        <v>1</v>
      </c>
      <c r="AN32" s="119" t="s">
        <v>543</v>
      </c>
      <c r="AO32" s="197">
        <f>+AI32-AJ32</f>
        <v>936904178.77999997</v>
      </c>
      <c r="AP32" s="198">
        <f>+AO32/Y32</f>
        <v>0.99221473809589267</v>
      </c>
    </row>
    <row r="33" spans="2:44" s="6" customFormat="1" ht="46.5" customHeight="1" x14ac:dyDescent="0.35">
      <c r="B33" s="285" t="s">
        <v>119</v>
      </c>
      <c r="C33" s="285"/>
      <c r="D33" s="40"/>
      <c r="E33" s="41"/>
      <c r="F33" s="42"/>
      <c r="G33" s="42"/>
      <c r="H33" s="102">
        <f>SUM(H8:H32)</f>
        <v>61507999726.130005</v>
      </c>
      <c r="I33" s="150"/>
      <c r="J33" s="43"/>
      <c r="K33" s="45"/>
      <c r="L33" s="46"/>
      <c r="M33" s="46"/>
      <c r="N33" s="46"/>
      <c r="O33" s="44"/>
      <c r="P33" s="44"/>
      <c r="Q33" s="47"/>
      <c r="R33" s="15"/>
      <c r="S33" s="48"/>
      <c r="T33" s="46"/>
      <c r="U33" s="102">
        <f>SUM(U8:U32)</f>
        <v>55433578356</v>
      </c>
      <c r="V33" s="102">
        <f>SUM(V8:V32)</f>
        <v>0</v>
      </c>
      <c r="W33" s="103">
        <f>SUM(W8:W32)</f>
        <v>4491307959.6999998</v>
      </c>
      <c r="X33" s="103">
        <f>+X31+X29+X27+X23+X19+X17+X15+X13+X11+X9+X25</f>
        <v>552745466.85000002</v>
      </c>
      <c r="Y33" s="227">
        <f t="shared" ref="Y33:AL33" si="6">SUM(Y8:Y32)</f>
        <v>60477631782.549995</v>
      </c>
      <c r="Z33" s="104">
        <f t="shared" si="6"/>
        <v>59766158157.849998</v>
      </c>
      <c r="AA33" s="104">
        <f t="shared" si="6"/>
        <v>661089903.78499997</v>
      </c>
      <c r="AB33" s="104">
        <f t="shared" si="6"/>
        <v>216373507.64000002</v>
      </c>
      <c r="AC33" s="104">
        <f>SUM(AC8:AC32)</f>
        <v>284042000.37</v>
      </c>
      <c r="AD33" s="104">
        <f t="shared" si="6"/>
        <v>19035158.25</v>
      </c>
      <c r="AE33" s="104">
        <f t="shared" ref="AE33:AJ33" si="7">SUM(AE8:AE32)</f>
        <v>240963408.08000013</v>
      </c>
      <c r="AF33" s="104">
        <f t="shared" si="7"/>
        <v>45160499.989999995</v>
      </c>
      <c r="AG33" s="104">
        <f t="shared" si="7"/>
        <v>0</v>
      </c>
      <c r="AH33" s="104">
        <f t="shared" si="7"/>
        <v>0</v>
      </c>
      <c r="AI33" s="227">
        <f t="shared" si="7"/>
        <v>60095360658.210007</v>
      </c>
      <c r="AJ33" s="227">
        <f t="shared" si="7"/>
        <v>680125062.03499997</v>
      </c>
      <c r="AK33" s="227">
        <f t="shared" si="6"/>
        <v>479782880.82000005</v>
      </c>
      <c r="AL33" s="227">
        <f t="shared" si="6"/>
        <v>582613305.55499911</v>
      </c>
      <c r="AM33" s="135">
        <f t="shared" si="1"/>
        <v>0.9903664662721946</v>
      </c>
      <c r="AN33" s="212"/>
      <c r="AR33" s="211"/>
    </row>
    <row r="34" spans="2:44" s="7" customFormat="1" x14ac:dyDescent="0.3">
      <c r="B34" s="287" t="s">
        <v>152</v>
      </c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7"/>
      <c r="T34" s="287"/>
      <c r="U34" s="287"/>
      <c r="V34" s="287"/>
      <c r="W34" s="287"/>
      <c r="X34" s="287"/>
      <c r="Y34" s="287"/>
      <c r="Z34" s="287"/>
      <c r="AA34" s="287"/>
      <c r="AB34" s="287"/>
      <c r="AC34" s="287"/>
      <c r="AD34" s="287"/>
      <c r="AE34" s="287"/>
      <c r="AF34" s="287"/>
      <c r="AG34" s="287"/>
      <c r="AH34" s="287"/>
      <c r="AI34" s="287"/>
      <c r="AJ34" s="287"/>
      <c r="AK34" s="287"/>
      <c r="AL34" s="287"/>
      <c r="AM34" s="287"/>
      <c r="AN34" s="209"/>
    </row>
    <row r="35" spans="2:44" s="7" customFormat="1" ht="26.75" customHeight="1" x14ac:dyDescent="0.3">
      <c r="W35" s="230"/>
      <c r="X35" s="230"/>
      <c r="Y35" s="226"/>
      <c r="Z35" s="253"/>
      <c r="AJ35" s="226"/>
      <c r="AL35" s="210"/>
      <c r="AO35" s="7">
        <f>+VRPAGOSCTOS-VRRTEGTIACTO</f>
        <v>59415235596.175003</v>
      </c>
    </row>
    <row r="36" spans="2:44" x14ac:dyDescent="0.3">
      <c r="AL36" s="230"/>
    </row>
  </sheetData>
  <autoFilter ref="A7:AN35" xr:uid="{00000000-0001-0000-0300-000000000000}"/>
  <mergeCells count="7">
    <mergeCell ref="B34:AM34"/>
    <mergeCell ref="B33:C33"/>
    <mergeCell ref="A1:R1"/>
    <mergeCell ref="A2:R2"/>
    <mergeCell ref="A3:R3"/>
    <mergeCell ref="A4:R4"/>
    <mergeCell ref="A5:R5"/>
  </mergeCells>
  <dataValidations count="1">
    <dataValidation type="list" allowBlank="1" showInputMessage="1" showErrorMessage="1" sqref="Q33" xr:uid="{00000000-0002-0000-0300-000000000000}">
      <formula1>#REF!</formula1>
    </dataValidation>
  </dataValidations>
  <pageMargins left="0.70866141732283472" right="0.70866141732283472" top="0.74803149606299213" bottom="0.74803149606299213" header="0.31496062992125984" footer="0.31496062992125984"/>
  <pageSetup scale="34" fitToWidth="2" fitToHeight="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54"/>
  <sheetViews>
    <sheetView showGridLines="0" view="pageBreakPreview" topLeftCell="A31" zoomScale="85" zoomScaleNormal="85" zoomScaleSheetLayoutView="85" workbookViewId="0">
      <selection activeCell="F51" sqref="F51"/>
    </sheetView>
  </sheetViews>
  <sheetFormatPr baseColWidth="10" defaultColWidth="11.453125" defaultRowHeight="14.5" x14ac:dyDescent="0.35"/>
  <cols>
    <col min="1" max="1" width="56.54296875" style="26" customWidth="1"/>
    <col min="2" max="2" width="8" style="26" customWidth="1"/>
    <col min="3" max="3" width="25.90625" style="26" customWidth="1"/>
    <col min="4" max="4" width="18.36328125" style="26" bestFit="1" customWidth="1"/>
    <col min="5" max="5" width="19.36328125" style="26" bestFit="1" customWidth="1"/>
    <col min="6" max="6" width="12.6328125" style="26" bestFit="1" customWidth="1"/>
    <col min="7" max="8" width="18" style="26" bestFit="1" customWidth="1"/>
    <col min="9" max="9" width="15.08984375" style="26" bestFit="1" customWidth="1"/>
    <col min="10" max="10" width="17" style="26" bestFit="1" customWidth="1"/>
    <col min="11" max="11" width="17.54296875" style="26" hidden="1" customWidth="1"/>
    <col min="12" max="12" width="17.54296875" style="26" customWidth="1"/>
    <col min="13" max="14" width="18.54296875" style="26" bestFit="1" customWidth="1"/>
    <col min="15" max="15" width="12.6328125" style="26" bestFit="1" customWidth="1"/>
    <col min="16" max="16" width="19.36328125" style="26" customWidth="1"/>
    <col min="17" max="17" width="16.36328125" style="26" customWidth="1"/>
    <col min="18" max="18" width="17.453125" style="26" customWidth="1"/>
    <col min="19" max="19" width="20.36328125" style="26" customWidth="1"/>
    <col min="20" max="20" width="17.54296875" style="26" bestFit="1" customWidth="1"/>
    <col min="21" max="21" width="17.6328125" style="26" bestFit="1" customWidth="1"/>
    <col min="22" max="22" width="17" style="26" bestFit="1" customWidth="1"/>
    <col min="23" max="23" width="15.36328125" style="26" bestFit="1" customWidth="1"/>
    <col min="24" max="24" width="14.36328125" style="26" bestFit="1" customWidth="1"/>
    <col min="25" max="16384" width="11.453125" style="26"/>
  </cols>
  <sheetData>
    <row r="1" spans="1:23" ht="15.5" x14ac:dyDescent="0.35">
      <c r="A1" s="278" t="str">
        <f>CONTRATO</f>
        <v>Contrato Interadministrativo No. CO1.PCCNTR. 4917031</v>
      </c>
      <c r="B1" s="278"/>
      <c r="C1" s="278"/>
      <c r="D1" s="278"/>
      <c r="E1" s="278"/>
      <c r="F1" s="278"/>
      <c r="G1" s="278"/>
      <c r="H1" s="278"/>
      <c r="I1" s="278"/>
      <c r="J1" s="163"/>
      <c r="K1" s="27"/>
      <c r="L1" s="27"/>
      <c r="M1" s="27"/>
    </row>
    <row r="2" spans="1:23" ht="15.5" x14ac:dyDescent="0.35">
      <c r="A2" s="278" t="s">
        <v>4</v>
      </c>
      <c r="B2" s="278"/>
      <c r="C2" s="278"/>
      <c r="D2" s="278"/>
      <c r="E2" s="278"/>
      <c r="F2" s="278"/>
      <c r="G2" s="278"/>
      <c r="H2" s="278"/>
      <c r="I2" s="278"/>
      <c r="J2" s="163"/>
      <c r="L2" s="27"/>
      <c r="M2" s="27"/>
      <c r="O2" s="28"/>
    </row>
    <row r="3" spans="1:23" ht="15.5" x14ac:dyDescent="0.35">
      <c r="A3" s="278" t="s">
        <v>15</v>
      </c>
      <c r="B3" s="278"/>
      <c r="C3" s="278"/>
      <c r="D3" s="278"/>
      <c r="E3" s="278"/>
      <c r="F3" s="278"/>
      <c r="G3" s="278"/>
      <c r="H3" s="278"/>
      <c r="I3" s="278"/>
      <c r="J3" s="163"/>
      <c r="L3" s="27"/>
      <c r="M3" s="27"/>
      <c r="O3" s="28"/>
    </row>
    <row r="4" spans="1:23" ht="18.5" x14ac:dyDescent="0.45">
      <c r="A4" s="259" t="s">
        <v>120</v>
      </c>
      <c r="B4" s="259"/>
      <c r="C4" s="259"/>
      <c r="D4" s="259"/>
      <c r="E4" s="259"/>
      <c r="F4" s="259"/>
      <c r="G4" s="259"/>
      <c r="H4" s="259"/>
      <c r="I4" s="259"/>
      <c r="J4" s="140"/>
      <c r="L4"/>
      <c r="M4"/>
      <c r="N4" s="29"/>
      <c r="O4" s="28"/>
    </row>
    <row r="5" spans="1:23" ht="15.5" x14ac:dyDescent="0.35">
      <c r="A5" s="286" t="str">
        <f>periodo</f>
        <v>01 de mayo al 31 de mayo de 2026</v>
      </c>
      <c r="B5" s="286"/>
      <c r="C5" s="286"/>
      <c r="D5" s="286"/>
      <c r="E5" s="286"/>
      <c r="F5" s="286"/>
      <c r="G5" s="286"/>
      <c r="H5" s="286"/>
      <c r="I5" s="286"/>
      <c r="J5" s="164"/>
      <c r="L5" s="35"/>
      <c r="M5" s="35"/>
    </row>
    <row r="6" spans="1:23" ht="15" thickBot="1" x14ac:dyDescent="0.4">
      <c r="C6" s="31"/>
      <c r="D6" s="31"/>
      <c r="E6" s="31"/>
      <c r="L6" s="32"/>
      <c r="M6" s="32"/>
      <c r="P6" s="30"/>
      <c r="R6" s="33"/>
    </row>
    <row r="7" spans="1:23" s="56" customFormat="1" ht="44" thickBot="1" x14ac:dyDescent="0.4">
      <c r="A7" s="174" t="s">
        <v>121</v>
      </c>
      <c r="B7" s="175" t="s">
        <v>122</v>
      </c>
      <c r="C7" s="175" t="s">
        <v>123</v>
      </c>
      <c r="D7" s="175" t="s">
        <v>151</v>
      </c>
      <c r="E7" s="175" t="s">
        <v>90</v>
      </c>
      <c r="F7" s="176" t="s">
        <v>288</v>
      </c>
      <c r="G7" s="176" t="s">
        <v>124</v>
      </c>
      <c r="H7" s="176" t="s">
        <v>125</v>
      </c>
      <c r="I7" s="177" t="s">
        <v>126</v>
      </c>
      <c r="J7" s="178" t="s">
        <v>291</v>
      </c>
      <c r="K7"/>
      <c r="L7"/>
      <c r="M7"/>
      <c r="N7"/>
      <c r="O7"/>
      <c r="P7"/>
      <c r="Q7"/>
      <c r="R7"/>
      <c r="S7"/>
      <c r="T7"/>
      <c r="U7"/>
      <c r="V7"/>
      <c r="W7"/>
    </row>
    <row r="8" spans="1:23" s="57" customFormat="1" x14ac:dyDescent="0.35">
      <c r="A8" s="331" t="s">
        <v>127</v>
      </c>
      <c r="B8" s="308">
        <f>+E8/VRFINDETER</f>
        <v>0.20000000000480303</v>
      </c>
      <c r="C8" s="312">
        <f>+E8/1.19</f>
        <v>699835074.30252099</v>
      </c>
      <c r="D8" s="312">
        <f>+ROUND(C8*0.19,2)</f>
        <v>132968664.12</v>
      </c>
      <c r="E8" s="289">
        <v>832803738.41999996</v>
      </c>
      <c r="F8" s="179">
        <v>11</v>
      </c>
      <c r="G8" s="180">
        <v>690748453</v>
      </c>
      <c r="H8" s="180"/>
      <c r="I8" s="181">
        <v>45351</v>
      </c>
      <c r="J8" s="325">
        <f>+E8-G8-G9-G10</f>
        <v>0.15999995172023773</v>
      </c>
      <c r="K8" s="49"/>
      <c r="P8" s="49"/>
      <c r="Q8" s="49"/>
      <c r="R8" s="49"/>
      <c r="S8" s="49"/>
      <c r="T8" s="49"/>
      <c r="U8" s="49"/>
      <c r="V8" s="49"/>
      <c r="W8" s="49"/>
    </row>
    <row r="9" spans="1:23" s="57" customFormat="1" x14ac:dyDescent="0.35">
      <c r="A9" s="332"/>
      <c r="B9" s="309"/>
      <c r="C9" s="313"/>
      <c r="D9" s="313"/>
      <c r="E9" s="290"/>
      <c r="F9" s="169" t="s">
        <v>289</v>
      </c>
      <c r="G9" s="161">
        <v>65883242.920000002</v>
      </c>
      <c r="H9" s="161"/>
      <c r="I9" s="170">
        <v>45504</v>
      </c>
      <c r="J9" s="326"/>
      <c r="K9" s="49"/>
      <c r="P9" s="49"/>
      <c r="Q9" s="49"/>
      <c r="R9" s="49"/>
      <c r="S9" s="49"/>
      <c r="T9" s="49"/>
      <c r="U9" s="49"/>
      <c r="V9" s="49"/>
      <c r="W9" s="49"/>
    </row>
    <row r="10" spans="1:23" s="57" customFormat="1" ht="15" thickBot="1" x14ac:dyDescent="0.4">
      <c r="A10" s="333"/>
      <c r="B10" s="311"/>
      <c r="C10" s="315"/>
      <c r="D10" s="315"/>
      <c r="E10" s="292"/>
      <c r="F10" s="171" t="s">
        <v>290</v>
      </c>
      <c r="G10" s="162">
        <v>76172042.340000004</v>
      </c>
      <c r="H10" s="162"/>
      <c r="I10" s="172">
        <v>45562</v>
      </c>
      <c r="J10" s="327"/>
      <c r="K10" s="49"/>
      <c r="P10" s="49"/>
      <c r="Q10" s="49"/>
      <c r="R10" s="49"/>
      <c r="S10" s="49"/>
      <c r="T10" s="49"/>
      <c r="U10" s="49"/>
      <c r="V10" s="49"/>
      <c r="W10" s="49"/>
    </row>
    <row r="11" spans="1:23" s="57" customFormat="1" x14ac:dyDescent="0.35">
      <c r="A11" s="316" t="s">
        <v>282</v>
      </c>
      <c r="B11" s="319">
        <f>+E11/VRFINDETER</f>
        <v>0.10000000000240152</v>
      </c>
      <c r="C11" s="322">
        <f>+E11/1.19</f>
        <v>349917537.1512605</v>
      </c>
      <c r="D11" s="322">
        <f>+ROUND(C11*0.19,2)</f>
        <v>66484332.060000002</v>
      </c>
      <c r="E11" s="328">
        <v>416401869.20999998</v>
      </c>
      <c r="F11" s="179">
        <v>38</v>
      </c>
      <c r="G11" s="180">
        <v>221354930.84</v>
      </c>
      <c r="H11" s="180"/>
      <c r="I11" s="181">
        <v>45408</v>
      </c>
      <c r="J11" s="325">
        <f>+E11-G11-G12-G13-G14</f>
        <v>0</v>
      </c>
      <c r="K11" s="49"/>
      <c r="P11" s="49"/>
      <c r="Q11" s="49"/>
      <c r="R11" s="49"/>
      <c r="S11" s="49"/>
      <c r="T11" s="49"/>
      <c r="U11" s="49"/>
      <c r="V11" s="49"/>
      <c r="W11" s="49"/>
    </row>
    <row r="12" spans="1:23" s="57" customFormat="1" x14ac:dyDescent="0.35">
      <c r="A12" s="317"/>
      <c r="B12" s="320"/>
      <c r="C12" s="323"/>
      <c r="D12" s="323"/>
      <c r="E12" s="329"/>
      <c r="F12" s="169" t="s">
        <v>292</v>
      </c>
      <c r="G12" s="161">
        <v>124019295.67</v>
      </c>
      <c r="H12" s="161"/>
      <c r="I12" s="170">
        <v>45441</v>
      </c>
      <c r="J12" s="326"/>
      <c r="K12" s="49"/>
      <c r="P12" s="49"/>
      <c r="Q12" s="49"/>
      <c r="R12" s="49"/>
      <c r="S12" s="49"/>
      <c r="T12" s="49"/>
      <c r="U12" s="49"/>
      <c r="V12" s="49"/>
      <c r="W12" s="49"/>
    </row>
    <row r="13" spans="1:23" s="57" customFormat="1" x14ac:dyDescent="0.35">
      <c r="A13" s="317"/>
      <c r="B13" s="320"/>
      <c r="C13" s="323"/>
      <c r="D13" s="323"/>
      <c r="E13" s="329"/>
      <c r="F13" s="169" t="s">
        <v>290</v>
      </c>
      <c r="G13" s="161">
        <v>32941621.460000001</v>
      </c>
      <c r="H13" s="161"/>
      <c r="I13" s="170">
        <v>45562</v>
      </c>
      <c r="J13" s="326"/>
      <c r="K13" s="49"/>
      <c r="P13" s="49"/>
      <c r="Q13" s="49"/>
      <c r="R13" s="49"/>
      <c r="S13" s="49"/>
      <c r="T13" s="49"/>
      <c r="U13" s="49"/>
      <c r="V13" s="49"/>
      <c r="W13" s="49"/>
    </row>
    <row r="14" spans="1:23" s="58" customFormat="1" ht="15" thickBot="1" x14ac:dyDescent="0.4">
      <c r="A14" s="318"/>
      <c r="B14" s="321"/>
      <c r="C14" s="324"/>
      <c r="D14" s="324"/>
      <c r="E14" s="330"/>
      <c r="F14" s="171" t="s">
        <v>293</v>
      </c>
      <c r="G14" s="162">
        <v>38086021.240000002</v>
      </c>
      <c r="H14" s="162"/>
      <c r="I14" s="172">
        <v>45593</v>
      </c>
      <c r="J14" s="327"/>
      <c r="K14" s="203"/>
      <c r="P14" s="59"/>
      <c r="Q14" s="60"/>
      <c r="S14" s="60"/>
      <c r="T14" s="59"/>
    </row>
    <row r="15" spans="1:23" s="58" customFormat="1" x14ac:dyDescent="0.35">
      <c r="A15" s="316" t="s">
        <v>283</v>
      </c>
      <c r="B15" s="319">
        <f>+E15/VRFINDETER</f>
        <v>0.14999999999759847</v>
      </c>
      <c r="C15" s="322">
        <f>+E15/1.19</f>
        <v>524876305.70588237</v>
      </c>
      <c r="D15" s="322">
        <f>+ROUND(C15*0.19,2)</f>
        <v>99726498.079999998</v>
      </c>
      <c r="E15" s="328">
        <v>624602803.78999996</v>
      </c>
      <c r="F15" s="179" t="s">
        <v>292</v>
      </c>
      <c r="G15" s="180">
        <v>231720840.30000001</v>
      </c>
      <c r="H15" s="180"/>
      <c r="I15" s="181">
        <v>45441</v>
      </c>
      <c r="J15" s="325">
        <f>+E15-G15-G16-G17-G19-G18</f>
        <v>0</v>
      </c>
      <c r="K15" s="203"/>
      <c r="P15" s="59"/>
      <c r="Q15" s="60"/>
      <c r="S15" s="60"/>
      <c r="T15" s="59"/>
    </row>
    <row r="16" spans="1:23" s="58" customFormat="1" x14ac:dyDescent="0.35">
      <c r="A16" s="317"/>
      <c r="B16" s="320"/>
      <c r="C16" s="323"/>
      <c r="D16" s="323"/>
      <c r="E16" s="329"/>
      <c r="F16" s="169" t="s">
        <v>289</v>
      </c>
      <c r="G16" s="161">
        <v>100311555.95</v>
      </c>
      <c r="H16" s="161"/>
      <c r="I16" s="170">
        <v>45504</v>
      </c>
      <c r="J16" s="326"/>
      <c r="K16" s="203"/>
      <c r="P16" s="59"/>
      <c r="Q16" s="60"/>
      <c r="S16" s="60"/>
      <c r="T16" s="59"/>
    </row>
    <row r="17" spans="1:20" s="58" customFormat="1" x14ac:dyDescent="0.35">
      <c r="A17" s="317"/>
      <c r="B17" s="320"/>
      <c r="C17" s="323"/>
      <c r="D17" s="323"/>
      <c r="E17" s="329"/>
      <c r="F17" s="169" t="s">
        <v>290</v>
      </c>
      <c r="G17" s="161">
        <v>186028943.49000001</v>
      </c>
      <c r="H17" s="161"/>
      <c r="I17" s="170">
        <v>45562</v>
      </c>
      <c r="J17" s="326"/>
      <c r="K17" s="203">
        <v>57129031.859999999</v>
      </c>
      <c r="P17" s="59"/>
      <c r="Q17" s="60"/>
      <c r="S17" s="60"/>
      <c r="T17" s="59"/>
    </row>
    <row r="18" spans="1:20" s="58" customFormat="1" x14ac:dyDescent="0.35">
      <c r="A18" s="317"/>
      <c r="B18" s="320"/>
      <c r="C18" s="323"/>
      <c r="D18" s="323"/>
      <c r="E18" s="329"/>
      <c r="F18" s="188" t="s">
        <v>293</v>
      </c>
      <c r="G18" s="189">
        <v>49412432.189999998</v>
      </c>
      <c r="H18" s="189"/>
      <c r="I18" s="190">
        <v>45593</v>
      </c>
      <c r="J18" s="326"/>
      <c r="K18" s="203"/>
      <c r="P18" s="59"/>
      <c r="Q18" s="60"/>
      <c r="S18" s="60"/>
      <c r="T18" s="59"/>
    </row>
    <row r="19" spans="1:20" s="58" customFormat="1" x14ac:dyDescent="0.35">
      <c r="A19" s="317"/>
      <c r="B19" s="320"/>
      <c r="C19" s="323"/>
      <c r="D19" s="323"/>
      <c r="E19" s="329"/>
      <c r="F19" s="188" t="s">
        <v>539</v>
      </c>
      <c r="G19" s="189">
        <v>57129031.859999999</v>
      </c>
      <c r="H19" s="189"/>
      <c r="I19" s="190">
        <v>45742</v>
      </c>
      <c r="J19" s="326"/>
      <c r="K19" s="203"/>
      <c r="P19" s="59"/>
      <c r="Q19" s="60"/>
      <c r="S19" s="60"/>
      <c r="T19" s="59"/>
    </row>
    <row r="20" spans="1:20" s="58" customFormat="1" ht="15" thickBot="1" x14ac:dyDescent="0.4">
      <c r="A20" s="318"/>
      <c r="B20" s="321"/>
      <c r="C20" s="324"/>
      <c r="D20" s="324"/>
      <c r="E20" s="330"/>
      <c r="F20" s="171"/>
      <c r="G20" s="162"/>
      <c r="H20" s="162"/>
      <c r="I20" s="172"/>
      <c r="J20" s="327"/>
      <c r="K20" s="204"/>
      <c r="R20" s="62"/>
    </row>
    <row r="21" spans="1:20" s="58" customFormat="1" x14ac:dyDescent="0.35">
      <c r="A21" s="316" t="s">
        <v>284</v>
      </c>
      <c r="B21" s="319">
        <f>+E21/VRFINDETER</f>
        <v>0.14999999999759847</v>
      </c>
      <c r="C21" s="322">
        <f>+E21/1.19</f>
        <v>524876305.70588237</v>
      </c>
      <c r="D21" s="322">
        <f>+ROUND(C21*0.19,2)</f>
        <v>99726498.079999998</v>
      </c>
      <c r="E21" s="328">
        <v>624602803.78999996</v>
      </c>
      <c r="F21" s="179" t="s">
        <v>292</v>
      </c>
      <c r="G21" s="180">
        <v>231720840.30000001</v>
      </c>
      <c r="H21" s="180"/>
      <c r="I21" s="182">
        <v>45441</v>
      </c>
      <c r="J21" s="325">
        <f>+E21-G21-G22-G23-G25-G24</f>
        <v>0</v>
      </c>
      <c r="K21" s="204"/>
      <c r="R21" s="62"/>
    </row>
    <row r="22" spans="1:20" s="58" customFormat="1" x14ac:dyDescent="0.35">
      <c r="A22" s="317"/>
      <c r="B22" s="320"/>
      <c r="C22" s="323"/>
      <c r="D22" s="323"/>
      <c r="E22" s="329"/>
      <c r="F22" s="169" t="s">
        <v>289</v>
      </c>
      <c r="G22" s="161">
        <v>50772753.710000001</v>
      </c>
      <c r="H22" s="161"/>
      <c r="I22" s="173">
        <v>45504</v>
      </c>
      <c r="J22" s="326"/>
      <c r="K22" s="204"/>
      <c r="R22" s="62"/>
    </row>
    <row r="23" spans="1:20" s="58" customFormat="1" x14ac:dyDescent="0.35">
      <c r="A23" s="317"/>
      <c r="B23" s="320"/>
      <c r="C23" s="323"/>
      <c r="D23" s="323"/>
      <c r="E23" s="329"/>
      <c r="F23" s="169" t="s">
        <v>290</v>
      </c>
      <c r="G23" s="161">
        <v>235567745.72999999</v>
      </c>
      <c r="H23" s="161"/>
      <c r="I23" s="173">
        <v>45562</v>
      </c>
      <c r="J23" s="326"/>
      <c r="K23" s="204">
        <v>57129031.859999999</v>
      </c>
      <c r="R23" s="62"/>
    </row>
    <row r="24" spans="1:20" s="58" customFormat="1" x14ac:dyDescent="0.35">
      <c r="A24" s="317"/>
      <c r="B24" s="320"/>
      <c r="C24" s="323"/>
      <c r="D24" s="323"/>
      <c r="E24" s="329"/>
      <c r="F24" s="188" t="s">
        <v>413</v>
      </c>
      <c r="G24" s="189">
        <v>49412432.189999998</v>
      </c>
      <c r="H24" s="189"/>
      <c r="I24" s="190">
        <v>45612</v>
      </c>
      <c r="J24" s="326"/>
      <c r="K24" s="204"/>
      <c r="R24" s="62"/>
    </row>
    <row r="25" spans="1:20" s="58" customFormat="1" ht="15" thickBot="1" x14ac:dyDescent="0.4">
      <c r="A25" s="318"/>
      <c r="B25" s="321"/>
      <c r="C25" s="324"/>
      <c r="D25" s="324"/>
      <c r="E25" s="330"/>
      <c r="F25" s="171" t="s">
        <v>539</v>
      </c>
      <c r="G25" s="162">
        <v>57129031.859999999</v>
      </c>
      <c r="H25" s="162"/>
      <c r="I25" s="172">
        <v>45742</v>
      </c>
      <c r="J25" s="327"/>
      <c r="K25" s="204"/>
    </row>
    <row r="26" spans="1:20" s="58" customFormat="1" x14ac:dyDescent="0.35">
      <c r="A26" s="316" t="s">
        <v>285</v>
      </c>
      <c r="B26" s="319">
        <f>+E26/VRFINDETER</f>
        <v>0.14999999999759847</v>
      </c>
      <c r="C26" s="322">
        <f>+E26/1.19</f>
        <v>524876305.70588237</v>
      </c>
      <c r="D26" s="322">
        <f>+ROUND(C26*0.19,2)</f>
        <v>99726498.079999998</v>
      </c>
      <c r="E26" s="328">
        <v>624602803.78999996</v>
      </c>
      <c r="F26" s="179" t="s">
        <v>292</v>
      </c>
      <c r="G26" s="180">
        <v>101919803.62</v>
      </c>
      <c r="H26" s="180"/>
      <c r="I26" s="181">
        <v>45441</v>
      </c>
      <c r="J26" s="325">
        <f>+E26-G26-G27-G28-G31-G29-G30-G32</f>
        <v>5.9999942779541016E-2</v>
      </c>
      <c r="K26" s="204"/>
    </row>
    <row r="27" spans="1:20" s="58" customFormat="1" x14ac:dyDescent="0.35">
      <c r="A27" s="317"/>
      <c r="B27" s="320"/>
      <c r="C27" s="323"/>
      <c r="D27" s="323"/>
      <c r="E27" s="329"/>
      <c r="F27" s="169" t="s">
        <v>289</v>
      </c>
      <c r="G27" s="161">
        <v>129801036.62</v>
      </c>
      <c r="H27" s="161"/>
      <c r="I27" s="170">
        <v>45504</v>
      </c>
      <c r="J27" s="326"/>
      <c r="K27" s="191"/>
    </row>
    <row r="28" spans="1:20" s="58" customFormat="1" x14ac:dyDescent="0.35">
      <c r="A28" s="317"/>
      <c r="B28" s="320"/>
      <c r="C28" s="323"/>
      <c r="D28" s="323"/>
      <c r="E28" s="329"/>
      <c r="F28" s="169" t="s">
        <v>290</v>
      </c>
      <c r="G28" s="161">
        <v>100311555.95</v>
      </c>
      <c r="H28" s="161"/>
      <c r="I28" s="170">
        <v>45562</v>
      </c>
      <c r="J28" s="326"/>
      <c r="K28" s="191"/>
      <c r="L28" s="213"/>
    </row>
    <row r="29" spans="1:20" s="58" customFormat="1" x14ac:dyDescent="0.35">
      <c r="A29" s="317"/>
      <c r="B29" s="320"/>
      <c r="C29" s="323"/>
      <c r="D29" s="323"/>
      <c r="E29" s="329"/>
      <c r="F29" s="188" t="s">
        <v>293</v>
      </c>
      <c r="G29" s="189">
        <v>56159388.210000001</v>
      </c>
      <c r="H29" s="189"/>
      <c r="I29" s="190">
        <v>45593</v>
      </c>
      <c r="J29" s="326"/>
      <c r="K29" s="191"/>
    </row>
    <row r="30" spans="1:20" s="58" customFormat="1" x14ac:dyDescent="0.35">
      <c r="A30" s="317"/>
      <c r="B30" s="320"/>
      <c r="C30" s="323"/>
      <c r="D30" s="323"/>
      <c r="E30" s="329"/>
      <c r="F30" s="188" t="s">
        <v>413</v>
      </c>
      <c r="G30" s="189">
        <v>58424295.049999997</v>
      </c>
      <c r="H30" s="189"/>
      <c r="I30" s="190">
        <v>45612</v>
      </c>
      <c r="J30" s="326"/>
      <c r="K30" s="191"/>
    </row>
    <row r="31" spans="1:20" s="58" customFormat="1" x14ac:dyDescent="0.35">
      <c r="A31" s="317"/>
      <c r="B31" s="320"/>
      <c r="C31" s="323"/>
      <c r="D31" s="323"/>
      <c r="E31" s="329"/>
      <c r="F31" s="188" t="s">
        <v>441</v>
      </c>
      <c r="G31" s="189">
        <v>120857692.42</v>
      </c>
      <c r="H31" s="189"/>
      <c r="I31" s="190">
        <v>45642</v>
      </c>
      <c r="J31" s="326"/>
      <c r="K31" s="191"/>
      <c r="P31" s="63"/>
    </row>
    <row r="32" spans="1:20" s="58" customFormat="1" ht="15" thickBot="1" x14ac:dyDescent="0.4">
      <c r="A32" s="214"/>
      <c r="B32" s="215"/>
      <c r="C32" s="216"/>
      <c r="D32" s="216"/>
      <c r="E32" s="218"/>
      <c r="F32" s="188" t="s">
        <v>552</v>
      </c>
      <c r="G32" s="189">
        <v>57129031.859999999</v>
      </c>
      <c r="H32" s="189"/>
      <c r="I32" s="190">
        <v>45776</v>
      </c>
      <c r="J32" s="217"/>
      <c r="K32" s="191"/>
      <c r="P32" s="63"/>
    </row>
    <row r="33" spans="1:16" s="58" customFormat="1" x14ac:dyDescent="0.35">
      <c r="A33" s="316" t="s">
        <v>286</v>
      </c>
      <c r="B33" s="319">
        <f>+E33/VRFINDETER</f>
        <v>0.14999999999759847</v>
      </c>
      <c r="C33" s="322">
        <f>+E33/1.19</f>
        <v>524876305.70588237</v>
      </c>
      <c r="D33" s="322">
        <f>+ROUND(C33*0.19,2)</f>
        <v>99726498.079999998</v>
      </c>
      <c r="E33" s="328">
        <v>624602803.78999996</v>
      </c>
      <c r="F33" s="179" t="s">
        <v>292</v>
      </c>
      <c r="G33" s="180">
        <v>43705997.329999998</v>
      </c>
      <c r="H33" s="180"/>
      <c r="I33" s="181">
        <v>45441</v>
      </c>
      <c r="J33" s="325">
        <f>+E33-G33-G34-G35-G36-G37-G38-G39-G40</f>
        <v>-8.9406967163085938E-8</v>
      </c>
      <c r="K33" s="191"/>
      <c r="P33" s="63"/>
    </row>
    <row r="34" spans="1:16" s="58" customFormat="1" x14ac:dyDescent="0.35">
      <c r="A34" s="317"/>
      <c r="B34" s="320"/>
      <c r="C34" s="323"/>
      <c r="D34" s="323"/>
      <c r="E34" s="329"/>
      <c r="F34" s="169" t="s">
        <v>289</v>
      </c>
      <c r="G34" s="161">
        <v>142525524.43000001</v>
      </c>
      <c r="H34" s="161"/>
      <c r="I34" s="170">
        <v>45504</v>
      </c>
      <c r="J34" s="326"/>
      <c r="K34" s="191"/>
      <c r="P34" s="63"/>
    </row>
    <row r="35" spans="1:16" s="58" customFormat="1" x14ac:dyDescent="0.35">
      <c r="A35" s="317"/>
      <c r="B35" s="320"/>
      <c r="C35" s="323"/>
      <c r="D35" s="323"/>
      <c r="E35" s="329"/>
      <c r="F35" s="169" t="s">
        <v>290</v>
      </c>
      <c r="G35" s="161">
        <v>95028120.780000001</v>
      </c>
      <c r="H35" s="161"/>
      <c r="I35" s="170">
        <v>45562</v>
      </c>
      <c r="J35" s="326"/>
      <c r="K35" s="191">
        <v>120857692.42</v>
      </c>
      <c r="P35" s="63"/>
    </row>
    <row r="36" spans="1:16" s="58" customFormat="1" x14ac:dyDescent="0.35">
      <c r="A36" s="317"/>
      <c r="B36" s="320"/>
      <c r="C36" s="323"/>
      <c r="D36" s="323"/>
      <c r="E36" s="329"/>
      <c r="F36" s="169" t="s">
        <v>293</v>
      </c>
      <c r="G36" s="161">
        <v>56159388.210000001</v>
      </c>
      <c r="H36" s="161"/>
      <c r="I36" s="170">
        <v>45593</v>
      </c>
      <c r="J36" s="326"/>
      <c r="K36" s="191"/>
      <c r="P36" s="63"/>
    </row>
    <row r="37" spans="1:16" s="58" customFormat="1" x14ac:dyDescent="0.35">
      <c r="A37" s="317"/>
      <c r="B37" s="320"/>
      <c r="C37" s="323"/>
      <c r="D37" s="323"/>
      <c r="E37" s="329"/>
      <c r="F37" s="169" t="s">
        <v>413</v>
      </c>
      <c r="G37" s="161">
        <v>50772753.710000001</v>
      </c>
      <c r="H37" s="161"/>
      <c r="I37" s="170">
        <v>45612</v>
      </c>
      <c r="J37" s="326"/>
      <c r="K37" s="191"/>
      <c r="P37" s="63"/>
    </row>
    <row r="38" spans="1:16" s="58" customFormat="1" x14ac:dyDescent="0.35">
      <c r="A38" s="317"/>
      <c r="B38" s="320"/>
      <c r="C38" s="323"/>
      <c r="D38" s="323"/>
      <c r="E38" s="329"/>
      <c r="F38" s="169" t="s">
        <v>440</v>
      </c>
      <c r="G38" s="161">
        <v>58424295.049999997</v>
      </c>
      <c r="H38" s="161"/>
      <c r="I38" s="170">
        <v>45642</v>
      </c>
      <c r="J38" s="326"/>
      <c r="K38" s="204"/>
      <c r="P38" s="63"/>
    </row>
    <row r="39" spans="1:16" s="58" customFormat="1" x14ac:dyDescent="0.35">
      <c r="A39" s="317"/>
      <c r="B39" s="320"/>
      <c r="C39" s="323"/>
      <c r="D39" s="323"/>
      <c r="E39" s="329"/>
      <c r="F39" s="188" t="s">
        <v>539</v>
      </c>
      <c r="G39" s="189">
        <v>120857692.42</v>
      </c>
      <c r="H39" s="189"/>
      <c r="I39" s="190">
        <v>45742</v>
      </c>
      <c r="J39" s="326"/>
      <c r="K39" s="204"/>
      <c r="P39" s="63"/>
    </row>
    <row r="40" spans="1:16" s="58" customFormat="1" ht="15" thickBot="1" x14ac:dyDescent="0.4">
      <c r="A40" s="317"/>
      <c r="B40" s="320"/>
      <c r="C40" s="323"/>
      <c r="D40" s="323"/>
      <c r="E40" s="329"/>
      <c r="F40" s="188" t="s">
        <v>582</v>
      </c>
      <c r="G40" s="189">
        <v>57129031.859999999</v>
      </c>
      <c r="H40" s="189"/>
      <c r="I40" s="190">
        <v>45891</v>
      </c>
      <c r="J40" s="326"/>
      <c r="K40" s="204"/>
      <c r="P40" s="63"/>
    </row>
    <row r="41" spans="1:16" s="58" customFormat="1" x14ac:dyDescent="0.35">
      <c r="A41" s="304" t="s">
        <v>287</v>
      </c>
      <c r="B41" s="308">
        <f>+E41/VRFINDETER</f>
        <v>0.10000000000240152</v>
      </c>
      <c r="C41" s="312">
        <f>+E41/1.19</f>
        <v>349917537.1512605</v>
      </c>
      <c r="D41" s="312">
        <f>+ROUND(C41*0.19,2)</f>
        <v>66484332.060000002</v>
      </c>
      <c r="E41" s="289">
        <v>416401869.20999998</v>
      </c>
      <c r="F41" s="179" t="s">
        <v>292</v>
      </c>
      <c r="G41" s="180">
        <v>29137331.559999999</v>
      </c>
      <c r="H41" s="180"/>
      <c r="I41" s="181">
        <v>45441</v>
      </c>
      <c r="J41" s="293">
        <f>+E41-G41-G42-G43-G47-G44-G45-G46-G49-G48</f>
        <v>47630173.459999941</v>
      </c>
      <c r="K41" s="204"/>
      <c r="P41" s="63"/>
    </row>
    <row r="42" spans="1:16" s="58" customFormat="1" x14ac:dyDescent="0.35">
      <c r="A42" s="305"/>
      <c r="B42" s="309"/>
      <c r="C42" s="313"/>
      <c r="D42" s="313"/>
      <c r="E42" s="290"/>
      <c r="F42" s="169" t="s">
        <v>289</v>
      </c>
      <c r="G42" s="161">
        <v>38809204.240000002</v>
      </c>
      <c r="H42" s="161"/>
      <c r="I42" s="170">
        <v>45504</v>
      </c>
      <c r="J42" s="294"/>
      <c r="K42" s="204"/>
      <c r="P42" s="63"/>
    </row>
    <row r="43" spans="1:16" s="58" customFormat="1" x14ac:dyDescent="0.35">
      <c r="A43" s="305"/>
      <c r="B43" s="309"/>
      <c r="C43" s="313"/>
      <c r="D43" s="313"/>
      <c r="E43" s="290"/>
      <c r="F43" s="169" t="s">
        <v>290</v>
      </c>
      <c r="G43" s="161">
        <v>17413094.129999999</v>
      </c>
      <c r="H43" s="161"/>
      <c r="I43" s="170">
        <v>45562</v>
      </c>
      <c r="J43" s="294"/>
      <c r="K43" s="204">
        <v>70381213.609999999</v>
      </c>
      <c r="P43" s="63"/>
    </row>
    <row r="44" spans="1:16" s="58" customFormat="1" x14ac:dyDescent="0.35">
      <c r="A44" s="305"/>
      <c r="B44" s="309"/>
      <c r="C44" s="313"/>
      <c r="D44" s="313"/>
      <c r="E44" s="290"/>
      <c r="F44" s="169" t="s">
        <v>293</v>
      </c>
      <c r="G44" s="161">
        <v>69120930.290000007</v>
      </c>
      <c r="H44" s="161"/>
      <c r="I44" s="170">
        <v>45593</v>
      </c>
      <c r="J44" s="294"/>
      <c r="K44" s="61"/>
      <c r="L44" s="213"/>
      <c r="P44" s="63"/>
    </row>
    <row r="45" spans="1:16" s="58" customFormat="1" x14ac:dyDescent="0.35">
      <c r="A45" s="305"/>
      <c r="B45" s="309"/>
      <c r="C45" s="313"/>
      <c r="D45" s="313"/>
      <c r="E45" s="290"/>
      <c r="F45" s="169" t="s">
        <v>413</v>
      </c>
      <c r="G45" s="161">
        <v>33025868.16</v>
      </c>
      <c r="H45" s="161"/>
      <c r="I45" s="170">
        <v>45612</v>
      </c>
      <c r="J45" s="294"/>
      <c r="K45" s="61"/>
      <c r="P45" s="63"/>
    </row>
    <row r="46" spans="1:16" s="58" customFormat="1" x14ac:dyDescent="0.35">
      <c r="A46" s="305"/>
      <c r="B46" s="309"/>
      <c r="C46" s="313"/>
      <c r="D46" s="313"/>
      <c r="E46" s="290"/>
      <c r="F46" s="169" t="s">
        <v>495</v>
      </c>
      <c r="G46" s="161">
        <v>33848502.480000004</v>
      </c>
      <c r="H46" s="161"/>
      <c r="I46" s="170">
        <v>45716</v>
      </c>
      <c r="J46" s="294"/>
      <c r="K46" s="61"/>
      <c r="P46" s="63"/>
    </row>
    <row r="47" spans="1:16" s="58" customFormat="1" x14ac:dyDescent="0.35">
      <c r="A47" s="305"/>
      <c r="B47" s="309"/>
      <c r="C47" s="313"/>
      <c r="D47" s="313"/>
      <c r="E47" s="290"/>
      <c r="F47" s="169" t="s">
        <v>539</v>
      </c>
      <c r="G47" s="161">
        <v>70381213.609999999</v>
      </c>
      <c r="H47" s="161"/>
      <c r="I47" s="170">
        <v>45742</v>
      </c>
      <c r="J47" s="294"/>
      <c r="K47" s="61"/>
      <c r="P47" s="63"/>
    </row>
    <row r="48" spans="1:16" s="58" customFormat="1" x14ac:dyDescent="0.35">
      <c r="A48" s="306"/>
      <c r="B48" s="310"/>
      <c r="C48" s="314"/>
      <c r="D48" s="314"/>
      <c r="E48" s="291"/>
      <c r="F48" s="169" t="s">
        <v>552</v>
      </c>
      <c r="G48" s="161">
        <v>38949530.039999999</v>
      </c>
      <c r="H48" s="161"/>
      <c r="I48" s="170">
        <v>45776</v>
      </c>
      <c r="J48" s="295"/>
      <c r="K48" s="61"/>
      <c r="P48" s="63"/>
    </row>
    <row r="49" spans="1:16" s="58" customFormat="1" ht="15" thickBot="1" x14ac:dyDescent="0.4">
      <c r="A49" s="307"/>
      <c r="B49" s="311"/>
      <c r="C49" s="315"/>
      <c r="D49" s="315"/>
      <c r="E49" s="292"/>
      <c r="F49" s="171" t="s">
        <v>630</v>
      </c>
      <c r="G49" s="162">
        <v>38086021.240000002</v>
      </c>
      <c r="H49" s="162"/>
      <c r="I49" s="172">
        <v>45951</v>
      </c>
      <c r="J49" s="296"/>
      <c r="K49" s="61"/>
      <c r="P49" s="63"/>
    </row>
    <row r="50" spans="1:16" s="58" customFormat="1" ht="34.5" customHeight="1" thickBot="1" x14ac:dyDescent="0.4">
      <c r="A50" s="302" t="s">
        <v>90</v>
      </c>
      <c r="B50" s="303"/>
      <c r="C50" s="167">
        <f>+SUM(C8:C43)</f>
        <v>3499175371.4285717</v>
      </c>
      <c r="D50" s="167">
        <f>+SUM(D8:D43)</f>
        <v>664843320.55999994</v>
      </c>
      <c r="E50" s="168">
        <f>+SUM(E8:E43)</f>
        <v>4164018692</v>
      </c>
      <c r="F50" s="154"/>
      <c r="G50" s="199">
        <f>+SUM(G8:G49)</f>
        <v>4116388518.3200002</v>
      </c>
      <c r="H50" s="183">
        <f>+SUM(H8:H47)</f>
        <v>0</v>
      </c>
      <c r="I50" s="154"/>
      <c r="J50" s="154"/>
      <c r="K50" s="61">
        <v>305496969.75</v>
      </c>
      <c r="L50" s="213"/>
      <c r="P50" s="63"/>
    </row>
    <row r="51" spans="1:16" ht="30" customHeight="1" thickBot="1" x14ac:dyDescent="0.4">
      <c r="A51" s="297" t="s">
        <v>165</v>
      </c>
      <c r="B51" s="298"/>
      <c r="C51" s="299">
        <f>+E50-G50</f>
        <v>47630173.679999828</v>
      </c>
      <c r="D51" s="300"/>
      <c r="E51" s="301"/>
      <c r="G51" s="97"/>
    </row>
    <row r="52" spans="1:16" ht="30" customHeight="1" x14ac:dyDescent="0.35"/>
    <row r="53" spans="1:16" ht="30" customHeight="1" x14ac:dyDescent="0.35"/>
    <row r="54" spans="1:16" ht="30" customHeight="1" x14ac:dyDescent="0.35"/>
  </sheetData>
  <sheetProtection algorithmName="SHA-512" hashValue="0nu+JfiLGBt1j/TbFh5CIGvqR5iO9fXMnycQT2OVUqaJ72ykaHmyuOc6/qkFBsNpvrowb2gOzlVKuOZa0iGGCw==" saltValue="G8EuKF3Bnetvayz/3DVhaw==" spinCount="100000" sheet="1" objects="1" scenarios="1"/>
  <mergeCells count="50">
    <mergeCell ref="E33:E40"/>
    <mergeCell ref="J33:J40"/>
    <mergeCell ref="A33:A40"/>
    <mergeCell ref="B33:B40"/>
    <mergeCell ref="C33:C40"/>
    <mergeCell ref="D33:D40"/>
    <mergeCell ref="J21:J25"/>
    <mergeCell ref="J26:J31"/>
    <mergeCell ref="A26:A31"/>
    <mergeCell ref="B26:B31"/>
    <mergeCell ref="C26:C31"/>
    <mergeCell ref="D26:D31"/>
    <mergeCell ref="E26:E31"/>
    <mergeCell ref="A21:A25"/>
    <mergeCell ref="B21:B25"/>
    <mergeCell ref="C21:C25"/>
    <mergeCell ref="D21:D25"/>
    <mergeCell ref="E21:E25"/>
    <mergeCell ref="A15:A20"/>
    <mergeCell ref="B15:B20"/>
    <mergeCell ref="C15:C20"/>
    <mergeCell ref="J8:J10"/>
    <mergeCell ref="A11:A14"/>
    <mergeCell ref="B11:B14"/>
    <mergeCell ref="C11:C14"/>
    <mergeCell ref="D11:D14"/>
    <mergeCell ref="E11:E14"/>
    <mergeCell ref="J11:J14"/>
    <mergeCell ref="D15:D20"/>
    <mergeCell ref="E15:E20"/>
    <mergeCell ref="J15:J20"/>
    <mergeCell ref="A8:A10"/>
    <mergeCell ref="B8:B10"/>
    <mergeCell ref="C8:C10"/>
    <mergeCell ref="D8:D10"/>
    <mergeCell ref="E8:E10"/>
    <mergeCell ref="A1:I1"/>
    <mergeCell ref="A2:I2"/>
    <mergeCell ref="A3:I3"/>
    <mergeCell ref="A4:I4"/>
    <mergeCell ref="A5:I5"/>
    <mergeCell ref="E41:E49"/>
    <mergeCell ref="J41:J49"/>
    <mergeCell ref="A51:B51"/>
    <mergeCell ref="C51:E51"/>
    <mergeCell ref="A50:B50"/>
    <mergeCell ref="A41:A49"/>
    <mergeCell ref="B41:B49"/>
    <mergeCell ref="C41:C49"/>
    <mergeCell ref="D41:D49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523"/>
  <sheetViews>
    <sheetView showGridLines="0" view="pageBreakPreview" topLeftCell="D1" zoomScale="85" zoomScaleNormal="85" zoomScaleSheetLayoutView="85" workbookViewId="0">
      <pane ySplit="7" topLeftCell="A498" activePane="bottomLeft" state="frozen"/>
      <selection pane="bottomLeft" activeCell="I503" sqref="I503"/>
    </sheetView>
  </sheetViews>
  <sheetFormatPr baseColWidth="10" defaultColWidth="11.453125" defaultRowHeight="14.5" outlineLevelRow="1" x14ac:dyDescent="0.35"/>
  <cols>
    <col min="1" max="1" width="10.90625" customWidth="1"/>
    <col min="2" max="2" width="13.54296875" bestFit="1" customWidth="1"/>
    <col min="3" max="3" width="26.36328125" customWidth="1"/>
    <col min="4" max="4" width="23" bestFit="1" customWidth="1"/>
    <col min="5" max="5" width="16.36328125" customWidth="1"/>
    <col min="6" max="6" width="53.54296875" customWidth="1"/>
    <col min="7" max="7" width="16.6328125" customWidth="1"/>
    <col min="8" max="8" width="17.36328125" customWidth="1"/>
    <col min="9" max="9" width="24.08984375" style="64" customWidth="1"/>
    <col min="10" max="10" width="21.54296875" style="64" bestFit="1" customWidth="1"/>
    <col min="11" max="11" width="19.453125" style="64" bestFit="1" customWidth="1"/>
    <col min="12" max="12" width="20.08984375" style="64" bestFit="1" customWidth="1"/>
    <col min="13" max="13" width="17.36328125" style="64" customWidth="1"/>
    <col min="14" max="14" width="23.81640625" style="90" bestFit="1" customWidth="1"/>
    <col min="15" max="15" width="17" customWidth="1"/>
    <col min="16" max="16" width="11.453125" customWidth="1"/>
    <col min="17" max="17" width="20.08984375" customWidth="1"/>
    <col min="18" max="18" width="19.54296875" customWidth="1"/>
    <col min="19" max="19" width="14.54296875" bestFit="1" customWidth="1"/>
    <col min="20" max="20" width="3.54296875" customWidth="1"/>
    <col min="21" max="21" width="17.08984375" bestFit="1" customWidth="1"/>
    <col min="22" max="22" width="15.90625" bestFit="1" customWidth="1"/>
  </cols>
  <sheetData>
    <row r="1" spans="1:19" ht="15.5" x14ac:dyDescent="0.35">
      <c r="A1" s="278" t="str">
        <f>CONTRATO</f>
        <v>Contrato Interadministrativo No. CO1.PCCNTR. 4917031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335"/>
    </row>
    <row r="2" spans="1:19" ht="15.5" x14ac:dyDescent="0.35">
      <c r="A2" s="278" t="s">
        <v>4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335"/>
    </row>
    <row r="3" spans="1:19" ht="15.5" x14ac:dyDescent="0.35">
      <c r="A3" s="278" t="s">
        <v>15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335"/>
    </row>
    <row r="4" spans="1:19" ht="18.5" x14ac:dyDescent="0.45">
      <c r="A4" s="259" t="s">
        <v>128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336"/>
    </row>
    <row r="5" spans="1:19" ht="15.5" x14ac:dyDescent="0.35">
      <c r="A5" s="286" t="str">
        <f>periodo</f>
        <v>01 de mayo al 31 de mayo de 2026</v>
      </c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335"/>
    </row>
    <row r="6" spans="1:19" ht="15.5" x14ac:dyDescent="0.35">
      <c r="F6" s="21"/>
    </row>
    <row r="7" spans="1:19" ht="61.5" customHeight="1" x14ac:dyDescent="0.35">
      <c r="A7" s="125" t="s">
        <v>112</v>
      </c>
      <c r="B7" s="125" t="s">
        <v>17</v>
      </c>
      <c r="C7" s="125" t="s">
        <v>129</v>
      </c>
      <c r="D7" s="125" t="s">
        <v>130</v>
      </c>
      <c r="E7" s="125" t="s">
        <v>164</v>
      </c>
      <c r="F7" s="125" t="s">
        <v>131</v>
      </c>
      <c r="G7" s="125" t="s">
        <v>294</v>
      </c>
      <c r="H7" s="125" t="s">
        <v>132</v>
      </c>
      <c r="I7" s="126" t="s">
        <v>133</v>
      </c>
      <c r="J7" s="126" t="s">
        <v>134</v>
      </c>
      <c r="K7" s="126" t="s">
        <v>135</v>
      </c>
      <c r="L7" s="126" t="s">
        <v>362</v>
      </c>
      <c r="M7" s="126" t="s">
        <v>136</v>
      </c>
      <c r="N7" s="187" t="s">
        <v>137</v>
      </c>
    </row>
    <row r="8" spans="1:19" ht="53.25" customHeight="1" outlineLevel="1" x14ac:dyDescent="0.35">
      <c r="A8" s="193" t="s">
        <v>21</v>
      </c>
      <c r="B8" s="194">
        <v>800177012</v>
      </c>
      <c r="C8" s="195" t="s">
        <v>263</v>
      </c>
      <c r="D8" s="68" t="s">
        <v>242</v>
      </c>
      <c r="E8" s="68" t="s">
        <v>140</v>
      </c>
      <c r="F8" s="69" t="s">
        <v>298</v>
      </c>
      <c r="G8" s="74">
        <v>1</v>
      </c>
      <c r="H8" s="196">
        <v>45323</v>
      </c>
      <c r="I8" s="192">
        <v>232988553</v>
      </c>
      <c r="J8" s="192">
        <v>23298855.300000001</v>
      </c>
      <c r="K8" s="192">
        <v>14005580.109999999</v>
      </c>
      <c r="L8" s="192">
        <v>0</v>
      </c>
      <c r="M8" s="192">
        <v>0</v>
      </c>
      <c r="N8" s="192">
        <f t="shared" ref="N8:N71" si="0">+I8-J8-K8+M8-L8</f>
        <v>195684117.58999997</v>
      </c>
      <c r="O8" s="34"/>
      <c r="S8" s="90">
        <f>+ROUND(L8,2)</f>
        <v>0</v>
      </c>
    </row>
    <row r="9" spans="1:19" ht="53.25" customHeight="1" outlineLevel="1" x14ac:dyDescent="0.35">
      <c r="A9" s="193" t="s">
        <v>21</v>
      </c>
      <c r="B9" s="194">
        <v>800177012</v>
      </c>
      <c r="C9" s="195" t="s">
        <v>263</v>
      </c>
      <c r="D9" s="68" t="s">
        <v>242</v>
      </c>
      <c r="E9" s="68" t="s">
        <v>140</v>
      </c>
      <c r="F9" s="69" t="s">
        <v>299</v>
      </c>
      <c r="G9" s="74">
        <v>2</v>
      </c>
      <c r="H9" s="196">
        <v>45323</v>
      </c>
      <c r="I9" s="192">
        <v>345042444.86000001</v>
      </c>
      <c r="J9" s="192">
        <v>34504244.490000002</v>
      </c>
      <c r="K9" s="192">
        <v>27966394.309999999</v>
      </c>
      <c r="L9" s="192">
        <v>0</v>
      </c>
      <c r="M9" s="192"/>
      <c r="N9" s="192">
        <f t="shared" si="0"/>
        <v>282571806.06</v>
      </c>
      <c r="O9" s="34"/>
      <c r="S9" s="90">
        <f t="shared" ref="S9:S72" si="1">+ROUND(L9,2)</f>
        <v>0</v>
      </c>
    </row>
    <row r="10" spans="1:19" ht="53.25" customHeight="1" outlineLevel="1" x14ac:dyDescent="0.35">
      <c r="A10" s="193" t="s">
        <v>21</v>
      </c>
      <c r="B10" s="194">
        <v>901763421</v>
      </c>
      <c r="C10" s="195" t="s">
        <v>261</v>
      </c>
      <c r="D10" s="68" t="s">
        <v>240</v>
      </c>
      <c r="E10" s="68" t="s">
        <v>140</v>
      </c>
      <c r="F10" s="69" t="s">
        <v>298</v>
      </c>
      <c r="G10" s="74">
        <v>3</v>
      </c>
      <c r="H10" s="196">
        <v>45356</v>
      </c>
      <c r="I10" s="192">
        <v>284368469</v>
      </c>
      <c r="J10" s="192">
        <v>28436846.899999999</v>
      </c>
      <c r="K10" s="192">
        <v>16727557</v>
      </c>
      <c r="L10" s="192">
        <v>0</v>
      </c>
      <c r="M10" s="192"/>
      <c r="N10" s="192">
        <f t="shared" si="0"/>
        <v>239204065.09999999</v>
      </c>
      <c r="O10" s="34"/>
      <c r="S10" s="90">
        <f t="shared" si="1"/>
        <v>0</v>
      </c>
    </row>
    <row r="11" spans="1:19" ht="53.25" customHeight="1" outlineLevel="1" x14ac:dyDescent="0.35">
      <c r="A11" s="193" t="s">
        <v>21</v>
      </c>
      <c r="B11" s="194">
        <v>900503646</v>
      </c>
      <c r="C11" s="195" t="s">
        <v>350</v>
      </c>
      <c r="D11" s="68" t="s">
        <v>237</v>
      </c>
      <c r="E11" s="68" t="s">
        <v>140</v>
      </c>
      <c r="F11" s="69" t="s">
        <v>300</v>
      </c>
      <c r="G11" s="74">
        <v>4</v>
      </c>
      <c r="H11" s="196">
        <v>45350</v>
      </c>
      <c r="I11" s="192">
        <v>32773777.399999999</v>
      </c>
      <c r="J11" s="192">
        <v>3277377.74</v>
      </c>
      <c r="K11" s="192">
        <v>1831475.84</v>
      </c>
      <c r="L11" s="192">
        <v>0</v>
      </c>
      <c r="M11" s="192"/>
      <c r="N11" s="192">
        <f t="shared" si="0"/>
        <v>27664923.819999997</v>
      </c>
      <c r="O11" s="34"/>
      <c r="S11" s="90">
        <f t="shared" si="1"/>
        <v>0</v>
      </c>
    </row>
    <row r="12" spans="1:19" ht="53.25" customHeight="1" outlineLevel="1" x14ac:dyDescent="0.35">
      <c r="A12" s="193" t="s">
        <v>21</v>
      </c>
      <c r="B12" s="194">
        <v>901761848</v>
      </c>
      <c r="C12" s="195" t="s">
        <v>351</v>
      </c>
      <c r="D12" s="68" t="s">
        <v>247</v>
      </c>
      <c r="E12" s="68" t="s">
        <v>140</v>
      </c>
      <c r="F12" s="69" t="s">
        <v>300</v>
      </c>
      <c r="G12" s="74">
        <v>5</v>
      </c>
      <c r="H12" s="196">
        <v>45350</v>
      </c>
      <c r="I12" s="192">
        <v>10034541.199999999</v>
      </c>
      <c r="J12" s="192">
        <v>1003454.12</v>
      </c>
      <c r="K12" s="192">
        <v>548105.25</v>
      </c>
      <c r="L12" s="192">
        <v>0</v>
      </c>
      <c r="M12" s="192"/>
      <c r="N12" s="192">
        <f t="shared" si="0"/>
        <v>8482981.8300000001</v>
      </c>
      <c r="O12" s="34"/>
      <c r="S12" s="90">
        <f t="shared" si="1"/>
        <v>0</v>
      </c>
    </row>
    <row r="13" spans="1:19" ht="53.25" customHeight="1" outlineLevel="1" x14ac:dyDescent="0.35">
      <c r="A13" s="193" t="s">
        <v>21</v>
      </c>
      <c r="B13" s="194">
        <v>901761848</v>
      </c>
      <c r="C13" s="195" t="s">
        <v>351</v>
      </c>
      <c r="D13" s="68" t="s">
        <v>247</v>
      </c>
      <c r="E13" s="68" t="s">
        <v>140</v>
      </c>
      <c r="F13" s="69" t="s">
        <v>301</v>
      </c>
      <c r="G13" s="74">
        <v>6</v>
      </c>
      <c r="H13" s="196">
        <v>45350</v>
      </c>
      <c r="I13" s="192">
        <v>10034541.199999999</v>
      </c>
      <c r="J13" s="192">
        <v>1003454.12</v>
      </c>
      <c r="K13" s="192">
        <v>548105.25</v>
      </c>
      <c r="L13" s="192">
        <v>0</v>
      </c>
      <c r="M13" s="192"/>
      <c r="N13" s="192">
        <f t="shared" si="0"/>
        <v>8482981.8300000001</v>
      </c>
      <c r="O13" s="34"/>
      <c r="S13" s="90">
        <f t="shared" si="1"/>
        <v>0</v>
      </c>
    </row>
    <row r="14" spans="1:19" ht="53.25" customHeight="1" outlineLevel="1" x14ac:dyDescent="0.35">
      <c r="A14" s="193" t="s">
        <v>21</v>
      </c>
      <c r="B14" s="194">
        <v>901763421</v>
      </c>
      <c r="C14" s="195" t="s">
        <v>261</v>
      </c>
      <c r="D14" s="68" t="s">
        <v>240</v>
      </c>
      <c r="E14" s="68" t="s">
        <v>140</v>
      </c>
      <c r="F14" s="69" t="s">
        <v>299</v>
      </c>
      <c r="G14" s="74">
        <v>7</v>
      </c>
      <c r="H14" s="196">
        <v>45356</v>
      </c>
      <c r="I14" s="192">
        <v>1116592321.8399999</v>
      </c>
      <c r="J14" s="192">
        <v>111659232.18000001</v>
      </c>
      <c r="K14" s="192">
        <v>88658293.489999995</v>
      </c>
      <c r="L14" s="192">
        <v>0</v>
      </c>
      <c r="M14" s="192"/>
      <c r="N14" s="192">
        <f t="shared" si="0"/>
        <v>916274796.16999984</v>
      </c>
      <c r="O14" s="34"/>
      <c r="S14" s="90">
        <f t="shared" si="1"/>
        <v>0</v>
      </c>
    </row>
    <row r="15" spans="1:19" ht="53.25" customHeight="1" outlineLevel="1" x14ac:dyDescent="0.35">
      <c r="A15" s="193" t="s">
        <v>21</v>
      </c>
      <c r="B15" s="194">
        <v>901758661</v>
      </c>
      <c r="C15" s="195" t="s">
        <v>352</v>
      </c>
      <c r="D15" s="68" t="s">
        <v>243</v>
      </c>
      <c r="E15" s="68" t="s">
        <v>140</v>
      </c>
      <c r="F15" s="69" t="s">
        <v>302</v>
      </c>
      <c r="G15" s="74">
        <v>8</v>
      </c>
      <c r="H15" s="196">
        <v>45350</v>
      </c>
      <c r="I15" s="192">
        <v>152464111</v>
      </c>
      <c r="J15" s="192">
        <v>15246411.1</v>
      </c>
      <c r="K15" s="192">
        <v>8554185.9299999997</v>
      </c>
      <c r="L15" s="192">
        <v>0</v>
      </c>
      <c r="M15" s="192"/>
      <c r="N15" s="192">
        <f t="shared" si="0"/>
        <v>128663513.97</v>
      </c>
      <c r="O15" s="34"/>
      <c r="S15" s="90">
        <f t="shared" si="1"/>
        <v>0</v>
      </c>
    </row>
    <row r="16" spans="1:19" ht="53.25" customHeight="1" outlineLevel="1" x14ac:dyDescent="0.35">
      <c r="A16" s="193" t="s">
        <v>21</v>
      </c>
      <c r="B16" s="194">
        <v>900549325</v>
      </c>
      <c r="C16" s="195" t="s">
        <v>353</v>
      </c>
      <c r="D16" s="68" t="s">
        <v>246</v>
      </c>
      <c r="E16" s="68" t="s">
        <v>140</v>
      </c>
      <c r="F16" s="69" t="s">
        <v>298</v>
      </c>
      <c r="G16" s="74">
        <v>9</v>
      </c>
      <c r="H16" s="196">
        <v>45351</v>
      </c>
      <c r="I16" s="192">
        <v>164220000</v>
      </c>
      <c r="J16" s="192">
        <v>16422000</v>
      </c>
      <c r="K16" s="192">
        <v>8970000</v>
      </c>
      <c r="L16" s="192">
        <v>0</v>
      </c>
      <c r="M16" s="192"/>
      <c r="N16" s="192">
        <f t="shared" si="0"/>
        <v>138828000</v>
      </c>
      <c r="O16" s="34"/>
      <c r="S16" s="90">
        <f t="shared" si="1"/>
        <v>0</v>
      </c>
    </row>
    <row r="17" spans="1:19" ht="53.25" customHeight="1" outlineLevel="1" x14ac:dyDescent="0.35">
      <c r="A17" s="193" t="s">
        <v>21</v>
      </c>
      <c r="B17" s="194">
        <v>800177012</v>
      </c>
      <c r="C17" s="195" t="s">
        <v>263</v>
      </c>
      <c r="D17" s="68" t="s">
        <v>242</v>
      </c>
      <c r="E17" s="68" t="s">
        <v>140</v>
      </c>
      <c r="F17" s="69" t="s">
        <v>303</v>
      </c>
      <c r="G17" s="74">
        <v>10</v>
      </c>
      <c r="H17" s="196">
        <v>45351</v>
      </c>
      <c r="I17" s="192">
        <v>1232364428.8</v>
      </c>
      <c r="J17" s="192">
        <v>123236442.88</v>
      </c>
      <c r="K17" s="192">
        <v>36425976.869999997</v>
      </c>
      <c r="L17" s="192">
        <v>0</v>
      </c>
      <c r="M17" s="192"/>
      <c r="N17" s="192">
        <f t="shared" si="0"/>
        <v>1072702009.0500001</v>
      </c>
      <c r="O17" s="34"/>
      <c r="S17" s="90">
        <f t="shared" si="1"/>
        <v>0</v>
      </c>
    </row>
    <row r="18" spans="1:19" ht="53.25" customHeight="1" outlineLevel="1" x14ac:dyDescent="0.35">
      <c r="A18" s="193" t="s">
        <v>21</v>
      </c>
      <c r="B18" s="194">
        <v>800096329</v>
      </c>
      <c r="C18" s="195" t="s">
        <v>354</v>
      </c>
      <c r="D18" s="68">
        <v>7031</v>
      </c>
      <c r="E18" s="68" t="s">
        <v>139</v>
      </c>
      <c r="F18" s="69" t="s">
        <v>304</v>
      </c>
      <c r="G18" s="74">
        <v>11</v>
      </c>
      <c r="H18" s="196">
        <v>45351</v>
      </c>
      <c r="I18" s="192">
        <v>690748453</v>
      </c>
      <c r="J18" s="192">
        <v>0</v>
      </c>
      <c r="K18" s="192">
        <v>63850697.350000001</v>
      </c>
      <c r="L18" s="192">
        <v>0</v>
      </c>
      <c r="M18" s="192"/>
      <c r="N18" s="192">
        <f t="shared" si="0"/>
        <v>626897755.64999998</v>
      </c>
      <c r="O18" s="34"/>
      <c r="S18" s="90">
        <f t="shared" si="1"/>
        <v>0</v>
      </c>
    </row>
    <row r="19" spans="1:19" ht="53.25" customHeight="1" outlineLevel="1" x14ac:dyDescent="0.35">
      <c r="A19" s="193" t="s">
        <v>21</v>
      </c>
      <c r="B19" s="194">
        <v>900549325</v>
      </c>
      <c r="C19" s="195" t="s">
        <v>353</v>
      </c>
      <c r="D19" s="68" t="s">
        <v>246</v>
      </c>
      <c r="E19" s="68" t="s">
        <v>140</v>
      </c>
      <c r="F19" s="69" t="s">
        <v>300</v>
      </c>
      <c r="G19" s="74">
        <v>12</v>
      </c>
      <c r="H19" s="196">
        <v>45373</v>
      </c>
      <c r="I19" s="192">
        <v>340837760.06999999</v>
      </c>
      <c r="J19" s="192">
        <v>34083776.009999998</v>
      </c>
      <c r="K19" s="192">
        <v>25379565.140000001</v>
      </c>
      <c r="L19" s="192">
        <v>8019957.79</v>
      </c>
      <c r="M19" s="192"/>
      <c r="N19" s="192">
        <f t="shared" si="0"/>
        <v>273354461.13</v>
      </c>
      <c r="O19" s="34"/>
      <c r="S19" s="90">
        <f t="shared" si="1"/>
        <v>8019957.79</v>
      </c>
    </row>
    <row r="20" spans="1:19" ht="53.25" customHeight="1" outlineLevel="1" x14ac:dyDescent="0.35">
      <c r="A20" s="193" t="s">
        <v>21</v>
      </c>
      <c r="B20" s="194">
        <v>900549325</v>
      </c>
      <c r="C20" s="195" t="s">
        <v>353</v>
      </c>
      <c r="D20" s="68" t="s">
        <v>249</v>
      </c>
      <c r="E20" s="68" t="s">
        <v>140</v>
      </c>
      <c r="F20" s="69" t="s">
        <v>298</v>
      </c>
      <c r="G20" s="74">
        <v>13</v>
      </c>
      <c r="H20" s="196">
        <v>45377</v>
      </c>
      <c r="I20" s="192">
        <v>273000280</v>
      </c>
      <c r="J20" s="192">
        <v>27300028</v>
      </c>
      <c r="K20" s="192">
        <v>16058840</v>
      </c>
      <c r="L20" s="192">
        <v>0</v>
      </c>
      <c r="M20" s="192"/>
      <c r="N20" s="192">
        <f t="shared" si="0"/>
        <v>229641412</v>
      </c>
      <c r="O20" s="34"/>
      <c r="S20" s="90">
        <f t="shared" si="1"/>
        <v>0</v>
      </c>
    </row>
    <row r="21" spans="1:19" ht="53.25" customHeight="1" outlineLevel="1" x14ac:dyDescent="0.35">
      <c r="A21" s="193" t="s">
        <v>21</v>
      </c>
      <c r="B21" s="194">
        <v>900549325</v>
      </c>
      <c r="C21" s="195" t="s">
        <v>353</v>
      </c>
      <c r="D21" s="68" t="s">
        <v>249</v>
      </c>
      <c r="E21" s="68" t="s">
        <v>140</v>
      </c>
      <c r="F21" s="69" t="s">
        <v>300</v>
      </c>
      <c r="G21" s="74">
        <v>14</v>
      </c>
      <c r="H21" s="196">
        <v>45377</v>
      </c>
      <c r="I21" s="192">
        <v>629134168.26999998</v>
      </c>
      <c r="J21" s="192">
        <v>62913416.829999998</v>
      </c>
      <c r="K21" s="192">
        <v>49952606.390000001</v>
      </c>
      <c r="L21" s="192">
        <v>0</v>
      </c>
      <c r="M21" s="192"/>
      <c r="N21" s="192">
        <f t="shared" si="0"/>
        <v>516268145.04999995</v>
      </c>
      <c r="O21" s="34"/>
      <c r="S21" s="90">
        <f t="shared" si="1"/>
        <v>0</v>
      </c>
    </row>
    <row r="22" spans="1:19" ht="53.25" customHeight="1" outlineLevel="1" x14ac:dyDescent="0.35">
      <c r="A22" s="193" t="s">
        <v>21</v>
      </c>
      <c r="B22" s="194">
        <v>901761848</v>
      </c>
      <c r="C22" s="195" t="s">
        <v>351</v>
      </c>
      <c r="D22" s="68" t="s">
        <v>247</v>
      </c>
      <c r="E22" s="68" t="s">
        <v>140</v>
      </c>
      <c r="F22" s="69" t="s">
        <v>298</v>
      </c>
      <c r="G22" s="74">
        <v>15</v>
      </c>
      <c r="H22" s="196">
        <v>45373</v>
      </c>
      <c r="I22" s="192">
        <v>55197999</v>
      </c>
      <c r="J22" s="192">
        <v>5519799.9000000004</v>
      </c>
      <c r="K22" s="192">
        <v>3015016.39</v>
      </c>
      <c r="L22" s="192">
        <v>0</v>
      </c>
      <c r="M22" s="192"/>
      <c r="N22" s="192">
        <f t="shared" si="0"/>
        <v>46663182.710000001</v>
      </c>
      <c r="O22" s="34"/>
      <c r="S22" s="90">
        <f t="shared" si="1"/>
        <v>0</v>
      </c>
    </row>
    <row r="23" spans="1:19" ht="53.25" customHeight="1" outlineLevel="1" x14ac:dyDescent="0.35">
      <c r="A23" s="193" t="s">
        <v>21</v>
      </c>
      <c r="B23" s="194">
        <v>900503646</v>
      </c>
      <c r="C23" s="195" t="s">
        <v>350</v>
      </c>
      <c r="D23" s="68" t="s">
        <v>237</v>
      </c>
      <c r="E23" s="68" t="s">
        <v>140</v>
      </c>
      <c r="F23" s="69" t="s">
        <v>301</v>
      </c>
      <c r="G23" s="74">
        <v>16</v>
      </c>
      <c r="H23" s="196">
        <v>45373</v>
      </c>
      <c r="I23" s="192">
        <v>16386888.699999999</v>
      </c>
      <c r="J23" s="192">
        <v>1638688.87</v>
      </c>
      <c r="K23" s="192">
        <v>918688.24</v>
      </c>
      <c r="L23" s="192">
        <v>0</v>
      </c>
      <c r="M23" s="192"/>
      <c r="N23" s="192">
        <f t="shared" si="0"/>
        <v>13829511.589999998</v>
      </c>
      <c r="O23" s="34"/>
      <c r="S23" s="90">
        <f t="shared" si="1"/>
        <v>0</v>
      </c>
    </row>
    <row r="24" spans="1:19" ht="53.25" customHeight="1" outlineLevel="1" x14ac:dyDescent="0.35">
      <c r="A24" s="193" t="s">
        <v>21</v>
      </c>
      <c r="B24" s="194">
        <v>901763421</v>
      </c>
      <c r="C24" s="195" t="s">
        <v>261</v>
      </c>
      <c r="D24" s="68" t="s">
        <v>240</v>
      </c>
      <c r="E24" s="68" t="s">
        <v>140</v>
      </c>
      <c r="F24" s="69" t="s">
        <v>303</v>
      </c>
      <c r="G24" s="74">
        <v>17</v>
      </c>
      <c r="H24" s="196">
        <v>45373</v>
      </c>
      <c r="I24" s="192">
        <v>1725500395.3800001</v>
      </c>
      <c r="J24" s="192">
        <v>172550039.53999999</v>
      </c>
      <c r="K24" s="192">
        <v>134828149.65000001</v>
      </c>
      <c r="L24" s="192">
        <v>0</v>
      </c>
      <c r="M24" s="192"/>
      <c r="N24" s="192">
        <f t="shared" si="0"/>
        <v>1418122206.1900001</v>
      </c>
      <c r="O24" s="34"/>
      <c r="S24" s="90">
        <f t="shared" si="1"/>
        <v>0</v>
      </c>
    </row>
    <row r="25" spans="1:19" ht="53.25" customHeight="1" outlineLevel="1" x14ac:dyDescent="0.35">
      <c r="A25" s="193" t="s">
        <v>363</v>
      </c>
      <c r="B25" s="194">
        <v>9050725</v>
      </c>
      <c r="C25" s="195" t="s">
        <v>355</v>
      </c>
      <c r="D25" s="68" t="s">
        <v>250</v>
      </c>
      <c r="E25" s="68" t="s">
        <v>140</v>
      </c>
      <c r="F25" s="69" t="s">
        <v>305</v>
      </c>
      <c r="G25" s="74">
        <v>18</v>
      </c>
      <c r="H25" s="196">
        <v>45377</v>
      </c>
      <c r="I25" s="192">
        <v>115618860</v>
      </c>
      <c r="J25" s="192">
        <v>11561886</v>
      </c>
      <c r="K25" s="192">
        <v>6315316.3600000003</v>
      </c>
      <c r="L25" s="192">
        <v>0</v>
      </c>
      <c r="M25" s="192"/>
      <c r="N25" s="192">
        <f t="shared" si="0"/>
        <v>97741657.640000001</v>
      </c>
      <c r="O25" s="34"/>
      <c r="S25" s="90">
        <f t="shared" si="1"/>
        <v>0</v>
      </c>
    </row>
    <row r="26" spans="1:19" ht="53.25" customHeight="1" outlineLevel="1" x14ac:dyDescent="0.35">
      <c r="A26" s="193" t="s">
        <v>21</v>
      </c>
      <c r="B26" s="194">
        <v>901761848</v>
      </c>
      <c r="C26" s="195" t="s">
        <v>351</v>
      </c>
      <c r="D26" s="68" t="s">
        <v>247</v>
      </c>
      <c r="E26" s="68" t="s">
        <v>140</v>
      </c>
      <c r="F26" s="69" t="s">
        <v>306</v>
      </c>
      <c r="G26" s="74">
        <v>19</v>
      </c>
      <c r="H26" s="196">
        <v>45386</v>
      </c>
      <c r="I26" s="192">
        <v>17094844.390000001</v>
      </c>
      <c r="J26" s="192">
        <v>1709484.44</v>
      </c>
      <c r="K26" s="192">
        <v>933751.93</v>
      </c>
      <c r="L26" s="192">
        <v>0</v>
      </c>
      <c r="M26" s="192"/>
      <c r="N26" s="192">
        <f t="shared" si="0"/>
        <v>14451608.020000001</v>
      </c>
      <c r="O26" s="34"/>
      <c r="S26" s="90">
        <f t="shared" si="1"/>
        <v>0</v>
      </c>
    </row>
    <row r="27" spans="1:19" ht="53.25" customHeight="1" outlineLevel="1" x14ac:dyDescent="0.35">
      <c r="A27" s="193" t="s">
        <v>363</v>
      </c>
      <c r="B27" s="194">
        <v>9050725</v>
      </c>
      <c r="C27" s="195" t="s">
        <v>355</v>
      </c>
      <c r="D27" s="68" t="s">
        <v>250</v>
      </c>
      <c r="E27" s="68" t="s">
        <v>140</v>
      </c>
      <c r="F27" s="69" t="s">
        <v>307</v>
      </c>
      <c r="G27" s="74">
        <v>20</v>
      </c>
      <c r="H27" s="196">
        <v>45385</v>
      </c>
      <c r="I27" s="192">
        <v>55670439.140000001</v>
      </c>
      <c r="J27" s="192">
        <v>5567043.9100000001</v>
      </c>
      <c r="K27" s="192">
        <v>3040821.9</v>
      </c>
      <c r="L27" s="192">
        <v>0</v>
      </c>
      <c r="M27" s="192"/>
      <c r="N27" s="192">
        <f t="shared" si="0"/>
        <v>47062573.330000006</v>
      </c>
      <c r="O27" s="34"/>
      <c r="S27" s="90">
        <f t="shared" si="1"/>
        <v>0</v>
      </c>
    </row>
    <row r="28" spans="1:19" ht="53.25" customHeight="1" outlineLevel="1" x14ac:dyDescent="0.35">
      <c r="A28" s="193" t="s">
        <v>21</v>
      </c>
      <c r="B28" s="194">
        <v>901765663</v>
      </c>
      <c r="C28" s="195" t="s">
        <v>266</v>
      </c>
      <c r="D28" s="68" t="s">
        <v>245</v>
      </c>
      <c r="E28" s="68" t="s">
        <v>140</v>
      </c>
      <c r="F28" s="69" t="s">
        <v>307</v>
      </c>
      <c r="G28" s="74">
        <v>21</v>
      </c>
      <c r="H28" s="196">
        <v>45391</v>
      </c>
      <c r="I28" s="192">
        <v>85064175</v>
      </c>
      <c r="J28" s="192">
        <v>8506417.5</v>
      </c>
      <c r="K28" s="192">
        <v>4970268.09</v>
      </c>
      <c r="L28" s="192">
        <v>0</v>
      </c>
      <c r="M28" s="192"/>
      <c r="N28" s="192">
        <f t="shared" si="0"/>
        <v>71587489.409999996</v>
      </c>
      <c r="O28" s="34"/>
      <c r="S28" s="90">
        <f t="shared" si="1"/>
        <v>0</v>
      </c>
    </row>
    <row r="29" spans="1:19" ht="53.25" customHeight="1" outlineLevel="1" x14ac:dyDescent="0.35">
      <c r="A29" s="193" t="s">
        <v>21</v>
      </c>
      <c r="B29" s="194">
        <v>901760153</v>
      </c>
      <c r="C29" s="195" t="s">
        <v>262</v>
      </c>
      <c r="D29" s="68" t="s">
        <v>241</v>
      </c>
      <c r="E29" s="68" t="s">
        <v>140</v>
      </c>
      <c r="F29" s="69" t="s">
        <v>305</v>
      </c>
      <c r="G29" s="74">
        <v>22</v>
      </c>
      <c r="H29" s="196">
        <v>45377</v>
      </c>
      <c r="I29" s="192">
        <v>118674612</v>
      </c>
      <c r="J29" s="192">
        <v>11867461.199999999</v>
      </c>
      <c r="K29" s="192">
        <v>6482226.8799999999</v>
      </c>
      <c r="L29" s="192">
        <v>0</v>
      </c>
      <c r="M29" s="192"/>
      <c r="N29" s="192">
        <f t="shared" si="0"/>
        <v>100324923.92</v>
      </c>
      <c r="O29" s="34"/>
      <c r="S29" s="90">
        <f t="shared" si="1"/>
        <v>0</v>
      </c>
    </row>
    <row r="30" spans="1:19" ht="53.25" customHeight="1" outlineLevel="1" x14ac:dyDescent="0.35">
      <c r="A30" s="193" t="s">
        <v>21</v>
      </c>
      <c r="B30" s="194">
        <v>800177012</v>
      </c>
      <c r="C30" s="195" t="s">
        <v>263</v>
      </c>
      <c r="D30" s="68" t="s">
        <v>242</v>
      </c>
      <c r="E30" s="68" t="s">
        <v>140</v>
      </c>
      <c r="F30" s="69" t="s">
        <v>308</v>
      </c>
      <c r="G30" s="74">
        <v>23</v>
      </c>
      <c r="H30" s="196">
        <v>45385</v>
      </c>
      <c r="I30" s="192">
        <v>773082301.72000003</v>
      </c>
      <c r="J30" s="192">
        <v>77308230.170000002</v>
      </c>
      <c r="K30" s="192">
        <v>60934958.920000002</v>
      </c>
      <c r="L30" s="192">
        <v>0</v>
      </c>
      <c r="M30" s="192"/>
      <c r="N30" s="192">
        <f t="shared" si="0"/>
        <v>634839112.63000011</v>
      </c>
      <c r="O30" s="34"/>
      <c r="S30" s="90">
        <f t="shared" si="1"/>
        <v>0</v>
      </c>
    </row>
    <row r="31" spans="1:19" ht="53.25" customHeight="1" outlineLevel="1" x14ac:dyDescent="0.35">
      <c r="A31" s="193" t="s">
        <v>21</v>
      </c>
      <c r="B31" s="194">
        <v>800177012</v>
      </c>
      <c r="C31" s="195" t="s">
        <v>263</v>
      </c>
      <c r="D31" s="68" t="s">
        <v>242</v>
      </c>
      <c r="E31" s="68" t="s">
        <v>140</v>
      </c>
      <c r="F31" s="69" t="s">
        <v>309</v>
      </c>
      <c r="G31" s="74">
        <v>23</v>
      </c>
      <c r="H31" s="196">
        <v>45383</v>
      </c>
      <c r="I31" s="192">
        <v>136792166</v>
      </c>
      <c r="J31" s="192">
        <v>13679216.6</v>
      </c>
      <c r="K31" s="192">
        <v>2873785</v>
      </c>
      <c r="L31" s="192">
        <v>0</v>
      </c>
      <c r="M31" s="192"/>
      <c r="N31" s="192">
        <f t="shared" si="0"/>
        <v>120239164.40000001</v>
      </c>
      <c r="O31" s="34"/>
      <c r="S31" s="90">
        <f t="shared" si="1"/>
        <v>0</v>
      </c>
    </row>
    <row r="32" spans="1:19" ht="53.25" customHeight="1" outlineLevel="1" x14ac:dyDescent="0.35">
      <c r="A32" s="193" t="s">
        <v>21</v>
      </c>
      <c r="B32" s="194">
        <v>901760153</v>
      </c>
      <c r="C32" s="195" t="s">
        <v>262</v>
      </c>
      <c r="D32" s="68" t="s">
        <v>241</v>
      </c>
      <c r="E32" s="68" t="s">
        <v>140</v>
      </c>
      <c r="F32" s="69" t="s">
        <v>307</v>
      </c>
      <c r="G32" s="74">
        <v>24</v>
      </c>
      <c r="H32" s="196">
        <v>45385</v>
      </c>
      <c r="I32" s="192">
        <v>146824902.02000001</v>
      </c>
      <c r="J32" s="192">
        <v>14682490.199999999</v>
      </c>
      <c r="K32" s="192">
        <v>8019847.2400000002</v>
      </c>
      <c r="L32" s="192">
        <v>0</v>
      </c>
      <c r="M32" s="192"/>
      <c r="N32" s="192">
        <f t="shared" si="0"/>
        <v>124122564.58000001</v>
      </c>
      <c r="O32" s="34"/>
      <c r="S32" s="90">
        <f t="shared" si="1"/>
        <v>0</v>
      </c>
    </row>
    <row r="33" spans="1:19" ht="53.25" customHeight="1" outlineLevel="1" x14ac:dyDescent="0.35">
      <c r="A33" s="193" t="s">
        <v>21</v>
      </c>
      <c r="B33" s="194">
        <v>901763421</v>
      </c>
      <c r="C33" s="195" t="s">
        <v>261</v>
      </c>
      <c r="D33" s="68" t="s">
        <v>240</v>
      </c>
      <c r="E33" s="68" t="s">
        <v>140</v>
      </c>
      <c r="F33" s="69" t="s">
        <v>308</v>
      </c>
      <c r="G33" s="74">
        <v>25</v>
      </c>
      <c r="H33" s="196">
        <v>45407</v>
      </c>
      <c r="I33" s="192">
        <v>769963329.20000005</v>
      </c>
      <c r="J33" s="192">
        <v>76996332.920000002</v>
      </c>
      <c r="K33" s="192">
        <v>61135682.869999997</v>
      </c>
      <c r="L33" s="192">
        <v>0</v>
      </c>
      <c r="M33" s="192"/>
      <c r="N33" s="192">
        <f t="shared" si="0"/>
        <v>631831313.41000009</v>
      </c>
      <c r="O33" s="34"/>
      <c r="S33" s="90">
        <f t="shared" si="1"/>
        <v>0</v>
      </c>
    </row>
    <row r="34" spans="1:19" ht="53.25" customHeight="1" outlineLevel="1" x14ac:dyDescent="0.35">
      <c r="A34" s="193" t="s">
        <v>21</v>
      </c>
      <c r="B34" s="194">
        <v>900503646</v>
      </c>
      <c r="C34" s="195" t="s">
        <v>350</v>
      </c>
      <c r="D34" s="68" t="s">
        <v>237</v>
      </c>
      <c r="E34" s="68" t="s">
        <v>140</v>
      </c>
      <c r="F34" s="69" t="s">
        <v>306</v>
      </c>
      <c r="G34" s="74">
        <v>26</v>
      </c>
      <c r="H34" s="196">
        <v>45407</v>
      </c>
      <c r="I34" s="192">
        <v>16386888.699999999</v>
      </c>
      <c r="J34" s="192">
        <v>1638688.87</v>
      </c>
      <c r="K34" s="192">
        <v>918688.24</v>
      </c>
      <c r="L34" s="192">
        <v>0</v>
      </c>
      <c r="M34" s="192"/>
      <c r="N34" s="192">
        <f t="shared" si="0"/>
        <v>13829511.589999998</v>
      </c>
      <c r="O34" s="34"/>
      <c r="S34" s="90">
        <f t="shared" si="1"/>
        <v>0</v>
      </c>
    </row>
    <row r="35" spans="1:19" ht="53.25" customHeight="1" outlineLevel="1" x14ac:dyDescent="0.35">
      <c r="A35" s="193" t="s">
        <v>21</v>
      </c>
      <c r="B35" s="194">
        <v>901760521</v>
      </c>
      <c r="C35" s="195" t="s">
        <v>265</v>
      </c>
      <c r="D35" s="68" t="s">
        <v>244</v>
      </c>
      <c r="E35" s="68" t="s">
        <v>140</v>
      </c>
      <c r="F35" s="69" t="s">
        <v>310</v>
      </c>
      <c r="G35" s="74">
        <v>27</v>
      </c>
      <c r="H35" s="196">
        <v>45408</v>
      </c>
      <c r="I35" s="192">
        <v>198164898</v>
      </c>
      <c r="J35" s="192">
        <v>19816490</v>
      </c>
      <c r="K35" s="192">
        <v>16861313.989999998</v>
      </c>
      <c r="L35" s="192">
        <v>40000000</v>
      </c>
      <c r="M35" s="192"/>
      <c r="N35" s="192">
        <f t="shared" si="0"/>
        <v>121487094.00999999</v>
      </c>
      <c r="O35" s="34"/>
      <c r="S35" s="90">
        <f t="shared" si="1"/>
        <v>40000000</v>
      </c>
    </row>
    <row r="36" spans="1:19" ht="53.25" customHeight="1" outlineLevel="1" x14ac:dyDescent="0.35">
      <c r="A36" s="193" t="s">
        <v>21</v>
      </c>
      <c r="B36" s="194">
        <v>900549325</v>
      </c>
      <c r="C36" s="195" t="s">
        <v>353</v>
      </c>
      <c r="D36" s="68" t="s">
        <v>246</v>
      </c>
      <c r="E36" s="68" t="s">
        <v>140</v>
      </c>
      <c r="F36" s="69" t="s">
        <v>307</v>
      </c>
      <c r="G36" s="74">
        <v>28</v>
      </c>
      <c r="H36" s="196">
        <v>45408</v>
      </c>
      <c r="I36" s="192">
        <v>1024815940.88</v>
      </c>
      <c r="J36" s="192">
        <v>102481594.09</v>
      </c>
      <c r="K36" s="192">
        <v>81066502.25</v>
      </c>
      <c r="L36" s="192">
        <v>0</v>
      </c>
      <c r="M36" s="192"/>
      <c r="N36" s="192">
        <f t="shared" si="0"/>
        <v>841267844.53999996</v>
      </c>
      <c r="O36" s="34"/>
      <c r="S36" s="90">
        <f t="shared" si="1"/>
        <v>0</v>
      </c>
    </row>
    <row r="37" spans="1:19" ht="53.25" customHeight="1" outlineLevel="1" x14ac:dyDescent="0.35">
      <c r="A37" s="193" t="s">
        <v>21</v>
      </c>
      <c r="B37" s="194">
        <v>901761848</v>
      </c>
      <c r="C37" s="195" t="s">
        <v>351</v>
      </c>
      <c r="D37" s="68" t="s">
        <v>247</v>
      </c>
      <c r="E37" s="68" t="s">
        <v>140</v>
      </c>
      <c r="F37" s="69" t="s">
        <v>311</v>
      </c>
      <c r="G37" s="74">
        <v>29</v>
      </c>
      <c r="H37" s="196">
        <v>45408</v>
      </c>
      <c r="I37" s="192">
        <v>34640757.409999996</v>
      </c>
      <c r="J37" s="192">
        <v>3464075.74</v>
      </c>
      <c r="K37" s="192">
        <v>1892141.81</v>
      </c>
      <c r="L37" s="192">
        <v>0</v>
      </c>
      <c r="M37" s="192"/>
      <c r="N37" s="192">
        <f t="shared" si="0"/>
        <v>29284539.859999996</v>
      </c>
      <c r="O37" s="34"/>
      <c r="S37" s="90">
        <f t="shared" si="1"/>
        <v>0</v>
      </c>
    </row>
    <row r="38" spans="1:19" ht="53.25" customHeight="1" outlineLevel="1" x14ac:dyDescent="0.35">
      <c r="A38" s="193" t="s">
        <v>21</v>
      </c>
      <c r="B38" s="194">
        <v>901765663</v>
      </c>
      <c r="C38" s="195" t="s">
        <v>266</v>
      </c>
      <c r="D38" s="68" t="s">
        <v>245</v>
      </c>
      <c r="E38" s="68" t="s">
        <v>140</v>
      </c>
      <c r="F38" s="69" t="s">
        <v>312</v>
      </c>
      <c r="G38" s="74">
        <v>30</v>
      </c>
      <c r="H38" s="196">
        <v>45408</v>
      </c>
      <c r="I38" s="192">
        <v>36000000</v>
      </c>
      <c r="J38" s="192">
        <v>3600000</v>
      </c>
      <c r="K38" s="192">
        <v>2103466.89</v>
      </c>
      <c r="L38" s="192">
        <v>0</v>
      </c>
      <c r="M38" s="192"/>
      <c r="N38" s="192">
        <f t="shared" si="0"/>
        <v>30296533.109999999</v>
      </c>
      <c r="O38" s="34"/>
      <c r="S38" s="90">
        <f t="shared" si="1"/>
        <v>0</v>
      </c>
    </row>
    <row r="39" spans="1:19" ht="53.25" customHeight="1" outlineLevel="1" x14ac:dyDescent="0.35">
      <c r="A39" s="193" t="s">
        <v>21</v>
      </c>
      <c r="B39" s="194">
        <v>900345967</v>
      </c>
      <c r="C39" s="195" t="s">
        <v>356</v>
      </c>
      <c r="D39" s="68" t="s">
        <v>239</v>
      </c>
      <c r="E39" s="68" t="s">
        <v>140</v>
      </c>
      <c r="F39" s="69" t="s">
        <v>313</v>
      </c>
      <c r="G39" s="74">
        <v>31</v>
      </c>
      <c r="H39" s="196">
        <v>45408</v>
      </c>
      <c r="I39" s="192">
        <v>58905000</v>
      </c>
      <c r="J39" s="192">
        <v>5890500</v>
      </c>
      <c r="K39" s="192">
        <v>3217500</v>
      </c>
      <c r="L39" s="192">
        <v>0</v>
      </c>
      <c r="M39" s="192"/>
      <c r="N39" s="192">
        <f t="shared" si="0"/>
        <v>49797000</v>
      </c>
      <c r="O39" s="34"/>
      <c r="S39" s="90">
        <f t="shared" si="1"/>
        <v>0</v>
      </c>
    </row>
    <row r="40" spans="1:19" ht="53.25" customHeight="1" outlineLevel="1" x14ac:dyDescent="0.35">
      <c r="A40" s="193" t="s">
        <v>21</v>
      </c>
      <c r="B40" s="194">
        <v>900549325</v>
      </c>
      <c r="C40" s="195" t="s">
        <v>353</v>
      </c>
      <c r="D40" s="68" t="s">
        <v>249</v>
      </c>
      <c r="E40" s="68" t="s">
        <v>140</v>
      </c>
      <c r="F40" s="69" t="s">
        <v>303</v>
      </c>
      <c r="G40" s="74">
        <v>32</v>
      </c>
      <c r="H40" s="196">
        <v>45408</v>
      </c>
      <c r="I40" s="192">
        <v>1442822253.04</v>
      </c>
      <c r="J40" s="192">
        <v>144282225.30000001</v>
      </c>
      <c r="K40" s="192">
        <v>113089758</v>
      </c>
      <c r="L40" s="192">
        <v>0</v>
      </c>
      <c r="M40" s="192"/>
      <c r="N40" s="192">
        <f t="shared" si="0"/>
        <v>1185450269.74</v>
      </c>
      <c r="O40" s="34"/>
      <c r="S40" s="90">
        <f t="shared" si="1"/>
        <v>0</v>
      </c>
    </row>
    <row r="41" spans="1:19" ht="53.25" customHeight="1" outlineLevel="1" x14ac:dyDescent="0.35">
      <c r="A41" s="193" t="s">
        <v>363</v>
      </c>
      <c r="B41" s="194">
        <v>9050725</v>
      </c>
      <c r="C41" s="195" t="s">
        <v>355</v>
      </c>
      <c r="D41" s="68" t="s">
        <v>250</v>
      </c>
      <c r="E41" s="68" t="s">
        <v>140</v>
      </c>
      <c r="F41" s="69" t="s">
        <v>312</v>
      </c>
      <c r="G41" s="74">
        <v>33</v>
      </c>
      <c r="H41" s="196">
        <v>45408</v>
      </c>
      <c r="I41" s="192">
        <v>46308934.409999996</v>
      </c>
      <c r="J41" s="192">
        <v>4630893.4400000004</v>
      </c>
      <c r="K41" s="192">
        <v>2529479.2599999998</v>
      </c>
      <c r="L41" s="192">
        <v>0</v>
      </c>
      <c r="M41" s="192"/>
      <c r="N41" s="192">
        <f t="shared" si="0"/>
        <v>39148561.710000001</v>
      </c>
      <c r="O41" s="34"/>
      <c r="S41" s="90">
        <f t="shared" si="1"/>
        <v>0</v>
      </c>
    </row>
    <row r="42" spans="1:19" ht="53.25" customHeight="1" outlineLevel="1" x14ac:dyDescent="0.35">
      <c r="A42" s="193" t="s">
        <v>21</v>
      </c>
      <c r="B42" s="194">
        <v>800177012</v>
      </c>
      <c r="C42" s="195" t="s">
        <v>263</v>
      </c>
      <c r="D42" s="68" t="s">
        <v>242</v>
      </c>
      <c r="E42" s="68" t="s">
        <v>140</v>
      </c>
      <c r="F42" s="69" t="s">
        <v>314</v>
      </c>
      <c r="G42" s="74">
        <v>34</v>
      </c>
      <c r="H42" s="196">
        <v>45411</v>
      </c>
      <c r="I42" s="192">
        <v>578742724.32000005</v>
      </c>
      <c r="J42" s="192">
        <v>57874272.43</v>
      </c>
      <c r="K42" s="192">
        <v>45616959.560000002</v>
      </c>
      <c r="L42" s="192">
        <v>0</v>
      </c>
      <c r="M42" s="192"/>
      <c r="N42" s="192">
        <f t="shared" si="0"/>
        <v>475251492.33000004</v>
      </c>
      <c r="O42" s="34"/>
      <c r="S42" s="90">
        <f t="shared" si="1"/>
        <v>0</v>
      </c>
    </row>
    <row r="43" spans="1:19" ht="53.25" customHeight="1" outlineLevel="1" x14ac:dyDescent="0.35">
      <c r="A43" s="193" t="s">
        <v>21</v>
      </c>
      <c r="B43" s="194">
        <v>901758661</v>
      </c>
      <c r="C43" s="195" t="s">
        <v>352</v>
      </c>
      <c r="D43" s="68" t="s">
        <v>243</v>
      </c>
      <c r="E43" s="68" t="s">
        <v>140</v>
      </c>
      <c r="F43" s="69" t="s">
        <v>301</v>
      </c>
      <c r="G43" s="74">
        <v>35</v>
      </c>
      <c r="H43" s="196">
        <v>45411</v>
      </c>
      <c r="I43" s="192">
        <v>44072661.060000002</v>
      </c>
      <c r="J43" s="192">
        <v>4407266.1100000003</v>
      </c>
      <c r="K43" s="192">
        <v>2416691.88</v>
      </c>
      <c r="L43" s="192">
        <v>0</v>
      </c>
      <c r="M43" s="192"/>
      <c r="N43" s="192">
        <f t="shared" si="0"/>
        <v>37248703.07</v>
      </c>
      <c r="O43" s="34"/>
      <c r="S43" s="90">
        <f t="shared" si="1"/>
        <v>0</v>
      </c>
    </row>
    <row r="44" spans="1:19" ht="53.25" customHeight="1" outlineLevel="1" x14ac:dyDescent="0.35">
      <c r="A44" s="193" t="s">
        <v>21</v>
      </c>
      <c r="B44" s="194">
        <v>800096329</v>
      </c>
      <c r="C44" s="195" t="s">
        <v>354</v>
      </c>
      <c r="D44" s="68">
        <v>7031</v>
      </c>
      <c r="E44" s="68" t="s">
        <v>139</v>
      </c>
      <c r="F44" s="69" t="s">
        <v>315</v>
      </c>
      <c r="G44" s="74" t="s">
        <v>295</v>
      </c>
      <c r="H44" s="196">
        <v>45408</v>
      </c>
      <c r="I44" s="192">
        <v>221354930.84</v>
      </c>
      <c r="J44" s="192">
        <v>0</v>
      </c>
      <c r="K44" s="192">
        <v>20461380.149999999</v>
      </c>
      <c r="L44" s="192">
        <v>0</v>
      </c>
      <c r="M44" s="192"/>
      <c r="N44" s="192">
        <f t="shared" si="0"/>
        <v>200893550.69</v>
      </c>
      <c r="O44" s="34"/>
      <c r="S44" s="90">
        <f t="shared" si="1"/>
        <v>0</v>
      </c>
    </row>
    <row r="45" spans="1:19" ht="53.25" customHeight="1" outlineLevel="1" x14ac:dyDescent="0.35">
      <c r="A45" s="193" t="s">
        <v>21</v>
      </c>
      <c r="B45" s="194">
        <v>900549325</v>
      </c>
      <c r="C45" s="195" t="s">
        <v>353</v>
      </c>
      <c r="D45" s="68" t="s">
        <v>249</v>
      </c>
      <c r="E45" s="68" t="s">
        <v>140</v>
      </c>
      <c r="F45" s="69" t="s">
        <v>306</v>
      </c>
      <c r="G45" s="74">
        <v>39</v>
      </c>
      <c r="H45" s="196">
        <v>45442</v>
      </c>
      <c r="I45" s="192">
        <v>1288313802.78</v>
      </c>
      <c r="J45" s="192">
        <v>128831380.28</v>
      </c>
      <c r="K45" s="192">
        <v>101981646.7</v>
      </c>
      <c r="L45" s="192">
        <v>0</v>
      </c>
      <c r="M45" s="192"/>
      <c r="N45" s="192">
        <f t="shared" si="0"/>
        <v>1057500775.8</v>
      </c>
      <c r="O45" s="34"/>
      <c r="S45" s="90">
        <f t="shared" si="1"/>
        <v>0</v>
      </c>
    </row>
    <row r="46" spans="1:19" ht="53.25" customHeight="1" outlineLevel="1" x14ac:dyDescent="0.35">
      <c r="A46" s="193" t="s">
        <v>21</v>
      </c>
      <c r="B46" s="194">
        <v>901778790</v>
      </c>
      <c r="C46" s="195" t="s">
        <v>274</v>
      </c>
      <c r="D46" s="68" t="s">
        <v>345</v>
      </c>
      <c r="E46" s="68" t="s">
        <v>140</v>
      </c>
      <c r="F46" s="69" t="s">
        <v>299</v>
      </c>
      <c r="G46" s="74">
        <v>40</v>
      </c>
      <c r="H46" s="196">
        <v>45440</v>
      </c>
      <c r="I46" s="192">
        <v>498669337</v>
      </c>
      <c r="J46" s="192">
        <v>49866933.700000003</v>
      </c>
      <c r="K46" s="192">
        <v>40650669.869999997</v>
      </c>
      <c r="L46" s="192">
        <v>0</v>
      </c>
      <c r="M46" s="192"/>
      <c r="N46" s="192">
        <f t="shared" si="0"/>
        <v>408151733.43000001</v>
      </c>
      <c r="O46" s="34"/>
      <c r="S46" s="90">
        <f t="shared" si="1"/>
        <v>0</v>
      </c>
    </row>
    <row r="47" spans="1:19" ht="53.25" customHeight="1" outlineLevel="1" x14ac:dyDescent="0.35">
      <c r="A47" s="193" t="s">
        <v>21</v>
      </c>
      <c r="B47" s="194">
        <v>900246080</v>
      </c>
      <c r="C47" s="195" t="s">
        <v>257</v>
      </c>
      <c r="D47" s="68" t="s">
        <v>236</v>
      </c>
      <c r="E47" s="68" t="s">
        <v>140</v>
      </c>
      <c r="F47" s="69" t="s">
        <v>299</v>
      </c>
      <c r="G47" s="74">
        <v>41</v>
      </c>
      <c r="H47" s="196">
        <v>45436</v>
      </c>
      <c r="I47" s="192">
        <v>242751160.66</v>
      </c>
      <c r="J47" s="192">
        <v>24275116.07</v>
      </c>
      <c r="K47" s="192">
        <v>19863702.27</v>
      </c>
      <c r="L47" s="192">
        <v>0</v>
      </c>
      <c r="M47" s="192"/>
      <c r="N47" s="192">
        <f t="shared" si="0"/>
        <v>198612342.31999999</v>
      </c>
      <c r="O47" s="34"/>
      <c r="S47" s="90">
        <f t="shared" si="1"/>
        <v>0</v>
      </c>
    </row>
    <row r="48" spans="1:19" ht="53.25" customHeight="1" outlineLevel="1" x14ac:dyDescent="0.35">
      <c r="A48" s="193" t="s">
        <v>21</v>
      </c>
      <c r="B48" s="194">
        <v>900503646</v>
      </c>
      <c r="C48" s="195" t="s">
        <v>350</v>
      </c>
      <c r="D48" s="68" t="s">
        <v>237</v>
      </c>
      <c r="E48" s="68" t="s">
        <v>140</v>
      </c>
      <c r="F48" s="69" t="s">
        <v>311</v>
      </c>
      <c r="G48" s="74">
        <v>42</v>
      </c>
      <c r="H48" s="196">
        <v>45436</v>
      </c>
      <c r="I48" s="192">
        <v>21488624.5</v>
      </c>
      <c r="J48" s="192">
        <v>2148862.4500000002</v>
      </c>
      <c r="K48" s="192">
        <v>1197354.6200000001</v>
      </c>
      <c r="L48" s="192">
        <v>0</v>
      </c>
      <c r="M48" s="192"/>
      <c r="N48" s="192">
        <f t="shared" si="0"/>
        <v>18142407.43</v>
      </c>
      <c r="O48" s="34"/>
      <c r="S48" s="90">
        <f t="shared" si="1"/>
        <v>0</v>
      </c>
    </row>
    <row r="49" spans="1:19" ht="53.25" customHeight="1" outlineLevel="1" x14ac:dyDescent="0.35">
      <c r="A49" s="193" t="s">
        <v>21</v>
      </c>
      <c r="B49" s="194">
        <v>900549325</v>
      </c>
      <c r="C49" s="195" t="s">
        <v>353</v>
      </c>
      <c r="D49" s="68" t="s">
        <v>246</v>
      </c>
      <c r="E49" s="68" t="s">
        <v>140</v>
      </c>
      <c r="F49" s="69" t="s">
        <v>306</v>
      </c>
      <c r="G49" s="74">
        <v>43</v>
      </c>
      <c r="H49" s="196">
        <v>45440</v>
      </c>
      <c r="I49" s="192">
        <v>889873670.48000002</v>
      </c>
      <c r="J49" s="192">
        <v>88987367.049999997</v>
      </c>
      <c r="K49" s="192">
        <v>70656672.069999993</v>
      </c>
      <c r="L49" s="192">
        <v>0</v>
      </c>
      <c r="M49" s="192"/>
      <c r="N49" s="192">
        <f t="shared" si="0"/>
        <v>730229631.36000013</v>
      </c>
      <c r="O49" s="34"/>
      <c r="S49" s="90">
        <f t="shared" si="1"/>
        <v>0</v>
      </c>
    </row>
    <row r="50" spans="1:19" ht="53.25" customHeight="1" outlineLevel="1" x14ac:dyDescent="0.35">
      <c r="A50" s="193" t="s">
        <v>363</v>
      </c>
      <c r="B50" s="194">
        <v>19244715</v>
      </c>
      <c r="C50" s="195" t="s">
        <v>275</v>
      </c>
      <c r="D50" s="68" t="s">
        <v>252</v>
      </c>
      <c r="E50" s="68" t="s">
        <v>140</v>
      </c>
      <c r="F50" s="69" t="s">
        <v>316</v>
      </c>
      <c r="G50" s="74">
        <v>44</v>
      </c>
      <c r="H50" s="196">
        <v>45440</v>
      </c>
      <c r="I50" s="192">
        <v>25115768.129999999</v>
      </c>
      <c r="J50" s="192">
        <v>2511576.81</v>
      </c>
      <c r="K50" s="192">
        <v>1414080.62</v>
      </c>
      <c r="L50" s="192">
        <v>0</v>
      </c>
      <c r="M50" s="192"/>
      <c r="N50" s="192">
        <f t="shared" si="0"/>
        <v>21190110.699999999</v>
      </c>
      <c r="O50" s="34"/>
      <c r="S50" s="90">
        <f t="shared" si="1"/>
        <v>0</v>
      </c>
    </row>
    <row r="51" spans="1:19" ht="53.25" customHeight="1" outlineLevel="1" x14ac:dyDescent="0.35">
      <c r="A51" s="193" t="s">
        <v>363</v>
      </c>
      <c r="B51" s="194">
        <v>9050725</v>
      </c>
      <c r="C51" s="195" t="s">
        <v>355</v>
      </c>
      <c r="D51" s="68" t="s">
        <v>250</v>
      </c>
      <c r="E51" s="68" t="s">
        <v>140</v>
      </c>
      <c r="F51" s="69" t="s">
        <v>317</v>
      </c>
      <c r="G51" s="74">
        <v>45</v>
      </c>
      <c r="H51" s="196">
        <v>45440</v>
      </c>
      <c r="I51" s="192">
        <v>40360886.899999999</v>
      </c>
      <c r="J51" s="192">
        <v>4036088.69</v>
      </c>
      <c r="K51" s="192">
        <v>2204586.7000000002</v>
      </c>
      <c r="L51" s="192">
        <v>0</v>
      </c>
      <c r="M51" s="192"/>
      <c r="N51" s="192">
        <f t="shared" si="0"/>
        <v>34120211.509999998</v>
      </c>
      <c r="O51" s="34"/>
      <c r="S51" s="90">
        <f t="shared" si="1"/>
        <v>0</v>
      </c>
    </row>
    <row r="52" spans="1:19" ht="53.25" customHeight="1" outlineLevel="1" x14ac:dyDescent="0.35">
      <c r="A52" s="193" t="s">
        <v>21</v>
      </c>
      <c r="B52" s="194">
        <v>901763421</v>
      </c>
      <c r="C52" s="195" t="s">
        <v>261</v>
      </c>
      <c r="D52" s="68" t="s">
        <v>240</v>
      </c>
      <c r="E52" s="68" t="s">
        <v>140</v>
      </c>
      <c r="F52" s="69" t="s">
        <v>318</v>
      </c>
      <c r="G52" s="74">
        <v>46</v>
      </c>
      <c r="H52" s="196">
        <v>45441</v>
      </c>
      <c r="I52" s="192">
        <v>848535637.58000004</v>
      </c>
      <c r="J52" s="192">
        <v>84853563.760000005</v>
      </c>
      <c r="K52" s="192">
        <v>67374385.120000005</v>
      </c>
      <c r="L52" s="192">
        <v>10000000</v>
      </c>
      <c r="M52" s="192"/>
      <c r="N52" s="192">
        <f t="shared" si="0"/>
        <v>686307688.70000005</v>
      </c>
      <c r="O52" s="34"/>
      <c r="S52" s="90">
        <f t="shared" si="1"/>
        <v>10000000</v>
      </c>
    </row>
    <row r="53" spans="1:19" ht="53.25" customHeight="1" outlineLevel="1" x14ac:dyDescent="0.35">
      <c r="A53" s="193" t="s">
        <v>21</v>
      </c>
      <c r="B53" s="194">
        <v>901760153</v>
      </c>
      <c r="C53" s="195" t="s">
        <v>262</v>
      </c>
      <c r="D53" s="68" t="s">
        <v>241</v>
      </c>
      <c r="E53" s="68" t="s">
        <v>140</v>
      </c>
      <c r="F53" s="69" t="s">
        <v>301</v>
      </c>
      <c r="G53" s="74">
        <v>47</v>
      </c>
      <c r="H53" s="196">
        <v>45440</v>
      </c>
      <c r="I53" s="192">
        <v>62964917.979999997</v>
      </c>
      <c r="J53" s="192">
        <v>6296491.7999999998</v>
      </c>
      <c r="K53" s="192">
        <v>3439259.75</v>
      </c>
      <c r="L53" s="192">
        <v>0</v>
      </c>
      <c r="M53" s="192"/>
      <c r="N53" s="192">
        <f t="shared" si="0"/>
        <v>53229166.43</v>
      </c>
      <c r="O53" s="34"/>
      <c r="S53" s="90">
        <f t="shared" si="1"/>
        <v>0</v>
      </c>
    </row>
    <row r="54" spans="1:19" ht="53.25" customHeight="1" outlineLevel="1" x14ac:dyDescent="0.35">
      <c r="A54" s="193" t="s">
        <v>21</v>
      </c>
      <c r="B54" s="194">
        <v>901762612</v>
      </c>
      <c r="C54" s="195" t="s">
        <v>259</v>
      </c>
      <c r="D54" s="68" t="s">
        <v>238</v>
      </c>
      <c r="E54" s="68" t="s">
        <v>140</v>
      </c>
      <c r="F54" s="69" t="s">
        <v>299</v>
      </c>
      <c r="G54" s="74">
        <v>48</v>
      </c>
      <c r="H54" s="196">
        <v>45440</v>
      </c>
      <c r="I54" s="192">
        <v>522408179</v>
      </c>
      <c r="J54" s="192">
        <v>52240817.899999999</v>
      </c>
      <c r="K54" s="192">
        <v>41480032.07</v>
      </c>
      <c r="L54" s="192">
        <v>18518518.52</v>
      </c>
      <c r="M54" s="192"/>
      <c r="N54" s="192">
        <f t="shared" si="0"/>
        <v>410168810.51000005</v>
      </c>
      <c r="O54" s="34"/>
      <c r="S54" s="90">
        <f t="shared" si="1"/>
        <v>18518518.52</v>
      </c>
    </row>
    <row r="55" spans="1:19" ht="53.25" customHeight="1" outlineLevel="1" x14ac:dyDescent="0.35">
      <c r="A55" s="193" t="s">
        <v>21</v>
      </c>
      <c r="B55" s="194">
        <v>901760521</v>
      </c>
      <c r="C55" s="195" t="s">
        <v>265</v>
      </c>
      <c r="D55" s="68" t="s">
        <v>244</v>
      </c>
      <c r="E55" s="68" t="s">
        <v>140</v>
      </c>
      <c r="F55" s="69" t="s">
        <v>303</v>
      </c>
      <c r="G55" s="74">
        <v>49</v>
      </c>
      <c r="H55" s="196">
        <v>45448</v>
      </c>
      <c r="I55" s="192">
        <v>855837250</v>
      </c>
      <c r="J55" s="192">
        <v>85583725</v>
      </c>
      <c r="K55" s="192">
        <v>71595076.739999995</v>
      </c>
      <c r="L55" s="192">
        <v>40000000</v>
      </c>
      <c r="M55" s="192"/>
      <c r="N55" s="192">
        <f t="shared" si="0"/>
        <v>658658448.25999999</v>
      </c>
      <c r="O55" s="34"/>
      <c r="S55" s="90">
        <f t="shared" si="1"/>
        <v>40000000</v>
      </c>
    </row>
    <row r="56" spans="1:19" ht="53.25" customHeight="1" outlineLevel="1" x14ac:dyDescent="0.35">
      <c r="A56" s="193" t="s">
        <v>21</v>
      </c>
      <c r="B56" s="194">
        <v>800096329</v>
      </c>
      <c r="C56" s="195" t="s">
        <v>354</v>
      </c>
      <c r="D56" s="68">
        <v>7031</v>
      </c>
      <c r="E56" s="68" t="s">
        <v>139</v>
      </c>
      <c r="F56" s="69" t="s">
        <v>319</v>
      </c>
      <c r="G56" s="74" t="s">
        <v>296</v>
      </c>
      <c r="H56" s="196">
        <v>45441</v>
      </c>
      <c r="I56" s="192">
        <v>762224108.77999997</v>
      </c>
      <c r="J56" s="192">
        <v>0</v>
      </c>
      <c r="K56" s="192">
        <v>70457690.730000004</v>
      </c>
      <c r="L56" s="192">
        <v>0</v>
      </c>
      <c r="M56" s="192"/>
      <c r="N56" s="192">
        <f t="shared" si="0"/>
        <v>691766418.04999995</v>
      </c>
      <c r="O56" s="34"/>
      <c r="S56" s="90">
        <f t="shared" si="1"/>
        <v>0</v>
      </c>
    </row>
    <row r="57" spans="1:19" ht="53.25" customHeight="1" outlineLevel="1" x14ac:dyDescent="0.35">
      <c r="A57" s="193" t="s">
        <v>21</v>
      </c>
      <c r="B57" s="194">
        <v>901762612</v>
      </c>
      <c r="C57" s="195" t="s">
        <v>259</v>
      </c>
      <c r="D57" s="68" t="s">
        <v>238</v>
      </c>
      <c r="E57" s="68" t="s">
        <v>140</v>
      </c>
      <c r="F57" s="69" t="s">
        <v>303</v>
      </c>
      <c r="G57" s="74">
        <v>50</v>
      </c>
      <c r="H57" s="196">
        <v>45469</v>
      </c>
      <c r="I57" s="192">
        <v>969708777</v>
      </c>
      <c r="J57" s="192">
        <v>96970877.700000003</v>
      </c>
      <c r="K57" s="192">
        <v>76996404</v>
      </c>
      <c r="L57" s="192">
        <v>31481481.48</v>
      </c>
      <c r="M57" s="192"/>
      <c r="N57" s="192">
        <f t="shared" si="0"/>
        <v>764260013.81999993</v>
      </c>
      <c r="O57" s="34"/>
      <c r="S57" s="90">
        <f t="shared" si="1"/>
        <v>31481481.48</v>
      </c>
    </row>
    <row r="58" spans="1:19" ht="53.25" customHeight="1" outlineLevel="1" x14ac:dyDescent="0.35">
      <c r="A58" s="193" t="s">
        <v>21</v>
      </c>
      <c r="B58" s="194">
        <v>900345967</v>
      </c>
      <c r="C58" s="195" t="s">
        <v>356</v>
      </c>
      <c r="D58" s="68" t="s">
        <v>239</v>
      </c>
      <c r="E58" s="68" t="s">
        <v>140</v>
      </c>
      <c r="F58" s="69" t="s">
        <v>301</v>
      </c>
      <c r="G58" s="74">
        <v>51</v>
      </c>
      <c r="H58" s="196">
        <v>45471</v>
      </c>
      <c r="I58" s="192">
        <v>29452500</v>
      </c>
      <c r="J58" s="192">
        <v>2945250</v>
      </c>
      <c r="K58" s="192">
        <v>1608750</v>
      </c>
      <c r="L58" s="192">
        <v>0</v>
      </c>
      <c r="M58" s="192"/>
      <c r="N58" s="192">
        <f t="shared" si="0"/>
        <v>24898500</v>
      </c>
      <c r="O58" s="34"/>
      <c r="S58" s="90">
        <f t="shared" si="1"/>
        <v>0</v>
      </c>
    </row>
    <row r="59" spans="1:19" ht="53.25" customHeight="1" outlineLevel="1" x14ac:dyDescent="0.35">
      <c r="A59" s="193" t="s">
        <v>21</v>
      </c>
      <c r="B59" s="194">
        <v>900345967</v>
      </c>
      <c r="C59" s="195" t="s">
        <v>356</v>
      </c>
      <c r="D59" s="68" t="s">
        <v>239</v>
      </c>
      <c r="E59" s="68" t="s">
        <v>140</v>
      </c>
      <c r="F59" s="69" t="s">
        <v>306</v>
      </c>
      <c r="G59" s="74">
        <v>52</v>
      </c>
      <c r="H59" s="196">
        <v>45468</v>
      </c>
      <c r="I59" s="192">
        <v>9768805</v>
      </c>
      <c r="J59" s="192">
        <v>976880.5</v>
      </c>
      <c r="K59" s="192">
        <v>533590.19999999995</v>
      </c>
      <c r="L59" s="192">
        <v>0</v>
      </c>
      <c r="M59" s="192"/>
      <c r="N59" s="192">
        <f t="shared" si="0"/>
        <v>8258334.2999999998</v>
      </c>
      <c r="O59" s="34"/>
      <c r="S59" s="90">
        <f t="shared" si="1"/>
        <v>0</v>
      </c>
    </row>
    <row r="60" spans="1:19" ht="53.25" customHeight="1" outlineLevel="1" x14ac:dyDescent="0.35">
      <c r="A60" s="193" t="s">
        <v>21</v>
      </c>
      <c r="B60" s="194">
        <v>900345967</v>
      </c>
      <c r="C60" s="195" t="s">
        <v>356</v>
      </c>
      <c r="D60" s="68" t="s">
        <v>239</v>
      </c>
      <c r="E60" s="68" t="s">
        <v>140</v>
      </c>
      <c r="F60" s="69" t="s">
        <v>311</v>
      </c>
      <c r="G60" s="74">
        <v>53</v>
      </c>
      <c r="H60" s="196">
        <v>45468</v>
      </c>
      <c r="I60" s="192">
        <v>50000000</v>
      </c>
      <c r="J60" s="192">
        <v>5000000</v>
      </c>
      <c r="K60" s="192">
        <v>2731092.43</v>
      </c>
      <c r="L60" s="192">
        <v>0</v>
      </c>
      <c r="M60" s="192"/>
      <c r="N60" s="192">
        <f t="shared" si="0"/>
        <v>42268907.57</v>
      </c>
      <c r="O60" s="34"/>
      <c r="S60" s="90">
        <f t="shared" si="1"/>
        <v>0</v>
      </c>
    </row>
    <row r="61" spans="1:19" ht="53.25" customHeight="1" outlineLevel="1" x14ac:dyDescent="0.35">
      <c r="A61" s="193" t="s">
        <v>21</v>
      </c>
      <c r="B61" s="194">
        <v>900345967</v>
      </c>
      <c r="C61" s="195" t="s">
        <v>356</v>
      </c>
      <c r="D61" s="68" t="s">
        <v>239</v>
      </c>
      <c r="E61" s="68" t="s">
        <v>140</v>
      </c>
      <c r="F61" s="69" t="s">
        <v>320</v>
      </c>
      <c r="G61" s="74">
        <v>54</v>
      </c>
      <c r="H61" s="196">
        <v>45468</v>
      </c>
      <c r="I61" s="192">
        <v>16950502.800000001</v>
      </c>
      <c r="J61" s="192">
        <v>1695050.28</v>
      </c>
      <c r="K61" s="192">
        <v>925867.8</v>
      </c>
      <c r="L61" s="192">
        <v>0</v>
      </c>
      <c r="M61" s="192"/>
      <c r="N61" s="192">
        <f t="shared" si="0"/>
        <v>14329584.720000001</v>
      </c>
      <c r="O61" s="34"/>
      <c r="S61" s="90">
        <f t="shared" si="1"/>
        <v>0</v>
      </c>
    </row>
    <row r="62" spans="1:19" ht="53.25" customHeight="1" outlineLevel="1" x14ac:dyDescent="0.35">
      <c r="A62" s="193" t="s">
        <v>21</v>
      </c>
      <c r="B62" s="194">
        <v>901760521</v>
      </c>
      <c r="C62" s="195" t="s">
        <v>265</v>
      </c>
      <c r="D62" s="68" t="s">
        <v>244</v>
      </c>
      <c r="E62" s="68" t="s">
        <v>140</v>
      </c>
      <c r="F62" s="69" t="s">
        <v>298</v>
      </c>
      <c r="G62" s="74">
        <v>55</v>
      </c>
      <c r="H62" s="196">
        <v>45470</v>
      </c>
      <c r="I62" s="192">
        <v>244266347</v>
      </c>
      <c r="J62" s="192">
        <v>24426634.699999999</v>
      </c>
      <c r="K62" s="192">
        <v>15172963.99</v>
      </c>
      <c r="L62" s="192">
        <v>0</v>
      </c>
      <c r="M62" s="192"/>
      <c r="N62" s="192">
        <f t="shared" si="0"/>
        <v>204666748.31</v>
      </c>
      <c r="O62" s="34"/>
      <c r="S62" s="90">
        <f t="shared" si="1"/>
        <v>0</v>
      </c>
    </row>
    <row r="63" spans="1:19" ht="53.25" customHeight="1" outlineLevel="1" x14ac:dyDescent="0.35">
      <c r="A63" s="193" t="s">
        <v>21</v>
      </c>
      <c r="B63" s="194">
        <v>901760521</v>
      </c>
      <c r="C63" s="195" t="s">
        <v>265</v>
      </c>
      <c r="D63" s="68" t="s">
        <v>244</v>
      </c>
      <c r="E63" s="68" t="s">
        <v>140</v>
      </c>
      <c r="F63" s="69" t="s">
        <v>306</v>
      </c>
      <c r="G63" s="74">
        <v>56</v>
      </c>
      <c r="H63" s="196">
        <v>45469</v>
      </c>
      <c r="I63" s="192">
        <v>586816310</v>
      </c>
      <c r="J63" s="192">
        <v>58681631</v>
      </c>
      <c r="K63" s="192">
        <v>49893332.399999999</v>
      </c>
      <c r="L63" s="192">
        <v>0</v>
      </c>
      <c r="M63" s="192"/>
      <c r="N63" s="192">
        <f t="shared" si="0"/>
        <v>478241346.60000002</v>
      </c>
      <c r="O63" s="34"/>
      <c r="S63" s="90">
        <f t="shared" si="1"/>
        <v>0</v>
      </c>
    </row>
    <row r="64" spans="1:19" ht="53.25" customHeight="1" outlineLevel="1" x14ac:dyDescent="0.35">
      <c r="A64" s="193" t="s">
        <v>21</v>
      </c>
      <c r="B64" s="194">
        <v>901765663</v>
      </c>
      <c r="C64" s="195" t="s">
        <v>266</v>
      </c>
      <c r="D64" s="68" t="s">
        <v>245</v>
      </c>
      <c r="E64" s="68" t="s">
        <v>140</v>
      </c>
      <c r="F64" s="69" t="s">
        <v>298</v>
      </c>
      <c r="G64" s="74">
        <v>57</v>
      </c>
      <c r="H64" s="196">
        <v>45468</v>
      </c>
      <c r="I64" s="192">
        <v>117655776</v>
      </c>
      <c r="J64" s="192">
        <v>11765577.6</v>
      </c>
      <c r="K64" s="192">
        <v>6874582.5</v>
      </c>
      <c r="L64" s="192">
        <v>0</v>
      </c>
      <c r="M64" s="192"/>
      <c r="N64" s="192">
        <f t="shared" si="0"/>
        <v>99015615.900000006</v>
      </c>
      <c r="O64" s="34"/>
      <c r="S64" s="90">
        <f t="shared" si="1"/>
        <v>0</v>
      </c>
    </row>
    <row r="65" spans="1:19" ht="53.25" customHeight="1" outlineLevel="1" x14ac:dyDescent="0.35">
      <c r="A65" s="193" t="s">
        <v>21</v>
      </c>
      <c r="B65" s="194">
        <v>901765663</v>
      </c>
      <c r="C65" s="195" t="s">
        <v>266</v>
      </c>
      <c r="D65" s="68" t="s">
        <v>245</v>
      </c>
      <c r="E65" s="68" t="s">
        <v>140</v>
      </c>
      <c r="F65" s="69" t="s">
        <v>306</v>
      </c>
      <c r="G65" s="74">
        <v>58</v>
      </c>
      <c r="H65" s="196">
        <v>45469</v>
      </c>
      <c r="I65" s="192">
        <v>54724364.399999999</v>
      </c>
      <c r="J65" s="192">
        <v>5472436.4400000004</v>
      </c>
      <c r="K65" s="192">
        <v>3197801.34</v>
      </c>
      <c r="L65" s="192">
        <v>0</v>
      </c>
      <c r="M65" s="192"/>
      <c r="N65" s="192">
        <f t="shared" si="0"/>
        <v>46054126.620000005</v>
      </c>
      <c r="O65" s="34"/>
      <c r="S65" s="90">
        <f t="shared" si="1"/>
        <v>0</v>
      </c>
    </row>
    <row r="66" spans="1:19" ht="53.25" customHeight="1" outlineLevel="1" x14ac:dyDescent="0.35">
      <c r="A66" s="193" t="s">
        <v>21</v>
      </c>
      <c r="B66" s="194">
        <v>901765663</v>
      </c>
      <c r="C66" s="195" t="s">
        <v>266</v>
      </c>
      <c r="D66" s="68" t="s">
        <v>245</v>
      </c>
      <c r="E66" s="68" t="s">
        <v>140</v>
      </c>
      <c r="F66" s="69" t="s">
        <v>311</v>
      </c>
      <c r="G66" s="74">
        <v>59</v>
      </c>
      <c r="H66" s="196">
        <v>45468</v>
      </c>
      <c r="I66" s="192">
        <v>10424801.029999999</v>
      </c>
      <c r="J66" s="192">
        <v>1042480.1</v>
      </c>
      <c r="K66" s="192">
        <v>618975.03</v>
      </c>
      <c r="L66" s="192">
        <v>0</v>
      </c>
      <c r="M66" s="192"/>
      <c r="N66" s="192">
        <f t="shared" si="0"/>
        <v>8763345.9000000004</v>
      </c>
      <c r="O66" s="34"/>
      <c r="S66" s="90">
        <f t="shared" si="1"/>
        <v>0</v>
      </c>
    </row>
    <row r="67" spans="1:19" ht="53.25" customHeight="1" outlineLevel="1" x14ac:dyDescent="0.35">
      <c r="A67" s="193" t="s">
        <v>21</v>
      </c>
      <c r="B67" s="194">
        <v>900246080</v>
      </c>
      <c r="C67" s="195" t="s">
        <v>357</v>
      </c>
      <c r="D67" s="68" t="s">
        <v>236</v>
      </c>
      <c r="E67" s="68" t="s">
        <v>140</v>
      </c>
      <c r="F67" s="69" t="s">
        <v>298</v>
      </c>
      <c r="G67" s="74">
        <v>60</v>
      </c>
      <c r="H67" s="196">
        <v>45470</v>
      </c>
      <c r="I67" s="192">
        <v>248799883.5</v>
      </c>
      <c r="J67" s="192">
        <v>24879988.350000001</v>
      </c>
      <c r="K67" s="192">
        <v>14995577.01</v>
      </c>
      <c r="L67" s="192">
        <v>0</v>
      </c>
      <c r="M67" s="192"/>
      <c r="N67" s="192">
        <f t="shared" si="0"/>
        <v>208924318.14000002</v>
      </c>
      <c r="O67" s="34"/>
      <c r="S67" s="90">
        <f t="shared" si="1"/>
        <v>0</v>
      </c>
    </row>
    <row r="68" spans="1:19" ht="53.25" customHeight="1" outlineLevel="1" x14ac:dyDescent="0.35">
      <c r="A68" s="193" t="s">
        <v>21</v>
      </c>
      <c r="B68" s="194">
        <v>900246080</v>
      </c>
      <c r="C68" s="195" t="s">
        <v>357</v>
      </c>
      <c r="D68" s="68" t="s">
        <v>236</v>
      </c>
      <c r="E68" s="68" t="s">
        <v>140</v>
      </c>
      <c r="F68" s="69" t="s">
        <v>301</v>
      </c>
      <c r="G68" s="74">
        <v>61</v>
      </c>
      <c r="H68" s="196">
        <v>45469</v>
      </c>
      <c r="I68" s="192">
        <v>379312868</v>
      </c>
      <c r="J68" s="192">
        <v>37931286.799999997</v>
      </c>
      <c r="K68" s="192">
        <v>31027605.329999998</v>
      </c>
      <c r="L68" s="192">
        <v>0</v>
      </c>
      <c r="M68" s="192"/>
      <c r="N68" s="192">
        <f t="shared" si="0"/>
        <v>310353975.87</v>
      </c>
      <c r="O68" s="34"/>
      <c r="S68" s="90">
        <f t="shared" si="1"/>
        <v>0</v>
      </c>
    </row>
    <row r="69" spans="1:19" ht="53.25" customHeight="1" outlineLevel="1" x14ac:dyDescent="0.35">
      <c r="A69" s="193" t="s">
        <v>21</v>
      </c>
      <c r="B69" s="194">
        <v>900246080</v>
      </c>
      <c r="C69" s="195" t="s">
        <v>357</v>
      </c>
      <c r="D69" s="68" t="s">
        <v>236</v>
      </c>
      <c r="E69" s="68" t="s">
        <v>140</v>
      </c>
      <c r="F69" s="69" t="s">
        <v>321</v>
      </c>
      <c r="G69" s="74">
        <v>61</v>
      </c>
      <c r="H69" s="196">
        <v>45469</v>
      </c>
      <c r="I69" s="192">
        <v>12536220.51</v>
      </c>
      <c r="J69" s="192">
        <v>1253622.05</v>
      </c>
      <c r="K69" s="192">
        <v>400316.29</v>
      </c>
      <c r="L69" s="192">
        <v>0</v>
      </c>
      <c r="M69" s="192"/>
      <c r="N69" s="192">
        <f t="shared" si="0"/>
        <v>10882282.17</v>
      </c>
      <c r="O69" s="34"/>
      <c r="S69" s="90">
        <f t="shared" si="1"/>
        <v>0</v>
      </c>
    </row>
    <row r="70" spans="1:19" ht="53.25" customHeight="1" outlineLevel="1" x14ac:dyDescent="0.35">
      <c r="A70" s="193" t="s">
        <v>21</v>
      </c>
      <c r="B70" s="194">
        <v>900503646</v>
      </c>
      <c r="C70" s="195" t="s">
        <v>350</v>
      </c>
      <c r="D70" s="68" t="s">
        <v>237</v>
      </c>
      <c r="E70" s="68" t="s">
        <v>140</v>
      </c>
      <c r="F70" s="69" t="s">
        <v>298</v>
      </c>
      <c r="G70" s="74">
        <v>62</v>
      </c>
      <c r="H70" s="196">
        <v>45468</v>
      </c>
      <c r="I70" s="192">
        <v>117119951.8</v>
      </c>
      <c r="J70" s="192">
        <v>11711995.18</v>
      </c>
      <c r="K70" s="192">
        <v>6532921.3499999996</v>
      </c>
      <c r="L70" s="192">
        <v>0</v>
      </c>
      <c r="M70" s="192"/>
      <c r="N70" s="192">
        <f t="shared" si="0"/>
        <v>98875035.270000011</v>
      </c>
      <c r="O70" s="34"/>
      <c r="S70" s="90">
        <f t="shared" si="1"/>
        <v>0</v>
      </c>
    </row>
    <row r="71" spans="1:19" ht="53.25" customHeight="1" outlineLevel="1" x14ac:dyDescent="0.35">
      <c r="A71" s="193" t="s">
        <v>21</v>
      </c>
      <c r="B71" s="194">
        <v>900503646</v>
      </c>
      <c r="C71" s="195" t="s">
        <v>350</v>
      </c>
      <c r="D71" s="68" t="s">
        <v>237</v>
      </c>
      <c r="E71" s="68" t="s">
        <v>140</v>
      </c>
      <c r="F71" s="69" t="s">
        <v>320</v>
      </c>
      <c r="G71" s="74">
        <v>63</v>
      </c>
      <c r="H71" s="196">
        <v>45470</v>
      </c>
      <c r="I71" s="192">
        <v>9543808.6999999993</v>
      </c>
      <c r="J71" s="192">
        <v>954380.87</v>
      </c>
      <c r="K71" s="192">
        <v>539568.19999999995</v>
      </c>
      <c r="L71" s="192">
        <v>0</v>
      </c>
      <c r="M71" s="192"/>
      <c r="N71" s="192">
        <f t="shared" si="0"/>
        <v>8049859.6299999999</v>
      </c>
      <c r="O71" s="34"/>
      <c r="S71" s="90">
        <f t="shared" si="1"/>
        <v>0</v>
      </c>
    </row>
    <row r="72" spans="1:19" ht="53.25" customHeight="1" outlineLevel="1" x14ac:dyDescent="0.35">
      <c r="A72" s="193" t="s">
        <v>21</v>
      </c>
      <c r="B72" s="194">
        <v>900549325</v>
      </c>
      <c r="C72" s="195" t="s">
        <v>358</v>
      </c>
      <c r="D72" s="68" t="s">
        <v>246</v>
      </c>
      <c r="E72" s="68" t="s">
        <v>140</v>
      </c>
      <c r="F72" s="69" t="s">
        <v>311</v>
      </c>
      <c r="G72" s="74">
        <v>64</v>
      </c>
      <c r="H72" s="196">
        <v>45469</v>
      </c>
      <c r="I72" s="192">
        <v>77102200.019999996</v>
      </c>
      <c r="J72" s="192">
        <v>7710220</v>
      </c>
      <c r="K72" s="192">
        <v>5741207.5199999996</v>
      </c>
      <c r="L72" s="192">
        <v>0</v>
      </c>
      <c r="M72" s="192"/>
      <c r="N72" s="192">
        <f t="shared" ref="N72:N134" si="2">+I72-J72-K72+M72-L72</f>
        <v>63650772.5</v>
      </c>
      <c r="O72" s="34"/>
      <c r="S72" s="90">
        <f t="shared" si="1"/>
        <v>0</v>
      </c>
    </row>
    <row r="73" spans="1:19" ht="53.25" customHeight="1" outlineLevel="1" x14ac:dyDescent="0.35">
      <c r="A73" s="193" t="s">
        <v>21</v>
      </c>
      <c r="B73" s="194">
        <v>901761848</v>
      </c>
      <c r="C73" s="195" t="s">
        <v>359</v>
      </c>
      <c r="D73" s="68" t="s">
        <v>247</v>
      </c>
      <c r="E73" s="68" t="s">
        <v>140</v>
      </c>
      <c r="F73" s="69" t="s">
        <v>320</v>
      </c>
      <c r="G73" s="74">
        <v>65</v>
      </c>
      <c r="H73" s="196">
        <v>45469</v>
      </c>
      <c r="I73" s="192">
        <v>34387547.75</v>
      </c>
      <c r="J73" s="192">
        <v>3438754.78</v>
      </c>
      <c r="K73" s="192">
        <v>1878311.43</v>
      </c>
      <c r="L73" s="192">
        <v>0</v>
      </c>
      <c r="M73" s="192"/>
      <c r="N73" s="192">
        <f t="shared" si="2"/>
        <v>29070481.539999999</v>
      </c>
      <c r="O73" s="34"/>
      <c r="S73" s="90">
        <f t="shared" ref="S73:S136" si="3">+ROUND(L73,2)</f>
        <v>0</v>
      </c>
    </row>
    <row r="74" spans="1:19" ht="53.25" customHeight="1" outlineLevel="1" x14ac:dyDescent="0.35">
      <c r="A74" s="193" t="s">
        <v>21</v>
      </c>
      <c r="B74" s="194">
        <v>901761848</v>
      </c>
      <c r="C74" s="195" t="s">
        <v>359</v>
      </c>
      <c r="D74" s="68" t="s">
        <v>247</v>
      </c>
      <c r="E74" s="68" t="s">
        <v>140</v>
      </c>
      <c r="F74" s="69" t="s">
        <v>322</v>
      </c>
      <c r="G74" s="74">
        <v>66</v>
      </c>
      <c r="H74" s="196">
        <v>45471</v>
      </c>
      <c r="I74" s="192">
        <v>14165876.189999999</v>
      </c>
      <c r="J74" s="192">
        <v>1416587.62</v>
      </c>
      <c r="K74" s="192">
        <v>773766.35</v>
      </c>
      <c r="L74" s="192">
        <v>0</v>
      </c>
      <c r="M74" s="192"/>
      <c r="N74" s="192">
        <f t="shared" si="2"/>
        <v>11975522.220000001</v>
      </c>
      <c r="O74" s="34"/>
      <c r="S74" s="90">
        <f t="shared" si="3"/>
        <v>0</v>
      </c>
    </row>
    <row r="75" spans="1:19" ht="53.25" customHeight="1" outlineLevel="1" x14ac:dyDescent="0.35">
      <c r="A75" s="193" t="s">
        <v>21</v>
      </c>
      <c r="B75" s="194">
        <v>900549325</v>
      </c>
      <c r="C75" s="195" t="s">
        <v>358</v>
      </c>
      <c r="D75" s="68" t="s">
        <v>249</v>
      </c>
      <c r="E75" s="68" t="s">
        <v>140</v>
      </c>
      <c r="F75" s="69" t="s">
        <v>311</v>
      </c>
      <c r="G75" s="74">
        <v>67</v>
      </c>
      <c r="H75" s="196">
        <v>45468</v>
      </c>
      <c r="I75" s="192">
        <v>1331918127.03</v>
      </c>
      <c r="J75" s="192">
        <v>133191812.7</v>
      </c>
      <c r="K75" s="192">
        <v>105752929.97</v>
      </c>
      <c r="L75" s="192">
        <v>0</v>
      </c>
      <c r="M75" s="192"/>
      <c r="N75" s="192">
        <f t="shared" si="2"/>
        <v>1092973384.3599999</v>
      </c>
      <c r="O75" s="34"/>
      <c r="S75" s="90">
        <f t="shared" si="3"/>
        <v>0</v>
      </c>
    </row>
    <row r="76" spans="1:19" ht="53.25" customHeight="1" outlineLevel="1" x14ac:dyDescent="0.35">
      <c r="A76" s="193" t="s">
        <v>363</v>
      </c>
      <c r="B76" s="194">
        <v>9050725</v>
      </c>
      <c r="C76" s="195" t="s">
        <v>355</v>
      </c>
      <c r="D76" s="68" t="s">
        <v>250</v>
      </c>
      <c r="E76" s="68" t="s">
        <v>140</v>
      </c>
      <c r="F76" s="69" t="s">
        <v>311</v>
      </c>
      <c r="G76" s="74">
        <v>68</v>
      </c>
      <c r="H76" s="196">
        <v>45485</v>
      </c>
      <c r="I76" s="192">
        <v>34510789.539999999</v>
      </c>
      <c r="J76" s="192">
        <v>3451078.95</v>
      </c>
      <c r="K76" s="192">
        <v>1885043.13</v>
      </c>
      <c r="L76" s="192">
        <v>0</v>
      </c>
      <c r="M76" s="192"/>
      <c r="N76" s="192">
        <f t="shared" si="2"/>
        <v>29174667.460000001</v>
      </c>
      <c r="O76" s="34"/>
      <c r="S76" s="90">
        <f t="shared" si="3"/>
        <v>0</v>
      </c>
    </row>
    <row r="77" spans="1:19" ht="53.25" customHeight="1" outlineLevel="1" x14ac:dyDescent="0.35">
      <c r="A77" s="193" t="s">
        <v>21</v>
      </c>
      <c r="B77" s="194">
        <v>900549325</v>
      </c>
      <c r="C77" s="195" t="s">
        <v>277</v>
      </c>
      <c r="D77" s="68" t="s">
        <v>346</v>
      </c>
      <c r="E77" s="68" t="s">
        <v>140</v>
      </c>
      <c r="F77" s="69" t="s">
        <v>298</v>
      </c>
      <c r="G77" s="74">
        <v>69</v>
      </c>
      <c r="H77" s="196">
        <v>45475</v>
      </c>
      <c r="I77" s="192">
        <v>259182000</v>
      </c>
      <c r="J77" s="192">
        <v>25918200</v>
      </c>
      <c r="K77" s="192">
        <v>15342690.949999999</v>
      </c>
      <c r="L77" s="192">
        <v>0</v>
      </c>
      <c r="M77" s="192"/>
      <c r="N77" s="192">
        <f t="shared" si="2"/>
        <v>217921109.05000001</v>
      </c>
      <c r="O77" s="34"/>
      <c r="S77" s="90">
        <f t="shared" si="3"/>
        <v>0</v>
      </c>
    </row>
    <row r="78" spans="1:19" ht="53.25" customHeight="1" outlineLevel="1" x14ac:dyDescent="0.35">
      <c r="A78" s="193" t="s">
        <v>21</v>
      </c>
      <c r="B78" s="194">
        <v>900549325</v>
      </c>
      <c r="C78" s="195" t="s">
        <v>277</v>
      </c>
      <c r="D78" s="68" t="s">
        <v>346</v>
      </c>
      <c r="E78" s="68" t="s">
        <v>140</v>
      </c>
      <c r="F78" s="69" t="s">
        <v>300</v>
      </c>
      <c r="G78" s="74">
        <v>70</v>
      </c>
      <c r="H78" s="196">
        <v>45471</v>
      </c>
      <c r="I78" s="192">
        <v>671656803</v>
      </c>
      <c r="J78" s="192">
        <v>67165680.299999997</v>
      </c>
      <c r="K78" s="192">
        <v>53330512.909999996</v>
      </c>
      <c r="L78" s="192">
        <v>0</v>
      </c>
      <c r="M78" s="192"/>
      <c r="N78" s="192">
        <f t="shared" si="2"/>
        <v>551160609.79000008</v>
      </c>
      <c r="O78" s="34"/>
      <c r="S78" s="90">
        <f t="shared" si="3"/>
        <v>0</v>
      </c>
    </row>
    <row r="79" spans="1:19" ht="53.25" customHeight="1" outlineLevel="1" x14ac:dyDescent="0.35">
      <c r="A79" s="193" t="s">
        <v>363</v>
      </c>
      <c r="B79" s="194">
        <v>19244715</v>
      </c>
      <c r="C79" s="195" t="s">
        <v>275</v>
      </c>
      <c r="D79" s="68" t="s">
        <v>254</v>
      </c>
      <c r="E79" s="68" t="s">
        <v>140</v>
      </c>
      <c r="F79" s="69" t="s">
        <v>298</v>
      </c>
      <c r="G79" s="74">
        <v>71</v>
      </c>
      <c r="H79" s="196">
        <v>45471</v>
      </c>
      <c r="I79" s="192">
        <v>107486631</v>
      </c>
      <c r="J79" s="192">
        <v>10748663.1</v>
      </c>
      <c r="K79" s="192">
        <v>5896208.75</v>
      </c>
      <c r="L79" s="192">
        <v>0</v>
      </c>
      <c r="M79" s="192"/>
      <c r="N79" s="192">
        <f t="shared" si="2"/>
        <v>90841759.150000006</v>
      </c>
      <c r="O79" s="34"/>
      <c r="S79" s="90">
        <f t="shared" si="3"/>
        <v>0</v>
      </c>
    </row>
    <row r="80" spans="1:19" ht="53.25" customHeight="1" outlineLevel="1" x14ac:dyDescent="0.35">
      <c r="A80" s="193" t="s">
        <v>363</v>
      </c>
      <c r="B80" s="194">
        <v>19244715</v>
      </c>
      <c r="C80" s="195" t="s">
        <v>275</v>
      </c>
      <c r="D80" s="68" t="s">
        <v>254</v>
      </c>
      <c r="E80" s="68" t="s">
        <v>140</v>
      </c>
      <c r="F80" s="69" t="s">
        <v>300</v>
      </c>
      <c r="G80" s="74">
        <v>72</v>
      </c>
      <c r="H80" s="196">
        <v>45471</v>
      </c>
      <c r="I80" s="192">
        <v>61200000.409999996</v>
      </c>
      <c r="J80" s="192">
        <v>6120000.04</v>
      </c>
      <c r="K80" s="192">
        <v>3354451.21</v>
      </c>
      <c r="L80" s="192">
        <v>0</v>
      </c>
      <c r="M80" s="192"/>
      <c r="N80" s="192">
        <f t="shared" si="2"/>
        <v>51725549.159999996</v>
      </c>
      <c r="O80" s="34"/>
      <c r="S80" s="90">
        <f t="shared" si="3"/>
        <v>0</v>
      </c>
    </row>
    <row r="81" spans="1:19" ht="53.25" customHeight="1" outlineLevel="1" x14ac:dyDescent="0.35">
      <c r="A81" s="193" t="s">
        <v>21</v>
      </c>
      <c r="B81" s="194">
        <v>901778790</v>
      </c>
      <c r="C81" s="195" t="s">
        <v>274</v>
      </c>
      <c r="D81" s="68" t="s">
        <v>345</v>
      </c>
      <c r="E81" s="68" t="s">
        <v>140</v>
      </c>
      <c r="F81" s="69" t="s">
        <v>301</v>
      </c>
      <c r="G81" s="74">
        <v>73</v>
      </c>
      <c r="H81" s="196">
        <v>45471</v>
      </c>
      <c r="I81" s="192">
        <v>811586307</v>
      </c>
      <c r="J81" s="192">
        <v>81158630.700000003</v>
      </c>
      <c r="K81" s="192">
        <v>66725111.43</v>
      </c>
      <c r="L81" s="192">
        <v>0</v>
      </c>
      <c r="M81" s="192"/>
      <c r="N81" s="192">
        <f t="shared" si="2"/>
        <v>663702564.87</v>
      </c>
      <c r="O81" s="34"/>
      <c r="S81" s="90">
        <f t="shared" si="3"/>
        <v>0</v>
      </c>
    </row>
    <row r="82" spans="1:19" ht="53.25" customHeight="1" outlineLevel="1" x14ac:dyDescent="0.35">
      <c r="A82" s="193" t="s">
        <v>363</v>
      </c>
      <c r="B82" s="194">
        <v>19244715</v>
      </c>
      <c r="C82" s="195" t="s">
        <v>275</v>
      </c>
      <c r="D82" s="68" t="s">
        <v>252</v>
      </c>
      <c r="E82" s="68" t="s">
        <v>140</v>
      </c>
      <c r="F82" s="69" t="s">
        <v>301</v>
      </c>
      <c r="G82" s="74">
        <v>74</v>
      </c>
      <c r="H82" s="196">
        <v>45471</v>
      </c>
      <c r="I82" s="192">
        <v>43496491.869999997</v>
      </c>
      <c r="J82" s="192">
        <v>4349649.1900000004</v>
      </c>
      <c r="K82" s="192">
        <v>2460686.7799999998</v>
      </c>
      <c r="L82" s="192">
        <v>0</v>
      </c>
      <c r="M82" s="192"/>
      <c r="N82" s="192">
        <f t="shared" si="2"/>
        <v>36686155.899999999</v>
      </c>
      <c r="O82" s="34"/>
      <c r="S82" s="90">
        <f t="shared" si="3"/>
        <v>0</v>
      </c>
    </row>
    <row r="83" spans="1:19" ht="53.25" customHeight="1" outlineLevel="1" x14ac:dyDescent="0.35">
      <c r="A83" s="193" t="s">
        <v>21</v>
      </c>
      <c r="B83" s="194">
        <v>901780031</v>
      </c>
      <c r="C83" s="195" t="s">
        <v>276</v>
      </c>
      <c r="D83" s="68" t="s">
        <v>347</v>
      </c>
      <c r="E83" s="68" t="s">
        <v>140</v>
      </c>
      <c r="F83" s="69" t="s">
        <v>300</v>
      </c>
      <c r="G83" s="74">
        <v>75</v>
      </c>
      <c r="H83" s="196">
        <v>45476</v>
      </c>
      <c r="I83" s="192">
        <v>1015562586</v>
      </c>
      <c r="J83" s="192">
        <v>101556258.59999999</v>
      </c>
      <c r="K83" s="192">
        <v>80634866.560000002</v>
      </c>
      <c r="L83" s="192">
        <v>0</v>
      </c>
      <c r="M83" s="192"/>
      <c r="N83" s="192">
        <f t="shared" si="2"/>
        <v>833371460.83999991</v>
      </c>
      <c r="O83" s="34"/>
      <c r="S83" s="90">
        <f t="shared" si="3"/>
        <v>0</v>
      </c>
    </row>
    <row r="84" spans="1:19" ht="53.25" customHeight="1" outlineLevel="1" x14ac:dyDescent="0.35">
      <c r="A84" s="193" t="s">
        <v>363</v>
      </c>
      <c r="B84" s="194">
        <v>19244715</v>
      </c>
      <c r="C84" s="195" t="s">
        <v>275</v>
      </c>
      <c r="D84" s="68" t="s">
        <v>253</v>
      </c>
      <c r="E84" s="68" t="s">
        <v>140</v>
      </c>
      <c r="F84" s="69" t="s">
        <v>300</v>
      </c>
      <c r="G84" s="74">
        <v>76</v>
      </c>
      <c r="H84" s="196">
        <v>45476</v>
      </c>
      <c r="I84" s="192">
        <v>63110188.979999997</v>
      </c>
      <c r="J84" s="192">
        <v>6311018.9000000004</v>
      </c>
      <c r="K84" s="192">
        <v>3447195.2</v>
      </c>
      <c r="L84" s="192">
        <v>0</v>
      </c>
      <c r="M84" s="192"/>
      <c r="N84" s="192">
        <f t="shared" si="2"/>
        <v>53351974.879999995</v>
      </c>
      <c r="O84" s="34"/>
      <c r="S84" s="90">
        <f t="shared" si="3"/>
        <v>0</v>
      </c>
    </row>
    <row r="85" spans="1:19" ht="53.25" customHeight="1" outlineLevel="1" x14ac:dyDescent="0.35">
      <c r="A85" s="193" t="s">
        <v>21</v>
      </c>
      <c r="B85" s="194">
        <v>900246080</v>
      </c>
      <c r="C85" s="195" t="s">
        <v>357</v>
      </c>
      <c r="D85" s="68" t="s">
        <v>236</v>
      </c>
      <c r="E85" s="68" t="s">
        <v>140</v>
      </c>
      <c r="F85" s="69" t="s">
        <v>323</v>
      </c>
      <c r="G85" s="74">
        <v>77</v>
      </c>
      <c r="H85" s="196">
        <v>45502</v>
      </c>
      <c r="I85" s="192">
        <v>27644431.5</v>
      </c>
      <c r="J85" s="192">
        <v>2764443.15</v>
      </c>
      <c r="K85" s="192">
        <v>1758599.35</v>
      </c>
      <c r="L85" s="192">
        <v>0</v>
      </c>
      <c r="M85" s="192"/>
      <c r="N85" s="192">
        <f t="shared" si="2"/>
        <v>23121389</v>
      </c>
      <c r="O85" s="34"/>
      <c r="S85" s="90">
        <f t="shared" si="3"/>
        <v>0</v>
      </c>
    </row>
    <row r="86" spans="1:19" ht="53.25" customHeight="1" outlineLevel="1" x14ac:dyDescent="0.35">
      <c r="A86" s="193" t="s">
        <v>21</v>
      </c>
      <c r="B86" s="194">
        <v>900246080</v>
      </c>
      <c r="C86" s="195" t="s">
        <v>357</v>
      </c>
      <c r="D86" s="68" t="s">
        <v>236</v>
      </c>
      <c r="E86" s="68" t="s">
        <v>140</v>
      </c>
      <c r="F86" s="69" t="s">
        <v>324</v>
      </c>
      <c r="G86" s="74">
        <v>78</v>
      </c>
      <c r="H86" s="196">
        <v>45502</v>
      </c>
      <c r="I86" s="192">
        <v>1603269977.51</v>
      </c>
      <c r="J86" s="192">
        <v>160326997.75</v>
      </c>
      <c r="K86" s="192">
        <v>130424361.36</v>
      </c>
      <c r="L86" s="192">
        <v>9526765</v>
      </c>
      <c r="M86" s="192"/>
      <c r="N86" s="192">
        <f t="shared" si="2"/>
        <v>1302991853.4000001</v>
      </c>
      <c r="O86" s="34"/>
      <c r="S86" s="90">
        <f t="shared" si="3"/>
        <v>9526765</v>
      </c>
    </row>
    <row r="87" spans="1:19" ht="53.25" customHeight="1" outlineLevel="1" x14ac:dyDescent="0.35">
      <c r="A87" s="193" t="s">
        <v>21</v>
      </c>
      <c r="B87" s="194">
        <v>900503646</v>
      </c>
      <c r="C87" s="195" t="s">
        <v>350</v>
      </c>
      <c r="D87" s="68" t="s">
        <v>237</v>
      </c>
      <c r="E87" s="68" t="s">
        <v>140</v>
      </c>
      <c r="F87" s="69" t="s">
        <v>325</v>
      </c>
      <c r="G87" s="74">
        <v>79</v>
      </c>
      <c r="H87" s="196">
        <v>45504</v>
      </c>
      <c r="I87" s="192">
        <v>13013327.98</v>
      </c>
      <c r="J87" s="192">
        <v>1301332.8</v>
      </c>
      <c r="K87" s="192">
        <v>777126.5</v>
      </c>
      <c r="L87" s="192">
        <v>0</v>
      </c>
      <c r="M87" s="192"/>
      <c r="N87" s="192">
        <f t="shared" si="2"/>
        <v>10934868.68</v>
      </c>
      <c r="O87" s="34"/>
      <c r="S87" s="90">
        <f t="shared" si="3"/>
        <v>0</v>
      </c>
    </row>
    <row r="88" spans="1:19" ht="53.25" customHeight="1" outlineLevel="1" x14ac:dyDescent="0.35">
      <c r="A88" s="193" t="s">
        <v>21</v>
      </c>
      <c r="B88" s="194">
        <v>900503646</v>
      </c>
      <c r="C88" s="195" t="s">
        <v>350</v>
      </c>
      <c r="D88" s="68" t="s">
        <v>237</v>
      </c>
      <c r="E88" s="68" t="s">
        <v>140</v>
      </c>
      <c r="F88" s="69" t="s">
        <v>326</v>
      </c>
      <c r="G88" s="74">
        <v>80</v>
      </c>
      <c r="H88" s="196">
        <v>45504</v>
      </c>
      <c r="I88" s="192">
        <v>43227703.189999998</v>
      </c>
      <c r="J88" s="192">
        <v>4322770.32</v>
      </c>
      <c r="K88" s="192">
        <v>2437058.17</v>
      </c>
      <c r="L88" s="192">
        <v>0</v>
      </c>
      <c r="M88" s="192"/>
      <c r="N88" s="192">
        <f t="shared" si="2"/>
        <v>36467874.699999996</v>
      </c>
      <c r="O88" s="34"/>
      <c r="S88" s="90">
        <f t="shared" si="3"/>
        <v>0</v>
      </c>
    </row>
    <row r="89" spans="1:19" ht="53.25" customHeight="1" outlineLevel="1" x14ac:dyDescent="0.35">
      <c r="A89" s="193" t="s">
        <v>21</v>
      </c>
      <c r="B89" s="194">
        <v>901760521</v>
      </c>
      <c r="C89" s="195" t="s">
        <v>265</v>
      </c>
      <c r="D89" s="68" t="s">
        <v>244</v>
      </c>
      <c r="E89" s="68" t="s">
        <v>140</v>
      </c>
      <c r="F89" s="69" t="s">
        <v>327</v>
      </c>
      <c r="G89" s="74">
        <v>81</v>
      </c>
      <c r="H89" s="196">
        <v>45504</v>
      </c>
      <c r="I89" s="192">
        <v>498179960</v>
      </c>
      <c r="J89" s="192">
        <v>49817996</v>
      </c>
      <c r="K89" s="192">
        <v>38479059.469999999</v>
      </c>
      <c r="L89" s="192">
        <v>0</v>
      </c>
      <c r="M89" s="192"/>
      <c r="N89" s="192">
        <f t="shared" si="2"/>
        <v>409882904.52999997</v>
      </c>
      <c r="O89" s="34"/>
      <c r="S89" s="90">
        <f t="shared" si="3"/>
        <v>0</v>
      </c>
    </row>
    <row r="90" spans="1:19" ht="53.25" customHeight="1" outlineLevel="1" x14ac:dyDescent="0.35">
      <c r="A90" s="193" t="s">
        <v>21</v>
      </c>
      <c r="B90" s="194">
        <v>901765663</v>
      </c>
      <c r="C90" s="195" t="s">
        <v>266</v>
      </c>
      <c r="D90" s="68" t="s">
        <v>245</v>
      </c>
      <c r="E90" s="68" t="s">
        <v>140</v>
      </c>
      <c r="F90" s="69" t="s">
        <v>328</v>
      </c>
      <c r="G90" s="74">
        <v>82</v>
      </c>
      <c r="H90" s="196">
        <v>45502</v>
      </c>
      <c r="I90" s="192">
        <v>8713018.1600000001</v>
      </c>
      <c r="J90" s="192">
        <v>871301.82</v>
      </c>
      <c r="K90" s="192">
        <v>496901.99</v>
      </c>
      <c r="L90" s="192">
        <v>0</v>
      </c>
      <c r="M90" s="192"/>
      <c r="N90" s="192">
        <f t="shared" si="2"/>
        <v>7344814.3499999996</v>
      </c>
      <c r="O90" s="34"/>
      <c r="S90" s="90">
        <f t="shared" si="3"/>
        <v>0</v>
      </c>
    </row>
    <row r="91" spans="1:19" ht="53.25" customHeight="1" outlineLevel="1" x14ac:dyDescent="0.35">
      <c r="A91" s="193" t="s">
        <v>21</v>
      </c>
      <c r="B91" s="194">
        <v>901761848</v>
      </c>
      <c r="C91" s="195" t="s">
        <v>359</v>
      </c>
      <c r="D91" s="68" t="s">
        <v>247</v>
      </c>
      <c r="E91" s="68" t="s">
        <v>140</v>
      </c>
      <c r="F91" s="69" t="s">
        <v>329</v>
      </c>
      <c r="G91" s="74">
        <v>83</v>
      </c>
      <c r="H91" s="196">
        <v>45504</v>
      </c>
      <c r="I91" s="192">
        <v>10235350.550000001</v>
      </c>
      <c r="J91" s="192">
        <v>1023535.06</v>
      </c>
      <c r="K91" s="192">
        <v>559073.77</v>
      </c>
      <c r="L91" s="192">
        <v>0</v>
      </c>
      <c r="M91" s="192"/>
      <c r="N91" s="192">
        <f t="shared" si="2"/>
        <v>8652741.7200000007</v>
      </c>
      <c r="O91" s="34"/>
      <c r="S91" s="90">
        <f t="shared" si="3"/>
        <v>0</v>
      </c>
    </row>
    <row r="92" spans="1:19" ht="53.25" customHeight="1" outlineLevel="1" x14ac:dyDescent="0.35">
      <c r="A92" s="193" t="s">
        <v>21</v>
      </c>
      <c r="B92" s="194">
        <v>900549325</v>
      </c>
      <c r="C92" s="195" t="s">
        <v>358</v>
      </c>
      <c r="D92" s="68" t="s">
        <v>249</v>
      </c>
      <c r="E92" s="68" t="s">
        <v>140</v>
      </c>
      <c r="F92" s="69" t="s">
        <v>328</v>
      </c>
      <c r="G92" s="74">
        <v>84</v>
      </c>
      <c r="H92" s="196">
        <v>45505</v>
      </c>
      <c r="I92" s="192">
        <v>824509886.88999999</v>
      </c>
      <c r="J92" s="192">
        <v>82450988.689999998</v>
      </c>
      <c r="K92" s="192">
        <v>68865663.370000005</v>
      </c>
      <c r="L92" s="192">
        <v>35000000</v>
      </c>
      <c r="M92" s="192"/>
      <c r="N92" s="192">
        <f t="shared" si="2"/>
        <v>638193234.83000004</v>
      </c>
      <c r="O92" s="34"/>
      <c r="S92" s="90">
        <f t="shared" si="3"/>
        <v>35000000</v>
      </c>
    </row>
    <row r="93" spans="1:19" ht="53.25" customHeight="1" outlineLevel="1" x14ac:dyDescent="0.35">
      <c r="A93" s="193" t="s">
        <v>363</v>
      </c>
      <c r="B93" s="194">
        <v>9050725</v>
      </c>
      <c r="C93" s="195" t="s">
        <v>360</v>
      </c>
      <c r="D93" s="68" t="s">
        <v>250</v>
      </c>
      <c r="E93" s="68" t="s">
        <v>140</v>
      </c>
      <c r="F93" s="69" t="s">
        <v>328</v>
      </c>
      <c r="G93" s="74">
        <v>85</v>
      </c>
      <c r="H93" s="196">
        <v>45505</v>
      </c>
      <c r="I93" s="192">
        <v>37973405.189999998</v>
      </c>
      <c r="J93" s="192">
        <v>3797340.52</v>
      </c>
      <c r="K93" s="192">
        <v>2157748.54</v>
      </c>
      <c r="L93" s="192">
        <v>0</v>
      </c>
      <c r="M93" s="192"/>
      <c r="N93" s="192">
        <f t="shared" si="2"/>
        <v>32018316.129999995</v>
      </c>
      <c r="O93" s="34"/>
      <c r="S93" s="90">
        <f t="shared" si="3"/>
        <v>0</v>
      </c>
    </row>
    <row r="94" spans="1:19" ht="53.25" customHeight="1" outlineLevel="1" x14ac:dyDescent="0.35">
      <c r="A94" s="193" t="s">
        <v>21</v>
      </c>
      <c r="B94" s="194">
        <v>901778790</v>
      </c>
      <c r="C94" s="195" t="s">
        <v>274</v>
      </c>
      <c r="D94" s="68" t="s">
        <v>345</v>
      </c>
      <c r="E94" s="68" t="s">
        <v>140</v>
      </c>
      <c r="F94" s="69" t="s">
        <v>330</v>
      </c>
      <c r="G94" s="74">
        <v>86</v>
      </c>
      <c r="H94" s="196">
        <v>45504</v>
      </c>
      <c r="I94" s="192">
        <v>256397400</v>
      </c>
      <c r="J94" s="192">
        <v>25639740</v>
      </c>
      <c r="K94" s="192">
        <v>15341181.529999999</v>
      </c>
      <c r="L94" s="192">
        <v>0</v>
      </c>
      <c r="M94" s="192"/>
      <c r="N94" s="192">
        <f t="shared" si="2"/>
        <v>215416478.47</v>
      </c>
      <c r="O94" s="34"/>
      <c r="S94" s="90">
        <f t="shared" si="3"/>
        <v>0</v>
      </c>
    </row>
    <row r="95" spans="1:19" ht="53.25" customHeight="1" outlineLevel="1" x14ac:dyDescent="0.35">
      <c r="A95" s="193" t="s">
        <v>21</v>
      </c>
      <c r="B95" s="194">
        <v>901778790</v>
      </c>
      <c r="C95" s="195" t="s">
        <v>274</v>
      </c>
      <c r="D95" s="68" t="s">
        <v>345</v>
      </c>
      <c r="E95" s="68" t="s">
        <v>140</v>
      </c>
      <c r="F95" s="69" t="s">
        <v>331</v>
      </c>
      <c r="G95" s="74">
        <v>87</v>
      </c>
      <c r="H95" s="196">
        <v>45504</v>
      </c>
      <c r="I95" s="192">
        <v>417332877</v>
      </c>
      <c r="J95" s="192">
        <v>41733287.700000003</v>
      </c>
      <c r="K95" s="192">
        <v>33980716.57</v>
      </c>
      <c r="L95" s="192">
        <v>0</v>
      </c>
      <c r="M95" s="192"/>
      <c r="N95" s="192">
        <f t="shared" si="2"/>
        <v>341618872.73000002</v>
      </c>
      <c r="O95" s="34"/>
      <c r="S95" s="90">
        <f t="shared" si="3"/>
        <v>0</v>
      </c>
    </row>
    <row r="96" spans="1:19" ht="53.25" customHeight="1" outlineLevel="1" x14ac:dyDescent="0.35">
      <c r="A96" s="193" t="s">
        <v>363</v>
      </c>
      <c r="B96" s="194">
        <v>19244715</v>
      </c>
      <c r="C96" s="195" t="s">
        <v>361</v>
      </c>
      <c r="D96" s="68" t="s">
        <v>252</v>
      </c>
      <c r="E96" s="68" t="s">
        <v>140</v>
      </c>
      <c r="F96" s="69" t="s">
        <v>330</v>
      </c>
      <c r="G96" s="74">
        <v>88</v>
      </c>
      <c r="H96" s="196">
        <v>45504</v>
      </c>
      <c r="I96" s="192">
        <v>113913380.7</v>
      </c>
      <c r="J96" s="192">
        <v>11391338.07</v>
      </c>
      <c r="K96" s="192">
        <v>6413610.5099999998</v>
      </c>
      <c r="L96" s="192">
        <v>0</v>
      </c>
      <c r="M96" s="192"/>
      <c r="N96" s="192">
        <f t="shared" si="2"/>
        <v>96108432.11999999</v>
      </c>
      <c r="O96" s="34"/>
      <c r="S96" s="90">
        <f t="shared" si="3"/>
        <v>0</v>
      </c>
    </row>
    <row r="97" spans="1:19" ht="53.25" customHeight="1" outlineLevel="1" x14ac:dyDescent="0.35">
      <c r="A97" s="193" t="s">
        <v>363</v>
      </c>
      <c r="B97" s="194">
        <v>19244715</v>
      </c>
      <c r="C97" s="195" t="s">
        <v>361</v>
      </c>
      <c r="D97" s="68" t="s">
        <v>252</v>
      </c>
      <c r="E97" s="68" t="s">
        <v>140</v>
      </c>
      <c r="F97" s="69" t="s">
        <v>331</v>
      </c>
      <c r="G97" s="74">
        <v>89</v>
      </c>
      <c r="H97" s="196">
        <v>45504</v>
      </c>
      <c r="I97" s="192">
        <v>24090078.289999999</v>
      </c>
      <c r="J97" s="192">
        <v>2409007.83</v>
      </c>
      <c r="K97" s="192">
        <v>1356592.09</v>
      </c>
      <c r="L97" s="192">
        <v>0</v>
      </c>
      <c r="M97" s="192"/>
      <c r="N97" s="192">
        <f t="shared" si="2"/>
        <v>20324478.370000001</v>
      </c>
      <c r="O97" s="34"/>
      <c r="S97" s="90">
        <f t="shared" si="3"/>
        <v>0</v>
      </c>
    </row>
    <row r="98" spans="1:19" ht="53.25" customHeight="1" outlineLevel="1" x14ac:dyDescent="0.35">
      <c r="A98" s="193" t="s">
        <v>21</v>
      </c>
      <c r="B98" s="194">
        <v>901780031</v>
      </c>
      <c r="C98" s="195" t="s">
        <v>276</v>
      </c>
      <c r="D98" s="68" t="s">
        <v>347</v>
      </c>
      <c r="E98" s="68" t="s">
        <v>140</v>
      </c>
      <c r="F98" s="69" t="s">
        <v>332</v>
      </c>
      <c r="G98" s="74">
        <v>90</v>
      </c>
      <c r="H98" s="196">
        <v>45502</v>
      </c>
      <c r="I98" s="192">
        <v>736891597</v>
      </c>
      <c r="J98" s="192">
        <v>73689159.700000003</v>
      </c>
      <c r="K98" s="192">
        <v>58508610.32</v>
      </c>
      <c r="L98" s="192">
        <v>0</v>
      </c>
      <c r="M98" s="192"/>
      <c r="N98" s="192">
        <f t="shared" si="2"/>
        <v>604693826.9799999</v>
      </c>
      <c r="O98" s="34"/>
      <c r="S98" s="90">
        <f t="shared" si="3"/>
        <v>0</v>
      </c>
    </row>
    <row r="99" spans="1:19" ht="53.25" customHeight="1" outlineLevel="1" x14ac:dyDescent="0.35">
      <c r="A99" s="193" t="s">
        <v>363</v>
      </c>
      <c r="B99" s="194">
        <v>19244715</v>
      </c>
      <c r="C99" s="195" t="s">
        <v>275</v>
      </c>
      <c r="D99" s="68" t="s">
        <v>253</v>
      </c>
      <c r="E99" s="68" t="s">
        <v>140</v>
      </c>
      <c r="F99" s="69" t="s">
        <v>332</v>
      </c>
      <c r="G99" s="74">
        <v>91</v>
      </c>
      <c r="H99" s="196">
        <v>45505</v>
      </c>
      <c r="I99" s="192">
        <v>36592617.189999998</v>
      </c>
      <c r="J99" s="192">
        <v>3659261.72</v>
      </c>
      <c r="K99" s="192">
        <v>1998756.4</v>
      </c>
      <c r="L99" s="192">
        <v>0</v>
      </c>
      <c r="M99" s="192"/>
      <c r="N99" s="192">
        <f t="shared" si="2"/>
        <v>30934599.07</v>
      </c>
      <c r="O99" s="34"/>
      <c r="S99" s="90">
        <f t="shared" si="3"/>
        <v>0</v>
      </c>
    </row>
    <row r="100" spans="1:19" ht="53.25" customHeight="1" outlineLevel="1" x14ac:dyDescent="0.35">
      <c r="A100" s="193" t="s">
        <v>21</v>
      </c>
      <c r="B100" s="194">
        <v>900549325</v>
      </c>
      <c r="C100" s="195" t="s">
        <v>277</v>
      </c>
      <c r="D100" s="68" t="s">
        <v>346</v>
      </c>
      <c r="E100" s="68" t="s">
        <v>140</v>
      </c>
      <c r="F100" s="69" t="s">
        <v>332</v>
      </c>
      <c r="G100" s="74">
        <v>93</v>
      </c>
      <c r="H100" s="196">
        <v>45504</v>
      </c>
      <c r="I100" s="192">
        <v>655311287</v>
      </c>
      <c r="J100" s="192">
        <v>65531128.700000003</v>
      </c>
      <c r="K100" s="192">
        <v>52926619.890000001</v>
      </c>
      <c r="L100" s="192">
        <v>0</v>
      </c>
      <c r="M100" s="192"/>
      <c r="N100" s="192">
        <f t="shared" si="2"/>
        <v>536853538.40999997</v>
      </c>
      <c r="O100" s="34"/>
      <c r="S100" s="90">
        <f t="shared" si="3"/>
        <v>0</v>
      </c>
    </row>
    <row r="101" spans="1:19" ht="53.25" customHeight="1" outlineLevel="1" x14ac:dyDescent="0.35">
      <c r="A101" s="193" t="s">
        <v>363</v>
      </c>
      <c r="B101" s="194">
        <v>19244715</v>
      </c>
      <c r="C101" s="195" t="s">
        <v>361</v>
      </c>
      <c r="D101" s="68" t="s">
        <v>254</v>
      </c>
      <c r="E101" s="68" t="s">
        <v>140</v>
      </c>
      <c r="F101" s="69" t="s">
        <v>332</v>
      </c>
      <c r="G101" s="74">
        <v>95</v>
      </c>
      <c r="H101" s="196">
        <v>45504</v>
      </c>
      <c r="I101" s="192">
        <v>36977086.979999997</v>
      </c>
      <c r="J101" s="192">
        <v>3697708.7</v>
      </c>
      <c r="K101" s="192">
        <v>2044017.53</v>
      </c>
      <c r="L101" s="192">
        <v>0</v>
      </c>
      <c r="M101" s="192"/>
      <c r="N101" s="192">
        <f t="shared" si="2"/>
        <v>31235360.749999996</v>
      </c>
      <c r="O101" s="34"/>
      <c r="S101" s="90">
        <f t="shared" si="3"/>
        <v>0</v>
      </c>
    </row>
    <row r="102" spans="1:19" ht="53.25" customHeight="1" outlineLevel="1" x14ac:dyDescent="0.35">
      <c r="A102" s="193" t="s">
        <v>21</v>
      </c>
      <c r="B102" s="194">
        <v>800096329</v>
      </c>
      <c r="C102" s="195" t="s">
        <v>354</v>
      </c>
      <c r="D102" s="68">
        <v>7031</v>
      </c>
      <c r="E102" s="68" t="s">
        <v>139</v>
      </c>
      <c r="F102" s="69" t="s">
        <v>319</v>
      </c>
      <c r="G102" s="74" t="s">
        <v>289</v>
      </c>
      <c r="H102" s="196">
        <v>45504</v>
      </c>
      <c r="I102" s="192">
        <v>528103317.87</v>
      </c>
      <c r="J102" s="192">
        <v>0</v>
      </c>
      <c r="K102" s="192">
        <v>48816273.079999998</v>
      </c>
      <c r="L102" s="192">
        <v>0</v>
      </c>
      <c r="M102" s="192"/>
      <c r="N102" s="192">
        <f t="shared" si="2"/>
        <v>479287044.79000002</v>
      </c>
      <c r="O102" s="34"/>
      <c r="S102" s="90">
        <f t="shared" si="3"/>
        <v>0</v>
      </c>
    </row>
    <row r="103" spans="1:19" ht="53.25" customHeight="1" outlineLevel="1" x14ac:dyDescent="0.35">
      <c r="A103" s="193" t="s">
        <v>21</v>
      </c>
      <c r="B103" s="194">
        <v>900246080</v>
      </c>
      <c r="C103" s="195" t="s">
        <v>357</v>
      </c>
      <c r="D103" s="68" t="s">
        <v>236</v>
      </c>
      <c r="E103" s="68" t="s">
        <v>140</v>
      </c>
      <c r="F103" s="69" t="s">
        <v>327</v>
      </c>
      <c r="G103" s="74">
        <v>96</v>
      </c>
      <c r="H103" s="196">
        <v>45530</v>
      </c>
      <c r="I103" s="192">
        <v>566236356.95000005</v>
      </c>
      <c r="J103" s="192">
        <v>56623635.700000003</v>
      </c>
      <c r="K103" s="192">
        <v>45347850.359999999</v>
      </c>
      <c r="L103" s="192">
        <v>9526468</v>
      </c>
      <c r="M103" s="192"/>
      <c r="N103" s="192">
        <f t="shared" si="2"/>
        <v>454738402.89000005</v>
      </c>
      <c r="O103" s="34"/>
      <c r="S103" s="90">
        <f t="shared" si="3"/>
        <v>9526468</v>
      </c>
    </row>
    <row r="104" spans="1:19" ht="53.25" customHeight="1" outlineLevel="1" x14ac:dyDescent="0.35">
      <c r="A104" s="193" t="s">
        <v>21</v>
      </c>
      <c r="B104" s="194">
        <v>900246080</v>
      </c>
      <c r="C104" s="195" t="s">
        <v>357</v>
      </c>
      <c r="D104" s="68" t="s">
        <v>236</v>
      </c>
      <c r="E104" s="68" t="s">
        <v>140</v>
      </c>
      <c r="F104" s="69" t="s">
        <v>333</v>
      </c>
      <c r="G104" s="74">
        <v>97</v>
      </c>
      <c r="H104" s="196">
        <v>45530</v>
      </c>
      <c r="I104" s="192">
        <v>32212441.02</v>
      </c>
      <c r="J104" s="192">
        <v>3221244.1</v>
      </c>
      <c r="K104" s="192">
        <v>2300888.64</v>
      </c>
      <c r="L104" s="192">
        <v>0</v>
      </c>
      <c r="M104" s="192"/>
      <c r="N104" s="192">
        <f t="shared" si="2"/>
        <v>26690308.279999997</v>
      </c>
      <c r="O104" s="34"/>
      <c r="S104" s="90">
        <f t="shared" si="3"/>
        <v>0</v>
      </c>
    </row>
    <row r="105" spans="1:19" ht="53.25" customHeight="1" outlineLevel="1" x14ac:dyDescent="0.35">
      <c r="A105" s="193" t="s">
        <v>21</v>
      </c>
      <c r="B105" s="194">
        <v>900503646</v>
      </c>
      <c r="C105" s="195" t="s">
        <v>350</v>
      </c>
      <c r="D105" s="68" t="s">
        <v>237</v>
      </c>
      <c r="E105" s="68" t="s">
        <v>140</v>
      </c>
      <c r="F105" s="69" t="s">
        <v>329</v>
      </c>
      <c r="G105" s="74">
        <v>98</v>
      </c>
      <c r="H105" s="196">
        <v>45526</v>
      </c>
      <c r="I105" s="192">
        <v>18614490.82</v>
      </c>
      <c r="J105" s="192">
        <v>1861449.08</v>
      </c>
      <c r="K105" s="192">
        <v>1032330.97</v>
      </c>
      <c r="L105" s="192">
        <v>0</v>
      </c>
      <c r="M105" s="192"/>
      <c r="N105" s="192">
        <f t="shared" si="2"/>
        <v>15720710.77</v>
      </c>
      <c r="O105" s="34"/>
      <c r="S105" s="90">
        <f t="shared" si="3"/>
        <v>0</v>
      </c>
    </row>
    <row r="106" spans="1:19" ht="53.25" customHeight="1" outlineLevel="1" x14ac:dyDescent="0.35">
      <c r="A106" s="193" t="s">
        <v>21</v>
      </c>
      <c r="B106" s="194">
        <v>901762612</v>
      </c>
      <c r="C106" s="195" t="s">
        <v>259</v>
      </c>
      <c r="D106" s="68" t="s">
        <v>238</v>
      </c>
      <c r="E106" s="68" t="s">
        <v>140</v>
      </c>
      <c r="F106" s="69" t="s">
        <v>331</v>
      </c>
      <c r="G106" s="74">
        <v>99</v>
      </c>
      <c r="H106" s="196">
        <v>45531</v>
      </c>
      <c r="I106" s="192">
        <v>448373933</v>
      </c>
      <c r="J106" s="192">
        <v>44837393.299999997</v>
      </c>
      <c r="K106" s="192">
        <v>35509107.920000002</v>
      </c>
      <c r="L106" s="192">
        <v>0</v>
      </c>
      <c r="M106" s="192"/>
      <c r="N106" s="192">
        <f t="shared" si="2"/>
        <v>368027431.77999997</v>
      </c>
      <c r="O106" s="34"/>
      <c r="S106" s="90">
        <f t="shared" si="3"/>
        <v>0</v>
      </c>
    </row>
    <row r="107" spans="1:19" ht="53.25" customHeight="1" outlineLevel="1" x14ac:dyDescent="0.35">
      <c r="A107" s="193" t="s">
        <v>21</v>
      </c>
      <c r="B107" s="194">
        <v>901762612</v>
      </c>
      <c r="C107" s="195" t="s">
        <v>259</v>
      </c>
      <c r="D107" s="68" t="s">
        <v>238</v>
      </c>
      <c r="E107" s="68" t="s">
        <v>140</v>
      </c>
      <c r="F107" s="69" t="s">
        <v>327</v>
      </c>
      <c r="G107" s="74">
        <v>100</v>
      </c>
      <c r="H107" s="196">
        <v>45531</v>
      </c>
      <c r="I107" s="192">
        <v>919975961</v>
      </c>
      <c r="J107" s="192">
        <v>91997596.099999994</v>
      </c>
      <c r="K107" s="192">
        <v>72446769.439999998</v>
      </c>
      <c r="L107" s="192">
        <v>0</v>
      </c>
      <c r="M107" s="192"/>
      <c r="N107" s="192">
        <f t="shared" si="2"/>
        <v>755531595.46000004</v>
      </c>
      <c r="O107" s="34"/>
      <c r="S107" s="90">
        <f t="shared" si="3"/>
        <v>0</v>
      </c>
    </row>
    <row r="108" spans="1:19" ht="53.25" customHeight="1" outlineLevel="1" x14ac:dyDescent="0.35">
      <c r="A108" s="193" t="s">
        <v>363</v>
      </c>
      <c r="B108" s="194">
        <v>9050725</v>
      </c>
      <c r="C108" s="195" t="s">
        <v>360</v>
      </c>
      <c r="D108" s="68" t="s">
        <v>250</v>
      </c>
      <c r="E108" s="68" t="s">
        <v>140</v>
      </c>
      <c r="F108" s="69" t="s">
        <v>334</v>
      </c>
      <c r="G108" s="74">
        <v>101</v>
      </c>
      <c r="H108" s="196">
        <v>45532</v>
      </c>
      <c r="I108" s="192">
        <v>31222393.449999999</v>
      </c>
      <c r="J108" s="192">
        <v>3122239.35</v>
      </c>
      <c r="K108" s="192">
        <v>1762678.19</v>
      </c>
      <c r="L108" s="192">
        <v>0</v>
      </c>
      <c r="M108" s="192"/>
      <c r="N108" s="192">
        <f t="shared" si="2"/>
        <v>26337475.909999996</v>
      </c>
      <c r="O108" s="34"/>
      <c r="S108" s="90">
        <f t="shared" si="3"/>
        <v>0</v>
      </c>
    </row>
    <row r="109" spans="1:19" ht="53.25" customHeight="1" outlineLevel="1" x14ac:dyDescent="0.35">
      <c r="A109" s="193" t="s">
        <v>21</v>
      </c>
      <c r="B109" s="194">
        <v>900345967</v>
      </c>
      <c r="C109" s="195" t="s">
        <v>356</v>
      </c>
      <c r="D109" s="68" t="s">
        <v>239</v>
      </c>
      <c r="E109" s="68" t="s">
        <v>140</v>
      </c>
      <c r="F109" s="69" t="s">
        <v>334</v>
      </c>
      <c r="G109" s="74">
        <v>102</v>
      </c>
      <c r="H109" s="196">
        <v>45538</v>
      </c>
      <c r="I109" s="192">
        <v>31204923.75</v>
      </c>
      <c r="J109" s="192">
        <v>3120492.38</v>
      </c>
      <c r="K109" s="192">
        <v>1704470.63</v>
      </c>
      <c r="L109" s="192">
        <v>0</v>
      </c>
      <c r="M109" s="192"/>
      <c r="N109" s="235">
        <f>+I109-J109-K109+M109-L109</f>
        <v>26379960.740000002</v>
      </c>
      <c r="O109" s="34"/>
      <c r="S109" s="90">
        <f t="shared" si="3"/>
        <v>0</v>
      </c>
    </row>
    <row r="110" spans="1:19" ht="53.25" customHeight="1" outlineLevel="1" x14ac:dyDescent="0.35">
      <c r="A110" s="193" t="s">
        <v>21</v>
      </c>
      <c r="B110" s="194">
        <v>900345967</v>
      </c>
      <c r="C110" s="195" t="s">
        <v>356</v>
      </c>
      <c r="D110" s="68" t="s">
        <v>239</v>
      </c>
      <c r="E110" s="68" t="s">
        <v>140</v>
      </c>
      <c r="F110" s="69" t="s">
        <v>329</v>
      </c>
      <c r="G110" s="74">
        <v>103</v>
      </c>
      <c r="H110" s="196">
        <v>45531</v>
      </c>
      <c r="I110" s="192">
        <v>22464456.25</v>
      </c>
      <c r="J110" s="192">
        <v>2246445.63</v>
      </c>
      <c r="K110" s="192">
        <v>1227050.1299999999</v>
      </c>
      <c r="L110" s="192">
        <v>0</v>
      </c>
      <c r="M110" s="192"/>
      <c r="N110" s="192">
        <f t="shared" si="2"/>
        <v>18990960.490000002</v>
      </c>
      <c r="O110" s="34"/>
      <c r="S110" s="90">
        <f t="shared" si="3"/>
        <v>0</v>
      </c>
    </row>
    <row r="111" spans="1:19" ht="53.25" customHeight="1" outlineLevel="1" x14ac:dyDescent="0.35">
      <c r="A111" s="193" t="s">
        <v>21</v>
      </c>
      <c r="B111" s="194">
        <v>901780031</v>
      </c>
      <c r="C111" s="195" t="s">
        <v>276</v>
      </c>
      <c r="D111" s="68" t="s">
        <v>347</v>
      </c>
      <c r="E111" s="68" t="s">
        <v>140</v>
      </c>
      <c r="F111" s="69" t="s">
        <v>330</v>
      </c>
      <c r="G111" s="74">
        <v>104</v>
      </c>
      <c r="H111" s="196">
        <v>45531</v>
      </c>
      <c r="I111" s="192">
        <v>271854310</v>
      </c>
      <c r="J111" s="192">
        <v>27185431</v>
      </c>
      <c r="K111" s="192">
        <v>15991430</v>
      </c>
      <c r="L111" s="192">
        <v>0</v>
      </c>
      <c r="M111" s="192"/>
      <c r="N111" s="192">
        <f t="shared" si="2"/>
        <v>228677449</v>
      </c>
      <c r="O111" s="34"/>
      <c r="S111" s="90">
        <f t="shared" si="3"/>
        <v>0</v>
      </c>
    </row>
    <row r="112" spans="1:19" ht="53.25" customHeight="1" outlineLevel="1" x14ac:dyDescent="0.35">
      <c r="A112" s="193" t="s">
        <v>21</v>
      </c>
      <c r="B112" s="194">
        <v>901780031</v>
      </c>
      <c r="C112" s="195" t="s">
        <v>276</v>
      </c>
      <c r="D112" s="68" t="s">
        <v>347</v>
      </c>
      <c r="E112" s="68" t="s">
        <v>140</v>
      </c>
      <c r="F112" s="69" t="s">
        <v>331</v>
      </c>
      <c r="G112" s="74">
        <v>105</v>
      </c>
      <c r="H112" s="196">
        <v>45531</v>
      </c>
      <c r="I112" s="192">
        <v>1097428498</v>
      </c>
      <c r="J112" s="192">
        <v>109742849.8</v>
      </c>
      <c r="K112" s="192">
        <v>87134955.120000005</v>
      </c>
      <c r="L112" s="192">
        <v>0</v>
      </c>
      <c r="M112" s="192"/>
      <c r="N112" s="192">
        <f t="shared" si="2"/>
        <v>900550693.08000004</v>
      </c>
      <c r="O112" s="34"/>
      <c r="S112" s="90">
        <f t="shared" si="3"/>
        <v>0</v>
      </c>
    </row>
    <row r="113" spans="1:19" ht="53.25" customHeight="1" outlineLevel="1" x14ac:dyDescent="0.35">
      <c r="A113" s="193" t="s">
        <v>21</v>
      </c>
      <c r="B113" s="194">
        <v>901760521</v>
      </c>
      <c r="C113" s="195" t="s">
        <v>265</v>
      </c>
      <c r="D113" s="68" t="s">
        <v>244</v>
      </c>
      <c r="E113" s="68" t="s">
        <v>140</v>
      </c>
      <c r="F113" s="69" t="s">
        <v>328</v>
      </c>
      <c r="G113" s="74">
        <v>106</v>
      </c>
      <c r="H113" s="196">
        <v>45531</v>
      </c>
      <c r="I113" s="192">
        <v>577715929</v>
      </c>
      <c r="J113" s="192">
        <v>57771592.899999999</v>
      </c>
      <c r="K113" s="192">
        <v>48792577</v>
      </c>
      <c r="L113" s="192">
        <v>0</v>
      </c>
      <c r="M113" s="192"/>
      <c r="N113" s="192">
        <f t="shared" si="2"/>
        <v>471151759.10000002</v>
      </c>
      <c r="O113" s="34"/>
      <c r="S113" s="90">
        <f t="shared" si="3"/>
        <v>0</v>
      </c>
    </row>
    <row r="114" spans="1:19" ht="53.25" customHeight="1" outlineLevel="1" x14ac:dyDescent="0.35">
      <c r="A114" s="193" t="s">
        <v>21</v>
      </c>
      <c r="B114" s="194">
        <v>901765663</v>
      </c>
      <c r="C114" s="195" t="s">
        <v>266</v>
      </c>
      <c r="D114" s="68" t="s">
        <v>245</v>
      </c>
      <c r="E114" s="68" t="s">
        <v>140</v>
      </c>
      <c r="F114" s="69" t="s">
        <v>334</v>
      </c>
      <c r="G114" s="74">
        <v>107</v>
      </c>
      <c r="H114" s="196">
        <v>45532</v>
      </c>
      <c r="I114" s="192">
        <v>35623330.68</v>
      </c>
      <c r="J114" s="192">
        <v>3562333.07</v>
      </c>
      <c r="K114" s="192">
        <v>2042983.71</v>
      </c>
      <c r="L114" s="192">
        <v>0</v>
      </c>
      <c r="M114" s="192"/>
      <c r="N114" s="192">
        <f t="shared" si="2"/>
        <v>30018013.899999999</v>
      </c>
      <c r="O114" s="34"/>
      <c r="S114" s="90">
        <f t="shared" si="3"/>
        <v>0</v>
      </c>
    </row>
    <row r="115" spans="1:19" ht="53.25" customHeight="1" outlineLevel="1" x14ac:dyDescent="0.35">
      <c r="A115" s="193" t="s">
        <v>363</v>
      </c>
      <c r="B115" s="194">
        <v>19244715</v>
      </c>
      <c r="C115" s="195" t="s">
        <v>275</v>
      </c>
      <c r="D115" s="68" t="s">
        <v>254</v>
      </c>
      <c r="E115" s="68" t="s">
        <v>140</v>
      </c>
      <c r="F115" s="69" t="s">
        <v>331</v>
      </c>
      <c r="G115" s="74">
        <v>108</v>
      </c>
      <c r="H115" s="196">
        <v>45533</v>
      </c>
      <c r="I115" s="192">
        <v>40308177.560000002</v>
      </c>
      <c r="J115" s="192">
        <v>4030817.76</v>
      </c>
      <c r="K115" s="192">
        <v>2221124.4500000002</v>
      </c>
      <c r="L115" s="192">
        <v>0</v>
      </c>
      <c r="M115" s="192"/>
      <c r="N115" s="192">
        <f t="shared" si="2"/>
        <v>34056235.350000001</v>
      </c>
      <c r="O115" s="34"/>
      <c r="S115" s="90">
        <f t="shared" si="3"/>
        <v>0</v>
      </c>
    </row>
    <row r="116" spans="1:19" ht="53.25" customHeight="1" outlineLevel="1" x14ac:dyDescent="0.35">
      <c r="A116" s="193" t="s">
        <v>363</v>
      </c>
      <c r="B116" s="194">
        <v>19244715</v>
      </c>
      <c r="C116" s="195" t="s">
        <v>361</v>
      </c>
      <c r="D116" s="68" t="s">
        <v>253</v>
      </c>
      <c r="E116" s="68" t="s">
        <v>140</v>
      </c>
      <c r="F116" s="69" t="s">
        <v>330</v>
      </c>
      <c r="G116" s="74">
        <v>109</v>
      </c>
      <c r="H116" s="196">
        <v>45539</v>
      </c>
      <c r="I116" s="192">
        <v>116956413</v>
      </c>
      <c r="J116" s="192">
        <v>11695641.300000001</v>
      </c>
      <c r="K116" s="192">
        <v>6388375.5</v>
      </c>
      <c r="L116" s="192">
        <v>0</v>
      </c>
      <c r="M116" s="192"/>
      <c r="N116" s="192">
        <f t="shared" si="2"/>
        <v>98872396.200000003</v>
      </c>
      <c r="O116" s="34"/>
      <c r="S116" s="90">
        <f t="shared" si="3"/>
        <v>0</v>
      </c>
    </row>
    <row r="117" spans="1:19" ht="53.25" customHeight="1" outlineLevel="1" x14ac:dyDescent="0.35">
      <c r="A117" s="193" t="s">
        <v>363</v>
      </c>
      <c r="B117" s="194">
        <v>19244715</v>
      </c>
      <c r="C117" s="195" t="s">
        <v>361</v>
      </c>
      <c r="D117" s="68" t="s">
        <v>253</v>
      </c>
      <c r="E117" s="68" t="s">
        <v>140</v>
      </c>
      <c r="F117" s="69" t="s">
        <v>331</v>
      </c>
      <c r="G117" s="74">
        <v>110</v>
      </c>
      <c r="H117" s="196">
        <v>45531</v>
      </c>
      <c r="I117" s="192">
        <v>44513619.840000004</v>
      </c>
      <c r="J117" s="192">
        <v>4451361.9800000004</v>
      </c>
      <c r="K117" s="192">
        <v>2431416.21</v>
      </c>
      <c r="L117" s="192">
        <v>0</v>
      </c>
      <c r="M117" s="192"/>
      <c r="N117" s="192">
        <f t="shared" si="2"/>
        <v>37630841.649999999</v>
      </c>
      <c r="O117" s="34"/>
      <c r="S117" s="90">
        <f t="shared" si="3"/>
        <v>0</v>
      </c>
    </row>
    <row r="118" spans="1:19" ht="53.25" customHeight="1" outlineLevel="1" x14ac:dyDescent="0.35">
      <c r="A118" s="193" t="s">
        <v>21</v>
      </c>
      <c r="B118" s="194">
        <v>900549325</v>
      </c>
      <c r="C118" s="195" t="s">
        <v>277</v>
      </c>
      <c r="D118" s="68" t="s">
        <v>346</v>
      </c>
      <c r="E118" s="68" t="s">
        <v>140</v>
      </c>
      <c r="F118" s="69" t="s">
        <v>331</v>
      </c>
      <c r="G118" s="74">
        <v>111</v>
      </c>
      <c r="H118" s="196">
        <v>45533</v>
      </c>
      <c r="I118" s="192">
        <v>784075361</v>
      </c>
      <c r="J118" s="192">
        <v>78407536.099999994</v>
      </c>
      <c r="K118" s="192">
        <v>62673695.75</v>
      </c>
      <c r="L118" s="192">
        <v>0</v>
      </c>
      <c r="M118" s="192"/>
      <c r="N118" s="192">
        <f t="shared" si="2"/>
        <v>642994129.14999998</v>
      </c>
      <c r="O118" s="34"/>
      <c r="S118" s="90">
        <f t="shared" si="3"/>
        <v>0</v>
      </c>
    </row>
    <row r="119" spans="1:19" ht="53.25" customHeight="1" outlineLevel="1" x14ac:dyDescent="0.35">
      <c r="A119" s="193" t="s">
        <v>363</v>
      </c>
      <c r="B119" s="194">
        <v>19244715</v>
      </c>
      <c r="C119" s="195" t="s">
        <v>361</v>
      </c>
      <c r="D119" s="68" t="s">
        <v>252</v>
      </c>
      <c r="E119" s="68" t="s">
        <v>140</v>
      </c>
      <c r="F119" s="69" t="s">
        <v>327</v>
      </c>
      <c r="G119" s="74">
        <v>112</v>
      </c>
      <c r="H119" s="196">
        <v>45532</v>
      </c>
      <c r="I119" s="192">
        <v>26151117.030000001</v>
      </c>
      <c r="J119" s="192">
        <v>2615111.7000000002</v>
      </c>
      <c r="K119" s="192">
        <v>1472629.59</v>
      </c>
      <c r="L119" s="192">
        <v>0</v>
      </c>
      <c r="M119" s="192"/>
      <c r="N119" s="192">
        <f t="shared" si="2"/>
        <v>22063375.740000002</v>
      </c>
      <c r="O119" s="34"/>
      <c r="S119" s="90">
        <f t="shared" si="3"/>
        <v>0</v>
      </c>
    </row>
    <row r="120" spans="1:19" ht="53.25" customHeight="1" outlineLevel="1" x14ac:dyDescent="0.35">
      <c r="A120" s="193" t="s">
        <v>21</v>
      </c>
      <c r="B120" s="194">
        <v>901813886</v>
      </c>
      <c r="C120" s="195" t="s">
        <v>269</v>
      </c>
      <c r="D120" s="68" t="s">
        <v>348</v>
      </c>
      <c r="E120" s="68" t="s">
        <v>140</v>
      </c>
      <c r="F120" s="69" t="s">
        <v>330</v>
      </c>
      <c r="G120" s="74">
        <v>113</v>
      </c>
      <c r="H120" s="196">
        <v>45532</v>
      </c>
      <c r="I120" s="192">
        <v>297303197.80000001</v>
      </c>
      <c r="J120" s="192">
        <v>29730319.780000001</v>
      </c>
      <c r="K120" s="192">
        <v>17488423.399999999</v>
      </c>
      <c r="L120" s="192">
        <v>0</v>
      </c>
      <c r="M120" s="192"/>
      <c r="N120" s="192">
        <f t="shared" si="2"/>
        <v>250084454.62</v>
      </c>
      <c r="O120" s="34"/>
      <c r="S120" s="90">
        <f t="shared" si="3"/>
        <v>0</v>
      </c>
    </row>
    <row r="121" spans="1:19" ht="53.25" customHeight="1" outlineLevel="1" x14ac:dyDescent="0.35">
      <c r="A121" s="193" t="s">
        <v>21</v>
      </c>
      <c r="B121" s="194">
        <v>900549325</v>
      </c>
      <c r="C121" s="195" t="s">
        <v>358</v>
      </c>
      <c r="D121" s="68" t="s">
        <v>249</v>
      </c>
      <c r="E121" s="68" t="s">
        <v>140</v>
      </c>
      <c r="F121" s="69" t="s">
        <v>334</v>
      </c>
      <c r="G121" s="74">
        <v>114</v>
      </c>
      <c r="H121" s="196">
        <v>45534</v>
      </c>
      <c r="I121" s="192">
        <v>258651354.38</v>
      </c>
      <c r="J121" s="192">
        <v>25865135.440000001</v>
      </c>
      <c r="K121" s="192">
        <v>22279990.27</v>
      </c>
      <c r="L121" s="192">
        <v>0</v>
      </c>
      <c r="M121" s="192"/>
      <c r="N121" s="192">
        <f t="shared" si="2"/>
        <v>210506228.66999999</v>
      </c>
      <c r="O121" s="34"/>
      <c r="S121" s="90">
        <f t="shared" si="3"/>
        <v>0</v>
      </c>
    </row>
    <row r="122" spans="1:19" ht="53.25" customHeight="1" outlineLevel="1" x14ac:dyDescent="0.35">
      <c r="A122" s="193" t="s">
        <v>21</v>
      </c>
      <c r="B122" s="194">
        <v>901778790</v>
      </c>
      <c r="C122" s="195" t="s">
        <v>274</v>
      </c>
      <c r="D122" s="68" t="s">
        <v>345</v>
      </c>
      <c r="E122" s="68" t="s">
        <v>140</v>
      </c>
      <c r="F122" s="69" t="s">
        <v>327</v>
      </c>
      <c r="G122" s="74">
        <v>116</v>
      </c>
      <c r="H122" s="196">
        <v>45532</v>
      </c>
      <c r="I122" s="192">
        <v>515978945</v>
      </c>
      <c r="J122" s="192">
        <v>51597894.5</v>
      </c>
      <c r="K122" s="192">
        <v>42008000</v>
      </c>
      <c r="L122" s="192">
        <v>0</v>
      </c>
      <c r="M122" s="192"/>
      <c r="N122" s="192">
        <f t="shared" si="2"/>
        <v>422373050.5</v>
      </c>
      <c r="O122" s="34"/>
      <c r="S122" s="90">
        <f t="shared" si="3"/>
        <v>0</v>
      </c>
    </row>
    <row r="123" spans="1:19" ht="53.25" customHeight="1" outlineLevel="1" x14ac:dyDescent="0.35">
      <c r="A123" s="193" t="s">
        <v>21</v>
      </c>
      <c r="B123" s="194">
        <v>901813886</v>
      </c>
      <c r="C123" s="195" t="s">
        <v>269</v>
      </c>
      <c r="D123" s="68" t="s">
        <v>348</v>
      </c>
      <c r="E123" s="68" t="s">
        <v>140</v>
      </c>
      <c r="F123" s="69" t="s">
        <v>335</v>
      </c>
      <c r="G123" s="74">
        <v>117</v>
      </c>
      <c r="H123" s="196">
        <v>45559</v>
      </c>
      <c r="I123" s="192">
        <v>1416273289.1500001</v>
      </c>
      <c r="J123" s="192">
        <v>141627328.91999999</v>
      </c>
      <c r="K123" s="192">
        <v>112455662.11</v>
      </c>
      <c r="L123" s="192">
        <v>0</v>
      </c>
      <c r="M123" s="192"/>
      <c r="N123" s="192">
        <f t="shared" si="2"/>
        <v>1162190298.1200001</v>
      </c>
      <c r="O123" s="34"/>
      <c r="S123" s="90">
        <f t="shared" si="3"/>
        <v>0</v>
      </c>
    </row>
    <row r="124" spans="1:19" ht="53.25" customHeight="1" outlineLevel="1" x14ac:dyDescent="0.35">
      <c r="A124" s="193" t="s">
        <v>21</v>
      </c>
      <c r="B124" s="194">
        <v>900549325</v>
      </c>
      <c r="C124" s="195" t="s">
        <v>358</v>
      </c>
      <c r="D124" s="68" t="s">
        <v>249</v>
      </c>
      <c r="E124" s="68" t="s">
        <v>140</v>
      </c>
      <c r="F124" s="69" t="s">
        <v>329</v>
      </c>
      <c r="G124" s="74">
        <v>118</v>
      </c>
      <c r="H124" s="196">
        <v>45553</v>
      </c>
      <c r="I124" s="192">
        <v>113120407.61</v>
      </c>
      <c r="J124" s="192">
        <v>5656020.3799999999</v>
      </c>
      <c r="K124" s="192">
        <v>3808600.71</v>
      </c>
      <c r="L124" s="192">
        <v>0</v>
      </c>
      <c r="M124" s="192"/>
      <c r="N124" s="192">
        <f t="shared" si="2"/>
        <v>103655786.52000001</v>
      </c>
      <c r="O124" s="34"/>
      <c r="S124" s="90">
        <f t="shared" si="3"/>
        <v>0</v>
      </c>
    </row>
    <row r="125" spans="1:19" ht="53.25" customHeight="1" outlineLevel="1" x14ac:dyDescent="0.35">
      <c r="A125" s="193" t="s">
        <v>363</v>
      </c>
      <c r="B125" s="194">
        <v>9050725</v>
      </c>
      <c r="C125" s="195" t="s">
        <v>355</v>
      </c>
      <c r="D125" s="68" t="s">
        <v>250</v>
      </c>
      <c r="E125" s="68" t="s">
        <v>140</v>
      </c>
      <c r="F125" s="69" t="s">
        <v>329</v>
      </c>
      <c r="G125" s="74">
        <v>119</v>
      </c>
      <c r="H125" s="196">
        <v>45553</v>
      </c>
      <c r="I125" s="192">
        <v>31390955.489999998</v>
      </c>
      <c r="J125" s="192">
        <v>3139095.55</v>
      </c>
      <c r="K125" s="192">
        <v>1921735.09</v>
      </c>
      <c r="L125" s="192">
        <v>0</v>
      </c>
      <c r="M125" s="192"/>
      <c r="N125" s="192">
        <f t="shared" si="2"/>
        <v>26330124.849999998</v>
      </c>
      <c r="O125" s="34"/>
      <c r="S125" s="90">
        <f t="shared" si="3"/>
        <v>0</v>
      </c>
    </row>
    <row r="126" spans="1:19" ht="53.25" customHeight="1" outlineLevel="1" x14ac:dyDescent="0.35">
      <c r="A126" s="193" t="s">
        <v>21</v>
      </c>
      <c r="B126" s="194">
        <v>900549325</v>
      </c>
      <c r="C126" s="195" t="s">
        <v>277</v>
      </c>
      <c r="D126" s="68" t="s">
        <v>346</v>
      </c>
      <c r="E126" s="68" t="s">
        <v>140</v>
      </c>
      <c r="F126" s="69" t="s">
        <v>327</v>
      </c>
      <c r="G126" s="74">
        <v>120</v>
      </c>
      <c r="H126" s="196">
        <v>45565</v>
      </c>
      <c r="I126" s="192">
        <v>901296469</v>
      </c>
      <c r="J126" s="192">
        <v>90129646.900000006</v>
      </c>
      <c r="K126" s="192">
        <v>71564231.569999993</v>
      </c>
      <c r="L126" s="192">
        <v>0</v>
      </c>
      <c r="M126" s="192"/>
      <c r="N126" s="192">
        <f t="shared" si="2"/>
        <v>739602590.52999997</v>
      </c>
      <c r="O126" s="34"/>
      <c r="S126" s="90">
        <f t="shared" si="3"/>
        <v>0</v>
      </c>
    </row>
    <row r="127" spans="1:19" ht="53.25" customHeight="1" outlineLevel="1" x14ac:dyDescent="0.35">
      <c r="A127" s="193" t="s">
        <v>363</v>
      </c>
      <c r="B127" s="194">
        <v>19244715</v>
      </c>
      <c r="C127" s="195" t="s">
        <v>275</v>
      </c>
      <c r="D127" s="68" t="s">
        <v>254</v>
      </c>
      <c r="E127" s="68" t="s">
        <v>140</v>
      </c>
      <c r="F127" s="69" t="s">
        <v>336</v>
      </c>
      <c r="G127" s="74">
        <v>121</v>
      </c>
      <c r="H127" s="196">
        <v>45553</v>
      </c>
      <c r="I127" s="192">
        <v>11942959</v>
      </c>
      <c r="J127" s="192">
        <v>1194295.8999999999</v>
      </c>
      <c r="K127" s="192">
        <v>658535.43000000005</v>
      </c>
      <c r="L127" s="192">
        <v>0</v>
      </c>
      <c r="M127" s="192"/>
      <c r="N127" s="192">
        <f t="shared" si="2"/>
        <v>10090127.67</v>
      </c>
      <c r="O127" s="34"/>
      <c r="S127" s="90">
        <f t="shared" si="3"/>
        <v>0</v>
      </c>
    </row>
    <row r="128" spans="1:19" ht="53.25" customHeight="1" outlineLevel="1" x14ac:dyDescent="0.35">
      <c r="A128" s="193" t="s">
        <v>363</v>
      </c>
      <c r="B128" s="194">
        <v>19244715</v>
      </c>
      <c r="C128" s="195" t="s">
        <v>275</v>
      </c>
      <c r="D128" s="68" t="s">
        <v>254</v>
      </c>
      <c r="E128" s="68" t="s">
        <v>140</v>
      </c>
      <c r="F128" s="69" t="s">
        <v>337</v>
      </c>
      <c r="G128" s="74">
        <v>122</v>
      </c>
      <c r="H128" s="196">
        <v>45553</v>
      </c>
      <c r="I128" s="192">
        <v>43351691.979999997</v>
      </c>
      <c r="J128" s="192">
        <v>4335169.2</v>
      </c>
      <c r="K128" s="192">
        <v>2378325.16</v>
      </c>
      <c r="L128" s="192">
        <v>0</v>
      </c>
      <c r="M128" s="192"/>
      <c r="N128" s="192">
        <f t="shared" si="2"/>
        <v>36638197.61999999</v>
      </c>
      <c r="O128" s="34"/>
      <c r="S128" s="90">
        <f t="shared" si="3"/>
        <v>0</v>
      </c>
    </row>
    <row r="129" spans="1:19" ht="53.25" customHeight="1" outlineLevel="1" x14ac:dyDescent="0.35">
      <c r="A129" s="193" t="s">
        <v>21</v>
      </c>
      <c r="B129" s="194">
        <v>901778790</v>
      </c>
      <c r="C129" s="195" t="s">
        <v>274</v>
      </c>
      <c r="D129" s="68" t="s">
        <v>345</v>
      </c>
      <c r="E129" s="68" t="s">
        <v>140</v>
      </c>
      <c r="F129" s="69" t="s">
        <v>338</v>
      </c>
      <c r="G129" s="74">
        <v>123</v>
      </c>
      <c r="H129" s="196">
        <v>45559</v>
      </c>
      <c r="I129" s="192">
        <v>28488600</v>
      </c>
      <c r="J129" s="192">
        <v>2848860</v>
      </c>
      <c r="K129" s="192">
        <v>1704575.73</v>
      </c>
      <c r="L129" s="192">
        <v>0</v>
      </c>
      <c r="M129" s="192"/>
      <c r="N129" s="192">
        <f t="shared" si="2"/>
        <v>23935164.27</v>
      </c>
      <c r="O129" s="34"/>
      <c r="S129" s="90">
        <f t="shared" si="3"/>
        <v>0</v>
      </c>
    </row>
    <row r="130" spans="1:19" ht="53.25" customHeight="1" outlineLevel="1" x14ac:dyDescent="0.35">
      <c r="A130" s="193" t="s">
        <v>21</v>
      </c>
      <c r="B130" s="194">
        <v>900246080</v>
      </c>
      <c r="C130" s="195" t="s">
        <v>357</v>
      </c>
      <c r="D130" s="68" t="s">
        <v>236</v>
      </c>
      <c r="E130" s="68" t="s">
        <v>140</v>
      </c>
      <c r="F130" s="69" t="s">
        <v>339</v>
      </c>
      <c r="G130" s="74">
        <v>124</v>
      </c>
      <c r="H130" s="196">
        <v>45559</v>
      </c>
      <c r="I130" s="192">
        <v>309625606.5</v>
      </c>
      <c r="J130" s="192">
        <v>30962560.649999999</v>
      </c>
      <c r="K130" s="192">
        <v>24711157.489999998</v>
      </c>
      <c r="L130" s="192">
        <v>9527062.0099999998</v>
      </c>
      <c r="M130" s="192"/>
      <c r="N130" s="192">
        <f t="shared" si="2"/>
        <v>244424826.35000002</v>
      </c>
      <c r="O130" s="34"/>
      <c r="S130" s="90">
        <f t="shared" si="3"/>
        <v>9527062.0099999998</v>
      </c>
    </row>
    <row r="131" spans="1:19" ht="53.25" customHeight="1" outlineLevel="1" x14ac:dyDescent="0.35">
      <c r="A131" s="193" t="s">
        <v>21</v>
      </c>
      <c r="B131" s="194">
        <v>900503646</v>
      </c>
      <c r="C131" s="195" t="s">
        <v>350</v>
      </c>
      <c r="D131" s="68" t="s">
        <v>237</v>
      </c>
      <c r="E131" s="68" t="s">
        <v>140</v>
      </c>
      <c r="F131" s="69" t="s">
        <v>340</v>
      </c>
      <c r="G131" s="74">
        <v>125</v>
      </c>
      <c r="H131" s="196">
        <v>45559</v>
      </c>
      <c r="I131" s="192">
        <v>11926941.619999999</v>
      </c>
      <c r="J131" s="192">
        <v>1192694.1599999999</v>
      </c>
      <c r="K131" s="192">
        <v>660811.56999999995</v>
      </c>
      <c r="L131" s="192">
        <v>0</v>
      </c>
      <c r="M131" s="192"/>
      <c r="N131" s="192">
        <f t="shared" si="2"/>
        <v>10073435.889999999</v>
      </c>
      <c r="O131" s="34"/>
      <c r="S131" s="90">
        <f t="shared" si="3"/>
        <v>0</v>
      </c>
    </row>
    <row r="132" spans="1:19" ht="53.25" customHeight="1" outlineLevel="1" x14ac:dyDescent="0.35">
      <c r="A132" s="193" t="s">
        <v>21</v>
      </c>
      <c r="B132" s="194">
        <v>901778790</v>
      </c>
      <c r="C132" s="195" t="s">
        <v>274</v>
      </c>
      <c r="D132" s="68" t="s">
        <v>345</v>
      </c>
      <c r="E132" s="68" t="s">
        <v>140</v>
      </c>
      <c r="F132" s="69" t="s">
        <v>328</v>
      </c>
      <c r="G132" s="74">
        <v>126</v>
      </c>
      <c r="H132" s="196">
        <v>45558</v>
      </c>
      <c r="I132" s="192">
        <v>599888783</v>
      </c>
      <c r="J132" s="192">
        <v>59988878.299999997</v>
      </c>
      <c r="K132" s="192">
        <v>48232025.460000001</v>
      </c>
      <c r="L132" s="192">
        <v>0</v>
      </c>
      <c r="M132" s="192"/>
      <c r="N132" s="192">
        <f t="shared" si="2"/>
        <v>491667879.24000007</v>
      </c>
      <c r="O132" s="34"/>
      <c r="S132" s="90">
        <f t="shared" si="3"/>
        <v>0</v>
      </c>
    </row>
    <row r="133" spans="1:19" ht="53.25" customHeight="1" outlineLevel="1" x14ac:dyDescent="0.35">
      <c r="A133" s="193" t="s">
        <v>21</v>
      </c>
      <c r="B133" s="194">
        <v>901765663</v>
      </c>
      <c r="C133" s="195" t="s">
        <v>266</v>
      </c>
      <c r="D133" s="68" t="s">
        <v>245</v>
      </c>
      <c r="E133" s="68" t="s">
        <v>140</v>
      </c>
      <c r="F133" s="69" t="s">
        <v>329</v>
      </c>
      <c r="G133" s="74">
        <v>128</v>
      </c>
      <c r="H133" s="196">
        <v>45559</v>
      </c>
      <c r="I133" s="192">
        <v>37610448.609999999</v>
      </c>
      <c r="J133" s="192">
        <v>3761044.86</v>
      </c>
      <c r="K133" s="192">
        <v>2191538.8199999998</v>
      </c>
      <c r="L133" s="192">
        <v>0</v>
      </c>
      <c r="M133" s="192"/>
      <c r="N133" s="192">
        <f t="shared" si="2"/>
        <v>31657864.93</v>
      </c>
      <c r="O133" s="34"/>
      <c r="S133" s="90">
        <f t="shared" si="3"/>
        <v>0</v>
      </c>
    </row>
    <row r="134" spans="1:19" ht="53.25" customHeight="1" outlineLevel="1" x14ac:dyDescent="0.35">
      <c r="A134" s="193" t="s">
        <v>21</v>
      </c>
      <c r="B134" s="194">
        <v>901760521</v>
      </c>
      <c r="C134" s="195" t="s">
        <v>265</v>
      </c>
      <c r="D134" s="68" t="s">
        <v>244</v>
      </c>
      <c r="E134" s="68" t="s">
        <v>140</v>
      </c>
      <c r="F134" s="69" t="s">
        <v>334</v>
      </c>
      <c r="G134" s="74">
        <v>129</v>
      </c>
      <c r="H134" s="196">
        <v>45565</v>
      </c>
      <c r="I134" s="192">
        <v>691332413</v>
      </c>
      <c r="J134" s="192">
        <v>69133241.299999997</v>
      </c>
      <c r="K134" s="192">
        <v>57600544.240000002</v>
      </c>
      <c r="L134" s="192">
        <v>0</v>
      </c>
      <c r="M134" s="192"/>
      <c r="N134" s="192">
        <f t="shared" si="2"/>
        <v>564598627.46000004</v>
      </c>
      <c r="O134" s="34"/>
      <c r="S134" s="90">
        <f t="shared" si="3"/>
        <v>0</v>
      </c>
    </row>
    <row r="135" spans="1:19" ht="53.25" customHeight="1" outlineLevel="1" x14ac:dyDescent="0.35">
      <c r="A135" s="193" t="s">
        <v>363</v>
      </c>
      <c r="B135" s="194">
        <v>19244715</v>
      </c>
      <c r="C135" s="195" t="s">
        <v>275</v>
      </c>
      <c r="D135" s="68" t="s">
        <v>252</v>
      </c>
      <c r="E135" s="68" t="s">
        <v>140</v>
      </c>
      <c r="F135" s="69" t="s">
        <v>328</v>
      </c>
      <c r="G135" s="74">
        <v>130</v>
      </c>
      <c r="H135" s="196">
        <v>45559</v>
      </c>
      <c r="I135" s="192">
        <v>27896045.550000001</v>
      </c>
      <c r="J135" s="192">
        <v>2789604.56</v>
      </c>
      <c r="K135" s="192">
        <v>1560197.58</v>
      </c>
      <c r="L135" s="192">
        <v>0</v>
      </c>
      <c r="M135" s="192"/>
      <c r="N135" s="192">
        <f>+I135-J135-K135+M135-L135</f>
        <v>23546243.410000004</v>
      </c>
      <c r="O135" s="34"/>
      <c r="S135" s="90">
        <f t="shared" si="3"/>
        <v>0</v>
      </c>
    </row>
    <row r="136" spans="1:19" ht="53.25" customHeight="1" outlineLevel="1" x14ac:dyDescent="0.35">
      <c r="A136" s="193" t="s">
        <v>363</v>
      </c>
      <c r="B136" s="194">
        <v>19244715</v>
      </c>
      <c r="C136" s="195" t="s">
        <v>275</v>
      </c>
      <c r="D136" s="68" t="s">
        <v>252</v>
      </c>
      <c r="E136" s="68" t="s">
        <v>140</v>
      </c>
      <c r="F136" s="69" t="s">
        <v>341</v>
      </c>
      <c r="G136" s="74">
        <v>131</v>
      </c>
      <c r="H136" s="196">
        <v>45559</v>
      </c>
      <c r="I136" s="192">
        <v>12657042.300000001</v>
      </c>
      <c r="J136" s="192">
        <v>1265704.23</v>
      </c>
      <c r="K136" s="192">
        <v>712623.39</v>
      </c>
      <c r="L136" s="192">
        <v>0</v>
      </c>
      <c r="M136" s="192"/>
      <c r="N136" s="192">
        <f t="shared" ref="N136:N199" si="4">+I136-J136-K136+M136-L136</f>
        <v>10678714.68</v>
      </c>
      <c r="O136" s="34"/>
      <c r="S136" s="90">
        <f t="shared" si="3"/>
        <v>0</v>
      </c>
    </row>
    <row r="137" spans="1:19" ht="53.25" customHeight="1" outlineLevel="1" x14ac:dyDescent="0.35">
      <c r="A137" s="193" t="s">
        <v>21</v>
      </c>
      <c r="B137" s="194">
        <v>901762612</v>
      </c>
      <c r="C137" s="195" t="s">
        <v>259</v>
      </c>
      <c r="D137" s="68" t="s">
        <v>238</v>
      </c>
      <c r="E137" s="68" t="s">
        <v>140</v>
      </c>
      <c r="F137" s="69" t="s">
        <v>328</v>
      </c>
      <c r="G137" s="74">
        <v>132</v>
      </c>
      <c r="H137" s="196">
        <v>45565</v>
      </c>
      <c r="I137" s="192">
        <v>372486642</v>
      </c>
      <c r="J137" s="192">
        <v>37248664.200000003</v>
      </c>
      <c r="K137" s="192">
        <v>29352385.84</v>
      </c>
      <c r="L137" s="192">
        <v>7808105.5999999996</v>
      </c>
      <c r="M137" s="192"/>
      <c r="N137" s="192">
        <f t="shared" si="4"/>
        <v>298077486.36000001</v>
      </c>
      <c r="O137" s="34"/>
      <c r="S137" s="90"/>
    </row>
    <row r="138" spans="1:19" ht="53.25" customHeight="1" outlineLevel="1" x14ac:dyDescent="0.35">
      <c r="A138" s="193" t="s">
        <v>21</v>
      </c>
      <c r="B138" s="194">
        <v>900345967</v>
      </c>
      <c r="C138" s="195" t="s">
        <v>356</v>
      </c>
      <c r="D138" s="68" t="s">
        <v>239</v>
      </c>
      <c r="E138" s="68" t="s">
        <v>140</v>
      </c>
      <c r="F138" s="69" t="s">
        <v>340</v>
      </c>
      <c r="G138" s="74">
        <v>133</v>
      </c>
      <c r="H138" s="196">
        <v>45562</v>
      </c>
      <c r="I138" s="192">
        <v>24318704.949999999</v>
      </c>
      <c r="J138" s="192">
        <v>2431870.5</v>
      </c>
      <c r="K138" s="192">
        <v>1328332.6200000001</v>
      </c>
      <c r="L138" s="192">
        <v>0</v>
      </c>
      <c r="M138" s="192"/>
      <c r="N138" s="192">
        <f t="shared" si="4"/>
        <v>20558501.829999998</v>
      </c>
      <c r="O138" s="34"/>
      <c r="S138" s="90">
        <f t="shared" ref="S138:S200" si="5">+ROUND(L138,2)</f>
        <v>0</v>
      </c>
    </row>
    <row r="139" spans="1:19" ht="53.25" customHeight="1" outlineLevel="1" x14ac:dyDescent="0.35">
      <c r="A139" s="193" t="s">
        <v>363</v>
      </c>
      <c r="B139" s="194">
        <v>19244715</v>
      </c>
      <c r="C139" s="195" t="s">
        <v>275</v>
      </c>
      <c r="D139" s="68" t="s">
        <v>253</v>
      </c>
      <c r="E139" s="68" t="s">
        <v>140</v>
      </c>
      <c r="F139" s="69" t="s">
        <v>327</v>
      </c>
      <c r="G139" s="74">
        <v>134</v>
      </c>
      <c r="H139" s="196">
        <v>45574</v>
      </c>
      <c r="I139" s="192">
        <v>37114339.350000001</v>
      </c>
      <c r="J139" s="192">
        <v>3711433.94</v>
      </c>
      <c r="K139" s="192">
        <v>2027253.83</v>
      </c>
      <c r="L139" s="192">
        <v>0</v>
      </c>
      <c r="M139" s="192"/>
      <c r="N139" s="192">
        <f t="shared" si="4"/>
        <v>31375651.579999998</v>
      </c>
      <c r="O139" s="34"/>
      <c r="S139" s="90">
        <f t="shared" si="5"/>
        <v>0</v>
      </c>
    </row>
    <row r="140" spans="1:19" ht="53.25" customHeight="1" outlineLevel="1" x14ac:dyDescent="0.35">
      <c r="A140" s="193" t="s">
        <v>21</v>
      </c>
      <c r="B140" s="194">
        <v>901780031</v>
      </c>
      <c r="C140" s="195" t="s">
        <v>276</v>
      </c>
      <c r="D140" s="68" t="s">
        <v>347</v>
      </c>
      <c r="E140" s="68" t="s">
        <v>140</v>
      </c>
      <c r="F140" s="69" t="s">
        <v>327</v>
      </c>
      <c r="G140" s="74">
        <v>135</v>
      </c>
      <c r="H140" s="196">
        <v>45565</v>
      </c>
      <c r="I140" s="192">
        <v>371826361</v>
      </c>
      <c r="J140" s="192">
        <v>37182636.100000001</v>
      </c>
      <c r="K140" s="192">
        <v>29522719.120000001</v>
      </c>
      <c r="L140" s="192">
        <v>0</v>
      </c>
      <c r="M140" s="192"/>
      <c r="N140" s="192">
        <f t="shared" si="4"/>
        <v>305121005.77999997</v>
      </c>
      <c r="O140" s="34"/>
      <c r="S140" s="90">
        <f t="shared" si="5"/>
        <v>0</v>
      </c>
    </row>
    <row r="141" spans="1:19" ht="53.25" customHeight="1" outlineLevel="1" x14ac:dyDescent="0.35">
      <c r="A141" s="193" t="s">
        <v>21</v>
      </c>
      <c r="B141" s="194">
        <v>800096329</v>
      </c>
      <c r="C141" s="195" t="s">
        <v>354</v>
      </c>
      <c r="D141" s="68">
        <v>7031</v>
      </c>
      <c r="E141" s="68" t="s">
        <v>139</v>
      </c>
      <c r="F141" s="69" t="s">
        <v>319</v>
      </c>
      <c r="G141" s="74" t="s">
        <v>297</v>
      </c>
      <c r="H141" s="196">
        <v>45562</v>
      </c>
      <c r="I141" s="192">
        <v>743463123.88</v>
      </c>
      <c r="J141" s="192">
        <v>0</v>
      </c>
      <c r="K141" s="192">
        <v>68723482.040000007</v>
      </c>
      <c r="L141" s="192">
        <v>0</v>
      </c>
      <c r="M141" s="192"/>
      <c r="N141" s="192">
        <f t="shared" si="4"/>
        <v>674739641.84000003</v>
      </c>
      <c r="O141" s="34"/>
      <c r="S141" s="90">
        <f t="shared" si="5"/>
        <v>0</v>
      </c>
    </row>
    <row r="142" spans="1:19" ht="53.25" customHeight="1" outlineLevel="1" x14ac:dyDescent="0.35">
      <c r="A142" s="193" t="s">
        <v>21</v>
      </c>
      <c r="B142" s="194">
        <v>901763421</v>
      </c>
      <c r="C142" s="195" t="s">
        <v>261</v>
      </c>
      <c r="D142" s="68" t="s">
        <v>240</v>
      </c>
      <c r="E142" s="68" t="s">
        <v>140</v>
      </c>
      <c r="F142" s="69" t="s">
        <v>342</v>
      </c>
      <c r="G142" s="74">
        <v>136</v>
      </c>
      <c r="H142" s="196">
        <v>45583</v>
      </c>
      <c r="I142" s="192">
        <v>0</v>
      </c>
      <c r="J142" s="192">
        <v>-474496015.30000001</v>
      </c>
      <c r="K142" s="192">
        <v>0</v>
      </c>
      <c r="L142" s="192">
        <v>0</v>
      </c>
      <c r="M142" s="192"/>
      <c r="N142" s="192">
        <f t="shared" si="4"/>
        <v>474496015.30000001</v>
      </c>
      <c r="O142" s="34"/>
      <c r="S142" s="90">
        <f t="shared" si="5"/>
        <v>0</v>
      </c>
    </row>
    <row r="143" spans="1:19" ht="53.25" customHeight="1" outlineLevel="1" x14ac:dyDescent="0.35">
      <c r="A143" s="193" t="s">
        <v>363</v>
      </c>
      <c r="B143" s="194">
        <v>19244715</v>
      </c>
      <c r="C143" s="195" t="s">
        <v>275</v>
      </c>
      <c r="D143" s="68" t="s">
        <v>252</v>
      </c>
      <c r="E143" s="68" t="s">
        <v>140</v>
      </c>
      <c r="F143" s="69" t="s">
        <v>334</v>
      </c>
      <c r="G143" s="74">
        <v>137</v>
      </c>
      <c r="H143" s="196">
        <v>45589</v>
      </c>
      <c r="I143" s="192">
        <v>21485329.93</v>
      </c>
      <c r="J143" s="192">
        <v>2148532.9900000002</v>
      </c>
      <c r="K143" s="192">
        <v>1210955.42</v>
      </c>
      <c r="L143" s="192">
        <v>0</v>
      </c>
      <c r="M143" s="192"/>
      <c r="N143" s="192">
        <f t="shared" si="4"/>
        <v>18125841.519999996</v>
      </c>
      <c r="O143" s="34"/>
      <c r="S143" s="90">
        <f t="shared" si="5"/>
        <v>0</v>
      </c>
    </row>
    <row r="144" spans="1:19" ht="53.25" customHeight="1" outlineLevel="1" x14ac:dyDescent="0.35">
      <c r="A144" s="193" t="s">
        <v>21</v>
      </c>
      <c r="B144" s="194">
        <v>901778790</v>
      </c>
      <c r="C144" s="195" t="s">
        <v>274</v>
      </c>
      <c r="D144" s="68" t="s">
        <v>345</v>
      </c>
      <c r="E144" s="68" t="s">
        <v>140</v>
      </c>
      <c r="F144" s="69" t="s">
        <v>334</v>
      </c>
      <c r="G144" s="74">
        <v>138</v>
      </c>
      <c r="H144" s="196">
        <v>45589</v>
      </c>
      <c r="I144" s="192">
        <v>292124859</v>
      </c>
      <c r="J144" s="192">
        <v>29212485.899999999</v>
      </c>
      <c r="K144" s="192">
        <v>23847747.25</v>
      </c>
      <c r="L144" s="192">
        <v>0</v>
      </c>
      <c r="M144" s="192"/>
      <c r="N144" s="192">
        <f t="shared" si="4"/>
        <v>239064625.84999999</v>
      </c>
      <c r="O144" s="34"/>
      <c r="S144" s="90">
        <f t="shared" si="5"/>
        <v>0</v>
      </c>
    </row>
    <row r="145" spans="1:19" ht="53.25" customHeight="1" outlineLevel="1" x14ac:dyDescent="0.35">
      <c r="A145" s="193" t="s">
        <v>21</v>
      </c>
      <c r="B145" s="194">
        <v>901780031</v>
      </c>
      <c r="C145" s="195" t="s">
        <v>276</v>
      </c>
      <c r="D145" s="68" t="s">
        <v>347</v>
      </c>
      <c r="E145" s="68" t="s">
        <v>140</v>
      </c>
      <c r="F145" s="69" t="s">
        <v>328</v>
      </c>
      <c r="G145" s="74">
        <v>139</v>
      </c>
      <c r="H145" s="196">
        <v>45589</v>
      </c>
      <c r="I145" s="192">
        <v>432410080</v>
      </c>
      <c r="J145" s="192">
        <v>43241008</v>
      </c>
      <c r="K145" s="192">
        <v>33660911.759999998</v>
      </c>
      <c r="L145" s="192">
        <v>0</v>
      </c>
      <c r="M145" s="192"/>
      <c r="N145" s="192">
        <f t="shared" si="4"/>
        <v>355508160.24000001</v>
      </c>
      <c r="O145" s="34"/>
      <c r="S145" s="90">
        <f t="shared" si="5"/>
        <v>0</v>
      </c>
    </row>
    <row r="146" spans="1:19" ht="53.25" customHeight="1" outlineLevel="1" x14ac:dyDescent="0.35">
      <c r="A146" s="193" t="s">
        <v>363</v>
      </c>
      <c r="B146" s="194">
        <v>19244715</v>
      </c>
      <c r="C146" s="195" t="s">
        <v>275</v>
      </c>
      <c r="D146" s="68" t="s">
        <v>253</v>
      </c>
      <c r="E146" s="68" t="s">
        <v>140</v>
      </c>
      <c r="F146" s="69" t="s">
        <v>328</v>
      </c>
      <c r="G146" s="74">
        <v>140</v>
      </c>
      <c r="H146" s="196">
        <v>45589</v>
      </c>
      <c r="I146" s="192">
        <v>38445929.399999999</v>
      </c>
      <c r="J146" s="192">
        <v>3844592.94</v>
      </c>
      <c r="K146" s="192">
        <v>2099987.7400000002</v>
      </c>
      <c r="L146" s="192">
        <v>0</v>
      </c>
      <c r="M146" s="192"/>
      <c r="N146" s="192">
        <f t="shared" si="4"/>
        <v>32501348.719999999</v>
      </c>
      <c r="O146" s="34"/>
      <c r="S146" s="90">
        <f t="shared" si="5"/>
        <v>0</v>
      </c>
    </row>
    <row r="147" spans="1:19" ht="53.25" customHeight="1" outlineLevel="1" x14ac:dyDescent="0.35">
      <c r="A147" s="193" t="s">
        <v>21</v>
      </c>
      <c r="B147" s="194">
        <v>901813886</v>
      </c>
      <c r="C147" s="195" t="s">
        <v>269</v>
      </c>
      <c r="D147" s="68" t="s">
        <v>348</v>
      </c>
      <c r="E147" s="68" t="s">
        <v>140</v>
      </c>
      <c r="F147" s="69" t="s">
        <v>332</v>
      </c>
      <c r="G147" s="74">
        <v>141</v>
      </c>
      <c r="H147" s="196">
        <v>45593</v>
      </c>
      <c r="I147" s="192">
        <v>1297260446.1500001</v>
      </c>
      <c r="J147" s="192">
        <v>129726044.61</v>
      </c>
      <c r="K147" s="192">
        <v>100706620.05</v>
      </c>
      <c r="L147" s="192">
        <v>0</v>
      </c>
      <c r="M147" s="192"/>
      <c r="N147" s="192">
        <f t="shared" si="4"/>
        <v>1066827781.4900002</v>
      </c>
      <c r="O147" s="34"/>
      <c r="S147" s="90">
        <f t="shared" si="5"/>
        <v>0</v>
      </c>
    </row>
    <row r="148" spans="1:19" ht="53.25" customHeight="1" outlineLevel="1" x14ac:dyDescent="0.35">
      <c r="A148" s="193" t="s">
        <v>363</v>
      </c>
      <c r="B148" s="194">
        <v>80418195</v>
      </c>
      <c r="C148" s="195" t="s">
        <v>270</v>
      </c>
      <c r="D148" s="68" t="s">
        <v>248</v>
      </c>
      <c r="E148" s="68" t="s">
        <v>140</v>
      </c>
      <c r="F148" s="69" t="s">
        <v>330</v>
      </c>
      <c r="G148" s="74">
        <v>142</v>
      </c>
      <c r="H148" s="196">
        <v>45589</v>
      </c>
      <c r="I148" s="192">
        <v>121499000</v>
      </c>
      <c r="J148" s="192">
        <v>12149900</v>
      </c>
      <c r="K148" s="192">
        <v>6636500</v>
      </c>
      <c r="L148" s="192">
        <v>0</v>
      </c>
      <c r="M148" s="192"/>
      <c r="N148" s="192">
        <f t="shared" si="4"/>
        <v>102712600</v>
      </c>
      <c r="O148" s="34"/>
      <c r="S148" s="90">
        <f t="shared" si="5"/>
        <v>0</v>
      </c>
    </row>
    <row r="149" spans="1:19" ht="53.25" customHeight="1" outlineLevel="1" x14ac:dyDescent="0.35">
      <c r="A149" s="193" t="s">
        <v>21</v>
      </c>
      <c r="B149" s="194">
        <v>901765663</v>
      </c>
      <c r="C149" s="195" t="s">
        <v>266</v>
      </c>
      <c r="D149" s="68" t="s">
        <v>245</v>
      </c>
      <c r="E149" s="68" t="s">
        <v>140</v>
      </c>
      <c r="F149" s="69" t="s">
        <v>340</v>
      </c>
      <c r="G149" s="74">
        <v>143</v>
      </c>
      <c r="H149" s="196">
        <v>45583</v>
      </c>
      <c r="I149" s="192">
        <v>24708059.079999998</v>
      </c>
      <c r="J149" s="192">
        <v>2470805.91</v>
      </c>
      <c r="K149" s="192">
        <v>1446605.05</v>
      </c>
      <c r="L149" s="192">
        <v>0</v>
      </c>
      <c r="M149" s="192"/>
      <c r="N149" s="192">
        <f t="shared" si="4"/>
        <v>20790648.119999997</v>
      </c>
      <c r="O149" s="34"/>
      <c r="S149" s="90">
        <f t="shared" si="5"/>
        <v>0</v>
      </c>
    </row>
    <row r="150" spans="1:19" ht="53.25" customHeight="1" outlineLevel="1" x14ac:dyDescent="0.35">
      <c r="A150" s="193" t="s">
        <v>21</v>
      </c>
      <c r="B150" s="194">
        <v>900549325</v>
      </c>
      <c r="C150" s="195" t="s">
        <v>277</v>
      </c>
      <c r="D150" s="68" t="s">
        <v>346</v>
      </c>
      <c r="E150" s="68" t="s">
        <v>140</v>
      </c>
      <c r="F150" s="69" t="s">
        <v>341</v>
      </c>
      <c r="G150" s="74">
        <v>145</v>
      </c>
      <c r="H150" s="196">
        <v>45589</v>
      </c>
      <c r="I150" s="192">
        <v>28798000</v>
      </c>
      <c r="J150" s="192">
        <v>2879800</v>
      </c>
      <c r="K150" s="192">
        <v>1706615.87</v>
      </c>
      <c r="L150" s="192">
        <v>0</v>
      </c>
      <c r="M150" s="192"/>
      <c r="N150" s="192">
        <f t="shared" si="4"/>
        <v>24211584.129999999</v>
      </c>
      <c r="O150" s="34"/>
      <c r="S150" s="90">
        <f t="shared" si="5"/>
        <v>0</v>
      </c>
    </row>
    <row r="151" spans="1:19" ht="53.25" customHeight="1" outlineLevel="1" x14ac:dyDescent="0.35">
      <c r="A151" s="193" t="s">
        <v>21</v>
      </c>
      <c r="B151" s="194">
        <v>900549325</v>
      </c>
      <c r="C151" s="195" t="s">
        <v>277</v>
      </c>
      <c r="D151" s="68" t="s">
        <v>346</v>
      </c>
      <c r="E151" s="68" t="s">
        <v>140</v>
      </c>
      <c r="F151" s="69" t="s">
        <v>328</v>
      </c>
      <c r="G151" s="74">
        <v>146</v>
      </c>
      <c r="H151" s="196">
        <v>45589</v>
      </c>
      <c r="I151" s="192">
        <v>546732464</v>
      </c>
      <c r="J151" s="192">
        <v>54673246.399999999</v>
      </c>
      <c r="K151" s="192">
        <v>42111989.200000003</v>
      </c>
      <c r="L151" s="192">
        <v>0</v>
      </c>
      <c r="M151" s="192"/>
      <c r="N151" s="192">
        <f t="shared" si="4"/>
        <v>449947228.40000004</v>
      </c>
      <c r="O151" s="34"/>
      <c r="S151" s="90">
        <f t="shared" si="5"/>
        <v>0</v>
      </c>
    </row>
    <row r="152" spans="1:19" ht="53.25" customHeight="1" outlineLevel="1" x14ac:dyDescent="0.35">
      <c r="A152" s="193" t="s">
        <v>363</v>
      </c>
      <c r="B152" s="194">
        <v>19244715</v>
      </c>
      <c r="C152" s="195" t="s">
        <v>275</v>
      </c>
      <c r="D152" s="68" t="s">
        <v>254</v>
      </c>
      <c r="E152" s="68" t="s">
        <v>140</v>
      </c>
      <c r="F152" s="69" t="s">
        <v>328</v>
      </c>
      <c r="G152" s="74">
        <v>147</v>
      </c>
      <c r="H152" s="196">
        <v>45587</v>
      </c>
      <c r="I152" s="192">
        <v>34173219.390000001</v>
      </c>
      <c r="J152" s="192">
        <v>3417321.9</v>
      </c>
      <c r="K152" s="192">
        <v>1876980</v>
      </c>
      <c r="L152" s="192">
        <v>0</v>
      </c>
      <c r="M152" s="192"/>
      <c r="N152" s="192">
        <f t="shared" si="4"/>
        <v>28878917.490000002</v>
      </c>
      <c r="O152" s="34"/>
      <c r="S152" s="90">
        <f t="shared" si="5"/>
        <v>0</v>
      </c>
    </row>
    <row r="153" spans="1:19" ht="53.25" customHeight="1" outlineLevel="1" x14ac:dyDescent="0.35">
      <c r="A153" s="193" t="s">
        <v>21</v>
      </c>
      <c r="B153" s="194">
        <v>901762612</v>
      </c>
      <c r="C153" s="195" t="s">
        <v>259</v>
      </c>
      <c r="D153" s="68" t="s">
        <v>238</v>
      </c>
      <c r="E153" s="68" t="s">
        <v>140</v>
      </c>
      <c r="F153" s="69" t="s">
        <v>334</v>
      </c>
      <c r="G153" s="74">
        <v>148</v>
      </c>
      <c r="H153" s="196">
        <v>45587</v>
      </c>
      <c r="I153" s="192">
        <v>153265453</v>
      </c>
      <c r="J153" s="192">
        <v>15326545.300000001</v>
      </c>
      <c r="K153" s="192">
        <v>12112169.68</v>
      </c>
      <c r="L153" s="192">
        <v>0</v>
      </c>
      <c r="M153" s="192"/>
      <c r="N153" s="192">
        <f t="shared" si="4"/>
        <v>125826738.01999998</v>
      </c>
      <c r="O153" s="34"/>
      <c r="S153" s="90">
        <f t="shared" si="5"/>
        <v>0</v>
      </c>
    </row>
    <row r="154" spans="1:19" ht="53.25" customHeight="1" outlineLevel="1" x14ac:dyDescent="0.35">
      <c r="A154" s="193" t="s">
        <v>21</v>
      </c>
      <c r="B154" s="194">
        <v>900345967</v>
      </c>
      <c r="C154" s="195" t="s">
        <v>356</v>
      </c>
      <c r="D154" s="68" t="s">
        <v>239</v>
      </c>
      <c r="E154" s="68" t="s">
        <v>140</v>
      </c>
      <c r="F154" s="69" t="s">
        <v>343</v>
      </c>
      <c r="G154" s="74">
        <v>149</v>
      </c>
      <c r="H154" s="196">
        <v>45593</v>
      </c>
      <c r="I154" s="192">
        <v>9091336.0800000001</v>
      </c>
      <c r="J154" s="192">
        <v>909133.61</v>
      </c>
      <c r="K154" s="192">
        <v>496585.58</v>
      </c>
      <c r="L154" s="192">
        <v>0</v>
      </c>
      <c r="M154" s="192"/>
      <c r="N154" s="192">
        <f t="shared" si="4"/>
        <v>7685616.8899999997</v>
      </c>
      <c r="O154" s="34"/>
      <c r="S154" s="90">
        <f t="shared" si="5"/>
        <v>0</v>
      </c>
    </row>
    <row r="155" spans="1:19" ht="53.25" customHeight="1" outlineLevel="1" x14ac:dyDescent="0.35">
      <c r="A155" s="193" t="s">
        <v>21</v>
      </c>
      <c r="B155" s="194">
        <v>800096329</v>
      </c>
      <c r="C155" s="195" t="s">
        <v>354</v>
      </c>
      <c r="D155" s="68">
        <v>7031</v>
      </c>
      <c r="E155" s="68" t="s">
        <v>139</v>
      </c>
      <c r="F155" s="69" t="s">
        <v>344</v>
      </c>
      <c r="G155" s="74" t="s">
        <v>293</v>
      </c>
      <c r="H155" s="196">
        <v>45593</v>
      </c>
      <c r="I155" s="192">
        <v>268938160.13999999</v>
      </c>
      <c r="J155" s="192">
        <v>0</v>
      </c>
      <c r="K155" s="192">
        <v>24859829.93</v>
      </c>
      <c r="L155" s="192">
        <v>0</v>
      </c>
      <c r="M155" s="192"/>
      <c r="N155" s="192">
        <f t="shared" si="4"/>
        <v>244078330.20999998</v>
      </c>
      <c r="O155" s="34"/>
      <c r="S155" s="90">
        <f t="shared" si="5"/>
        <v>0</v>
      </c>
    </row>
    <row r="156" spans="1:19" ht="53.25" customHeight="1" outlineLevel="1" x14ac:dyDescent="0.35">
      <c r="A156" s="193" t="s">
        <v>21</v>
      </c>
      <c r="B156" s="194">
        <v>899999090</v>
      </c>
      <c r="C156" s="195" t="s">
        <v>364</v>
      </c>
      <c r="D156" s="68" t="s">
        <v>54</v>
      </c>
      <c r="E156" s="68" t="s">
        <v>135</v>
      </c>
      <c r="F156" s="69" t="s">
        <v>368</v>
      </c>
      <c r="G156" s="74" t="s">
        <v>54</v>
      </c>
      <c r="H156" s="196">
        <v>45328</v>
      </c>
      <c r="I156" s="192">
        <v>16997824.09</v>
      </c>
      <c r="J156" s="192">
        <v>0</v>
      </c>
      <c r="K156" s="192">
        <v>0</v>
      </c>
      <c r="L156" s="192">
        <v>0</v>
      </c>
      <c r="M156" s="192"/>
      <c r="N156" s="192">
        <f t="shared" si="4"/>
        <v>16997824.09</v>
      </c>
      <c r="O156" s="34"/>
      <c r="S156" s="90">
        <f t="shared" si="5"/>
        <v>0</v>
      </c>
    </row>
    <row r="157" spans="1:19" ht="53.25" customHeight="1" outlineLevel="1" x14ac:dyDescent="0.35">
      <c r="A157" s="193" t="s">
        <v>21</v>
      </c>
      <c r="B157" s="194">
        <v>800197268</v>
      </c>
      <c r="C157" s="195" t="s">
        <v>366</v>
      </c>
      <c r="D157" s="68" t="s">
        <v>54</v>
      </c>
      <c r="E157" s="68" t="s">
        <v>135</v>
      </c>
      <c r="F157" s="69" t="s">
        <v>367</v>
      </c>
      <c r="G157" s="74" t="s">
        <v>54</v>
      </c>
      <c r="H157" s="196">
        <v>45338</v>
      </c>
      <c r="I157" s="192">
        <v>18546451.640000001</v>
      </c>
      <c r="J157" s="192">
        <v>0</v>
      </c>
      <c r="K157" s="192">
        <v>0</v>
      </c>
      <c r="L157" s="192">
        <v>0</v>
      </c>
      <c r="M157" s="192">
        <f>+N157-I157</f>
        <v>0</v>
      </c>
      <c r="N157" s="192">
        <v>18546451.640000001</v>
      </c>
      <c r="O157" s="34"/>
      <c r="R157" s="34">
        <f>+N157-N157</f>
        <v>0</v>
      </c>
      <c r="S157" s="90">
        <f t="shared" si="5"/>
        <v>0</v>
      </c>
    </row>
    <row r="158" spans="1:19" ht="53.25" customHeight="1" outlineLevel="1" x14ac:dyDescent="0.35">
      <c r="A158" s="193" t="s">
        <v>21</v>
      </c>
      <c r="B158" s="194">
        <v>899999090</v>
      </c>
      <c r="C158" s="195" t="s">
        <v>364</v>
      </c>
      <c r="D158" s="68" t="s">
        <v>54</v>
      </c>
      <c r="E158" s="68" t="s">
        <v>135</v>
      </c>
      <c r="F158" s="69" t="s">
        <v>365</v>
      </c>
      <c r="G158" s="74" t="s">
        <v>54</v>
      </c>
      <c r="H158" s="196">
        <v>45359</v>
      </c>
      <c r="I158" s="192">
        <v>55411433.210000001</v>
      </c>
      <c r="J158" s="192">
        <v>0</v>
      </c>
      <c r="K158" s="192">
        <v>0</v>
      </c>
      <c r="L158" s="192">
        <v>0</v>
      </c>
      <c r="M158" s="192"/>
      <c r="N158" s="192">
        <f t="shared" si="4"/>
        <v>55411433.210000001</v>
      </c>
      <c r="O158" s="34"/>
      <c r="S158" s="90">
        <f t="shared" si="5"/>
        <v>0</v>
      </c>
    </row>
    <row r="159" spans="1:19" ht="53.25" customHeight="1" outlineLevel="1" x14ac:dyDescent="0.35">
      <c r="A159" s="193" t="s">
        <v>21</v>
      </c>
      <c r="B159" s="194">
        <v>800197268</v>
      </c>
      <c r="C159" s="195" t="s">
        <v>366</v>
      </c>
      <c r="D159" s="68" t="s">
        <v>54</v>
      </c>
      <c r="E159" s="68" t="s">
        <v>135</v>
      </c>
      <c r="F159" s="69" t="s">
        <v>369</v>
      </c>
      <c r="G159" s="74" t="s">
        <v>54</v>
      </c>
      <c r="H159" s="196">
        <v>45362</v>
      </c>
      <c r="I159" s="192">
        <v>143268773.46000001</v>
      </c>
      <c r="J159" s="192">
        <v>0</v>
      </c>
      <c r="K159" s="192">
        <v>0</v>
      </c>
      <c r="L159" s="192">
        <v>0</v>
      </c>
      <c r="M159" s="192">
        <f>+N159-I159</f>
        <v>226.53999999165535</v>
      </c>
      <c r="N159" s="192">
        <v>143269000</v>
      </c>
      <c r="O159" s="34">
        <v>143268773.46000001</v>
      </c>
      <c r="P159" s="34">
        <f>+N159-O159</f>
        <v>226.53999999165535</v>
      </c>
      <c r="R159" s="34">
        <f>+R157+O159-N159</f>
        <v>-226.53999999165535</v>
      </c>
      <c r="S159" s="90">
        <f t="shared" si="5"/>
        <v>0</v>
      </c>
    </row>
    <row r="160" spans="1:19" ht="53.25" customHeight="1" outlineLevel="1" x14ac:dyDescent="0.35">
      <c r="A160" s="193" t="s">
        <v>21</v>
      </c>
      <c r="B160" s="194">
        <v>890980095</v>
      </c>
      <c r="C160" s="195" t="s">
        <v>371</v>
      </c>
      <c r="D160" s="68" t="s">
        <v>54</v>
      </c>
      <c r="E160" s="68" t="s">
        <v>135</v>
      </c>
      <c r="F160" s="69" t="s">
        <v>370</v>
      </c>
      <c r="G160" s="74" t="s">
        <v>54</v>
      </c>
      <c r="H160" s="196">
        <v>45378</v>
      </c>
      <c r="I160" s="192">
        <v>41311.480000000003</v>
      </c>
      <c r="J160" s="192">
        <v>0</v>
      </c>
      <c r="K160" s="192">
        <v>0</v>
      </c>
      <c r="L160" s="192">
        <v>0</v>
      </c>
      <c r="M160" s="192">
        <f>+N160-I160</f>
        <v>0</v>
      </c>
      <c r="N160" s="192">
        <v>41311.480000000003</v>
      </c>
      <c r="O160" s="34"/>
      <c r="S160" s="90">
        <f t="shared" si="5"/>
        <v>0</v>
      </c>
    </row>
    <row r="161" spans="1:19" ht="53.25" customHeight="1" outlineLevel="1" x14ac:dyDescent="0.35">
      <c r="A161" s="193" t="s">
        <v>21</v>
      </c>
      <c r="B161" s="194">
        <v>899999090</v>
      </c>
      <c r="C161" s="195" t="s">
        <v>364</v>
      </c>
      <c r="D161" s="68" t="s">
        <v>54</v>
      </c>
      <c r="E161" s="68" t="s">
        <v>135</v>
      </c>
      <c r="F161" s="69" t="s">
        <v>372</v>
      </c>
      <c r="G161" s="74" t="s">
        <v>54</v>
      </c>
      <c r="H161" s="196">
        <v>45390</v>
      </c>
      <c r="I161" s="192">
        <v>84267593.319999993</v>
      </c>
      <c r="J161" s="192">
        <v>0</v>
      </c>
      <c r="K161" s="192">
        <v>0</v>
      </c>
      <c r="L161" s="192">
        <v>0</v>
      </c>
      <c r="M161" s="192"/>
      <c r="N161" s="192">
        <f t="shared" si="4"/>
        <v>84267593.319999993</v>
      </c>
      <c r="O161" s="34"/>
      <c r="S161" s="90">
        <f t="shared" si="5"/>
        <v>0</v>
      </c>
    </row>
    <row r="162" spans="1:19" ht="53.25" customHeight="1" outlineLevel="1" x14ac:dyDescent="0.35">
      <c r="A162" s="193" t="s">
        <v>21</v>
      </c>
      <c r="B162" s="194">
        <v>899999090</v>
      </c>
      <c r="C162" s="195" t="s">
        <v>364</v>
      </c>
      <c r="D162" s="68" t="s">
        <v>54</v>
      </c>
      <c r="E162" s="68" t="s">
        <v>135</v>
      </c>
      <c r="F162" s="69" t="s">
        <v>372</v>
      </c>
      <c r="G162" s="74" t="s">
        <v>54</v>
      </c>
      <c r="H162" s="196">
        <v>45390</v>
      </c>
      <c r="I162" s="192">
        <v>16919710.100000001</v>
      </c>
      <c r="J162" s="192">
        <v>0</v>
      </c>
      <c r="K162" s="192">
        <v>0</v>
      </c>
      <c r="L162" s="192">
        <v>0</v>
      </c>
      <c r="M162" s="192"/>
      <c r="N162" s="192">
        <f t="shared" si="4"/>
        <v>16919710.100000001</v>
      </c>
      <c r="O162" s="34"/>
      <c r="S162" s="90">
        <f t="shared" si="5"/>
        <v>0</v>
      </c>
    </row>
    <row r="163" spans="1:19" ht="53.25" customHeight="1" outlineLevel="1" x14ac:dyDescent="0.35">
      <c r="A163" s="193" t="s">
        <v>21</v>
      </c>
      <c r="B163" s="194">
        <v>899999090</v>
      </c>
      <c r="C163" s="195" t="s">
        <v>364</v>
      </c>
      <c r="D163" s="68" t="s">
        <v>54</v>
      </c>
      <c r="E163" s="68" t="s">
        <v>135</v>
      </c>
      <c r="F163" s="69" t="s">
        <v>372</v>
      </c>
      <c r="G163" s="74" t="s">
        <v>54</v>
      </c>
      <c r="H163" s="196">
        <v>45390</v>
      </c>
      <c r="I163" s="192">
        <v>31220378.850000001</v>
      </c>
      <c r="J163" s="192">
        <v>0</v>
      </c>
      <c r="K163" s="192">
        <v>0</v>
      </c>
      <c r="L163" s="192">
        <v>0</v>
      </c>
      <c r="M163" s="192"/>
      <c r="N163" s="192">
        <f t="shared" si="4"/>
        <v>31220378.850000001</v>
      </c>
      <c r="O163" s="34"/>
      <c r="S163" s="90">
        <f t="shared" si="5"/>
        <v>0</v>
      </c>
    </row>
    <row r="164" spans="1:19" ht="53.25" customHeight="1" outlineLevel="1" x14ac:dyDescent="0.35">
      <c r="A164" s="193" t="s">
        <v>21</v>
      </c>
      <c r="B164" s="194">
        <v>800197268</v>
      </c>
      <c r="C164" s="195" t="s">
        <v>366</v>
      </c>
      <c r="D164" s="68" t="s">
        <v>54</v>
      </c>
      <c r="E164" s="68" t="s">
        <v>135</v>
      </c>
      <c r="F164" s="69" t="s">
        <v>373</v>
      </c>
      <c r="G164" s="74" t="s">
        <v>54</v>
      </c>
      <c r="H164" s="196">
        <v>45391</v>
      </c>
      <c r="I164" s="192">
        <v>111329529.97999999</v>
      </c>
      <c r="J164" s="192">
        <v>0</v>
      </c>
      <c r="K164" s="192">
        <v>0</v>
      </c>
      <c r="L164" s="192">
        <v>0</v>
      </c>
      <c r="M164" s="192">
        <f>+N164-I164</f>
        <v>470.02000001072884</v>
      </c>
      <c r="N164" s="192">
        <v>111330000</v>
      </c>
      <c r="O164" s="34">
        <v>111329529.98</v>
      </c>
      <c r="P164" s="34">
        <f>+N164-O164</f>
        <v>470.01999999582767</v>
      </c>
      <c r="R164" s="34">
        <f>+R159+O164-N164</f>
        <v>-696.55999998748302</v>
      </c>
      <c r="S164" s="90">
        <f t="shared" si="5"/>
        <v>0</v>
      </c>
    </row>
    <row r="165" spans="1:19" ht="53.25" customHeight="1" outlineLevel="1" x14ac:dyDescent="0.35">
      <c r="A165" s="193" t="s">
        <v>21</v>
      </c>
      <c r="B165" s="194">
        <v>899999090</v>
      </c>
      <c r="C165" s="195" t="s">
        <v>364</v>
      </c>
      <c r="D165" s="68" t="s">
        <v>54</v>
      </c>
      <c r="E165" s="68" t="s">
        <v>135</v>
      </c>
      <c r="F165" s="69" t="s">
        <v>374</v>
      </c>
      <c r="G165" s="74" t="s">
        <v>54</v>
      </c>
      <c r="H165" s="196">
        <v>45421</v>
      </c>
      <c r="I165" s="192">
        <v>38084349.229999997</v>
      </c>
      <c r="J165" s="192">
        <v>0</v>
      </c>
      <c r="K165" s="192">
        <v>0</v>
      </c>
      <c r="L165" s="192">
        <v>0</v>
      </c>
      <c r="M165" s="192"/>
      <c r="N165" s="192">
        <f t="shared" si="4"/>
        <v>38084349.229999997</v>
      </c>
      <c r="O165" s="34"/>
      <c r="S165" s="90">
        <f t="shared" si="5"/>
        <v>0</v>
      </c>
    </row>
    <row r="166" spans="1:19" ht="53.25" customHeight="1" outlineLevel="1" x14ac:dyDescent="0.35">
      <c r="A166" s="193" t="s">
        <v>21</v>
      </c>
      <c r="B166" s="194">
        <v>899999090</v>
      </c>
      <c r="C166" s="195" t="s">
        <v>364</v>
      </c>
      <c r="D166" s="68" t="s">
        <v>54</v>
      </c>
      <c r="E166" s="68" t="s">
        <v>135</v>
      </c>
      <c r="F166" s="69" t="s">
        <v>374</v>
      </c>
      <c r="G166" s="74" t="s">
        <v>54</v>
      </c>
      <c r="H166" s="196">
        <v>45421</v>
      </c>
      <c r="I166" s="192">
        <v>38209802.049999997</v>
      </c>
      <c r="J166" s="192">
        <v>0</v>
      </c>
      <c r="K166" s="192">
        <v>0</v>
      </c>
      <c r="L166" s="192">
        <v>0</v>
      </c>
      <c r="M166" s="192"/>
      <c r="N166" s="192">
        <f t="shared" si="4"/>
        <v>38209802.049999997</v>
      </c>
      <c r="O166" s="34"/>
      <c r="S166" s="90">
        <f t="shared" si="5"/>
        <v>0</v>
      </c>
    </row>
    <row r="167" spans="1:19" ht="53.25" customHeight="1" outlineLevel="1" x14ac:dyDescent="0.35">
      <c r="A167" s="193" t="s">
        <v>21</v>
      </c>
      <c r="B167" s="194">
        <v>899999090</v>
      </c>
      <c r="C167" s="195" t="s">
        <v>364</v>
      </c>
      <c r="D167" s="68" t="s">
        <v>54</v>
      </c>
      <c r="E167" s="68" t="s">
        <v>135</v>
      </c>
      <c r="F167" s="69" t="s">
        <v>374</v>
      </c>
      <c r="G167" s="74" t="s">
        <v>54</v>
      </c>
      <c r="H167" s="196">
        <v>45421</v>
      </c>
      <c r="I167" s="192">
        <v>70681098.569999993</v>
      </c>
      <c r="J167" s="192">
        <v>0</v>
      </c>
      <c r="K167" s="192">
        <v>0</v>
      </c>
      <c r="L167" s="192">
        <v>0</v>
      </c>
      <c r="M167" s="192"/>
      <c r="N167" s="192">
        <f t="shared" si="4"/>
        <v>70681098.569999993</v>
      </c>
      <c r="O167" s="34"/>
      <c r="S167" s="90">
        <f t="shared" si="5"/>
        <v>0</v>
      </c>
    </row>
    <row r="168" spans="1:19" ht="53.25" customHeight="1" outlineLevel="1" x14ac:dyDescent="0.35">
      <c r="A168" s="193" t="s">
        <v>21</v>
      </c>
      <c r="B168" s="194">
        <v>899999090</v>
      </c>
      <c r="C168" s="195" t="s">
        <v>364</v>
      </c>
      <c r="D168" s="68" t="s">
        <v>54</v>
      </c>
      <c r="E168" s="68" t="s">
        <v>135</v>
      </c>
      <c r="F168" s="69" t="s">
        <v>374</v>
      </c>
      <c r="G168" s="74" t="s">
        <v>54</v>
      </c>
      <c r="H168" s="196">
        <v>45421</v>
      </c>
      <c r="I168" s="192">
        <v>9835050.25</v>
      </c>
      <c r="J168" s="192">
        <v>0</v>
      </c>
      <c r="K168" s="192">
        <v>0</v>
      </c>
      <c r="L168" s="192">
        <v>0</v>
      </c>
      <c r="M168" s="192"/>
      <c r="N168" s="192">
        <f t="shared" si="4"/>
        <v>9835050.25</v>
      </c>
      <c r="O168" s="34"/>
      <c r="S168" s="90">
        <f t="shared" si="5"/>
        <v>0</v>
      </c>
    </row>
    <row r="169" spans="1:19" ht="53.25" customHeight="1" outlineLevel="1" x14ac:dyDescent="0.35">
      <c r="A169" s="193" t="s">
        <v>21</v>
      </c>
      <c r="B169" s="194">
        <v>899999090</v>
      </c>
      <c r="C169" s="195" t="s">
        <v>364</v>
      </c>
      <c r="D169" s="68" t="s">
        <v>54</v>
      </c>
      <c r="E169" s="68" t="s">
        <v>135</v>
      </c>
      <c r="F169" s="69" t="s">
        <v>374</v>
      </c>
      <c r="G169" s="74" t="s">
        <v>54</v>
      </c>
      <c r="H169" s="196">
        <v>45421</v>
      </c>
      <c r="I169" s="192">
        <v>50666563.75</v>
      </c>
      <c r="J169" s="192">
        <v>0</v>
      </c>
      <c r="K169" s="192">
        <v>0</v>
      </c>
      <c r="L169" s="192">
        <v>0</v>
      </c>
      <c r="M169" s="192"/>
      <c r="N169" s="192">
        <f t="shared" si="4"/>
        <v>50666563.75</v>
      </c>
      <c r="O169" s="34"/>
      <c r="S169" s="90">
        <f t="shared" si="5"/>
        <v>0</v>
      </c>
    </row>
    <row r="170" spans="1:19" ht="53.25" customHeight="1" outlineLevel="1" x14ac:dyDescent="0.35">
      <c r="A170" s="193" t="s">
        <v>21</v>
      </c>
      <c r="B170" s="194">
        <v>899999090</v>
      </c>
      <c r="C170" s="195" t="s">
        <v>364</v>
      </c>
      <c r="D170" s="68" t="s">
        <v>54</v>
      </c>
      <c r="E170" s="68" t="s">
        <v>135</v>
      </c>
      <c r="F170" s="69" t="s">
        <v>374</v>
      </c>
      <c r="G170" s="74" t="s">
        <v>54</v>
      </c>
      <c r="H170" s="196">
        <v>45421</v>
      </c>
      <c r="I170" s="192">
        <v>28510599.690000001</v>
      </c>
      <c r="J170" s="192">
        <v>0</v>
      </c>
      <c r="K170" s="192">
        <v>0</v>
      </c>
      <c r="L170" s="192">
        <v>0</v>
      </c>
      <c r="M170" s="192"/>
      <c r="N170" s="192">
        <f t="shared" si="4"/>
        <v>28510599.690000001</v>
      </c>
      <c r="O170" s="34"/>
      <c r="S170" s="90">
        <f t="shared" si="5"/>
        <v>0</v>
      </c>
    </row>
    <row r="171" spans="1:19" ht="53.25" customHeight="1" outlineLevel="1" x14ac:dyDescent="0.35">
      <c r="A171" s="193" t="s">
        <v>21</v>
      </c>
      <c r="B171" s="194">
        <v>800197268</v>
      </c>
      <c r="C171" s="195" t="s">
        <v>366</v>
      </c>
      <c r="D171" s="68" t="s">
        <v>54</v>
      </c>
      <c r="E171" s="68" t="s">
        <v>135</v>
      </c>
      <c r="F171" s="69" t="s">
        <v>551</v>
      </c>
      <c r="G171" s="74" t="s">
        <v>54</v>
      </c>
      <c r="H171" s="196">
        <v>45422</v>
      </c>
      <c r="I171" s="192">
        <v>115826579.65000001</v>
      </c>
      <c r="J171" s="192">
        <v>0</v>
      </c>
      <c r="K171" s="192">
        <v>0</v>
      </c>
      <c r="L171" s="192">
        <v>0</v>
      </c>
      <c r="M171" s="192">
        <f>+N171-I171</f>
        <v>420.34999999403954</v>
      </c>
      <c r="N171" s="192">
        <v>115827000</v>
      </c>
      <c r="O171" s="34">
        <v>115826579.65000001</v>
      </c>
      <c r="P171" s="34">
        <f>+N171-O171</f>
        <v>420.34999999403954</v>
      </c>
      <c r="R171" s="34">
        <f>+R164+N171-O171</f>
        <v>-276.20999999344349</v>
      </c>
      <c r="S171" s="90">
        <f t="shared" si="5"/>
        <v>0</v>
      </c>
    </row>
    <row r="172" spans="1:19" ht="53.25" customHeight="1" outlineLevel="1" x14ac:dyDescent="0.35">
      <c r="A172" s="193" t="s">
        <v>21</v>
      </c>
      <c r="B172" s="194">
        <v>800096580</v>
      </c>
      <c r="C172" s="195" t="s">
        <v>375</v>
      </c>
      <c r="D172" s="68" t="s">
        <v>54</v>
      </c>
      <c r="E172" s="68" t="s">
        <v>135</v>
      </c>
      <c r="F172" s="69" t="s">
        <v>370</v>
      </c>
      <c r="G172" s="74" t="s">
        <v>54</v>
      </c>
      <c r="H172" s="196">
        <v>45439</v>
      </c>
      <c r="I172" s="192">
        <v>964031</v>
      </c>
      <c r="J172" s="192">
        <v>0</v>
      </c>
      <c r="K172" s="192">
        <v>0</v>
      </c>
      <c r="L172" s="192">
        <v>0</v>
      </c>
      <c r="M172" s="192"/>
      <c r="N172" s="192">
        <f t="shared" si="4"/>
        <v>964031</v>
      </c>
      <c r="O172" s="34">
        <v>964030.31</v>
      </c>
      <c r="P172" s="34">
        <f t="shared" ref="P172:P175" si="6">+O172-N172</f>
        <v>-0.68999999994412065</v>
      </c>
      <c r="S172" s="90">
        <f t="shared" si="5"/>
        <v>0</v>
      </c>
    </row>
    <row r="173" spans="1:19" ht="53.25" customHeight="1" outlineLevel="1" x14ac:dyDescent="0.35">
      <c r="A173" s="193" t="s">
        <v>21</v>
      </c>
      <c r="B173" s="194">
        <v>819003225</v>
      </c>
      <c r="C173" s="195" t="s">
        <v>376</v>
      </c>
      <c r="D173" s="68" t="s">
        <v>54</v>
      </c>
      <c r="E173" s="68" t="s">
        <v>135</v>
      </c>
      <c r="F173" s="69" t="s">
        <v>370</v>
      </c>
      <c r="G173" s="74" t="s">
        <v>54</v>
      </c>
      <c r="H173" s="196">
        <v>45439</v>
      </c>
      <c r="I173" s="192">
        <v>108093.02</v>
      </c>
      <c r="J173" s="192">
        <v>0</v>
      </c>
      <c r="K173" s="192">
        <v>0</v>
      </c>
      <c r="L173" s="192">
        <v>0</v>
      </c>
      <c r="M173" s="192">
        <f>+N173-I173</f>
        <v>0.97999999999592546</v>
      </c>
      <c r="N173" s="192">
        <v>108094</v>
      </c>
      <c r="O173" s="34">
        <v>108093.02</v>
      </c>
      <c r="P173" s="34">
        <f t="shared" si="6"/>
        <v>-0.97999999999592546</v>
      </c>
      <c r="S173" s="90">
        <f t="shared" si="5"/>
        <v>0</v>
      </c>
    </row>
    <row r="174" spans="1:19" ht="53.25" customHeight="1" outlineLevel="1" x14ac:dyDescent="0.35">
      <c r="A174" s="193" t="s">
        <v>21</v>
      </c>
      <c r="B174" s="194">
        <v>891780044</v>
      </c>
      <c r="C174" s="195" t="s">
        <v>377</v>
      </c>
      <c r="D174" s="68" t="s">
        <v>54</v>
      </c>
      <c r="E174" s="68" t="s">
        <v>135</v>
      </c>
      <c r="F174" s="69" t="s">
        <v>370</v>
      </c>
      <c r="G174" s="74" t="s">
        <v>54</v>
      </c>
      <c r="H174" s="196">
        <v>45439</v>
      </c>
      <c r="I174" s="192">
        <v>514095.24</v>
      </c>
      <c r="J174" s="192">
        <v>0</v>
      </c>
      <c r="K174" s="192">
        <v>0</v>
      </c>
      <c r="L174" s="192">
        <v>0</v>
      </c>
      <c r="M174" s="192">
        <f>+N174-I174</f>
        <v>0.76000000000931323</v>
      </c>
      <c r="N174" s="192">
        <v>514096</v>
      </c>
      <c r="O174" s="34">
        <v>514095.24</v>
      </c>
      <c r="P174" s="34">
        <f t="shared" si="6"/>
        <v>-0.76000000000931323</v>
      </c>
      <c r="S174" s="90">
        <f t="shared" si="5"/>
        <v>0</v>
      </c>
    </row>
    <row r="175" spans="1:19" ht="53.25" customHeight="1" outlineLevel="1" x14ac:dyDescent="0.35">
      <c r="A175" s="193" t="s">
        <v>21</v>
      </c>
      <c r="B175" s="194">
        <v>890980095</v>
      </c>
      <c r="C175" s="195" t="s">
        <v>371</v>
      </c>
      <c r="D175" s="68" t="s">
        <v>54</v>
      </c>
      <c r="E175" s="68" t="s">
        <v>135</v>
      </c>
      <c r="F175" s="69" t="s">
        <v>370</v>
      </c>
      <c r="G175" s="74" t="s">
        <v>54</v>
      </c>
      <c r="H175" s="196">
        <v>45439</v>
      </c>
      <c r="I175" s="192">
        <v>47213.120000000003</v>
      </c>
      <c r="J175" s="192">
        <v>0</v>
      </c>
      <c r="K175" s="192">
        <v>0</v>
      </c>
      <c r="L175" s="192">
        <v>0</v>
      </c>
      <c r="M175" s="192">
        <f>+N175-I175</f>
        <v>0.87999999999738066</v>
      </c>
      <c r="N175" s="192">
        <v>47214</v>
      </c>
      <c r="O175" s="34">
        <v>47213.120000000003</v>
      </c>
      <c r="P175" s="34">
        <f t="shared" si="6"/>
        <v>-0.87999999999738066</v>
      </c>
      <c r="S175" s="90">
        <f t="shared" si="5"/>
        <v>0</v>
      </c>
    </row>
    <row r="176" spans="1:19" ht="53.25" customHeight="1" outlineLevel="1" x14ac:dyDescent="0.35">
      <c r="A176" s="193" t="s">
        <v>21</v>
      </c>
      <c r="B176" s="194">
        <v>899999090</v>
      </c>
      <c r="C176" s="195" t="s">
        <v>364</v>
      </c>
      <c r="D176" s="68" t="s">
        <v>54</v>
      </c>
      <c r="E176" s="68" t="s">
        <v>135</v>
      </c>
      <c r="F176" s="69" t="s">
        <v>378</v>
      </c>
      <c r="G176" s="74" t="s">
        <v>54</v>
      </c>
      <c r="H176" s="196">
        <v>45455</v>
      </c>
      <c r="I176" s="192">
        <v>12047439.390000001</v>
      </c>
      <c r="J176" s="192">
        <v>0</v>
      </c>
      <c r="K176" s="192">
        <v>0</v>
      </c>
      <c r="L176" s="192">
        <v>0</v>
      </c>
      <c r="M176" s="192"/>
      <c r="N176" s="192">
        <f t="shared" si="4"/>
        <v>12047439.390000001</v>
      </c>
      <c r="O176" s="34"/>
      <c r="S176" s="90">
        <f t="shared" si="5"/>
        <v>0</v>
      </c>
    </row>
    <row r="177" spans="1:19" ht="53.25" customHeight="1" outlineLevel="1" x14ac:dyDescent="0.35">
      <c r="A177" s="193" t="s">
        <v>21</v>
      </c>
      <c r="B177" s="194">
        <v>899999090</v>
      </c>
      <c r="C177" s="195" t="s">
        <v>364</v>
      </c>
      <c r="D177" s="68" t="s">
        <v>54</v>
      </c>
      <c r="E177" s="68" t="s">
        <v>135</v>
      </c>
      <c r="F177" s="69" t="s">
        <v>378</v>
      </c>
      <c r="G177" s="74" t="s">
        <v>54</v>
      </c>
      <c r="H177" s="196">
        <v>45455</v>
      </c>
      <c r="I177" s="192">
        <v>25925020.050000001</v>
      </c>
      <c r="J177" s="192">
        <v>0</v>
      </c>
      <c r="K177" s="192">
        <v>0</v>
      </c>
      <c r="L177" s="192">
        <v>0</v>
      </c>
      <c r="M177" s="192"/>
      <c r="N177" s="192">
        <f t="shared" si="4"/>
        <v>25925020.050000001</v>
      </c>
      <c r="O177" s="34"/>
      <c r="S177" s="90">
        <f t="shared" si="5"/>
        <v>0</v>
      </c>
    </row>
    <row r="178" spans="1:19" ht="53.25" customHeight="1" outlineLevel="1" x14ac:dyDescent="0.35">
      <c r="A178" s="193" t="s">
        <v>21</v>
      </c>
      <c r="B178" s="194">
        <v>899999090</v>
      </c>
      <c r="C178" s="195" t="s">
        <v>364</v>
      </c>
      <c r="D178" s="68" t="s">
        <v>54</v>
      </c>
      <c r="E178" s="68" t="s">
        <v>135</v>
      </c>
      <c r="F178" s="69" t="s">
        <v>378</v>
      </c>
      <c r="G178" s="74" t="s">
        <v>54</v>
      </c>
      <c r="H178" s="196">
        <v>45455</v>
      </c>
      <c r="I178" s="192">
        <v>42108990.799999997</v>
      </c>
      <c r="J178" s="192">
        <v>0</v>
      </c>
      <c r="K178" s="192">
        <v>0</v>
      </c>
      <c r="L178" s="192">
        <v>0</v>
      </c>
      <c r="M178" s="192"/>
      <c r="N178" s="192">
        <f t="shared" si="4"/>
        <v>42108990.799999997</v>
      </c>
      <c r="O178" s="34"/>
      <c r="S178" s="90">
        <f t="shared" si="5"/>
        <v>0</v>
      </c>
    </row>
    <row r="179" spans="1:19" ht="53.25" customHeight="1" outlineLevel="1" x14ac:dyDescent="0.35">
      <c r="A179" s="193" t="s">
        <v>21</v>
      </c>
      <c r="B179" s="194">
        <v>899999090</v>
      </c>
      <c r="C179" s="195" t="s">
        <v>364</v>
      </c>
      <c r="D179" s="68" t="s">
        <v>54</v>
      </c>
      <c r="E179" s="68" t="s">
        <v>135</v>
      </c>
      <c r="F179" s="69" t="s">
        <v>378</v>
      </c>
      <c r="G179" s="74" t="s">
        <v>54</v>
      </c>
      <c r="H179" s="196">
        <v>45455</v>
      </c>
      <c r="I179" s="192">
        <v>42475748.450000003</v>
      </c>
      <c r="J179" s="192">
        <v>0</v>
      </c>
      <c r="K179" s="192">
        <v>0</v>
      </c>
      <c r="L179" s="192">
        <v>0</v>
      </c>
      <c r="M179" s="192"/>
      <c r="N179" s="192">
        <f t="shared" si="4"/>
        <v>42475748.450000003</v>
      </c>
      <c r="O179" s="34"/>
      <c r="S179" s="90">
        <f t="shared" si="5"/>
        <v>0</v>
      </c>
    </row>
    <row r="180" spans="1:19" ht="53.25" customHeight="1" outlineLevel="1" x14ac:dyDescent="0.35">
      <c r="A180" s="193" t="s">
        <v>21</v>
      </c>
      <c r="B180" s="194">
        <v>899999090</v>
      </c>
      <c r="C180" s="195" t="s">
        <v>364</v>
      </c>
      <c r="D180" s="68" t="s">
        <v>54</v>
      </c>
      <c r="E180" s="68" t="s">
        <v>135</v>
      </c>
      <c r="F180" s="69" t="s">
        <v>378</v>
      </c>
      <c r="G180" s="74" t="s">
        <v>54</v>
      </c>
      <c r="H180" s="196">
        <v>45455</v>
      </c>
      <c r="I180" s="192">
        <v>63636673.280000001</v>
      </c>
      <c r="J180" s="192">
        <v>0</v>
      </c>
      <c r="K180" s="192">
        <v>0</v>
      </c>
      <c r="L180" s="192">
        <v>0</v>
      </c>
      <c r="M180" s="192"/>
      <c r="N180" s="192">
        <f t="shared" si="4"/>
        <v>63636673.280000001</v>
      </c>
      <c r="O180" s="34"/>
      <c r="S180" s="90">
        <f t="shared" si="5"/>
        <v>0</v>
      </c>
    </row>
    <row r="181" spans="1:19" ht="53.25" customHeight="1" outlineLevel="1" x14ac:dyDescent="0.35">
      <c r="A181" s="193" t="s">
        <v>21</v>
      </c>
      <c r="B181" s="194">
        <v>899999090</v>
      </c>
      <c r="C181" s="195" t="s">
        <v>364</v>
      </c>
      <c r="D181" s="68" t="s">
        <v>54</v>
      </c>
      <c r="E181" s="68" t="s">
        <v>135</v>
      </c>
      <c r="F181" s="69" t="s">
        <v>378</v>
      </c>
      <c r="G181" s="74" t="s">
        <v>54</v>
      </c>
      <c r="H181" s="196">
        <v>45455</v>
      </c>
      <c r="I181" s="192">
        <v>44152920.049999997</v>
      </c>
      <c r="J181" s="192">
        <v>0</v>
      </c>
      <c r="K181" s="192">
        <v>0</v>
      </c>
      <c r="L181" s="192">
        <v>0</v>
      </c>
      <c r="M181" s="192"/>
      <c r="N181" s="192">
        <f t="shared" si="4"/>
        <v>44152920.049999997</v>
      </c>
      <c r="O181" s="34"/>
      <c r="S181" s="90">
        <f t="shared" si="5"/>
        <v>0</v>
      </c>
    </row>
    <row r="182" spans="1:19" ht="53.25" customHeight="1" outlineLevel="1" x14ac:dyDescent="0.35">
      <c r="A182" s="193" t="s">
        <v>21</v>
      </c>
      <c r="B182" s="194">
        <v>899999090</v>
      </c>
      <c r="C182" s="195" t="s">
        <v>364</v>
      </c>
      <c r="D182" s="68" t="s">
        <v>54</v>
      </c>
      <c r="E182" s="68" t="s">
        <v>135</v>
      </c>
      <c r="F182" s="69" t="s">
        <v>378</v>
      </c>
      <c r="G182" s="74" t="s">
        <v>54</v>
      </c>
      <c r="H182" s="196">
        <v>45455</v>
      </c>
      <c r="I182" s="192">
        <v>24746986.050000001</v>
      </c>
      <c r="J182" s="192">
        <v>0</v>
      </c>
      <c r="K182" s="192">
        <v>0</v>
      </c>
      <c r="L182" s="192">
        <v>0</v>
      </c>
      <c r="M182" s="192"/>
      <c r="N182" s="192">
        <f t="shared" si="4"/>
        <v>24746986.050000001</v>
      </c>
      <c r="O182" s="34"/>
      <c r="S182" s="90">
        <f t="shared" si="5"/>
        <v>0</v>
      </c>
    </row>
    <row r="183" spans="1:19" ht="53.25" customHeight="1" outlineLevel="1" x14ac:dyDescent="0.35">
      <c r="A183" s="193" t="s">
        <v>21</v>
      </c>
      <c r="B183" s="194">
        <v>800197268</v>
      </c>
      <c r="C183" s="195" t="s">
        <v>366</v>
      </c>
      <c r="D183" s="68" t="s">
        <v>54</v>
      </c>
      <c r="E183" s="68" t="s">
        <v>135</v>
      </c>
      <c r="F183" s="69" t="s">
        <v>379</v>
      </c>
      <c r="G183" s="74" t="s">
        <v>54</v>
      </c>
      <c r="H183" s="196">
        <v>45456</v>
      </c>
      <c r="I183" s="192">
        <v>180229676.83000001</v>
      </c>
      <c r="J183" s="192">
        <v>0</v>
      </c>
      <c r="K183" s="192">
        <v>0</v>
      </c>
      <c r="L183" s="192">
        <v>0</v>
      </c>
      <c r="M183" s="192">
        <f>+N183-I183</f>
        <v>323.16999998688698</v>
      </c>
      <c r="N183" s="192">
        <v>180230000</v>
      </c>
      <c r="O183" s="34">
        <v>180229676.83000001</v>
      </c>
      <c r="P183" s="34">
        <f>+N183-O183</f>
        <v>323.16999998688698</v>
      </c>
      <c r="R183" s="34">
        <f>+R171+O183-N183</f>
        <v>-599.37999999523163</v>
      </c>
      <c r="S183" s="90">
        <f t="shared" si="5"/>
        <v>0</v>
      </c>
    </row>
    <row r="184" spans="1:19" ht="53.25" customHeight="1" outlineLevel="1" x14ac:dyDescent="0.35">
      <c r="A184" s="193" t="s">
        <v>21</v>
      </c>
      <c r="B184" s="194">
        <v>800038613</v>
      </c>
      <c r="C184" s="195" t="s">
        <v>380</v>
      </c>
      <c r="D184" s="68" t="s">
        <v>54</v>
      </c>
      <c r="E184" s="68" t="s">
        <v>135</v>
      </c>
      <c r="F184" s="69" t="s">
        <v>370</v>
      </c>
      <c r="G184" s="74" t="s">
        <v>54</v>
      </c>
      <c r="H184" s="196">
        <v>45468</v>
      </c>
      <c r="I184" s="192">
        <v>1305922.6000000001</v>
      </c>
      <c r="J184" s="192">
        <v>0</v>
      </c>
      <c r="K184" s="192">
        <v>0</v>
      </c>
      <c r="L184" s="192">
        <v>0</v>
      </c>
      <c r="M184" s="192">
        <f>+N184-I184</f>
        <v>1.0000000009313226E-2</v>
      </c>
      <c r="N184" s="192">
        <v>1305922.6100000001</v>
      </c>
      <c r="O184" s="34">
        <v>1305922.6000000001</v>
      </c>
      <c r="P184" s="34">
        <f t="shared" ref="P184" si="7">+O184-N184</f>
        <v>-1.0000000009313226E-2</v>
      </c>
      <c r="S184" s="90">
        <f t="shared" si="5"/>
        <v>0</v>
      </c>
    </row>
    <row r="185" spans="1:19" ht="53.25" customHeight="1" outlineLevel="1" x14ac:dyDescent="0.35">
      <c r="A185" s="193" t="s">
        <v>21</v>
      </c>
      <c r="B185" s="194">
        <v>891380033</v>
      </c>
      <c r="C185" s="195" t="s">
        <v>381</v>
      </c>
      <c r="D185" s="68" t="s">
        <v>54</v>
      </c>
      <c r="E185" s="68" t="s">
        <v>135</v>
      </c>
      <c r="F185" s="69" t="s">
        <v>370</v>
      </c>
      <c r="G185" s="74" t="s">
        <v>54</v>
      </c>
      <c r="H185" s="196">
        <v>45476</v>
      </c>
      <c r="I185" s="192">
        <v>1097703.77</v>
      </c>
      <c r="J185" s="192">
        <v>0</v>
      </c>
      <c r="K185" s="192">
        <v>0</v>
      </c>
      <c r="L185" s="192">
        <v>0</v>
      </c>
      <c r="M185" s="192"/>
      <c r="N185" s="192">
        <f t="shared" si="4"/>
        <v>1097703.77</v>
      </c>
      <c r="O185" s="34"/>
      <c r="S185" s="90">
        <f t="shared" si="5"/>
        <v>0</v>
      </c>
    </row>
    <row r="186" spans="1:19" ht="53.25" customHeight="1" outlineLevel="1" x14ac:dyDescent="0.35">
      <c r="A186" s="193" t="s">
        <v>21</v>
      </c>
      <c r="B186" s="194">
        <v>899999090</v>
      </c>
      <c r="C186" s="195" t="s">
        <v>364</v>
      </c>
      <c r="D186" s="68" t="s">
        <v>54</v>
      </c>
      <c r="E186" s="68" t="s">
        <v>135</v>
      </c>
      <c r="F186" s="69" t="s">
        <v>382</v>
      </c>
      <c r="G186" s="74" t="s">
        <v>54</v>
      </c>
      <c r="H186" s="196">
        <v>45482</v>
      </c>
      <c r="I186" s="192">
        <v>18824827.760000002</v>
      </c>
      <c r="J186" s="192">
        <v>0</v>
      </c>
      <c r="K186" s="192">
        <v>0</v>
      </c>
      <c r="L186" s="192">
        <v>0</v>
      </c>
      <c r="M186" s="192"/>
      <c r="N186" s="192">
        <f t="shared" si="4"/>
        <v>18824827.760000002</v>
      </c>
      <c r="O186" s="34"/>
      <c r="S186" s="90">
        <f t="shared" si="5"/>
        <v>0</v>
      </c>
    </row>
    <row r="187" spans="1:19" ht="53.25" customHeight="1" outlineLevel="1" x14ac:dyDescent="0.35">
      <c r="A187" s="193" t="s">
        <v>21</v>
      </c>
      <c r="B187" s="194">
        <v>899999090</v>
      </c>
      <c r="C187" s="195" t="s">
        <v>364</v>
      </c>
      <c r="D187" s="68" t="s">
        <v>54</v>
      </c>
      <c r="E187" s="68" t="s">
        <v>135</v>
      </c>
      <c r="F187" s="69" t="s">
        <v>382</v>
      </c>
      <c r="G187" s="74" t="s">
        <v>54</v>
      </c>
      <c r="H187" s="196">
        <v>45482</v>
      </c>
      <c r="I187" s="192">
        <v>48122752.5</v>
      </c>
      <c r="J187" s="192">
        <v>0</v>
      </c>
      <c r="K187" s="192">
        <v>0</v>
      </c>
      <c r="L187" s="192">
        <v>0</v>
      </c>
      <c r="M187" s="192"/>
      <c r="N187" s="192">
        <f t="shared" si="4"/>
        <v>48122752.5</v>
      </c>
      <c r="O187" s="34"/>
      <c r="S187" s="90">
        <f t="shared" si="5"/>
        <v>0</v>
      </c>
    </row>
    <row r="188" spans="1:19" ht="53.25" customHeight="1" outlineLevel="1" x14ac:dyDescent="0.35">
      <c r="A188" s="193" t="s">
        <v>21</v>
      </c>
      <c r="B188" s="194">
        <v>899999090</v>
      </c>
      <c r="C188" s="195" t="s">
        <v>364</v>
      </c>
      <c r="D188" s="68" t="s">
        <v>54</v>
      </c>
      <c r="E188" s="68" t="s">
        <v>135</v>
      </c>
      <c r="F188" s="69" t="s">
        <v>382</v>
      </c>
      <c r="G188" s="74" t="s">
        <v>54</v>
      </c>
      <c r="H188" s="196">
        <v>45482</v>
      </c>
      <c r="I188" s="192">
        <v>29124067.649999999</v>
      </c>
      <c r="J188" s="192">
        <v>0</v>
      </c>
      <c r="K188" s="192">
        <v>0</v>
      </c>
      <c r="L188" s="192">
        <v>0</v>
      </c>
      <c r="M188" s="192"/>
      <c r="N188" s="192">
        <f t="shared" si="4"/>
        <v>29124067.649999999</v>
      </c>
      <c r="O188" s="34"/>
      <c r="S188" s="90">
        <f t="shared" si="5"/>
        <v>0</v>
      </c>
    </row>
    <row r="189" spans="1:19" ht="53.25" customHeight="1" outlineLevel="1" x14ac:dyDescent="0.35">
      <c r="A189" s="193" t="s">
        <v>21</v>
      </c>
      <c r="B189" s="194">
        <v>899999090</v>
      </c>
      <c r="C189" s="195" t="s">
        <v>364</v>
      </c>
      <c r="D189" s="68" t="s">
        <v>54</v>
      </c>
      <c r="E189" s="68" t="s">
        <v>135</v>
      </c>
      <c r="F189" s="69" t="s">
        <v>382</v>
      </c>
      <c r="G189" s="74" t="s">
        <v>54</v>
      </c>
      <c r="H189" s="196">
        <v>45482</v>
      </c>
      <c r="I189" s="192">
        <v>66095581.229999997</v>
      </c>
      <c r="J189" s="192">
        <v>0</v>
      </c>
      <c r="K189" s="192">
        <v>0</v>
      </c>
      <c r="L189" s="192">
        <v>0</v>
      </c>
      <c r="M189" s="192"/>
      <c r="N189" s="192">
        <f t="shared" si="4"/>
        <v>66095581.229999997</v>
      </c>
      <c r="O189" s="34"/>
      <c r="S189" s="90">
        <f t="shared" si="5"/>
        <v>0</v>
      </c>
    </row>
    <row r="190" spans="1:19" ht="53.25" customHeight="1" outlineLevel="1" x14ac:dyDescent="0.35">
      <c r="A190" s="193" t="s">
        <v>21</v>
      </c>
      <c r="B190" s="194">
        <v>899999090</v>
      </c>
      <c r="C190" s="195" t="s">
        <v>364</v>
      </c>
      <c r="D190" s="68" t="s">
        <v>54</v>
      </c>
      <c r="E190" s="68" t="s">
        <v>135</v>
      </c>
      <c r="F190" s="69" t="s">
        <v>382</v>
      </c>
      <c r="G190" s="74" t="s">
        <v>54</v>
      </c>
      <c r="H190" s="196">
        <v>45482</v>
      </c>
      <c r="I190" s="192">
        <v>3827471.68</v>
      </c>
      <c r="J190" s="192">
        <v>0</v>
      </c>
      <c r="K190" s="192">
        <v>0</v>
      </c>
      <c r="L190" s="192">
        <v>0</v>
      </c>
      <c r="M190" s="192"/>
      <c r="N190" s="192">
        <f t="shared" si="4"/>
        <v>3827471.68</v>
      </c>
      <c r="O190" s="34"/>
      <c r="S190" s="90">
        <f t="shared" si="5"/>
        <v>0</v>
      </c>
    </row>
    <row r="191" spans="1:19" ht="53.25" customHeight="1" outlineLevel="1" x14ac:dyDescent="0.35">
      <c r="A191" s="193" t="s">
        <v>21</v>
      </c>
      <c r="B191" s="194">
        <v>899999090</v>
      </c>
      <c r="C191" s="195" t="s">
        <v>364</v>
      </c>
      <c r="D191" s="68" t="s">
        <v>54</v>
      </c>
      <c r="E191" s="68" t="s">
        <v>135</v>
      </c>
      <c r="F191" s="69" t="s">
        <v>382</v>
      </c>
      <c r="G191" s="74" t="s">
        <v>54</v>
      </c>
      <c r="H191" s="196">
        <v>45482</v>
      </c>
      <c r="I191" s="192">
        <v>33331570.57</v>
      </c>
      <c r="J191" s="192">
        <v>0</v>
      </c>
      <c r="K191" s="192">
        <v>0</v>
      </c>
      <c r="L191" s="192">
        <v>0</v>
      </c>
      <c r="M191" s="192"/>
      <c r="N191" s="192">
        <f t="shared" si="4"/>
        <v>33331570.57</v>
      </c>
      <c r="O191" s="34"/>
      <c r="S191" s="90">
        <f t="shared" si="5"/>
        <v>0</v>
      </c>
    </row>
    <row r="192" spans="1:19" ht="53.25" customHeight="1" outlineLevel="1" x14ac:dyDescent="0.35">
      <c r="A192" s="193" t="s">
        <v>21</v>
      </c>
      <c r="B192" s="194">
        <v>899999090</v>
      </c>
      <c r="C192" s="195" t="s">
        <v>364</v>
      </c>
      <c r="D192" s="68" t="s">
        <v>54</v>
      </c>
      <c r="E192" s="68" t="s">
        <v>135</v>
      </c>
      <c r="F192" s="69" t="s">
        <v>382</v>
      </c>
      <c r="G192" s="74" t="s">
        <v>54</v>
      </c>
      <c r="H192" s="196">
        <v>45482</v>
      </c>
      <c r="I192" s="192">
        <v>40275817.100000001</v>
      </c>
      <c r="J192" s="192">
        <v>0</v>
      </c>
      <c r="K192" s="192">
        <v>0</v>
      </c>
      <c r="L192" s="192">
        <v>0</v>
      </c>
      <c r="M192" s="192"/>
      <c r="N192" s="192">
        <f t="shared" si="4"/>
        <v>40275817.100000001</v>
      </c>
      <c r="O192" s="34"/>
      <c r="S192" s="90">
        <f t="shared" si="5"/>
        <v>0</v>
      </c>
    </row>
    <row r="193" spans="1:19" ht="53.25" customHeight="1" outlineLevel="1" x14ac:dyDescent="0.35">
      <c r="A193" s="193" t="s">
        <v>21</v>
      </c>
      <c r="B193" s="194">
        <v>899999090</v>
      </c>
      <c r="C193" s="195" t="s">
        <v>364</v>
      </c>
      <c r="D193" s="68" t="s">
        <v>54</v>
      </c>
      <c r="E193" s="68" t="s">
        <v>135</v>
      </c>
      <c r="F193" s="69" t="s">
        <v>382</v>
      </c>
      <c r="G193" s="74" t="s">
        <v>54</v>
      </c>
      <c r="H193" s="196">
        <v>45482</v>
      </c>
      <c r="I193" s="192">
        <v>50396791.600000001</v>
      </c>
      <c r="J193" s="192">
        <v>0</v>
      </c>
      <c r="K193" s="192">
        <v>0</v>
      </c>
      <c r="L193" s="192">
        <v>0</v>
      </c>
      <c r="M193" s="192"/>
      <c r="N193" s="192">
        <f t="shared" si="4"/>
        <v>50396791.600000001</v>
      </c>
      <c r="O193" s="34"/>
      <c r="S193" s="90">
        <f t="shared" si="5"/>
        <v>0</v>
      </c>
    </row>
    <row r="194" spans="1:19" ht="53.25" customHeight="1" outlineLevel="1" x14ac:dyDescent="0.35">
      <c r="A194" s="193" t="s">
        <v>21</v>
      </c>
      <c r="B194" s="194">
        <v>800197268</v>
      </c>
      <c r="C194" s="195" t="s">
        <v>366</v>
      </c>
      <c r="D194" s="68" t="s">
        <v>54</v>
      </c>
      <c r="E194" s="68" t="s">
        <v>135</v>
      </c>
      <c r="F194" s="69" t="s">
        <v>383</v>
      </c>
      <c r="G194" s="74" t="s">
        <v>54</v>
      </c>
      <c r="H194" s="196">
        <v>45483</v>
      </c>
      <c r="I194" s="192">
        <v>193216511.28</v>
      </c>
      <c r="J194" s="192">
        <v>0</v>
      </c>
      <c r="K194" s="192">
        <v>0</v>
      </c>
      <c r="L194" s="192">
        <v>0</v>
      </c>
      <c r="M194" s="192">
        <f>+N194-I194</f>
        <v>488.71999999880791</v>
      </c>
      <c r="N194" s="192">
        <v>193217000</v>
      </c>
      <c r="O194" s="34">
        <v>193216511.28</v>
      </c>
      <c r="P194" s="34">
        <f>+N194-O194</f>
        <v>488.71999999880791</v>
      </c>
      <c r="R194" s="34">
        <f>+R183+O194-N194</f>
        <v>-1088.0999999940395</v>
      </c>
      <c r="S194" s="90">
        <f t="shared" si="5"/>
        <v>0</v>
      </c>
    </row>
    <row r="195" spans="1:19" ht="53.25" customHeight="1" outlineLevel="1" x14ac:dyDescent="0.35">
      <c r="A195" s="193" t="s">
        <v>21</v>
      </c>
      <c r="B195" s="194">
        <v>899999001</v>
      </c>
      <c r="C195" s="195" t="s">
        <v>385</v>
      </c>
      <c r="D195" s="68" t="s">
        <v>54</v>
      </c>
      <c r="E195" s="68" t="s">
        <v>135</v>
      </c>
      <c r="F195" s="69" t="s">
        <v>384</v>
      </c>
      <c r="G195" s="74" t="s">
        <v>54</v>
      </c>
      <c r="H195" s="196">
        <v>45484</v>
      </c>
      <c r="I195" s="192">
        <v>229307970.03999999</v>
      </c>
      <c r="J195" s="192">
        <v>0</v>
      </c>
      <c r="K195" s="192">
        <v>0</v>
      </c>
      <c r="L195" s="192">
        <v>0</v>
      </c>
      <c r="M195" s="192"/>
      <c r="N195" s="192">
        <f>+I195-J195-K195+M195+L195</f>
        <v>229307970.03999999</v>
      </c>
      <c r="O195" s="34"/>
      <c r="S195" s="90">
        <f t="shared" si="5"/>
        <v>0</v>
      </c>
    </row>
    <row r="196" spans="1:19" ht="53.25" customHeight="1" outlineLevel="1" x14ac:dyDescent="0.35">
      <c r="A196" s="193" t="s">
        <v>21</v>
      </c>
      <c r="B196" s="194">
        <v>819003225</v>
      </c>
      <c r="C196" s="195" t="s">
        <v>376</v>
      </c>
      <c r="D196" s="68" t="s">
        <v>54</v>
      </c>
      <c r="E196" s="68" t="s">
        <v>135</v>
      </c>
      <c r="F196" s="69" t="s">
        <v>370</v>
      </c>
      <c r="G196" s="74" t="s">
        <v>54</v>
      </c>
      <c r="H196" s="196">
        <v>45495</v>
      </c>
      <c r="I196" s="192">
        <v>698129.64</v>
      </c>
      <c r="J196" s="192">
        <v>0</v>
      </c>
      <c r="K196" s="192">
        <v>0</v>
      </c>
      <c r="L196" s="192">
        <v>0</v>
      </c>
      <c r="M196" s="192">
        <f>+N196-I196</f>
        <v>0</v>
      </c>
      <c r="N196" s="192">
        <v>698129.64</v>
      </c>
      <c r="O196" s="34">
        <v>698129.64</v>
      </c>
      <c r="P196" s="34">
        <f t="shared" ref="P196:P199" si="8">+O196-N196</f>
        <v>0</v>
      </c>
      <c r="S196" s="90">
        <f t="shared" si="5"/>
        <v>0</v>
      </c>
    </row>
    <row r="197" spans="1:19" ht="53.25" customHeight="1" outlineLevel="1" x14ac:dyDescent="0.35">
      <c r="A197" s="193" t="s">
        <v>21</v>
      </c>
      <c r="B197" s="194">
        <v>890980095</v>
      </c>
      <c r="C197" s="195" t="s">
        <v>371</v>
      </c>
      <c r="D197" s="68" t="s">
        <v>54</v>
      </c>
      <c r="E197" s="68" t="s">
        <v>135</v>
      </c>
      <c r="F197" s="69" t="s">
        <v>370</v>
      </c>
      <c r="G197" s="74" t="s">
        <v>54</v>
      </c>
      <c r="H197" s="196">
        <v>45495</v>
      </c>
      <c r="I197" s="192">
        <v>2065061.05</v>
      </c>
      <c r="J197" s="192">
        <v>0</v>
      </c>
      <c r="K197" s="192">
        <v>0</v>
      </c>
      <c r="L197" s="192">
        <v>0</v>
      </c>
      <c r="M197" s="192">
        <f>+N197-I197</f>
        <v>0</v>
      </c>
      <c r="N197" s="192">
        <v>2065061.05</v>
      </c>
      <c r="O197" s="34">
        <v>2065061.05</v>
      </c>
      <c r="P197" s="34">
        <f t="shared" si="8"/>
        <v>0</v>
      </c>
      <c r="S197" s="90">
        <f t="shared" si="5"/>
        <v>0</v>
      </c>
    </row>
    <row r="198" spans="1:19" ht="53.25" customHeight="1" outlineLevel="1" x14ac:dyDescent="0.35">
      <c r="A198" s="193" t="s">
        <v>21</v>
      </c>
      <c r="B198" s="194">
        <v>891380033</v>
      </c>
      <c r="C198" s="195" t="s">
        <v>381</v>
      </c>
      <c r="D198" s="68" t="s">
        <v>54</v>
      </c>
      <c r="E198" s="68" t="s">
        <v>135</v>
      </c>
      <c r="F198" s="69" t="s">
        <v>370</v>
      </c>
      <c r="G198" s="74" t="s">
        <v>54</v>
      </c>
      <c r="H198" s="196">
        <v>45495</v>
      </c>
      <c r="I198" s="192">
        <v>2368632.0499999998</v>
      </c>
      <c r="J198" s="192">
        <v>0</v>
      </c>
      <c r="K198" s="192">
        <v>0</v>
      </c>
      <c r="L198" s="192">
        <v>0</v>
      </c>
      <c r="M198" s="192"/>
      <c r="N198" s="192">
        <f t="shared" si="4"/>
        <v>2368632.0499999998</v>
      </c>
      <c r="O198" s="34">
        <v>2368632.0499999998</v>
      </c>
      <c r="P198" s="34">
        <f t="shared" si="8"/>
        <v>0</v>
      </c>
      <c r="S198" s="90">
        <f t="shared" si="5"/>
        <v>0</v>
      </c>
    </row>
    <row r="199" spans="1:19" ht="53.25" customHeight="1" outlineLevel="1" x14ac:dyDescent="0.35">
      <c r="A199" s="193" t="s">
        <v>21</v>
      </c>
      <c r="B199" s="194">
        <v>891280000</v>
      </c>
      <c r="C199" s="195" t="s">
        <v>386</v>
      </c>
      <c r="D199" s="68" t="s">
        <v>54</v>
      </c>
      <c r="E199" s="68" t="s">
        <v>135</v>
      </c>
      <c r="F199" s="69" t="s">
        <v>370</v>
      </c>
      <c r="G199" s="74" t="s">
        <v>54</v>
      </c>
      <c r="H199" s="196">
        <v>45495</v>
      </c>
      <c r="I199" s="192">
        <v>133375.24</v>
      </c>
      <c r="J199" s="192">
        <v>0</v>
      </c>
      <c r="K199" s="192">
        <v>0</v>
      </c>
      <c r="L199" s="192">
        <v>0</v>
      </c>
      <c r="M199" s="192"/>
      <c r="N199" s="192">
        <f t="shared" si="4"/>
        <v>133375.24</v>
      </c>
      <c r="O199" s="34">
        <v>133375.24</v>
      </c>
      <c r="P199" s="34">
        <f t="shared" si="8"/>
        <v>0</v>
      </c>
      <c r="S199" s="90">
        <f t="shared" si="5"/>
        <v>0</v>
      </c>
    </row>
    <row r="200" spans="1:19" ht="53.25" customHeight="1" outlineLevel="1" x14ac:dyDescent="0.35">
      <c r="A200" s="193" t="s">
        <v>21</v>
      </c>
      <c r="B200" s="194">
        <v>800096580</v>
      </c>
      <c r="C200" s="195" t="s">
        <v>375</v>
      </c>
      <c r="D200" s="68" t="s">
        <v>54</v>
      </c>
      <c r="E200" s="68" t="s">
        <v>135</v>
      </c>
      <c r="F200" s="69" t="s">
        <v>370</v>
      </c>
      <c r="G200" s="74" t="s">
        <v>54</v>
      </c>
      <c r="H200" s="196">
        <v>45512</v>
      </c>
      <c r="I200" s="192">
        <v>5584447.4000000004</v>
      </c>
      <c r="J200" s="192">
        <v>0</v>
      </c>
      <c r="K200" s="192">
        <v>0</v>
      </c>
      <c r="L200" s="192">
        <v>0</v>
      </c>
      <c r="M200" s="192"/>
      <c r="N200" s="192">
        <f t="shared" ref="N200:N250" si="9">+I200-J200-K200+M200-L200</f>
        <v>5584447.4000000004</v>
      </c>
      <c r="O200" s="34"/>
      <c r="S200" s="90">
        <f t="shared" si="5"/>
        <v>0</v>
      </c>
    </row>
    <row r="201" spans="1:19" ht="53.25" customHeight="1" outlineLevel="1" x14ac:dyDescent="0.35">
      <c r="A201" s="193" t="s">
        <v>21</v>
      </c>
      <c r="B201" s="194">
        <v>891380033</v>
      </c>
      <c r="C201" s="195" t="s">
        <v>381</v>
      </c>
      <c r="D201" s="68" t="s">
        <v>54</v>
      </c>
      <c r="E201" s="68" t="s">
        <v>135</v>
      </c>
      <c r="F201" s="69" t="s">
        <v>370</v>
      </c>
      <c r="G201" s="74" t="s">
        <v>54</v>
      </c>
      <c r="H201" s="196">
        <v>45512</v>
      </c>
      <c r="I201" s="192">
        <v>2156696.6800000002</v>
      </c>
      <c r="J201" s="192">
        <v>0</v>
      </c>
      <c r="K201" s="192">
        <v>0</v>
      </c>
      <c r="L201" s="192">
        <v>0</v>
      </c>
      <c r="M201" s="192"/>
      <c r="N201" s="192">
        <f t="shared" si="9"/>
        <v>2156696.6800000002</v>
      </c>
      <c r="O201" s="34"/>
      <c r="S201" s="90">
        <f t="shared" ref="S201:S250" si="10">+ROUND(L201,2)</f>
        <v>0</v>
      </c>
    </row>
    <row r="202" spans="1:19" ht="53.25" customHeight="1" outlineLevel="1" x14ac:dyDescent="0.35">
      <c r="A202" s="193" t="s">
        <v>21</v>
      </c>
      <c r="B202" s="194">
        <v>899999090</v>
      </c>
      <c r="C202" s="195" t="s">
        <v>364</v>
      </c>
      <c r="D202" s="68" t="s">
        <v>54</v>
      </c>
      <c r="E202" s="68" t="s">
        <v>135</v>
      </c>
      <c r="F202" s="69" t="s">
        <v>387</v>
      </c>
      <c r="G202" s="74" t="s">
        <v>54</v>
      </c>
      <c r="H202" s="196">
        <v>45512</v>
      </c>
      <c r="I202" s="192">
        <v>79568302.909999996</v>
      </c>
      <c r="J202" s="192">
        <v>0</v>
      </c>
      <c r="K202" s="192">
        <v>0</v>
      </c>
      <c r="L202" s="192">
        <v>0</v>
      </c>
      <c r="M202" s="192"/>
      <c r="N202" s="192">
        <f t="shared" si="9"/>
        <v>79568302.909999996</v>
      </c>
      <c r="O202" s="34"/>
      <c r="S202" s="90">
        <f t="shared" si="10"/>
        <v>0</v>
      </c>
    </row>
    <row r="203" spans="1:19" ht="53.25" customHeight="1" outlineLevel="1" x14ac:dyDescent="0.35">
      <c r="A203" s="193" t="s">
        <v>21</v>
      </c>
      <c r="B203" s="194">
        <v>899999090</v>
      </c>
      <c r="C203" s="195" t="s">
        <v>364</v>
      </c>
      <c r="D203" s="68" t="s">
        <v>54</v>
      </c>
      <c r="E203" s="68" t="s">
        <v>135</v>
      </c>
      <c r="F203" s="69" t="s">
        <v>387</v>
      </c>
      <c r="G203" s="74" t="s">
        <v>54</v>
      </c>
      <c r="H203" s="196">
        <v>45512</v>
      </c>
      <c r="I203" s="192">
        <v>36567881.450000003</v>
      </c>
      <c r="J203" s="192">
        <v>0</v>
      </c>
      <c r="K203" s="192">
        <v>0</v>
      </c>
      <c r="L203" s="192">
        <v>0</v>
      </c>
      <c r="M203" s="192"/>
      <c r="N203" s="192">
        <f t="shared" si="9"/>
        <v>36567881.450000003</v>
      </c>
      <c r="O203" s="34"/>
      <c r="S203" s="90">
        <f t="shared" si="10"/>
        <v>0</v>
      </c>
    </row>
    <row r="204" spans="1:19" ht="53.25" customHeight="1" outlineLevel="1" x14ac:dyDescent="0.35">
      <c r="A204" s="193" t="s">
        <v>21</v>
      </c>
      <c r="B204" s="194">
        <v>899999090</v>
      </c>
      <c r="C204" s="195" t="s">
        <v>364</v>
      </c>
      <c r="D204" s="68" t="s">
        <v>54</v>
      </c>
      <c r="E204" s="68" t="s">
        <v>135</v>
      </c>
      <c r="F204" s="69" t="s">
        <v>387</v>
      </c>
      <c r="G204" s="74" t="s">
        <v>54</v>
      </c>
      <c r="H204" s="196">
        <v>45512</v>
      </c>
      <c r="I204" s="192">
        <v>24724989.050000001</v>
      </c>
      <c r="J204" s="192">
        <v>0</v>
      </c>
      <c r="K204" s="192">
        <v>0</v>
      </c>
      <c r="L204" s="192">
        <v>0</v>
      </c>
      <c r="M204" s="192"/>
      <c r="N204" s="192">
        <f t="shared" si="9"/>
        <v>24724989.050000001</v>
      </c>
      <c r="O204" s="34"/>
      <c r="S204" s="90">
        <f t="shared" si="10"/>
        <v>0</v>
      </c>
    </row>
    <row r="205" spans="1:19" ht="53.25" customHeight="1" outlineLevel="1" x14ac:dyDescent="0.35">
      <c r="A205" s="193" t="s">
        <v>21</v>
      </c>
      <c r="B205" s="194">
        <v>899999090</v>
      </c>
      <c r="C205" s="195" t="s">
        <v>364</v>
      </c>
      <c r="D205" s="68" t="s">
        <v>54</v>
      </c>
      <c r="E205" s="68" t="s">
        <v>135</v>
      </c>
      <c r="F205" s="69" t="s">
        <v>387</v>
      </c>
      <c r="G205" s="74" t="s">
        <v>54</v>
      </c>
      <c r="H205" s="196">
        <v>45512</v>
      </c>
      <c r="I205" s="192">
        <v>32520409.699999999</v>
      </c>
      <c r="J205" s="192">
        <v>0</v>
      </c>
      <c r="K205" s="192">
        <v>0</v>
      </c>
      <c r="L205" s="192">
        <v>0</v>
      </c>
      <c r="M205" s="192"/>
      <c r="N205" s="192">
        <f t="shared" si="9"/>
        <v>32520409.699999999</v>
      </c>
      <c r="O205" s="34"/>
      <c r="S205" s="90">
        <f t="shared" si="10"/>
        <v>0</v>
      </c>
    </row>
    <row r="206" spans="1:19" ht="53.25" customHeight="1" outlineLevel="1" x14ac:dyDescent="0.35">
      <c r="A206" s="193" t="s">
        <v>21</v>
      </c>
      <c r="B206" s="194">
        <v>899999090</v>
      </c>
      <c r="C206" s="195" t="s">
        <v>364</v>
      </c>
      <c r="D206" s="68" t="s">
        <v>54</v>
      </c>
      <c r="E206" s="68" t="s">
        <v>135</v>
      </c>
      <c r="F206" s="69" t="s">
        <v>387</v>
      </c>
      <c r="G206" s="74" t="s">
        <v>54</v>
      </c>
      <c r="H206" s="196">
        <v>45512</v>
      </c>
      <c r="I206" s="192">
        <v>20710579.350000001</v>
      </c>
      <c r="J206" s="192">
        <v>0</v>
      </c>
      <c r="K206" s="192">
        <v>0</v>
      </c>
      <c r="L206" s="192">
        <v>0</v>
      </c>
      <c r="M206" s="192"/>
      <c r="N206" s="192">
        <f t="shared" si="9"/>
        <v>20710579.350000001</v>
      </c>
      <c r="O206" s="34"/>
      <c r="S206" s="90">
        <f t="shared" si="10"/>
        <v>0</v>
      </c>
    </row>
    <row r="207" spans="1:19" ht="53.25" customHeight="1" outlineLevel="1" x14ac:dyDescent="0.35">
      <c r="A207" s="193" t="s">
        <v>21</v>
      </c>
      <c r="B207" s="194">
        <v>899999090</v>
      </c>
      <c r="C207" s="195" t="s">
        <v>364</v>
      </c>
      <c r="D207" s="68" t="s">
        <v>54</v>
      </c>
      <c r="E207" s="68" t="s">
        <v>135</v>
      </c>
      <c r="F207" s="69" t="s">
        <v>387</v>
      </c>
      <c r="G207" s="74" t="s">
        <v>54</v>
      </c>
      <c r="H207" s="196">
        <v>45512</v>
      </c>
      <c r="I207" s="192">
        <v>40915773.350000001</v>
      </c>
      <c r="J207" s="192">
        <v>0</v>
      </c>
      <c r="K207" s="192">
        <v>0</v>
      </c>
      <c r="L207" s="192">
        <v>0</v>
      </c>
      <c r="M207" s="192"/>
      <c r="N207" s="192">
        <f t="shared" si="9"/>
        <v>40915773.350000001</v>
      </c>
      <c r="O207" s="34"/>
      <c r="S207" s="90">
        <f t="shared" si="10"/>
        <v>0</v>
      </c>
    </row>
    <row r="208" spans="1:19" ht="53.25" customHeight="1" outlineLevel="1" x14ac:dyDescent="0.35">
      <c r="A208" s="193" t="s">
        <v>21</v>
      </c>
      <c r="B208" s="194">
        <v>800197268</v>
      </c>
      <c r="C208" s="195" t="s">
        <v>366</v>
      </c>
      <c r="D208" s="68" t="s">
        <v>54</v>
      </c>
      <c r="E208" s="68" t="s">
        <v>135</v>
      </c>
      <c r="F208" s="69" t="s">
        <v>388</v>
      </c>
      <c r="G208" s="74" t="s">
        <v>54</v>
      </c>
      <c r="H208" s="196">
        <v>45516</v>
      </c>
      <c r="I208" s="192">
        <v>173325005.75999999</v>
      </c>
      <c r="J208" s="192">
        <v>0</v>
      </c>
      <c r="K208" s="192">
        <v>0</v>
      </c>
      <c r="L208" s="192">
        <v>0</v>
      </c>
      <c r="M208" s="192">
        <f>+N208-I208</f>
        <v>-5.7599999904632568</v>
      </c>
      <c r="N208" s="192">
        <v>173325000</v>
      </c>
      <c r="O208" s="34">
        <v>173325005.75999999</v>
      </c>
      <c r="P208" s="34">
        <f>+N208-O208</f>
        <v>-5.7599999904632568</v>
      </c>
      <c r="R208" s="34">
        <f>+R194+O208-N208</f>
        <v>-1082.3400000035763</v>
      </c>
      <c r="S208" s="90">
        <f t="shared" si="10"/>
        <v>0</v>
      </c>
    </row>
    <row r="209" spans="1:19" ht="53.25" customHeight="1" outlineLevel="1" x14ac:dyDescent="0.35">
      <c r="A209" s="193" t="s">
        <v>21</v>
      </c>
      <c r="B209" s="194">
        <v>800096763</v>
      </c>
      <c r="C209" s="195" t="s">
        <v>389</v>
      </c>
      <c r="D209" s="68" t="s">
        <v>54</v>
      </c>
      <c r="E209" s="68" t="s">
        <v>135</v>
      </c>
      <c r="F209" s="69" t="s">
        <v>370</v>
      </c>
      <c r="G209" s="74" t="s">
        <v>54</v>
      </c>
      <c r="H209" s="196">
        <v>45524</v>
      </c>
      <c r="I209" s="192">
        <v>26347.15</v>
      </c>
      <c r="J209" s="192">
        <v>0</v>
      </c>
      <c r="K209" s="192">
        <v>0</v>
      </c>
      <c r="L209" s="192">
        <v>0</v>
      </c>
      <c r="M209" s="192"/>
      <c r="N209" s="192">
        <f t="shared" si="9"/>
        <v>26347.15</v>
      </c>
      <c r="O209" s="34">
        <v>26347.15</v>
      </c>
      <c r="P209" s="34">
        <f t="shared" ref="P209:P210" si="11">+O209-N209</f>
        <v>0</v>
      </c>
      <c r="S209" s="90">
        <f t="shared" si="10"/>
        <v>0</v>
      </c>
    </row>
    <row r="210" spans="1:19" ht="53.25" customHeight="1" outlineLevel="1" x14ac:dyDescent="0.35">
      <c r="A210" s="193" t="s">
        <v>21</v>
      </c>
      <c r="B210" s="194">
        <v>891380033</v>
      </c>
      <c r="C210" s="195" t="s">
        <v>381</v>
      </c>
      <c r="D210" s="68" t="s">
        <v>54</v>
      </c>
      <c r="E210" s="68" t="s">
        <v>135</v>
      </c>
      <c r="F210" s="69" t="s">
        <v>370</v>
      </c>
      <c r="G210" s="74" t="s">
        <v>54</v>
      </c>
      <c r="H210" s="196">
        <v>45524</v>
      </c>
      <c r="I210" s="192">
        <v>1593951.2</v>
      </c>
      <c r="J210" s="192">
        <v>0</v>
      </c>
      <c r="K210" s="192">
        <v>0</v>
      </c>
      <c r="L210" s="192">
        <v>0</v>
      </c>
      <c r="M210" s="192"/>
      <c r="N210" s="192">
        <f t="shared" si="9"/>
        <v>1593951.2</v>
      </c>
      <c r="O210" s="34">
        <v>1143518.6100000001</v>
      </c>
      <c r="P210" s="34">
        <f t="shared" si="11"/>
        <v>-450432.58999999985</v>
      </c>
      <c r="S210" s="90">
        <f t="shared" si="10"/>
        <v>0</v>
      </c>
    </row>
    <row r="211" spans="1:19" ht="53.25" customHeight="1" outlineLevel="1" x14ac:dyDescent="0.35">
      <c r="A211" s="193" t="s">
        <v>21</v>
      </c>
      <c r="B211" s="194">
        <v>899999090</v>
      </c>
      <c r="C211" s="195" t="s">
        <v>364</v>
      </c>
      <c r="D211" s="68" t="s">
        <v>54</v>
      </c>
      <c r="E211" s="68" t="s">
        <v>135</v>
      </c>
      <c r="F211" s="69" t="s">
        <v>390</v>
      </c>
      <c r="G211" s="74" t="s">
        <v>54</v>
      </c>
      <c r="H211" s="196">
        <v>45544</v>
      </c>
      <c r="I211" s="192">
        <v>29455072.870000001</v>
      </c>
      <c r="J211" s="192">
        <v>0</v>
      </c>
      <c r="K211" s="192">
        <v>0</v>
      </c>
      <c r="L211" s="192">
        <v>0</v>
      </c>
      <c r="M211" s="192"/>
      <c r="N211" s="192">
        <f t="shared" si="9"/>
        <v>29455072.870000001</v>
      </c>
      <c r="O211" s="34"/>
      <c r="S211" s="90">
        <f t="shared" si="10"/>
        <v>0</v>
      </c>
    </row>
    <row r="212" spans="1:19" ht="53.25" customHeight="1" outlineLevel="1" x14ac:dyDescent="0.35">
      <c r="A212" s="193" t="s">
        <v>21</v>
      </c>
      <c r="B212" s="194">
        <v>899999090</v>
      </c>
      <c r="C212" s="195" t="s">
        <v>364</v>
      </c>
      <c r="D212" s="68" t="s">
        <v>54</v>
      </c>
      <c r="E212" s="68" t="s">
        <v>135</v>
      </c>
      <c r="F212" s="69" t="s">
        <v>390</v>
      </c>
      <c r="G212" s="74" t="s">
        <v>54</v>
      </c>
      <c r="H212" s="196">
        <v>45544</v>
      </c>
      <c r="I212" s="192">
        <v>67472423.349999994</v>
      </c>
      <c r="J212" s="192">
        <v>0</v>
      </c>
      <c r="K212" s="192">
        <v>0</v>
      </c>
      <c r="L212" s="192">
        <v>0</v>
      </c>
      <c r="M212" s="192"/>
      <c r="N212" s="192">
        <f t="shared" si="9"/>
        <v>67472423.349999994</v>
      </c>
      <c r="O212" s="34"/>
      <c r="S212" s="90">
        <f t="shared" si="10"/>
        <v>0</v>
      </c>
    </row>
    <row r="213" spans="1:19" ht="53.25" customHeight="1" outlineLevel="1" x14ac:dyDescent="0.35">
      <c r="A213" s="193" t="s">
        <v>21</v>
      </c>
      <c r="B213" s="194">
        <v>899999090</v>
      </c>
      <c r="C213" s="195" t="s">
        <v>364</v>
      </c>
      <c r="D213" s="68" t="s">
        <v>54</v>
      </c>
      <c r="E213" s="68" t="s">
        <v>135</v>
      </c>
      <c r="F213" s="69" t="s">
        <v>390</v>
      </c>
      <c r="G213" s="74" t="s">
        <v>54</v>
      </c>
      <c r="H213" s="196">
        <v>45544</v>
      </c>
      <c r="I213" s="192">
        <v>28672409.949999999</v>
      </c>
      <c r="J213" s="192">
        <v>0</v>
      </c>
      <c r="K213" s="192">
        <v>0</v>
      </c>
      <c r="L213" s="192">
        <v>0</v>
      </c>
      <c r="M213" s="192"/>
      <c r="N213" s="192">
        <f t="shared" si="9"/>
        <v>28672409.949999999</v>
      </c>
      <c r="O213" s="34"/>
      <c r="S213" s="90">
        <f t="shared" si="10"/>
        <v>0</v>
      </c>
    </row>
    <row r="214" spans="1:19" ht="53.25" customHeight="1" outlineLevel="1" x14ac:dyDescent="0.35">
      <c r="A214" s="193" t="s">
        <v>21</v>
      </c>
      <c r="B214" s="194">
        <v>899999090</v>
      </c>
      <c r="C214" s="195" t="s">
        <v>364</v>
      </c>
      <c r="D214" s="68" t="s">
        <v>54</v>
      </c>
      <c r="E214" s="68" t="s">
        <v>135</v>
      </c>
      <c r="F214" s="69" t="s">
        <v>390</v>
      </c>
      <c r="G214" s="74" t="s">
        <v>54</v>
      </c>
      <c r="H214" s="196">
        <v>45544</v>
      </c>
      <c r="I214" s="192">
        <v>54459346.950000003</v>
      </c>
      <c r="J214" s="192">
        <v>0</v>
      </c>
      <c r="K214" s="192">
        <v>0</v>
      </c>
      <c r="L214" s="192">
        <v>0</v>
      </c>
      <c r="M214" s="192"/>
      <c r="N214" s="192">
        <f t="shared" si="9"/>
        <v>54459346.950000003</v>
      </c>
      <c r="O214" s="34"/>
      <c r="S214" s="90">
        <f t="shared" si="10"/>
        <v>0</v>
      </c>
    </row>
    <row r="215" spans="1:19" ht="53.25" customHeight="1" outlineLevel="1" x14ac:dyDescent="0.35">
      <c r="A215" s="193" t="s">
        <v>21</v>
      </c>
      <c r="B215" s="194">
        <v>899999090</v>
      </c>
      <c r="C215" s="195" t="s">
        <v>364</v>
      </c>
      <c r="D215" s="68" t="s">
        <v>54</v>
      </c>
      <c r="E215" s="68" t="s">
        <v>135</v>
      </c>
      <c r="F215" s="69" t="s">
        <v>390</v>
      </c>
      <c r="G215" s="74" t="s">
        <v>54</v>
      </c>
      <c r="H215" s="196">
        <v>45544</v>
      </c>
      <c r="I215" s="192">
        <v>25605993.399999999</v>
      </c>
      <c r="J215" s="192">
        <v>0</v>
      </c>
      <c r="K215" s="192">
        <v>0</v>
      </c>
      <c r="L215" s="192">
        <v>0</v>
      </c>
      <c r="M215" s="192"/>
      <c r="N215" s="192">
        <f t="shared" si="9"/>
        <v>25605993.399999999</v>
      </c>
      <c r="O215" s="34"/>
      <c r="S215" s="90">
        <f t="shared" si="10"/>
        <v>0</v>
      </c>
    </row>
    <row r="216" spans="1:19" ht="53.25" customHeight="1" outlineLevel="1" x14ac:dyDescent="0.35">
      <c r="A216" s="193" t="s">
        <v>21</v>
      </c>
      <c r="B216" s="194">
        <v>899999090</v>
      </c>
      <c r="C216" s="195" t="s">
        <v>364</v>
      </c>
      <c r="D216" s="68" t="s">
        <v>54</v>
      </c>
      <c r="E216" s="68" t="s">
        <v>135</v>
      </c>
      <c r="F216" s="69" t="s">
        <v>390</v>
      </c>
      <c r="G216" s="74" t="s">
        <v>54</v>
      </c>
      <c r="H216" s="196">
        <v>45544</v>
      </c>
      <c r="I216" s="192">
        <v>38913079.159999996</v>
      </c>
      <c r="J216" s="192">
        <v>0</v>
      </c>
      <c r="K216" s="192">
        <v>0</v>
      </c>
      <c r="L216" s="192">
        <v>0</v>
      </c>
      <c r="M216" s="192"/>
      <c r="N216" s="192">
        <f t="shared" si="9"/>
        <v>38913079.159999996</v>
      </c>
      <c r="O216" s="34"/>
      <c r="S216" s="90">
        <f t="shared" si="10"/>
        <v>0</v>
      </c>
    </row>
    <row r="217" spans="1:19" ht="53.25" customHeight="1" outlineLevel="1" x14ac:dyDescent="0.35">
      <c r="A217" s="193" t="s">
        <v>21</v>
      </c>
      <c r="B217" s="194">
        <v>899999090</v>
      </c>
      <c r="C217" s="195" t="s">
        <v>364</v>
      </c>
      <c r="D217" s="68" t="s">
        <v>54</v>
      </c>
      <c r="E217" s="68" t="s">
        <v>135</v>
      </c>
      <c r="F217" s="69" t="s">
        <v>390</v>
      </c>
      <c r="G217" s="74" t="s">
        <v>54</v>
      </c>
      <c r="H217" s="196">
        <v>45544</v>
      </c>
      <c r="I217" s="192">
        <v>12659085.380000001</v>
      </c>
      <c r="J217" s="192">
        <v>0</v>
      </c>
      <c r="K217" s="192">
        <v>0</v>
      </c>
      <c r="L217" s="192">
        <v>0</v>
      </c>
      <c r="M217" s="192"/>
      <c r="N217" s="192">
        <f t="shared" si="9"/>
        <v>12659085.380000001</v>
      </c>
      <c r="O217" s="34"/>
      <c r="S217" s="90">
        <f t="shared" si="10"/>
        <v>0</v>
      </c>
    </row>
    <row r="218" spans="1:19" ht="53.25" customHeight="1" outlineLevel="1" x14ac:dyDescent="0.35">
      <c r="A218" s="193" t="s">
        <v>21</v>
      </c>
      <c r="B218" s="194">
        <v>800197268</v>
      </c>
      <c r="C218" s="195" t="s">
        <v>366</v>
      </c>
      <c r="D218" s="68" t="s">
        <v>54</v>
      </c>
      <c r="E218" s="68" t="s">
        <v>135</v>
      </c>
      <c r="F218" s="69" t="s">
        <v>391</v>
      </c>
      <c r="G218" s="74" t="s">
        <v>54</v>
      </c>
      <c r="H218" s="196">
        <v>45545</v>
      </c>
      <c r="I218" s="192">
        <v>150234500.57999998</v>
      </c>
      <c r="J218" s="192">
        <v>0</v>
      </c>
      <c r="K218" s="192">
        <v>0</v>
      </c>
      <c r="L218" s="192">
        <v>0</v>
      </c>
      <c r="M218" s="192">
        <f>+N218-I218</f>
        <v>499.4200000166893</v>
      </c>
      <c r="N218" s="192">
        <v>150235000</v>
      </c>
      <c r="O218" s="34">
        <v>150234500.58000001</v>
      </c>
      <c r="P218" s="34">
        <f>+N218-O218</f>
        <v>499.41999998688698</v>
      </c>
      <c r="R218" s="34">
        <f>+R208+O218-N218</f>
        <v>-1581.7599999904633</v>
      </c>
      <c r="S218" s="90">
        <f t="shared" si="10"/>
        <v>0</v>
      </c>
    </row>
    <row r="219" spans="1:19" ht="53.25" customHeight="1" outlineLevel="1" x14ac:dyDescent="0.35">
      <c r="A219" s="193" t="s">
        <v>21</v>
      </c>
      <c r="B219" s="194">
        <v>800096580</v>
      </c>
      <c r="C219" s="195" t="s">
        <v>375</v>
      </c>
      <c r="D219" s="68" t="s">
        <v>54</v>
      </c>
      <c r="E219" s="68" t="s">
        <v>135</v>
      </c>
      <c r="F219" s="69" t="s">
        <v>370</v>
      </c>
      <c r="G219" s="74" t="s">
        <v>54</v>
      </c>
      <c r="H219" s="196">
        <v>45560</v>
      </c>
      <c r="I219" s="192">
        <v>1228213.33</v>
      </c>
      <c r="J219" s="192">
        <v>0</v>
      </c>
      <c r="K219" s="192">
        <v>0</v>
      </c>
      <c r="L219" s="192">
        <v>0</v>
      </c>
      <c r="M219" s="192"/>
      <c r="N219" s="192">
        <f t="shared" si="9"/>
        <v>1228213.33</v>
      </c>
      <c r="O219" s="34"/>
      <c r="S219" s="90">
        <f t="shared" si="10"/>
        <v>0</v>
      </c>
    </row>
    <row r="220" spans="1:19" ht="53.25" customHeight="1" outlineLevel="1" x14ac:dyDescent="0.35">
      <c r="A220" s="193" t="s">
        <v>21</v>
      </c>
      <c r="B220" s="194">
        <v>891780044</v>
      </c>
      <c r="C220" s="195" t="s">
        <v>377</v>
      </c>
      <c r="D220" s="68" t="s">
        <v>54</v>
      </c>
      <c r="E220" s="68" t="s">
        <v>135</v>
      </c>
      <c r="F220" s="69" t="s">
        <v>370</v>
      </c>
      <c r="G220" s="74" t="s">
        <v>54</v>
      </c>
      <c r="H220" s="196">
        <v>45560</v>
      </c>
      <c r="I220" s="192">
        <v>1717367.55</v>
      </c>
      <c r="J220" s="192">
        <v>0</v>
      </c>
      <c r="K220" s="192">
        <v>0</v>
      </c>
      <c r="L220" s="192">
        <v>0</v>
      </c>
      <c r="M220" s="192"/>
      <c r="N220" s="192">
        <v>1717367.55</v>
      </c>
      <c r="O220" s="34"/>
      <c r="S220" s="90">
        <f t="shared" si="10"/>
        <v>0</v>
      </c>
    </row>
    <row r="221" spans="1:19" ht="53.25" customHeight="1" outlineLevel="1" x14ac:dyDescent="0.35">
      <c r="A221" s="193" t="s">
        <v>21</v>
      </c>
      <c r="B221" s="194">
        <v>800096763</v>
      </c>
      <c r="C221" s="195" t="s">
        <v>389</v>
      </c>
      <c r="D221" s="68" t="s">
        <v>54</v>
      </c>
      <c r="E221" s="68" t="s">
        <v>135</v>
      </c>
      <c r="F221" s="69" t="s">
        <v>370</v>
      </c>
      <c r="G221" s="74" t="s">
        <v>54</v>
      </c>
      <c r="H221" s="196">
        <v>45560</v>
      </c>
      <c r="I221" s="192">
        <v>19014.63</v>
      </c>
      <c r="J221" s="192">
        <v>0</v>
      </c>
      <c r="K221" s="192">
        <v>0</v>
      </c>
      <c r="L221" s="192">
        <v>0</v>
      </c>
      <c r="M221" s="192"/>
      <c r="N221" s="192">
        <f t="shared" si="9"/>
        <v>19014.63</v>
      </c>
      <c r="O221" s="34"/>
      <c r="S221" s="90">
        <f t="shared" si="10"/>
        <v>0</v>
      </c>
    </row>
    <row r="222" spans="1:19" ht="53.25" customHeight="1" outlineLevel="1" x14ac:dyDescent="0.35">
      <c r="A222" s="193" t="s">
        <v>21</v>
      </c>
      <c r="B222" s="194">
        <v>800095466</v>
      </c>
      <c r="C222" s="195" t="s">
        <v>392</v>
      </c>
      <c r="D222" s="68" t="s">
        <v>54</v>
      </c>
      <c r="E222" s="68" t="s">
        <v>135</v>
      </c>
      <c r="F222" s="69" t="s">
        <v>370</v>
      </c>
      <c r="G222" s="74" t="s">
        <v>54</v>
      </c>
      <c r="H222" s="196">
        <v>45560</v>
      </c>
      <c r="I222" s="192">
        <v>5521342.1699999999</v>
      </c>
      <c r="J222" s="192">
        <v>0</v>
      </c>
      <c r="K222" s="192">
        <v>0</v>
      </c>
      <c r="L222" s="192">
        <v>0</v>
      </c>
      <c r="M222" s="192"/>
      <c r="N222" s="192">
        <f t="shared" si="9"/>
        <v>5521342.1699999999</v>
      </c>
      <c r="O222" s="34"/>
      <c r="S222" s="90">
        <f t="shared" si="10"/>
        <v>0</v>
      </c>
    </row>
    <row r="223" spans="1:19" ht="53.25" customHeight="1" outlineLevel="1" x14ac:dyDescent="0.35">
      <c r="A223" s="193" t="s">
        <v>21</v>
      </c>
      <c r="B223" s="194">
        <v>890981138</v>
      </c>
      <c r="C223" s="195" t="s">
        <v>393</v>
      </c>
      <c r="D223" s="68" t="s">
        <v>54</v>
      </c>
      <c r="E223" s="68" t="s">
        <v>135</v>
      </c>
      <c r="F223" s="69" t="s">
        <v>370</v>
      </c>
      <c r="G223" s="74" t="s">
        <v>54</v>
      </c>
      <c r="H223" s="196">
        <v>45560</v>
      </c>
      <c r="I223" s="192">
        <v>2014934.22</v>
      </c>
      <c r="J223" s="192">
        <v>0</v>
      </c>
      <c r="K223" s="192">
        <v>0</v>
      </c>
      <c r="L223" s="192">
        <v>0</v>
      </c>
      <c r="M223" s="192"/>
      <c r="N223" s="192">
        <f t="shared" si="9"/>
        <v>2014934.22</v>
      </c>
      <c r="O223" s="34"/>
      <c r="S223" s="90">
        <f t="shared" si="10"/>
        <v>0</v>
      </c>
    </row>
    <row r="224" spans="1:19" ht="53.25" customHeight="1" outlineLevel="1" x14ac:dyDescent="0.35">
      <c r="A224" s="193" t="s">
        <v>21</v>
      </c>
      <c r="B224" s="194">
        <v>890980095</v>
      </c>
      <c r="C224" s="195" t="s">
        <v>371</v>
      </c>
      <c r="D224" s="68" t="s">
        <v>54</v>
      </c>
      <c r="E224" s="68" t="s">
        <v>135</v>
      </c>
      <c r="F224" s="69" t="s">
        <v>370</v>
      </c>
      <c r="G224" s="74" t="s">
        <v>54</v>
      </c>
      <c r="H224" s="196">
        <v>45560</v>
      </c>
      <c r="I224" s="192">
        <v>1964764.09</v>
      </c>
      <c r="J224" s="192">
        <v>0</v>
      </c>
      <c r="K224" s="192">
        <v>0</v>
      </c>
      <c r="L224" s="192">
        <v>0</v>
      </c>
      <c r="M224" s="192">
        <f>+N224-I224</f>
        <v>0</v>
      </c>
      <c r="N224" s="192">
        <v>1964764.09</v>
      </c>
      <c r="O224" s="34"/>
      <c r="S224" s="90">
        <f t="shared" si="10"/>
        <v>0</v>
      </c>
    </row>
    <row r="225" spans="1:20" ht="53.25" customHeight="1" outlineLevel="1" x14ac:dyDescent="0.35">
      <c r="A225" s="193" t="s">
        <v>21</v>
      </c>
      <c r="B225" s="194">
        <v>891380033</v>
      </c>
      <c r="C225" s="195" t="s">
        <v>381</v>
      </c>
      <c r="D225" s="68" t="s">
        <v>54</v>
      </c>
      <c r="E225" s="68" t="s">
        <v>135</v>
      </c>
      <c r="F225" s="69" t="s">
        <v>370</v>
      </c>
      <c r="G225" s="74" t="s">
        <v>54</v>
      </c>
      <c r="H225" s="196">
        <v>45560</v>
      </c>
      <c r="I225" s="192">
        <v>632185.19999999995</v>
      </c>
      <c r="J225" s="192">
        <v>0</v>
      </c>
      <c r="K225" s="192">
        <v>0</v>
      </c>
      <c r="L225" s="192">
        <v>0</v>
      </c>
      <c r="M225" s="192"/>
      <c r="N225" s="192">
        <f t="shared" si="9"/>
        <v>632185.19999999995</v>
      </c>
      <c r="O225" s="34"/>
      <c r="S225" s="90">
        <f t="shared" si="10"/>
        <v>0</v>
      </c>
    </row>
    <row r="226" spans="1:20" ht="53.25" customHeight="1" outlineLevel="1" x14ac:dyDescent="0.35">
      <c r="A226" s="193" t="s">
        <v>21</v>
      </c>
      <c r="B226" s="194">
        <v>800099079</v>
      </c>
      <c r="C226" s="195" t="s">
        <v>394</v>
      </c>
      <c r="D226" s="68" t="s">
        <v>54</v>
      </c>
      <c r="E226" s="68" t="s">
        <v>135</v>
      </c>
      <c r="F226" s="69" t="s">
        <v>370</v>
      </c>
      <c r="G226" s="74" t="s">
        <v>54</v>
      </c>
      <c r="H226" s="196">
        <v>45560</v>
      </c>
      <c r="I226" s="192">
        <v>11627.35</v>
      </c>
      <c r="J226" s="192">
        <v>0</v>
      </c>
      <c r="K226" s="192">
        <v>0</v>
      </c>
      <c r="L226" s="192">
        <v>0</v>
      </c>
      <c r="M226" s="192"/>
      <c r="N226" s="192">
        <f t="shared" si="9"/>
        <v>11627.35</v>
      </c>
      <c r="O226" s="34"/>
      <c r="S226" s="90">
        <f t="shared" si="10"/>
        <v>0</v>
      </c>
    </row>
    <row r="227" spans="1:20" ht="53.25" customHeight="1" outlineLevel="1" x14ac:dyDescent="0.35">
      <c r="A227" s="193" t="s">
        <v>21</v>
      </c>
      <c r="B227" s="194">
        <v>819003225</v>
      </c>
      <c r="C227" s="195" t="s">
        <v>376</v>
      </c>
      <c r="D227" s="68" t="s">
        <v>54</v>
      </c>
      <c r="E227" s="68" t="s">
        <v>135</v>
      </c>
      <c r="F227" s="69" t="s">
        <v>370</v>
      </c>
      <c r="G227" s="74" t="s">
        <v>54</v>
      </c>
      <c r="H227" s="196">
        <v>45566</v>
      </c>
      <c r="I227" s="192">
        <v>1480868.45</v>
      </c>
      <c r="J227" s="192">
        <v>0</v>
      </c>
      <c r="K227" s="192">
        <v>0</v>
      </c>
      <c r="L227" s="192">
        <v>0</v>
      </c>
      <c r="M227" s="192">
        <f>+N227-I227</f>
        <v>0</v>
      </c>
      <c r="N227" s="192">
        <v>1480868.45</v>
      </c>
      <c r="O227" s="34"/>
      <c r="S227" s="90">
        <f t="shared" si="10"/>
        <v>0</v>
      </c>
      <c r="T227" s="90">
        <f>+N227</f>
        <v>1480868.45</v>
      </c>
    </row>
    <row r="228" spans="1:20" ht="53.25" customHeight="1" outlineLevel="1" x14ac:dyDescent="0.35">
      <c r="A228" s="193" t="s">
        <v>21</v>
      </c>
      <c r="B228" s="194">
        <v>891280000</v>
      </c>
      <c r="C228" s="195" t="s">
        <v>386</v>
      </c>
      <c r="D228" s="68" t="s">
        <v>54</v>
      </c>
      <c r="E228" s="68" t="s">
        <v>135</v>
      </c>
      <c r="F228" s="69" t="s">
        <v>370</v>
      </c>
      <c r="G228" s="74" t="s">
        <v>54</v>
      </c>
      <c r="H228" s="196">
        <v>45566</v>
      </c>
      <c r="I228" s="192">
        <v>1530235.12</v>
      </c>
      <c r="J228" s="192">
        <v>0</v>
      </c>
      <c r="K228" s="192">
        <v>0</v>
      </c>
      <c r="L228" s="192">
        <v>0</v>
      </c>
      <c r="M228" s="192"/>
      <c r="N228" s="192">
        <f t="shared" si="9"/>
        <v>1530235.12</v>
      </c>
      <c r="O228" s="34"/>
      <c r="S228" s="90">
        <f t="shared" si="10"/>
        <v>0</v>
      </c>
      <c r="T228" s="90">
        <f>+N228</f>
        <v>1530235.12</v>
      </c>
    </row>
    <row r="229" spans="1:20" ht="53.25" customHeight="1" outlineLevel="1" x14ac:dyDescent="0.35">
      <c r="A229" s="193" t="s">
        <v>21</v>
      </c>
      <c r="B229" s="194">
        <v>800197268</v>
      </c>
      <c r="C229" s="195" t="s">
        <v>366</v>
      </c>
      <c r="D229" s="68" t="s">
        <v>54</v>
      </c>
      <c r="E229" s="68" t="s">
        <v>135</v>
      </c>
      <c r="F229" s="69" t="s">
        <v>395</v>
      </c>
      <c r="G229" s="74" t="s">
        <v>54</v>
      </c>
      <c r="H229" s="196">
        <v>45574</v>
      </c>
      <c r="I229" s="192">
        <v>176918671.19</v>
      </c>
      <c r="J229" s="192">
        <v>0</v>
      </c>
      <c r="K229" s="192">
        <v>0</v>
      </c>
      <c r="L229" s="192">
        <v>0</v>
      </c>
      <c r="M229" s="192">
        <f>+N229-I229</f>
        <v>328.81000000238419</v>
      </c>
      <c r="N229" s="192">
        <v>176919000</v>
      </c>
      <c r="O229" s="34">
        <v>176918671.19</v>
      </c>
      <c r="P229" s="34">
        <f>+N229-O229</f>
        <v>328.81000000238419</v>
      </c>
      <c r="R229" s="34">
        <f>+R218+O229-N229</f>
        <v>-1910.5699999928474</v>
      </c>
      <c r="S229" s="90">
        <f t="shared" si="10"/>
        <v>0</v>
      </c>
    </row>
    <row r="230" spans="1:20" ht="53.25" customHeight="1" outlineLevel="1" x14ac:dyDescent="0.35">
      <c r="A230" s="193" t="s">
        <v>21</v>
      </c>
      <c r="B230" s="194">
        <v>899999090</v>
      </c>
      <c r="C230" s="195" t="s">
        <v>364</v>
      </c>
      <c r="D230" s="68" t="s">
        <v>54</v>
      </c>
      <c r="E230" s="68" t="s">
        <v>135</v>
      </c>
      <c r="F230" s="69" t="s">
        <v>396</v>
      </c>
      <c r="G230" s="74" t="s">
        <v>54</v>
      </c>
      <c r="H230" s="196">
        <v>45573</v>
      </c>
      <c r="I230" s="192">
        <v>29770106.600000001</v>
      </c>
      <c r="J230" s="192">
        <v>0</v>
      </c>
      <c r="K230" s="192">
        <v>0</v>
      </c>
      <c r="L230" s="192">
        <v>0</v>
      </c>
      <c r="M230" s="192"/>
      <c r="N230" s="192">
        <f t="shared" si="9"/>
        <v>29770106.600000001</v>
      </c>
      <c r="O230" s="34"/>
      <c r="S230" s="90">
        <f t="shared" si="10"/>
        <v>0</v>
      </c>
    </row>
    <row r="231" spans="1:20" ht="53.25" customHeight="1" outlineLevel="1" x14ac:dyDescent="0.35">
      <c r="A231" s="193" t="s">
        <v>21</v>
      </c>
      <c r="B231" s="194">
        <v>899999090</v>
      </c>
      <c r="C231" s="195" t="s">
        <v>364</v>
      </c>
      <c r="D231" s="68" t="s">
        <v>54</v>
      </c>
      <c r="E231" s="68" t="s">
        <v>135</v>
      </c>
      <c r="F231" s="69" t="s">
        <v>396</v>
      </c>
      <c r="G231" s="74" t="s">
        <v>54</v>
      </c>
      <c r="H231" s="196">
        <v>45573</v>
      </c>
      <c r="I231" s="192">
        <v>18451699.449999999</v>
      </c>
      <c r="J231" s="192">
        <v>0</v>
      </c>
      <c r="K231" s="192">
        <v>0</v>
      </c>
      <c r="L231" s="192">
        <v>0</v>
      </c>
      <c r="M231" s="192"/>
      <c r="N231" s="192">
        <f t="shared" si="9"/>
        <v>18451699.449999999</v>
      </c>
      <c r="O231" s="34"/>
      <c r="S231" s="90">
        <f t="shared" si="10"/>
        <v>0</v>
      </c>
    </row>
    <row r="232" spans="1:20" ht="53.25" customHeight="1" outlineLevel="1" x14ac:dyDescent="0.35">
      <c r="A232" s="193" t="s">
        <v>21</v>
      </c>
      <c r="B232" s="194">
        <v>899999090</v>
      </c>
      <c r="C232" s="195" t="s">
        <v>364</v>
      </c>
      <c r="D232" s="68" t="s">
        <v>54</v>
      </c>
      <c r="E232" s="68" t="s">
        <v>135</v>
      </c>
      <c r="F232" s="69" t="s">
        <v>396</v>
      </c>
      <c r="G232" s="74" t="s">
        <v>54</v>
      </c>
      <c r="H232" s="196">
        <v>45573</v>
      </c>
      <c r="I232" s="192">
        <v>44727644.729999997</v>
      </c>
      <c r="J232" s="192">
        <v>0</v>
      </c>
      <c r="K232" s="192">
        <v>0</v>
      </c>
      <c r="L232" s="192">
        <v>0</v>
      </c>
      <c r="M232" s="192"/>
      <c r="N232" s="192">
        <f t="shared" si="9"/>
        <v>44727644.729999997</v>
      </c>
      <c r="O232" s="34"/>
      <c r="S232" s="90">
        <f t="shared" si="10"/>
        <v>0</v>
      </c>
    </row>
    <row r="233" spans="1:20" ht="53.25" customHeight="1" outlineLevel="1" x14ac:dyDescent="0.35">
      <c r="A233" s="193" t="s">
        <v>21</v>
      </c>
      <c r="B233" s="194">
        <v>899999090</v>
      </c>
      <c r="C233" s="195" t="s">
        <v>364</v>
      </c>
      <c r="D233" s="68" t="s">
        <v>54</v>
      </c>
      <c r="E233" s="68" t="s">
        <v>135</v>
      </c>
      <c r="F233" s="69" t="s">
        <v>396</v>
      </c>
      <c r="G233" s="74" t="s">
        <v>54</v>
      </c>
      <c r="H233" s="196">
        <v>45573</v>
      </c>
      <c r="I233" s="192">
        <v>34311268.5</v>
      </c>
      <c r="J233" s="192">
        <v>0</v>
      </c>
      <c r="K233" s="192">
        <v>0</v>
      </c>
      <c r="L233" s="192">
        <v>0</v>
      </c>
      <c r="M233" s="192"/>
      <c r="N233" s="192">
        <f t="shared" si="9"/>
        <v>34311268.5</v>
      </c>
      <c r="O233" s="34"/>
      <c r="S233" s="90">
        <f t="shared" si="10"/>
        <v>0</v>
      </c>
    </row>
    <row r="234" spans="1:20" ht="53.25" customHeight="1" outlineLevel="1" x14ac:dyDescent="0.35">
      <c r="A234" s="193" t="s">
        <v>21</v>
      </c>
      <c r="B234" s="194">
        <v>899999090</v>
      </c>
      <c r="C234" s="195" t="s">
        <v>364</v>
      </c>
      <c r="D234" s="68" t="s">
        <v>54</v>
      </c>
      <c r="E234" s="68" t="s">
        <v>135</v>
      </c>
      <c r="F234" s="69" t="s">
        <v>396</v>
      </c>
      <c r="G234" s="74" t="s">
        <v>54</v>
      </c>
      <c r="H234" s="196">
        <v>45573</v>
      </c>
      <c r="I234" s="192">
        <v>18345241.149999999</v>
      </c>
      <c r="J234" s="192">
        <v>0</v>
      </c>
      <c r="K234" s="192">
        <v>0</v>
      </c>
      <c r="L234" s="192">
        <v>0</v>
      </c>
      <c r="M234" s="192"/>
      <c r="N234" s="192">
        <f t="shared" si="9"/>
        <v>18345241.149999999</v>
      </c>
      <c r="O234" s="34"/>
      <c r="S234" s="90">
        <f t="shared" si="10"/>
        <v>0</v>
      </c>
    </row>
    <row r="235" spans="1:20" ht="53.25" customHeight="1" outlineLevel="1" x14ac:dyDescent="0.35">
      <c r="A235" s="193" t="s">
        <v>21</v>
      </c>
      <c r="B235" s="194">
        <v>899999090</v>
      </c>
      <c r="C235" s="195" t="s">
        <v>364</v>
      </c>
      <c r="D235" s="68" t="s">
        <v>54</v>
      </c>
      <c r="E235" s="68" t="s">
        <v>135</v>
      </c>
      <c r="F235" s="69" t="s">
        <v>396</v>
      </c>
      <c r="G235" s="74" t="s">
        <v>54</v>
      </c>
      <c r="H235" s="196">
        <v>45573</v>
      </c>
      <c r="I235" s="192">
        <v>70284788.819999993</v>
      </c>
      <c r="J235" s="192">
        <v>0</v>
      </c>
      <c r="K235" s="192">
        <v>0</v>
      </c>
      <c r="L235" s="192">
        <v>0</v>
      </c>
      <c r="M235" s="192"/>
      <c r="N235" s="192">
        <f t="shared" si="9"/>
        <v>70284788.819999993</v>
      </c>
      <c r="O235" s="34"/>
      <c r="S235" s="90">
        <f t="shared" si="10"/>
        <v>0</v>
      </c>
    </row>
    <row r="236" spans="1:20" ht="53.25" customHeight="1" outlineLevel="1" x14ac:dyDescent="0.35">
      <c r="A236" s="193" t="s">
        <v>21</v>
      </c>
      <c r="B236" s="194">
        <v>899999090</v>
      </c>
      <c r="C236" s="195" t="s">
        <v>364</v>
      </c>
      <c r="D236" s="68" t="s">
        <v>54</v>
      </c>
      <c r="E236" s="68" t="s">
        <v>135</v>
      </c>
      <c r="F236" s="69" t="s">
        <v>396</v>
      </c>
      <c r="G236" s="74" t="s">
        <v>54</v>
      </c>
      <c r="H236" s="196">
        <v>45573</v>
      </c>
      <c r="I236" s="192">
        <v>15366335.300000001</v>
      </c>
      <c r="J236" s="192">
        <v>0</v>
      </c>
      <c r="K236" s="192">
        <v>0</v>
      </c>
      <c r="L236" s="192">
        <v>0</v>
      </c>
      <c r="M236" s="192"/>
      <c r="N236" s="192">
        <f t="shared" si="9"/>
        <v>15366335.300000001</v>
      </c>
      <c r="O236" s="34"/>
      <c r="S236" s="90">
        <f t="shared" si="10"/>
        <v>0</v>
      </c>
    </row>
    <row r="237" spans="1:20" ht="53.25" customHeight="1" outlineLevel="1" x14ac:dyDescent="0.35">
      <c r="A237" s="193" t="s">
        <v>21</v>
      </c>
      <c r="B237" s="194">
        <v>901780031</v>
      </c>
      <c r="C237" s="195" t="s">
        <v>276</v>
      </c>
      <c r="D237" s="68" t="s">
        <v>347</v>
      </c>
      <c r="E237" s="68" t="s">
        <v>140</v>
      </c>
      <c r="F237" s="69" t="s">
        <v>415</v>
      </c>
      <c r="G237" s="74">
        <v>151</v>
      </c>
      <c r="H237" s="196">
        <v>45621</v>
      </c>
      <c r="I237" s="192">
        <v>240306984</v>
      </c>
      <c r="J237" s="192">
        <v>24030698.399999999</v>
      </c>
      <c r="K237" s="192">
        <v>18744131.199999999</v>
      </c>
      <c r="L237" s="192">
        <v>54867110</v>
      </c>
      <c r="M237" s="192"/>
      <c r="N237" s="192">
        <f t="shared" si="9"/>
        <v>142665044.40000001</v>
      </c>
      <c r="O237" s="34"/>
      <c r="S237" s="90">
        <f t="shared" si="10"/>
        <v>54867110</v>
      </c>
    </row>
    <row r="238" spans="1:20" ht="53.25" customHeight="1" outlineLevel="1" x14ac:dyDescent="0.35">
      <c r="A238" s="193" t="s">
        <v>363</v>
      </c>
      <c r="B238" s="194">
        <v>19244715</v>
      </c>
      <c r="C238" s="195" t="s">
        <v>275</v>
      </c>
      <c r="D238" s="68" t="s">
        <v>253</v>
      </c>
      <c r="E238" s="68" t="s">
        <v>140</v>
      </c>
      <c r="F238" s="69" t="s">
        <v>416</v>
      </c>
      <c r="G238" s="74">
        <v>152</v>
      </c>
      <c r="H238" s="196">
        <v>45621</v>
      </c>
      <c r="I238" s="192">
        <v>19751684.280000001</v>
      </c>
      <c r="J238" s="192">
        <v>1975168.43</v>
      </c>
      <c r="K238" s="192">
        <v>1078872.51</v>
      </c>
      <c r="L238" s="192"/>
      <c r="M238" s="192"/>
      <c r="N238" s="192">
        <f t="shared" si="9"/>
        <v>16697643.340000002</v>
      </c>
      <c r="O238" s="34"/>
      <c r="S238" s="90">
        <f t="shared" si="10"/>
        <v>0</v>
      </c>
    </row>
    <row r="239" spans="1:20" ht="53.25" customHeight="1" outlineLevel="1" x14ac:dyDescent="0.35">
      <c r="A239" s="193" t="s">
        <v>21</v>
      </c>
      <c r="B239" s="194">
        <v>901778790</v>
      </c>
      <c r="C239" s="195" t="s">
        <v>274</v>
      </c>
      <c r="D239" s="68" t="s">
        <v>345</v>
      </c>
      <c r="E239" s="68" t="s">
        <v>140</v>
      </c>
      <c r="F239" s="69" t="s">
        <v>417</v>
      </c>
      <c r="G239" s="74">
        <v>153</v>
      </c>
      <c r="H239" s="196">
        <v>45624</v>
      </c>
      <c r="I239" s="192">
        <v>427267969</v>
      </c>
      <c r="J239" s="192">
        <v>42726796.899999999</v>
      </c>
      <c r="K239" s="192">
        <v>33373857.43</v>
      </c>
      <c r="L239" s="192">
        <v>46073636.799999997</v>
      </c>
      <c r="M239" s="192"/>
      <c r="N239" s="192">
        <f t="shared" si="9"/>
        <v>305093677.87</v>
      </c>
      <c r="O239" s="34"/>
      <c r="S239" s="90">
        <f t="shared" si="10"/>
        <v>46073636.799999997</v>
      </c>
    </row>
    <row r="240" spans="1:20" ht="53.25" customHeight="1" outlineLevel="1" x14ac:dyDescent="0.35">
      <c r="A240" s="193" t="s">
        <v>21</v>
      </c>
      <c r="B240" s="194">
        <v>900549325</v>
      </c>
      <c r="C240" s="195" t="s">
        <v>277</v>
      </c>
      <c r="D240" s="68" t="s">
        <v>346</v>
      </c>
      <c r="E240" s="68" t="s">
        <v>140</v>
      </c>
      <c r="F240" s="69" t="s">
        <v>418</v>
      </c>
      <c r="G240" s="74">
        <v>154</v>
      </c>
      <c r="H240" s="196">
        <v>45624</v>
      </c>
      <c r="I240" s="192">
        <v>389119922</v>
      </c>
      <c r="J240" s="192">
        <v>38911992.200000003</v>
      </c>
      <c r="K240" s="192">
        <v>30770757.199999999</v>
      </c>
      <c r="L240" s="192">
        <v>50441051</v>
      </c>
      <c r="M240" s="192"/>
      <c r="N240" s="192">
        <f t="shared" si="9"/>
        <v>268996121.60000002</v>
      </c>
      <c r="O240" s="34"/>
      <c r="S240" s="90">
        <f t="shared" si="10"/>
        <v>50441051</v>
      </c>
    </row>
    <row r="241" spans="1:19" ht="53.25" customHeight="1" outlineLevel="1" x14ac:dyDescent="0.35">
      <c r="A241" s="193" t="s">
        <v>21</v>
      </c>
      <c r="B241" s="194">
        <v>901760521</v>
      </c>
      <c r="C241" s="195" t="s">
        <v>265</v>
      </c>
      <c r="D241" s="68" t="s">
        <v>244</v>
      </c>
      <c r="E241" s="68" t="s">
        <v>140</v>
      </c>
      <c r="F241" s="69" t="s">
        <v>419</v>
      </c>
      <c r="G241" s="74">
        <v>155</v>
      </c>
      <c r="H241" s="196">
        <v>45616</v>
      </c>
      <c r="I241" s="192">
        <v>546778806</v>
      </c>
      <c r="J241" s="192">
        <v>54677880.600000001</v>
      </c>
      <c r="K241" s="192">
        <v>45232378.900000006</v>
      </c>
      <c r="L241" s="192">
        <v>11100000</v>
      </c>
      <c r="M241" s="192"/>
      <c r="N241" s="192">
        <f t="shared" si="9"/>
        <v>435768546.5</v>
      </c>
      <c r="O241" s="34"/>
      <c r="S241" s="90">
        <f t="shared" si="10"/>
        <v>11100000</v>
      </c>
    </row>
    <row r="242" spans="1:19" ht="53.25" customHeight="1" outlineLevel="1" x14ac:dyDescent="0.35">
      <c r="A242" s="193" t="s">
        <v>363</v>
      </c>
      <c r="B242" s="194">
        <v>19244715</v>
      </c>
      <c r="C242" s="195" t="s">
        <v>275</v>
      </c>
      <c r="D242" s="68" t="s">
        <v>252</v>
      </c>
      <c r="E242" s="68" t="s">
        <v>140</v>
      </c>
      <c r="F242" s="69" t="s">
        <v>420</v>
      </c>
      <c r="G242" s="74">
        <v>156</v>
      </c>
      <c r="H242" s="196">
        <v>45621</v>
      </c>
      <c r="I242" s="192">
        <v>24305033.25</v>
      </c>
      <c r="J242" s="192">
        <v>2430503.33</v>
      </c>
      <c r="K242" s="192">
        <v>1358785.9300000002</v>
      </c>
      <c r="L242" s="192"/>
      <c r="M242" s="192"/>
      <c r="N242" s="192">
        <f t="shared" si="9"/>
        <v>20515743.990000002</v>
      </c>
      <c r="O242" s="34"/>
      <c r="S242" s="90">
        <f t="shared" si="10"/>
        <v>0</v>
      </c>
    </row>
    <row r="243" spans="1:19" ht="53.25" customHeight="1" outlineLevel="1" x14ac:dyDescent="0.35">
      <c r="A243" s="193" t="s">
        <v>21</v>
      </c>
      <c r="B243" s="194">
        <v>901813886</v>
      </c>
      <c r="C243" s="195" t="s">
        <v>269</v>
      </c>
      <c r="D243" s="68" t="s">
        <v>348</v>
      </c>
      <c r="E243" s="68" t="s">
        <v>140</v>
      </c>
      <c r="F243" s="69" t="s">
        <v>421</v>
      </c>
      <c r="G243" s="74">
        <v>157</v>
      </c>
      <c r="H243" s="196">
        <v>45621</v>
      </c>
      <c r="I243" s="192">
        <v>727698325.90999997</v>
      </c>
      <c r="J243" s="192">
        <v>72769832.590000004</v>
      </c>
      <c r="K243" s="192">
        <v>57781077.760000005</v>
      </c>
      <c r="L243" s="192"/>
      <c r="M243" s="192"/>
      <c r="N243" s="192">
        <f t="shared" si="9"/>
        <v>597147415.55999994</v>
      </c>
      <c r="O243" s="34"/>
      <c r="S243" s="90">
        <f t="shared" si="10"/>
        <v>0</v>
      </c>
    </row>
    <row r="244" spans="1:19" ht="53.25" customHeight="1" outlineLevel="1" x14ac:dyDescent="0.35">
      <c r="A244" s="193" t="s">
        <v>21</v>
      </c>
      <c r="B244" s="194">
        <v>901760521</v>
      </c>
      <c r="C244" s="195" t="s">
        <v>265</v>
      </c>
      <c r="D244" s="68" t="s">
        <v>244</v>
      </c>
      <c r="E244" s="68" t="s">
        <v>140</v>
      </c>
      <c r="F244" s="69" t="s">
        <v>422</v>
      </c>
      <c r="G244" s="74">
        <v>158</v>
      </c>
      <c r="H244" s="196">
        <v>45621</v>
      </c>
      <c r="I244" s="192">
        <v>340268562</v>
      </c>
      <c r="J244" s="192">
        <v>34026856.200000003</v>
      </c>
      <c r="K244" s="192">
        <v>28231136.48</v>
      </c>
      <c r="L244" s="192"/>
      <c r="M244" s="192"/>
      <c r="N244" s="192">
        <f t="shared" si="9"/>
        <v>278010569.31999999</v>
      </c>
      <c r="O244" s="34"/>
      <c r="S244" s="90">
        <f t="shared" si="10"/>
        <v>0</v>
      </c>
    </row>
    <row r="245" spans="1:19" ht="53.25" customHeight="1" outlineLevel="1" x14ac:dyDescent="0.35">
      <c r="A245" s="193" t="s">
        <v>21</v>
      </c>
      <c r="B245" s="194">
        <v>800177012</v>
      </c>
      <c r="C245" s="195" t="s">
        <v>263</v>
      </c>
      <c r="D245" s="68" t="s">
        <v>242</v>
      </c>
      <c r="E245" s="68" t="s">
        <v>140</v>
      </c>
      <c r="F245" s="69" t="s">
        <v>423</v>
      </c>
      <c r="G245" s="74">
        <v>159</v>
      </c>
      <c r="H245" s="196">
        <v>45624</v>
      </c>
      <c r="I245" s="192">
        <v>41037649.809999995</v>
      </c>
      <c r="J245" s="192">
        <v>0</v>
      </c>
      <c r="K245" s="192">
        <v>862135.5</v>
      </c>
      <c r="L245" s="192"/>
      <c r="M245" s="192"/>
      <c r="N245" s="192">
        <f t="shared" si="9"/>
        <v>40175514.309999995</v>
      </c>
      <c r="O245" s="34"/>
      <c r="S245" s="90">
        <f t="shared" si="10"/>
        <v>0</v>
      </c>
    </row>
    <row r="246" spans="1:19" ht="53.25" customHeight="1" outlineLevel="1" x14ac:dyDescent="0.35">
      <c r="A246" s="193" t="s">
        <v>21</v>
      </c>
      <c r="B246" s="194">
        <v>800177012</v>
      </c>
      <c r="C246" s="195" t="s">
        <v>263</v>
      </c>
      <c r="D246" s="68" t="s">
        <v>242</v>
      </c>
      <c r="E246" s="68" t="s">
        <v>140</v>
      </c>
      <c r="F246" s="69" t="s">
        <v>424</v>
      </c>
      <c r="G246" s="74">
        <v>160</v>
      </c>
      <c r="H246" s="196">
        <v>45623</v>
      </c>
      <c r="I246" s="192"/>
      <c r="J246" s="192">
        <v>-329901261.87</v>
      </c>
      <c r="K246" s="192">
        <v>0</v>
      </c>
      <c r="L246" s="192">
        <v>10000000</v>
      </c>
      <c r="M246" s="192"/>
      <c r="N246" s="192">
        <f t="shared" si="9"/>
        <v>319901261.87</v>
      </c>
      <c r="O246" s="34"/>
      <c r="P246" s="34"/>
      <c r="S246" s="90"/>
    </row>
    <row r="247" spans="1:19" ht="53.25" customHeight="1" outlineLevel="1" x14ac:dyDescent="0.35">
      <c r="A247" s="193" t="s">
        <v>363</v>
      </c>
      <c r="B247" s="194">
        <v>19244715</v>
      </c>
      <c r="C247" s="195" t="s">
        <v>275</v>
      </c>
      <c r="D247" s="68" t="s">
        <v>254</v>
      </c>
      <c r="E247" s="68" t="s">
        <v>140</v>
      </c>
      <c r="F247" s="69" t="s">
        <v>425</v>
      </c>
      <c r="G247" s="74">
        <v>161</v>
      </c>
      <c r="H247" s="196">
        <v>45622</v>
      </c>
      <c r="I247" s="192">
        <v>19878248.100000001</v>
      </c>
      <c r="J247" s="192">
        <v>1987824.81</v>
      </c>
      <c r="K247" s="192">
        <v>1089981.57</v>
      </c>
      <c r="L247" s="192"/>
      <c r="M247" s="192"/>
      <c r="N247" s="192">
        <f t="shared" si="9"/>
        <v>16800441.720000003</v>
      </c>
      <c r="O247" s="34"/>
      <c r="S247" s="90">
        <f t="shared" si="10"/>
        <v>0</v>
      </c>
    </row>
    <row r="248" spans="1:19" ht="53.25" customHeight="1" outlineLevel="1" x14ac:dyDescent="0.35">
      <c r="A248" s="193" t="s">
        <v>21</v>
      </c>
      <c r="B248" s="194">
        <v>800177012</v>
      </c>
      <c r="C248" s="195" t="s">
        <v>263</v>
      </c>
      <c r="D248" s="68" t="s">
        <v>242</v>
      </c>
      <c r="E248" s="68" t="s">
        <v>140</v>
      </c>
      <c r="F248" s="69" t="s">
        <v>426</v>
      </c>
      <c r="G248" s="74">
        <v>162</v>
      </c>
      <c r="H248" s="196">
        <v>45621</v>
      </c>
      <c r="I248" s="192">
        <v>21602406.059999999</v>
      </c>
      <c r="J248" s="192">
        <v>0</v>
      </c>
      <c r="K248" s="192">
        <v>1288232.1599999999</v>
      </c>
      <c r="L248" s="192"/>
      <c r="M248" s="192"/>
      <c r="N248" s="192">
        <f t="shared" si="9"/>
        <v>20314173.899999999</v>
      </c>
      <c r="O248" s="34"/>
      <c r="S248" s="90">
        <f t="shared" si="10"/>
        <v>0</v>
      </c>
    </row>
    <row r="249" spans="1:19" ht="53.25" customHeight="1" outlineLevel="1" x14ac:dyDescent="0.35">
      <c r="A249" s="193" t="s">
        <v>21</v>
      </c>
      <c r="B249" s="194">
        <v>901815944</v>
      </c>
      <c r="C249" s="195" t="s">
        <v>272</v>
      </c>
      <c r="D249" s="68" t="s">
        <v>349</v>
      </c>
      <c r="E249" s="68" t="s">
        <v>140</v>
      </c>
      <c r="F249" s="69" t="s">
        <v>427</v>
      </c>
      <c r="G249" s="74">
        <v>163</v>
      </c>
      <c r="H249" s="196">
        <v>45624</v>
      </c>
      <c r="I249" s="192">
        <v>245711234.69999999</v>
      </c>
      <c r="J249" s="192">
        <v>24571123.469999999</v>
      </c>
      <c r="K249" s="192">
        <v>15785176.690000001</v>
      </c>
      <c r="L249" s="192"/>
      <c r="M249" s="192"/>
      <c r="N249" s="192">
        <f t="shared" si="9"/>
        <v>205354934.53999999</v>
      </c>
      <c r="O249" s="34"/>
      <c r="S249" s="90">
        <f t="shared" si="10"/>
        <v>0</v>
      </c>
    </row>
    <row r="250" spans="1:19" ht="53.25" customHeight="1" outlineLevel="1" x14ac:dyDescent="0.35">
      <c r="A250" s="193" t="s">
        <v>21</v>
      </c>
      <c r="B250" s="194">
        <v>901758661</v>
      </c>
      <c r="C250" s="195" t="s">
        <v>352</v>
      </c>
      <c r="D250" s="68" t="s">
        <v>243</v>
      </c>
      <c r="E250" s="68" t="s">
        <v>140</v>
      </c>
      <c r="F250" s="69" t="s">
        <v>428</v>
      </c>
      <c r="G250" s="74">
        <v>164</v>
      </c>
      <c r="H250" s="196">
        <v>45623</v>
      </c>
      <c r="I250" s="192">
        <v>67960088.25</v>
      </c>
      <c r="J250" s="192">
        <v>6796008.8300000001</v>
      </c>
      <c r="K250" s="192">
        <v>3736920.9</v>
      </c>
      <c r="L250" s="192"/>
      <c r="M250" s="192"/>
      <c r="N250" s="192">
        <f t="shared" si="9"/>
        <v>57427158.520000003</v>
      </c>
      <c r="O250" s="34"/>
      <c r="S250" s="90">
        <f t="shared" si="10"/>
        <v>0</v>
      </c>
    </row>
    <row r="251" spans="1:19" ht="53.25" customHeight="1" outlineLevel="1" x14ac:dyDescent="0.35">
      <c r="A251" s="193" t="s">
        <v>21</v>
      </c>
      <c r="B251" s="194">
        <v>901765663</v>
      </c>
      <c r="C251" s="195" t="s">
        <v>266</v>
      </c>
      <c r="D251" s="68" t="s">
        <v>245</v>
      </c>
      <c r="E251" s="68" t="s">
        <v>140</v>
      </c>
      <c r="F251" s="69" t="s">
        <v>429</v>
      </c>
      <c r="G251" s="74">
        <v>165</v>
      </c>
      <c r="H251" s="196">
        <v>45624</v>
      </c>
      <c r="I251" s="192">
        <v>10443411.359999999</v>
      </c>
      <c r="J251" s="192">
        <v>1044341.14</v>
      </c>
      <c r="K251" s="192">
        <v>605417.76000000013</v>
      </c>
      <c r="L251" s="192"/>
      <c r="M251" s="192"/>
      <c r="N251" s="192">
        <f t="shared" ref="N251:N279" si="12">+I251-J251-K251+M251-L251</f>
        <v>8793652.459999999</v>
      </c>
      <c r="O251" s="34"/>
      <c r="S251" s="90">
        <f t="shared" ref="S251:S274" si="13">+ROUND(L251,2)</f>
        <v>0</v>
      </c>
    </row>
    <row r="252" spans="1:19" ht="53.25" customHeight="1" outlineLevel="1" x14ac:dyDescent="0.35">
      <c r="A252" s="193" t="s">
        <v>21</v>
      </c>
      <c r="B252" s="194">
        <v>800096329</v>
      </c>
      <c r="C252" s="195" t="s">
        <v>414</v>
      </c>
      <c r="D252" s="68">
        <v>7031</v>
      </c>
      <c r="E252" s="68" t="s">
        <v>139</v>
      </c>
      <c r="F252" s="69" t="s">
        <v>430</v>
      </c>
      <c r="G252" s="74" t="s">
        <v>413</v>
      </c>
      <c r="H252" s="196">
        <v>45622</v>
      </c>
      <c r="I252" s="192">
        <v>191635349.11000001</v>
      </c>
      <c r="J252" s="192">
        <v>0</v>
      </c>
      <c r="K252" s="192">
        <v>17714191.940000001</v>
      </c>
      <c r="L252" s="192"/>
      <c r="M252" s="192"/>
      <c r="N252" s="192">
        <f t="shared" si="12"/>
        <v>173921157.17000002</v>
      </c>
      <c r="O252" s="34"/>
      <c r="S252" s="90">
        <f t="shared" si="13"/>
        <v>0</v>
      </c>
    </row>
    <row r="253" spans="1:19" ht="53.25" customHeight="1" outlineLevel="1" x14ac:dyDescent="0.35">
      <c r="A253" s="193" t="s">
        <v>21</v>
      </c>
      <c r="B253" s="194">
        <v>899999090</v>
      </c>
      <c r="C253" s="195" t="s">
        <v>364</v>
      </c>
      <c r="D253" s="68" t="s">
        <v>54</v>
      </c>
      <c r="E253" s="68" t="s">
        <v>135</v>
      </c>
      <c r="F253" s="69" t="s">
        <v>431</v>
      </c>
      <c r="G253" s="74" t="s">
        <v>54</v>
      </c>
      <c r="H253" s="196">
        <v>45604</v>
      </c>
      <c r="I253" s="192">
        <v>7570106.0500000007</v>
      </c>
      <c r="J253" s="192"/>
      <c r="K253" s="192"/>
      <c r="L253" s="192"/>
      <c r="M253" s="192"/>
      <c r="N253" s="192">
        <f t="shared" si="12"/>
        <v>7570106.0500000007</v>
      </c>
      <c r="O253" s="34"/>
      <c r="S253" s="90">
        <f t="shared" si="13"/>
        <v>0</v>
      </c>
    </row>
    <row r="254" spans="1:19" ht="53.25" customHeight="1" outlineLevel="1" x14ac:dyDescent="0.35">
      <c r="A254" s="193" t="s">
        <v>21</v>
      </c>
      <c r="B254" s="194">
        <v>899999090</v>
      </c>
      <c r="C254" s="195" t="s">
        <v>364</v>
      </c>
      <c r="D254" s="68" t="s">
        <v>54</v>
      </c>
      <c r="E254" s="68" t="s">
        <v>135</v>
      </c>
      <c r="F254" s="69" t="s">
        <v>431</v>
      </c>
      <c r="G254" s="74" t="s">
        <v>54</v>
      </c>
      <c r="H254" s="196">
        <v>45604</v>
      </c>
      <c r="I254" s="192">
        <v>14497000.85</v>
      </c>
      <c r="J254" s="192"/>
      <c r="K254" s="192"/>
      <c r="L254" s="192"/>
      <c r="M254" s="192"/>
      <c r="N254" s="192">
        <f t="shared" si="12"/>
        <v>14497000.85</v>
      </c>
      <c r="O254" s="34"/>
      <c r="S254" s="90">
        <f t="shared" si="13"/>
        <v>0</v>
      </c>
    </row>
    <row r="255" spans="1:19" ht="53.25" customHeight="1" outlineLevel="1" x14ac:dyDescent="0.35">
      <c r="A255" s="193" t="s">
        <v>21</v>
      </c>
      <c r="B255" s="194">
        <v>899999090</v>
      </c>
      <c r="C255" s="195" t="s">
        <v>364</v>
      </c>
      <c r="D255" s="68" t="s">
        <v>54</v>
      </c>
      <c r="E255" s="68" t="s">
        <v>135</v>
      </c>
      <c r="F255" s="69" t="s">
        <v>431</v>
      </c>
      <c r="G255" s="74" t="s">
        <v>54</v>
      </c>
      <c r="H255" s="196">
        <v>45604</v>
      </c>
      <c r="I255" s="192">
        <v>21038069.850000001</v>
      </c>
      <c r="J255" s="192"/>
      <c r="K255" s="192"/>
      <c r="L255" s="192"/>
      <c r="M255" s="192"/>
      <c r="N255" s="192">
        <f t="shared" si="12"/>
        <v>21038069.850000001</v>
      </c>
      <c r="O255" s="34"/>
      <c r="S255" s="90">
        <f t="shared" si="13"/>
        <v>0</v>
      </c>
    </row>
    <row r="256" spans="1:19" ht="53.25" customHeight="1" outlineLevel="1" x14ac:dyDescent="0.35">
      <c r="A256" s="193" t="s">
        <v>21</v>
      </c>
      <c r="B256" s="194">
        <v>899999090</v>
      </c>
      <c r="C256" s="195" t="s">
        <v>364</v>
      </c>
      <c r="D256" s="68" t="s">
        <v>54</v>
      </c>
      <c r="E256" s="68" t="s">
        <v>135</v>
      </c>
      <c r="F256" s="69" t="s">
        <v>431</v>
      </c>
      <c r="G256" s="74" t="s">
        <v>54</v>
      </c>
      <c r="H256" s="196">
        <v>45604</v>
      </c>
      <c r="I256" s="192">
        <v>26319993.25</v>
      </c>
      <c r="J256" s="192"/>
      <c r="K256" s="192"/>
      <c r="L256" s="192"/>
      <c r="M256" s="192"/>
      <c r="N256" s="192">
        <f t="shared" si="12"/>
        <v>26319993.25</v>
      </c>
      <c r="O256" s="34"/>
      <c r="S256" s="90">
        <f t="shared" si="13"/>
        <v>0</v>
      </c>
    </row>
    <row r="257" spans="1:20" ht="53.25" customHeight="1" outlineLevel="1" x14ac:dyDescent="0.35">
      <c r="A257" s="193" t="s">
        <v>21</v>
      </c>
      <c r="B257" s="194">
        <v>899999090</v>
      </c>
      <c r="C257" s="195" t="s">
        <v>364</v>
      </c>
      <c r="D257" s="68" t="s">
        <v>54</v>
      </c>
      <c r="E257" s="68" t="s">
        <v>135</v>
      </c>
      <c r="F257" s="69" t="s">
        <v>431</v>
      </c>
      <c r="G257" s="74" t="s">
        <v>54</v>
      </c>
      <c r="H257" s="196">
        <v>45604</v>
      </c>
      <c r="I257" s="192">
        <v>62941637.530000001</v>
      </c>
      <c r="J257" s="192"/>
      <c r="K257" s="192"/>
      <c r="L257" s="192"/>
      <c r="M257" s="192"/>
      <c r="N257" s="192">
        <f t="shared" si="12"/>
        <v>62941637.530000001</v>
      </c>
      <c r="O257" s="34"/>
      <c r="S257" s="90">
        <f t="shared" si="13"/>
        <v>0</v>
      </c>
    </row>
    <row r="258" spans="1:20" ht="53.25" customHeight="1" outlineLevel="1" x14ac:dyDescent="0.35">
      <c r="A258" s="193" t="s">
        <v>21</v>
      </c>
      <c r="B258" s="194">
        <v>800197268</v>
      </c>
      <c r="C258" s="195" t="s">
        <v>366</v>
      </c>
      <c r="D258" s="68" t="s">
        <v>54</v>
      </c>
      <c r="E258" s="68" t="s">
        <v>135</v>
      </c>
      <c r="F258" s="69" t="s">
        <v>432</v>
      </c>
      <c r="G258" s="74" t="s">
        <v>54</v>
      </c>
      <c r="H258" s="196">
        <v>45609</v>
      </c>
      <c r="I258" s="192">
        <v>91833487.75</v>
      </c>
      <c r="J258" s="192"/>
      <c r="K258" s="192"/>
      <c r="L258" s="192"/>
      <c r="M258" s="192">
        <f>+N258-I258</f>
        <v>-487.75</v>
      </c>
      <c r="N258" s="192">
        <v>91833000</v>
      </c>
      <c r="O258" s="34">
        <v>91833487.75</v>
      </c>
      <c r="P258" s="34">
        <f>+N258-O258</f>
        <v>-487.75</v>
      </c>
      <c r="R258" s="34">
        <f>+R229+O258-N258</f>
        <v>-1422.8199999928474</v>
      </c>
      <c r="S258" s="90">
        <f t="shared" si="13"/>
        <v>0</v>
      </c>
      <c r="T258">
        <v>91936155.730000004</v>
      </c>
    </row>
    <row r="259" spans="1:20" ht="53.25" customHeight="1" outlineLevel="1" x14ac:dyDescent="0.35">
      <c r="A259" s="193" t="s">
        <v>21</v>
      </c>
      <c r="B259" s="194">
        <v>890980095</v>
      </c>
      <c r="C259" s="195" t="s">
        <v>371</v>
      </c>
      <c r="D259" s="68" t="s">
        <v>54</v>
      </c>
      <c r="E259" s="68" t="s">
        <v>135</v>
      </c>
      <c r="F259" s="69" t="s">
        <v>433</v>
      </c>
      <c r="G259" s="74" t="s">
        <v>54</v>
      </c>
      <c r="H259" s="196">
        <v>45622</v>
      </c>
      <c r="I259" s="192">
        <v>100550.15000000001</v>
      </c>
      <c r="J259" s="192"/>
      <c r="K259" s="192"/>
      <c r="L259" s="192"/>
      <c r="M259" s="192">
        <f>+N259-I259</f>
        <v>0</v>
      </c>
      <c r="N259" s="192">
        <v>100550.15000000001</v>
      </c>
      <c r="O259" s="34"/>
      <c r="S259" s="90">
        <f t="shared" si="13"/>
        <v>0</v>
      </c>
    </row>
    <row r="260" spans="1:20" ht="53.25" customHeight="1" outlineLevel="1" x14ac:dyDescent="0.35">
      <c r="A260" s="193" t="s">
        <v>21</v>
      </c>
      <c r="B260" s="194">
        <v>800096580</v>
      </c>
      <c r="C260" s="195" t="s">
        <v>375</v>
      </c>
      <c r="D260" s="68" t="s">
        <v>54</v>
      </c>
      <c r="E260" s="68" t="s">
        <v>135</v>
      </c>
      <c r="F260" s="69" t="s">
        <v>434</v>
      </c>
      <c r="G260" s="74" t="s">
        <v>54</v>
      </c>
      <c r="H260" s="196">
        <v>45622</v>
      </c>
      <c r="I260" s="192">
        <v>232426.18000000002</v>
      </c>
      <c r="J260" s="192"/>
      <c r="K260" s="192"/>
      <c r="L260" s="192"/>
      <c r="M260" s="192"/>
      <c r="N260" s="192">
        <f t="shared" si="12"/>
        <v>232426.18000000002</v>
      </c>
      <c r="O260" s="34"/>
      <c r="P260" s="34"/>
      <c r="S260" s="90">
        <f t="shared" si="13"/>
        <v>0</v>
      </c>
    </row>
    <row r="261" spans="1:20" ht="53.25" customHeight="1" outlineLevel="1" x14ac:dyDescent="0.35">
      <c r="A261" s="193" t="s">
        <v>21</v>
      </c>
      <c r="B261" s="194">
        <v>819003225</v>
      </c>
      <c r="C261" s="195" t="s">
        <v>376</v>
      </c>
      <c r="D261" s="68" t="s">
        <v>54</v>
      </c>
      <c r="E261" s="68" t="s">
        <v>135</v>
      </c>
      <c r="F261" s="69" t="s">
        <v>435</v>
      </c>
      <c r="G261" s="74" t="s">
        <v>54</v>
      </c>
      <c r="H261" s="196">
        <v>45622</v>
      </c>
      <c r="I261" s="192">
        <v>1034353.79</v>
      </c>
      <c r="J261" s="192"/>
      <c r="K261" s="192"/>
      <c r="L261" s="192"/>
      <c r="M261" s="192">
        <f>+N261-I261</f>
        <v>0</v>
      </c>
      <c r="N261" s="192">
        <v>1034353.79</v>
      </c>
      <c r="O261" s="34"/>
      <c r="S261" s="90">
        <f t="shared" si="13"/>
        <v>0</v>
      </c>
    </row>
    <row r="262" spans="1:20" ht="53.25" customHeight="1" outlineLevel="1" x14ac:dyDescent="0.35">
      <c r="A262" s="193" t="s">
        <v>21</v>
      </c>
      <c r="B262" s="194">
        <v>891780044</v>
      </c>
      <c r="C262" s="195" t="s">
        <v>377</v>
      </c>
      <c r="D262" s="68" t="s">
        <v>54</v>
      </c>
      <c r="E262" s="68" t="s">
        <v>135</v>
      </c>
      <c r="F262" s="69" t="s">
        <v>436</v>
      </c>
      <c r="G262" s="74" t="s">
        <v>54</v>
      </c>
      <c r="H262" s="196">
        <v>45622</v>
      </c>
      <c r="I262" s="192">
        <v>1669926.45</v>
      </c>
      <c r="J262" s="192"/>
      <c r="K262" s="192"/>
      <c r="L262" s="192"/>
      <c r="M262" s="192"/>
      <c r="N262" s="192">
        <v>1669926.45</v>
      </c>
      <c r="O262" s="34"/>
      <c r="S262" s="90">
        <f t="shared" si="13"/>
        <v>0</v>
      </c>
    </row>
    <row r="263" spans="1:20" ht="53.25" customHeight="1" outlineLevel="1" x14ac:dyDescent="0.35">
      <c r="A263" s="193" t="s">
        <v>21</v>
      </c>
      <c r="B263" s="194">
        <v>891380033</v>
      </c>
      <c r="C263" s="195" t="s">
        <v>381</v>
      </c>
      <c r="D263" s="68" t="s">
        <v>54</v>
      </c>
      <c r="E263" s="68" t="s">
        <v>135</v>
      </c>
      <c r="F263" s="69" t="s">
        <v>437</v>
      </c>
      <c r="G263" s="74" t="s">
        <v>54</v>
      </c>
      <c r="H263" s="196">
        <v>45622</v>
      </c>
      <c r="I263" s="192">
        <v>689932.86</v>
      </c>
      <c r="J263" s="192"/>
      <c r="K263" s="192"/>
      <c r="L263" s="192"/>
      <c r="M263" s="192"/>
      <c r="N263" s="192">
        <f t="shared" si="12"/>
        <v>689932.86</v>
      </c>
      <c r="O263" s="34"/>
      <c r="S263" s="90">
        <f t="shared" si="13"/>
        <v>0</v>
      </c>
    </row>
    <row r="264" spans="1:20" ht="53.25" customHeight="1" outlineLevel="1" x14ac:dyDescent="0.35">
      <c r="A264" s="193" t="s">
        <v>21</v>
      </c>
      <c r="B264" s="194">
        <v>890981138</v>
      </c>
      <c r="C264" s="195" t="s">
        <v>393</v>
      </c>
      <c r="D264" s="68" t="s">
        <v>54</v>
      </c>
      <c r="E264" s="68" t="s">
        <v>135</v>
      </c>
      <c r="F264" s="69" t="s">
        <v>438</v>
      </c>
      <c r="G264" s="74" t="s">
        <v>54</v>
      </c>
      <c r="H264" s="196">
        <v>45622</v>
      </c>
      <c r="I264" s="192">
        <v>33810.83</v>
      </c>
      <c r="J264" s="192"/>
      <c r="K264" s="192"/>
      <c r="L264" s="192"/>
      <c r="M264" s="192"/>
      <c r="N264" s="192">
        <f t="shared" si="12"/>
        <v>33810.83</v>
      </c>
      <c r="O264" s="34"/>
      <c r="S264" s="90">
        <f t="shared" si="13"/>
        <v>0</v>
      </c>
    </row>
    <row r="265" spans="1:20" ht="53.25" customHeight="1" outlineLevel="1" x14ac:dyDescent="0.35">
      <c r="A265" s="193" t="s">
        <v>21</v>
      </c>
      <c r="B265" s="194">
        <v>800099079</v>
      </c>
      <c r="C265" s="195" t="s">
        <v>394</v>
      </c>
      <c r="D265" s="68" t="s">
        <v>54</v>
      </c>
      <c r="E265" s="68" t="s">
        <v>135</v>
      </c>
      <c r="F265" s="69" t="s">
        <v>439</v>
      </c>
      <c r="G265" s="74" t="s">
        <v>54</v>
      </c>
      <c r="H265" s="196">
        <v>45622</v>
      </c>
      <c r="I265" s="192">
        <v>16677.349999999999</v>
      </c>
      <c r="J265" s="192"/>
      <c r="K265" s="192"/>
      <c r="L265" s="192"/>
      <c r="M265" s="192"/>
      <c r="N265" s="192">
        <f t="shared" si="12"/>
        <v>16677.349999999999</v>
      </c>
      <c r="O265" s="34"/>
      <c r="S265" s="90">
        <f t="shared" si="13"/>
        <v>0</v>
      </c>
    </row>
    <row r="266" spans="1:20" ht="53.25" customHeight="1" outlineLevel="1" x14ac:dyDescent="0.35">
      <c r="A266" s="193" t="s">
        <v>21</v>
      </c>
      <c r="B266" s="194">
        <v>899999090</v>
      </c>
      <c r="C266" s="195" t="s">
        <v>364</v>
      </c>
      <c r="D266" s="68" t="s">
        <v>54</v>
      </c>
      <c r="E266" s="68" t="s">
        <v>135</v>
      </c>
      <c r="F266" s="69" t="s">
        <v>442</v>
      </c>
      <c r="G266" s="74" t="s">
        <v>54</v>
      </c>
      <c r="H266" s="196">
        <v>45635</v>
      </c>
      <c r="I266" s="192">
        <v>44024726.5</v>
      </c>
      <c r="J266" s="192"/>
      <c r="K266" s="192"/>
      <c r="L266" s="192"/>
      <c r="M266" s="192"/>
      <c r="N266" s="192">
        <f t="shared" si="12"/>
        <v>44024726.5</v>
      </c>
      <c r="O266" s="34"/>
      <c r="S266" s="90">
        <f t="shared" si="13"/>
        <v>0</v>
      </c>
    </row>
    <row r="267" spans="1:20" ht="53.25" customHeight="1" outlineLevel="1" x14ac:dyDescent="0.35">
      <c r="A267" s="193" t="s">
        <v>21</v>
      </c>
      <c r="B267" s="194">
        <v>899999090</v>
      </c>
      <c r="C267" s="195" t="s">
        <v>364</v>
      </c>
      <c r="D267" s="68" t="s">
        <v>54</v>
      </c>
      <c r="E267" s="68" t="s">
        <v>135</v>
      </c>
      <c r="F267" s="69" t="s">
        <v>442</v>
      </c>
      <c r="G267" s="74" t="s">
        <v>54</v>
      </c>
      <c r="H267" s="196">
        <v>45635</v>
      </c>
      <c r="I267" s="192">
        <v>11715082</v>
      </c>
      <c r="J267" s="192"/>
      <c r="K267" s="192"/>
      <c r="L267" s="192"/>
      <c r="M267" s="192"/>
      <c r="N267" s="192">
        <f t="shared" si="12"/>
        <v>11715082</v>
      </c>
      <c r="O267" s="34"/>
      <c r="S267" s="90">
        <f t="shared" si="13"/>
        <v>0</v>
      </c>
    </row>
    <row r="268" spans="1:20" ht="53.25" customHeight="1" outlineLevel="1" x14ac:dyDescent="0.35">
      <c r="A268" s="193" t="s">
        <v>21</v>
      </c>
      <c r="B268" s="194">
        <v>899999090</v>
      </c>
      <c r="C268" s="195" t="s">
        <v>364</v>
      </c>
      <c r="D268" s="68" t="s">
        <v>54</v>
      </c>
      <c r="E268" s="68" t="s">
        <v>135</v>
      </c>
      <c r="F268" s="69" t="s">
        <v>442</v>
      </c>
      <c r="G268" s="74" t="s">
        <v>54</v>
      </c>
      <c r="H268" s="196">
        <v>45635</v>
      </c>
      <c r="I268" s="192">
        <v>36113173.600000001</v>
      </c>
      <c r="J268" s="192"/>
      <c r="K268" s="192"/>
      <c r="L268" s="192"/>
      <c r="M268" s="192"/>
      <c r="N268" s="192">
        <f t="shared" si="12"/>
        <v>36113173.600000001</v>
      </c>
      <c r="O268" s="34"/>
      <c r="S268" s="90">
        <f t="shared" si="13"/>
        <v>0</v>
      </c>
    </row>
    <row r="269" spans="1:20" ht="53.25" customHeight="1" outlineLevel="1" x14ac:dyDescent="0.35">
      <c r="A269" s="193" t="s">
        <v>21</v>
      </c>
      <c r="B269" s="194">
        <v>899999090</v>
      </c>
      <c r="C269" s="195" t="s">
        <v>364</v>
      </c>
      <c r="D269" s="68" t="s">
        <v>54</v>
      </c>
      <c r="E269" s="68" t="s">
        <v>135</v>
      </c>
      <c r="F269" s="69" t="s">
        <v>442</v>
      </c>
      <c r="G269" s="74" t="s">
        <v>54</v>
      </c>
      <c r="H269" s="196">
        <v>45635</v>
      </c>
      <c r="I269" s="192">
        <v>20678045.300000001</v>
      </c>
      <c r="J269" s="192"/>
      <c r="K269" s="192"/>
      <c r="L269" s="192"/>
      <c r="M269" s="192"/>
      <c r="N269" s="192">
        <f t="shared" si="12"/>
        <v>20678045.300000001</v>
      </c>
      <c r="O269" s="34"/>
      <c r="S269" s="90">
        <f t="shared" si="13"/>
        <v>0</v>
      </c>
    </row>
    <row r="270" spans="1:20" ht="53.25" customHeight="1" outlineLevel="1" x14ac:dyDescent="0.35">
      <c r="A270" s="193" t="s">
        <v>21</v>
      </c>
      <c r="B270" s="194">
        <v>899999090</v>
      </c>
      <c r="C270" s="195" t="s">
        <v>364</v>
      </c>
      <c r="D270" s="68" t="s">
        <v>54</v>
      </c>
      <c r="E270" s="68" t="s">
        <v>135</v>
      </c>
      <c r="F270" s="69" t="s">
        <v>442</v>
      </c>
      <c r="G270" s="74" t="s">
        <v>54</v>
      </c>
      <c r="H270" s="196">
        <v>45635</v>
      </c>
      <c r="I270" s="192">
        <v>19231723.25</v>
      </c>
      <c r="J270" s="192"/>
      <c r="K270" s="192"/>
      <c r="L270" s="192"/>
      <c r="M270" s="192"/>
      <c r="N270" s="192">
        <f t="shared" si="12"/>
        <v>19231723.25</v>
      </c>
      <c r="O270" s="34"/>
      <c r="S270" s="90">
        <f t="shared" si="13"/>
        <v>0</v>
      </c>
    </row>
    <row r="271" spans="1:20" ht="53.25" customHeight="1" outlineLevel="1" x14ac:dyDescent="0.35">
      <c r="A271" s="193" t="s">
        <v>21</v>
      </c>
      <c r="B271" s="194">
        <v>800197268</v>
      </c>
      <c r="C271" s="195" t="s">
        <v>366</v>
      </c>
      <c r="D271" s="68" t="s">
        <v>54</v>
      </c>
      <c r="E271" s="68" t="s">
        <v>135</v>
      </c>
      <c r="F271" s="69" t="s">
        <v>443</v>
      </c>
      <c r="G271" s="74" t="s">
        <v>54</v>
      </c>
      <c r="H271" s="196">
        <v>45636</v>
      </c>
      <c r="I271" s="192">
        <v>91936155.729999989</v>
      </c>
      <c r="J271" s="192"/>
      <c r="K271" s="192"/>
      <c r="L271" s="192"/>
      <c r="M271" s="192">
        <f>+N271-I271</f>
        <v>-155.72999998927116</v>
      </c>
      <c r="N271" s="192">
        <v>91936000</v>
      </c>
      <c r="O271" s="34"/>
      <c r="S271" s="90">
        <f t="shared" si="13"/>
        <v>0</v>
      </c>
    </row>
    <row r="272" spans="1:20" ht="53.25" customHeight="1" outlineLevel="1" x14ac:dyDescent="0.35">
      <c r="A272" s="193" t="s">
        <v>21</v>
      </c>
      <c r="B272" s="194">
        <v>900549325</v>
      </c>
      <c r="C272" s="195" t="s">
        <v>353</v>
      </c>
      <c r="D272" s="68" t="s">
        <v>246</v>
      </c>
      <c r="E272" s="68" t="s">
        <v>140</v>
      </c>
      <c r="F272" s="69" t="s">
        <v>445</v>
      </c>
      <c r="G272" s="74">
        <v>168</v>
      </c>
      <c r="H272" s="196">
        <v>45638</v>
      </c>
      <c r="I272" s="192"/>
      <c r="J272" s="192">
        <v>-249684957.15000001</v>
      </c>
      <c r="K272" s="192">
        <v>0</v>
      </c>
      <c r="L272" s="192"/>
      <c r="M272" s="192"/>
      <c r="N272" s="192">
        <f t="shared" si="12"/>
        <v>249684957.15000001</v>
      </c>
      <c r="O272" s="34"/>
      <c r="S272" s="90">
        <f t="shared" si="13"/>
        <v>0</v>
      </c>
    </row>
    <row r="273" spans="1:20" ht="53.25" customHeight="1" outlineLevel="1" x14ac:dyDescent="0.35">
      <c r="A273" s="193" t="s">
        <v>21</v>
      </c>
      <c r="B273" s="194">
        <v>901761848</v>
      </c>
      <c r="C273" s="195" t="s">
        <v>444</v>
      </c>
      <c r="D273" s="68" t="s">
        <v>247</v>
      </c>
      <c r="E273" s="68" t="s">
        <v>140</v>
      </c>
      <c r="F273" s="69" t="s">
        <v>446</v>
      </c>
      <c r="G273" s="74">
        <v>169</v>
      </c>
      <c r="H273" s="196">
        <v>45638</v>
      </c>
      <c r="I273" s="192">
        <v>14510384.300000001</v>
      </c>
      <c r="J273" s="192">
        <v>0</v>
      </c>
      <c r="K273" s="192">
        <v>792584.02</v>
      </c>
      <c r="L273" s="192"/>
      <c r="M273" s="192"/>
      <c r="N273" s="192">
        <f t="shared" si="12"/>
        <v>13717800.280000001</v>
      </c>
      <c r="O273" s="34"/>
      <c r="S273" s="90">
        <f t="shared" si="13"/>
        <v>0</v>
      </c>
    </row>
    <row r="274" spans="1:20" ht="53.25" customHeight="1" outlineLevel="1" x14ac:dyDescent="0.35">
      <c r="A274" s="193" t="s">
        <v>21</v>
      </c>
      <c r="B274" s="194">
        <v>901761848</v>
      </c>
      <c r="C274" s="195" t="s">
        <v>444</v>
      </c>
      <c r="D274" s="68" t="s">
        <v>247</v>
      </c>
      <c r="E274" s="68" t="s">
        <v>140</v>
      </c>
      <c r="F274" s="69" t="s">
        <v>445</v>
      </c>
      <c r="G274" s="74">
        <v>170</v>
      </c>
      <c r="H274" s="196">
        <v>45638</v>
      </c>
      <c r="I274" s="192"/>
      <c r="J274" s="192">
        <v>-18579145.780000001</v>
      </c>
      <c r="K274" s="192">
        <v>0</v>
      </c>
      <c r="L274" s="192"/>
      <c r="M274" s="192"/>
      <c r="N274" s="192">
        <f t="shared" si="12"/>
        <v>18579145.780000001</v>
      </c>
      <c r="O274" s="34"/>
      <c r="S274" s="90">
        <f t="shared" si="13"/>
        <v>0</v>
      </c>
    </row>
    <row r="275" spans="1:20" ht="53.25" customHeight="1" outlineLevel="1" x14ac:dyDescent="0.35">
      <c r="A275" s="193" t="s">
        <v>21</v>
      </c>
      <c r="B275" s="194">
        <v>901778790</v>
      </c>
      <c r="C275" s="195" t="s">
        <v>274</v>
      </c>
      <c r="D275" s="68" t="s">
        <v>345</v>
      </c>
      <c r="E275" s="68" t="s">
        <v>140</v>
      </c>
      <c r="F275" s="69" t="s">
        <v>447</v>
      </c>
      <c r="G275" s="74">
        <v>171</v>
      </c>
      <c r="H275" s="196">
        <v>45646</v>
      </c>
      <c r="I275" s="192">
        <v>660749502</v>
      </c>
      <c r="J275" s="192">
        <v>66074950.200000003</v>
      </c>
      <c r="K275" s="192">
        <v>52522375.969999999</v>
      </c>
      <c r="L275" s="192">
        <v>20305681.440000001</v>
      </c>
      <c r="M275" s="192"/>
      <c r="N275" s="192">
        <f t="shared" si="12"/>
        <v>521846494.38999993</v>
      </c>
      <c r="O275" s="34"/>
      <c r="P275" s="34"/>
      <c r="S275" s="90"/>
    </row>
    <row r="276" spans="1:20" ht="53.25" customHeight="1" outlineLevel="1" x14ac:dyDescent="0.35">
      <c r="A276" s="193" t="s">
        <v>363</v>
      </c>
      <c r="B276" s="194">
        <v>19244715</v>
      </c>
      <c r="C276" s="195" t="s">
        <v>275</v>
      </c>
      <c r="D276" s="68" t="s">
        <v>252</v>
      </c>
      <c r="E276" s="68" t="s">
        <v>140</v>
      </c>
      <c r="F276" s="69" t="s">
        <v>447</v>
      </c>
      <c r="G276" s="74">
        <v>172</v>
      </c>
      <c r="H276" s="196">
        <v>45638</v>
      </c>
      <c r="I276" s="192">
        <v>27527770.390000001</v>
      </c>
      <c r="J276" s="192">
        <v>2752777.04</v>
      </c>
      <c r="K276" s="192">
        <v>1528510.31</v>
      </c>
      <c r="L276" s="192"/>
      <c r="M276" s="192"/>
      <c r="N276" s="192">
        <f t="shared" si="12"/>
        <v>23246483.040000003</v>
      </c>
      <c r="O276" s="34"/>
      <c r="S276" s="90">
        <f t="shared" ref="S276:S298" si="14">+ROUND(L276,2)</f>
        <v>0</v>
      </c>
    </row>
    <row r="277" spans="1:20" ht="53.25" customHeight="1" outlineLevel="1" x14ac:dyDescent="0.35">
      <c r="A277" s="193" t="s">
        <v>363</v>
      </c>
      <c r="B277" s="194">
        <v>19244715</v>
      </c>
      <c r="C277" s="195" t="s">
        <v>275</v>
      </c>
      <c r="D277" s="68" t="s">
        <v>253</v>
      </c>
      <c r="E277" s="68" t="s">
        <v>140</v>
      </c>
      <c r="F277" s="69" t="s">
        <v>448</v>
      </c>
      <c r="G277" s="74">
        <v>173</v>
      </c>
      <c r="H277" s="196">
        <v>45642</v>
      </c>
      <c r="I277" s="192">
        <v>23335228.129999999</v>
      </c>
      <c r="J277" s="192">
        <v>2333522.81</v>
      </c>
      <c r="K277" s="192">
        <v>1274613.1200000001</v>
      </c>
      <c r="L277" s="192"/>
      <c r="M277" s="192"/>
      <c r="N277" s="192">
        <f t="shared" si="12"/>
        <v>19727092.199999999</v>
      </c>
      <c r="O277" s="34"/>
      <c r="S277" s="90">
        <f t="shared" si="14"/>
        <v>0</v>
      </c>
    </row>
    <row r="278" spans="1:20" ht="53.25" customHeight="1" outlineLevel="1" x14ac:dyDescent="0.35">
      <c r="A278" s="193" t="s">
        <v>21</v>
      </c>
      <c r="B278" s="194">
        <v>901780031</v>
      </c>
      <c r="C278" s="195" t="s">
        <v>276</v>
      </c>
      <c r="D278" s="68" t="s">
        <v>347</v>
      </c>
      <c r="E278" s="68" t="s">
        <v>140</v>
      </c>
      <c r="F278" s="69" t="s">
        <v>449</v>
      </c>
      <c r="G278" s="74">
        <v>174</v>
      </c>
      <c r="H278" s="196">
        <v>45638</v>
      </c>
      <c r="I278" s="192">
        <v>403326156</v>
      </c>
      <c r="J278" s="192">
        <v>40332615.600000001</v>
      </c>
      <c r="K278" s="192">
        <v>31646881.469999999</v>
      </c>
      <c r="L278" s="192"/>
      <c r="M278" s="192"/>
      <c r="N278" s="192">
        <f t="shared" si="12"/>
        <v>331346658.92999995</v>
      </c>
      <c r="O278" s="34"/>
      <c r="S278" s="90">
        <f t="shared" si="14"/>
        <v>0</v>
      </c>
    </row>
    <row r="279" spans="1:20" ht="53.25" customHeight="1" outlineLevel="1" x14ac:dyDescent="0.35">
      <c r="A279" s="193" t="s">
        <v>363</v>
      </c>
      <c r="B279" s="194">
        <v>19244715</v>
      </c>
      <c r="C279" s="195" t="s">
        <v>275</v>
      </c>
      <c r="D279" s="68" t="s">
        <v>254</v>
      </c>
      <c r="E279" s="68" t="s">
        <v>140</v>
      </c>
      <c r="F279" s="69" t="s">
        <v>449</v>
      </c>
      <c r="G279" s="74">
        <v>176</v>
      </c>
      <c r="H279" s="196">
        <v>45642</v>
      </c>
      <c r="I279" s="192">
        <v>27030429.699999999</v>
      </c>
      <c r="J279" s="192">
        <v>2703042.97</v>
      </c>
      <c r="K279" s="192">
        <v>1482928.26</v>
      </c>
      <c r="L279" s="192"/>
      <c r="M279" s="192"/>
      <c r="N279" s="192">
        <f t="shared" si="12"/>
        <v>22844458.469999999</v>
      </c>
      <c r="O279" s="34"/>
      <c r="S279" s="90">
        <f t="shared" si="14"/>
        <v>0</v>
      </c>
    </row>
    <row r="280" spans="1:20" ht="53.25" customHeight="1" outlineLevel="1" x14ac:dyDescent="0.35">
      <c r="A280" s="193" t="s">
        <v>21</v>
      </c>
      <c r="B280" s="194">
        <v>800096329</v>
      </c>
      <c r="C280" s="195" t="s">
        <v>354</v>
      </c>
      <c r="D280" s="68">
        <v>7031</v>
      </c>
      <c r="E280" s="68" t="s">
        <v>139</v>
      </c>
      <c r="F280" s="69" t="s">
        <v>450</v>
      </c>
      <c r="G280" s="74" t="s">
        <v>453</v>
      </c>
      <c r="H280" s="196">
        <v>45642</v>
      </c>
      <c r="I280" s="192">
        <v>179281987.47000003</v>
      </c>
      <c r="J280" s="192">
        <v>0</v>
      </c>
      <c r="K280" s="192">
        <v>16572284.550000001</v>
      </c>
      <c r="L280" s="192"/>
      <c r="M280" s="192"/>
      <c r="N280" s="192">
        <f t="shared" ref="N280:N303" si="15">+I280-J280-K280+M280-L280</f>
        <v>162709702.92000002</v>
      </c>
      <c r="O280" s="34"/>
      <c r="S280" s="90">
        <f t="shared" si="14"/>
        <v>0</v>
      </c>
    </row>
    <row r="281" spans="1:20" ht="53.25" customHeight="1" outlineLevel="1" x14ac:dyDescent="0.35">
      <c r="A281" s="193" t="s">
        <v>21</v>
      </c>
      <c r="B281" s="194">
        <v>901779143</v>
      </c>
      <c r="C281" s="195" t="s">
        <v>277</v>
      </c>
      <c r="D281" s="68" t="s">
        <v>346</v>
      </c>
      <c r="E281" s="68" t="s">
        <v>140</v>
      </c>
      <c r="F281" s="69" t="s">
        <v>449</v>
      </c>
      <c r="G281" s="74">
        <v>178</v>
      </c>
      <c r="H281" s="196">
        <v>45642</v>
      </c>
      <c r="I281" s="192">
        <v>479569450</v>
      </c>
      <c r="J281" s="192">
        <v>47956945</v>
      </c>
      <c r="K281" s="192">
        <v>38078502.109999999</v>
      </c>
      <c r="L281" s="192">
        <v>17896425</v>
      </c>
      <c r="M281" s="192"/>
      <c r="N281" s="192">
        <f t="shared" si="15"/>
        <v>375637577.88999999</v>
      </c>
      <c r="O281" s="34"/>
      <c r="S281" s="90">
        <f t="shared" si="14"/>
        <v>17896425</v>
      </c>
    </row>
    <row r="282" spans="1:20" ht="53.25" customHeight="1" outlineLevel="1" x14ac:dyDescent="0.35">
      <c r="A282" s="193" t="s">
        <v>21</v>
      </c>
      <c r="B282" s="194">
        <v>901762612</v>
      </c>
      <c r="C282" s="195" t="s">
        <v>259</v>
      </c>
      <c r="D282" s="68" t="s">
        <v>238</v>
      </c>
      <c r="E282" s="68" t="s">
        <v>140</v>
      </c>
      <c r="F282" s="69" t="s">
        <v>451</v>
      </c>
      <c r="G282" s="74">
        <v>179</v>
      </c>
      <c r="H282" s="196">
        <v>45646</v>
      </c>
      <c r="I282" s="192">
        <v>250157856</v>
      </c>
      <c r="J282" s="192">
        <v>25015785.600000001</v>
      </c>
      <c r="K282" s="192">
        <v>14715168.16</v>
      </c>
      <c r="L282" s="192"/>
      <c r="M282" s="192"/>
      <c r="N282" s="192">
        <f t="shared" si="15"/>
        <v>210426902.24000001</v>
      </c>
      <c r="O282" s="34"/>
      <c r="S282" s="90">
        <f t="shared" si="14"/>
        <v>0</v>
      </c>
    </row>
    <row r="283" spans="1:20" ht="53.25" customHeight="1" outlineLevel="1" x14ac:dyDescent="0.35">
      <c r="A283" s="193" t="s">
        <v>21</v>
      </c>
      <c r="B283" s="194">
        <v>901760521</v>
      </c>
      <c r="C283" s="195" t="s">
        <v>265</v>
      </c>
      <c r="D283" s="68" t="s">
        <v>244</v>
      </c>
      <c r="E283" s="68" t="s">
        <v>140</v>
      </c>
      <c r="F283" s="69" t="s">
        <v>452</v>
      </c>
      <c r="G283" s="74">
        <v>180</v>
      </c>
      <c r="H283" s="196">
        <v>45646</v>
      </c>
      <c r="I283" s="192">
        <v>206010958</v>
      </c>
      <c r="J283" s="192">
        <v>20601095.800000001</v>
      </c>
      <c r="K283" s="192">
        <v>17690271.170000002</v>
      </c>
      <c r="L283" s="192"/>
      <c r="M283" s="192"/>
      <c r="N283" s="192">
        <f t="shared" si="15"/>
        <v>167719591.02999997</v>
      </c>
      <c r="O283" s="34"/>
      <c r="S283" s="90">
        <f t="shared" si="14"/>
        <v>0</v>
      </c>
    </row>
    <row r="284" spans="1:20" ht="53.25" customHeight="1" outlineLevel="1" x14ac:dyDescent="0.35">
      <c r="A284" s="193" t="s">
        <v>21</v>
      </c>
      <c r="B284" s="194">
        <v>890208119</v>
      </c>
      <c r="C284" s="195" t="s">
        <v>454</v>
      </c>
      <c r="D284" s="68" t="s">
        <v>54</v>
      </c>
      <c r="E284" s="68" t="s">
        <v>135</v>
      </c>
      <c r="F284" s="69" t="s">
        <v>455</v>
      </c>
      <c r="G284" s="68" t="s">
        <v>54</v>
      </c>
      <c r="H284" s="196">
        <v>45649</v>
      </c>
      <c r="I284" s="192">
        <v>29462.34</v>
      </c>
      <c r="J284" s="192"/>
      <c r="K284" s="192"/>
      <c r="L284" s="192"/>
      <c r="M284" s="192"/>
      <c r="N284" s="192">
        <f t="shared" si="15"/>
        <v>29462.34</v>
      </c>
      <c r="O284" s="34"/>
      <c r="S284" s="90">
        <f t="shared" si="14"/>
        <v>0</v>
      </c>
    </row>
    <row r="285" spans="1:20" ht="53.25" customHeight="1" outlineLevel="1" x14ac:dyDescent="0.35">
      <c r="A285" s="193" t="s">
        <v>21</v>
      </c>
      <c r="B285" s="194">
        <v>800038613</v>
      </c>
      <c r="C285" s="195" t="s">
        <v>456</v>
      </c>
      <c r="D285" s="68" t="s">
        <v>54</v>
      </c>
      <c r="E285" s="68" t="s">
        <v>135</v>
      </c>
      <c r="F285" s="69" t="s">
        <v>457</v>
      </c>
      <c r="G285" s="68" t="s">
        <v>54</v>
      </c>
      <c r="H285" s="196">
        <v>45649</v>
      </c>
      <c r="I285" s="192">
        <v>17502.399999999998</v>
      </c>
      <c r="J285" s="192"/>
      <c r="K285" s="192"/>
      <c r="L285" s="192"/>
      <c r="M285" s="192">
        <f>+N285-I285</f>
        <v>0</v>
      </c>
      <c r="N285" s="192">
        <v>17502.399999999998</v>
      </c>
      <c r="O285" s="34"/>
      <c r="S285" s="90">
        <f t="shared" si="14"/>
        <v>0</v>
      </c>
    </row>
    <row r="286" spans="1:20" ht="53.25" customHeight="1" outlineLevel="1" x14ac:dyDescent="0.35">
      <c r="A286" s="193" t="s">
        <v>21</v>
      </c>
      <c r="B286" s="194">
        <v>800038613</v>
      </c>
      <c r="C286" s="195" t="s">
        <v>456</v>
      </c>
      <c r="D286" s="68" t="s">
        <v>54</v>
      </c>
      <c r="E286" s="68" t="s">
        <v>135</v>
      </c>
      <c r="F286" s="69" t="s">
        <v>457</v>
      </c>
      <c r="G286" s="68" t="s">
        <v>54</v>
      </c>
      <c r="H286" s="196">
        <v>45649</v>
      </c>
      <c r="I286" s="192">
        <v>24815.24</v>
      </c>
      <c r="J286" s="192"/>
      <c r="K286" s="192"/>
      <c r="L286" s="192"/>
      <c r="M286" s="192">
        <f>+N286-I286</f>
        <v>0</v>
      </c>
      <c r="N286" s="192">
        <v>24815.24</v>
      </c>
      <c r="O286" s="34"/>
      <c r="S286" s="90">
        <f t="shared" si="14"/>
        <v>0</v>
      </c>
    </row>
    <row r="287" spans="1:20" ht="53.25" customHeight="1" outlineLevel="1" x14ac:dyDescent="0.35">
      <c r="A287" s="193" t="s">
        <v>21</v>
      </c>
      <c r="B287" s="194">
        <v>800102504</v>
      </c>
      <c r="C287" s="195" t="s">
        <v>458</v>
      </c>
      <c r="D287" s="68" t="s">
        <v>54</v>
      </c>
      <c r="E287" s="68" t="s">
        <v>135</v>
      </c>
      <c r="F287" s="69" t="s">
        <v>459</v>
      </c>
      <c r="G287" s="68" t="s">
        <v>54</v>
      </c>
      <c r="H287" s="196">
        <v>45649</v>
      </c>
      <c r="I287" s="192">
        <v>128442.64</v>
      </c>
      <c r="J287" s="192"/>
      <c r="K287" s="192"/>
      <c r="L287" s="192"/>
      <c r="M287" s="192"/>
      <c r="N287" s="192">
        <f t="shared" si="15"/>
        <v>128442.64</v>
      </c>
      <c r="O287" s="34">
        <v>91833487.75</v>
      </c>
      <c r="P287" s="34">
        <f>+N287-O287</f>
        <v>-91705045.109999999</v>
      </c>
      <c r="R287" s="34">
        <f>+R258+O287-N287</f>
        <v>91703622.290000007</v>
      </c>
      <c r="S287" s="90">
        <f t="shared" si="14"/>
        <v>0</v>
      </c>
      <c r="T287">
        <v>91936155.730000004</v>
      </c>
    </row>
    <row r="288" spans="1:20" ht="53.25" customHeight="1" outlineLevel="1" x14ac:dyDescent="0.35">
      <c r="A288" s="193" t="s">
        <v>21</v>
      </c>
      <c r="B288" s="194">
        <v>891380033</v>
      </c>
      <c r="C288" s="195" t="s">
        <v>460</v>
      </c>
      <c r="D288" s="68" t="s">
        <v>54</v>
      </c>
      <c r="E288" s="68" t="s">
        <v>135</v>
      </c>
      <c r="F288" s="69" t="s">
        <v>437</v>
      </c>
      <c r="G288" s="68" t="s">
        <v>54</v>
      </c>
      <c r="H288" s="196">
        <v>45649</v>
      </c>
      <c r="I288" s="192">
        <v>31200.080000000002</v>
      </c>
      <c r="J288" s="192"/>
      <c r="K288" s="192"/>
      <c r="L288" s="192"/>
      <c r="M288" s="192">
        <v>0</v>
      </c>
      <c r="N288" s="192">
        <f t="shared" si="15"/>
        <v>31200.080000000002</v>
      </c>
      <c r="O288" s="34"/>
      <c r="S288" s="90">
        <f t="shared" si="14"/>
        <v>0</v>
      </c>
    </row>
    <row r="289" spans="1:19" ht="53.25" customHeight="1" outlineLevel="1" x14ac:dyDescent="0.35">
      <c r="A289" s="193" t="s">
        <v>21</v>
      </c>
      <c r="B289" s="194">
        <v>891380033</v>
      </c>
      <c r="C289" s="195" t="s">
        <v>460</v>
      </c>
      <c r="D289" s="68" t="s">
        <v>54</v>
      </c>
      <c r="E289" s="68" t="s">
        <v>135</v>
      </c>
      <c r="F289" s="69" t="s">
        <v>437</v>
      </c>
      <c r="G289" s="68" t="s">
        <v>54</v>
      </c>
      <c r="H289" s="196">
        <v>45649</v>
      </c>
      <c r="I289" s="192">
        <v>288984.95</v>
      </c>
      <c r="J289" s="192"/>
      <c r="K289" s="192"/>
      <c r="L289" s="192"/>
      <c r="M289" s="192"/>
      <c r="N289" s="192">
        <f t="shared" si="15"/>
        <v>288984.95</v>
      </c>
      <c r="O289" s="34"/>
      <c r="P289" s="34"/>
      <c r="S289" s="90">
        <f t="shared" si="14"/>
        <v>0</v>
      </c>
    </row>
    <row r="290" spans="1:19" ht="53.25" customHeight="1" outlineLevel="1" x14ac:dyDescent="0.35">
      <c r="A290" s="193" t="s">
        <v>21</v>
      </c>
      <c r="B290" s="194">
        <v>899999090</v>
      </c>
      <c r="C290" s="195" t="s">
        <v>462</v>
      </c>
      <c r="D290" s="68" t="s">
        <v>54</v>
      </c>
      <c r="E290" s="68" t="s">
        <v>135</v>
      </c>
      <c r="F290" s="69" t="s">
        <v>461</v>
      </c>
      <c r="G290" s="68" t="s">
        <v>54</v>
      </c>
      <c r="H290" s="196">
        <v>45665</v>
      </c>
      <c r="I290" s="192">
        <v>19779301.050000001</v>
      </c>
      <c r="J290" s="192"/>
      <c r="K290" s="192"/>
      <c r="L290" s="192"/>
      <c r="M290" s="192"/>
      <c r="N290" s="192">
        <f t="shared" si="15"/>
        <v>19779301.050000001</v>
      </c>
      <c r="O290" s="34"/>
      <c r="S290" s="90">
        <f t="shared" si="14"/>
        <v>0</v>
      </c>
    </row>
    <row r="291" spans="1:19" ht="53.25" customHeight="1" outlineLevel="1" x14ac:dyDescent="0.35">
      <c r="A291" s="193" t="s">
        <v>21</v>
      </c>
      <c r="B291" s="194">
        <v>899999090</v>
      </c>
      <c r="C291" s="195" t="s">
        <v>462</v>
      </c>
      <c r="D291" s="68" t="s">
        <v>54</v>
      </c>
      <c r="E291" s="68" t="s">
        <v>135</v>
      </c>
      <c r="F291" s="69" t="s">
        <v>461</v>
      </c>
      <c r="G291" s="68" t="s">
        <v>54</v>
      </c>
      <c r="H291" s="196">
        <v>45665</v>
      </c>
      <c r="I291" s="192">
        <v>23799063.649999999</v>
      </c>
      <c r="J291" s="192"/>
      <c r="K291" s="192"/>
      <c r="L291" s="192"/>
      <c r="M291" s="192"/>
      <c r="N291" s="192">
        <f t="shared" si="15"/>
        <v>23799063.649999999</v>
      </c>
      <c r="O291" s="34"/>
      <c r="S291" s="90">
        <f t="shared" si="14"/>
        <v>0</v>
      </c>
    </row>
    <row r="292" spans="1:19" ht="53.25" customHeight="1" outlineLevel="1" x14ac:dyDescent="0.35">
      <c r="A292" s="193" t="s">
        <v>21</v>
      </c>
      <c r="B292" s="194">
        <v>899999090</v>
      </c>
      <c r="C292" s="195" t="s">
        <v>462</v>
      </c>
      <c r="D292" s="68" t="s">
        <v>54</v>
      </c>
      <c r="E292" s="68" t="s">
        <v>135</v>
      </c>
      <c r="F292" s="69" t="s">
        <v>461</v>
      </c>
      <c r="G292" s="68" t="s">
        <v>54</v>
      </c>
      <c r="H292" s="196">
        <v>45665</v>
      </c>
      <c r="I292" s="192">
        <v>32700786.550000001</v>
      </c>
      <c r="J292" s="192"/>
      <c r="K292" s="192"/>
      <c r="L292" s="192"/>
      <c r="M292" s="192"/>
      <c r="N292" s="192">
        <f t="shared" si="15"/>
        <v>32700786.550000001</v>
      </c>
      <c r="O292" s="34"/>
      <c r="S292" s="90">
        <f t="shared" si="14"/>
        <v>0</v>
      </c>
    </row>
    <row r="293" spans="1:19" ht="53.25" customHeight="1" outlineLevel="1" x14ac:dyDescent="0.35">
      <c r="A293" s="193" t="s">
        <v>21</v>
      </c>
      <c r="B293" s="194">
        <v>899999090</v>
      </c>
      <c r="C293" s="195" t="s">
        <v>462</v>
      </c>
      <c r="D293" s="68" t="s">
        <v>54</v>
      </c>
      <c r="E293" s="68" t="s">
        <v>135</v>
      </c>
      <c r="F293" s="69" t="s">
        <v>461</v>
      </c>
      <c r="G293" s="68" t="s">
        <v>54</v>
      </c>
      <c r="H293" s="196">
        <v>45665</v>
      </c>
      <c r="I293" s="192">
        <v>10224455.199999999</v>
      </c>
      <c r="J293" s="192"/>
      <c r="K293" s="192"/>
      <c r="L293" s="192"/>
      <c r="M293" s="192"/>
      <c r="N293" s="192">
        <f t="shared" si="15"/>
        <v>10224455.199999999</v>
      </c>
      <c r="O293" s="34"/>
      <c r="S293" s="90">
        <f t="shared" si="14"/>
        <v>0</v>
      </c>
    </row>
    <row r="294" spans="1:19" ht="53.25" customHeight="1" outlineLevel="1" x14ac:dyDescent="0.35">
      <c r="A294" s="193" t="s">
        <v>21</v>
      </c>
      <c r="B294" s="194">
        <v>899999090</v>
      </c>
      <c r="C294" s="195" t="s">
        <v>462</v>
      </c>
      <c r="D294" s="68" t="s">
        <v>54</v>
      </c>
      <c r="E294" s="68" t="s">
        <v>135</v>
      </c>
      <c r="F294" s="69" t="s">
        <v>463</v>
      </c>
      <c r="G294" s="68" t="s">
        <v>54</v>
      </c>
      <c r="H294" s="196">
        <v>45667</v>
      </c>
      <c r="I294" s="192">
        <v>231418769.91999999</v>
      </c>
      <c r="J294" s="192"/>
      <c r="K294" s="192"/>
      <c r="L294" s="192"/>
      <c r="M294" s="192">
        <f>+N294-I294</f>
        <v>1.0600000023841858</v>
      </c>
      <c r="N294" s="192">
        <v>231418770.97999999</v>
      </c>
      <c r="O294" s="34"/>
      <c r="S294" s="90">
        <f t="shared" si="14"/>
        <v>0</v>
      </c>
    </row>
    <row r="295" spans="1:19" ht="53.25" customHeight="1" outlineLevel="1" x14ac:dyDescent="0.35">
      <c r="A295" s="193" t="s">
        <v>21</v>
      </c>
      <c r="B295" s="194">
        <v>800197268</v>
      </c>
      <c r="C295" s="195" t="s">
        <v>366</v>
      </c>
      <c r="D295" s="68" t="s">
        <v>54</v>
      </c>
      <c r="E295" s="68" t="s">
        <v>135</v>
      </c>
      <c r="F295" s="69" t="s">
        <v>464</v>
      </c>
      <c r="G295" s="68" t="s">
        <v>54</v>
      </c>
      <c r="H295" s="196">
        <v>45667</v>
      </c>
      <c r="I295" s="192">
        <v>68445744.049999997</v>
      </c>
      <c r="J295" s="192"/>
      <c r="K295" s="192"/>
      <c r="L295" s="192"/>
      <c r="M295" s="192">
        <f>+N295-I295</f>
        <v>255.95000000298023</v>
      </c>
      <c r="N295" s="192">
        <v>68446000</v>
      </c>
      <c r="O295" s="34"/>
      <c r="S295" s="90">
        <f t="shared" si="14"/>
        <v>0</v>
      </c>
    </row>
    <row r="296" spans="1:19" ht="53.25" customHeight="1" outlineLevel="1" x14ac:dyDescent="0.35">
      <c r="A296" s="193" t="s">
        <v>21</v>
      </c>
      <c r="B296" s="194">
        <v>899999061</v>
      </c>
      <c r="C296" s="195" t="s">
        <v>465</v>
      </c>
      <c r="D296" s="68" t="s">
        <v>54</v>
      </c>
      <c r="E296" s="68" t="s">
        <v>135</v>
      </c>
      <c r="F296" s="69" t="s">
        <v>466</v>
      </c>
      <c r="G296" s="68" t="s">
        <v>54</v>
      </c>
      <c r="H296" s="196">
        <v>45673</v>
      </c>
      <c r="I296" s="192">
        <v>9196.64</v>
      </c>
      <c r="J296" s="192"/>
      <c r="K296" s="192"/>
      <c r="L296" s="192"/>
      <c r="M296" s="192">
        <f>+N296-I296</f>
        <v>-196.63999999999942</v>
      </c>
      <c r="N296" s="192">
        <v>9000</v>
      </c>
      <c r="O296" s="34"/>
      <c r="S296" s="90">
        <f t="shared" si="14"/>
        <v>0</v>
      </c>
    </row>
    <row r="297" spans="1:19" ht="53.25" customHeight="1" outlineLevel="1" x14ac:dyDescent="0.35">
      <c r="A297" s="193" t="s">
        <v>21</v>
      </c>
      <c r="B297" s="194">
        <v>890205677</v>
      </c>
      <c r="C297" s="195" t="s">
        <v>467</v>
      </c>
      <c r="D297" s="68" t="s">
        <v>54</v>
      </c>
      <c r="E297" s="68" t="s">
        <v>135</v>
      </c>
      <c r="F297" s="69" t="s">
        <v>468</v>
      </c>
      <c r="G297" s="68" t="s">
        <v>54</v>
      </c>
      <c r="H297" s="196">
        <v>45684</v>
      </c>
      <c r="I297" s="192">
        <v>397775.22</v>
      </c>
      <c r="J297" s="192"/>
      <c r="K297" s="192"/>
      <c r="L297" s="192"/>
      <c r="M297" s="192"/>
      <c r="N297" s="192">
        <f t="shared" si="15"/>
        <v>397775.22</v>
      </c>
      <c r="O297" s="34"/>
      <c r="S297" s="90">
        <f t="shared" si="14"/>
        <v>0</v>
      </c>
    </row>
    <row r="298" spans="1:19" ht="53.25" customHeight="1" outlineLevel="1" x14ac:dyDescent="0.35">
      <c r="A298" s="193" t="s">
        <v>21</v>
      </c>
      <c r="B298" s="194">
        <v>800096580</v>
      </c>
      <c r="C298" s="195" t="s">
        <v>469</v>
      </c>
      <c r="D298" s="68" t="s">
        <v>54</v>
      </c>
      <c r="E298" s="68" t="s">
        <v>135</v>
      </c>
      <c r="F298" s="69" t="s">
        <v>470</v>
      </c>
      <c r="G298" s="68" t="s">
        <v>54</v>
      </c>
      <c r="H298" s="196">
        <v>45684</v>
      </c>
      <c r="I298" s="192">
        <v>1017607.83</v>
      </c>
      <c r="J298" s="192"/>
      <c r="K298" s="192"/>
      <c r="L298" s="192"/>
      <c r="M298" s="192"/>
      <c r="N298" s="192">
        <f t="shared" si="15"/>
        <v>1017607.83</v>
      </c>
      <c r="O298" s="34"/>
      <c r="S298" s="90">
        <f t="shared" si="14"/>
        <v>0</v>
      </c>
    </row>
    <row r="299" spans="1:19" ht="53.25" customHeight="1" outlineLevel="1" x14ac:dyDescent="0.35">
      <c r="A299" s="193" t="s">
        <v>21</v>
      </c>
      <c r="B299" s="194">
        <v>890480006</v>
      </c>
      <c r="C299" s="195" t="s">
        <v>471</v>
      </c>
      <c r="D299" s="68" t="s">
        <v>54</v>
      </c>
      <c r="E299" s="68" t="s">
        <v>135</v>
      </c>
      <c r="F299" s="69" t="s">
        <v>472</v>
      </c>
      <c r="G299" s="68" t="s">
        <v>54</v>
      </c>
      <c r="H299" s="196">
        <v>45684</v>
      </c>
      <c r="I299" s="192">
        <v>355467.75</v>
      </c>
      <c r="J299" s="192"/>
      <c r="K299" s="192"/>
      <c r="L299" s="192"/>
      <c r="M299" s="192"/>
      <c r="N299" s="192">
        <f t="shared" si="15"/>
        <v>355467.75</v>
      </c>
      <c r="O299" s="34"/>
      <c r="P299" s="34"/>
      <c r="S299" s="90"/>
    </row>
    <row r="300" spans="1:19" ht="53.25" customHeight="1" outlineLevel="1" x14ac:dyDescent="0.35">
      <c r="A300" s="193" t="s">
        <v>21</v>
      </c>
      <c r="B300" s="194">
        <v>899999426</v>
      </c>
      <c r="C300" s="195" t="s">
        <v>473</v>
      </c>
      <c r="D300" s="68" t="s">
        <v>54</v>
      </c>
      <c r="E300" s="68" t="s">
        <v>135</v>
      </c>
      <c r="F300" s="69" t="s">
        <v>474</v>
      </c>
      <c r="G300" s="68" t="s">
        <v>54</v>
      </c>
      <c r="H300" s="196">
        <v>45684</v>
      </c>
      <c r="I300" s="192">
        <v>65350.6</v>
      </c>
      <c r="J300" s="192"/>
      <c r="K300" s="192"/>
      <c r="L300" s="192"/>
      <c r="M300" s="192"/>
      <c r="N300" s="192">
        <f t="shared" si="15"/>
        <v>65350.6</v>
      </c>
      <c r="O300" s="34"/>
      <c r="S300" s="90">
        <f t="shared" ref="S300:S324" si="16">+ROUND(L300,2)</f>
        <v>0</v>
      </c>
    </row>
    <row r="301" spans="1:19" ht="53.25" customHeight="1" outlineLevel="1" x14ac:dyDescent="0.35">
      <c r="A301" s="193" t="s">
        <v>21</v>
      </c>
      <c r="B301" s="194">
        <v>819003225</v>
      </c>
      <c r="C301" s="195" t="s">
        <v>475</v>
      </c>
      <c r="D301" s="68" t="s">
        <v>54</v>
      </c>
      <c r="E301" s="68" t="s">
        <v>135</v>
      </c>
      <c r="F301" s="69" t="s">
        <v>476</v>
      </c>
      <c r="G301" s="68" t="s">
        <v>54</v>
      </c>
      <c r="H301" s="196">
        <v>45684</v>
      </c>
      <c r="I301" s="192">
        <v>1853583.23</v>
      </c>
      <c r="J301" s="192"/>
      <c r="K301" s="192"/>
      <c r="L301" s="192"/>
      <c r="M301" s="192">
        <f>+N301-I301</f>
        <v>0</v>
      </c>
      <c r="N301" s="192">
        <v>1853583.23</v>
      </c>
      <c r="O301" s="34"/>
      <c r="S301" s="90">
        <f t="shared" si="16"/>
        <v>0</v>
      </c>
    </row>
    <row r="302" spans="1:19" ht="53.25" customHeight="1" outlineLevel="1" x14ac:dyDescent="0.35">
      <c r="A302" s="193" t="s">
        <v>21</v>
      </c>
      <c r="B302" s="194">
        <v>891780044</v>
      </c>
      <c r="C302" s="195" t="s">
        <v>477</v>
      </c>
      <c r="D302" s="68" t="s">
        <v>54</v>
      </c>
      <c r="E302" s="68" t="s">
        <v>135</v>
      </c>
      <c r="F302" s="69" t="s">
        <v>478</v>
      </c>
      <c r="G302" s="68" t="s">
        <v>54</v>
      </c>
      <c r="H302" s="196">
        <v>45684</v>
      </c>
      <c r="I302" s="192">
        <v>1518883.44</v>
      </c>
      <c r="J302" s="192"/>
      <c r="K302" s="192"/>
      <c r="L302" s="192"/>
      <c r="M302" s="192"/>
      <c r="N302" s="192">
        <v>1518883.44</v>
      </c>
      <c r="O302" s="34"/>
      <c r="S302" s="90">
        <f t="shared" si="16"/>
        <v>0</v>
      </c>
    </row>
    <row r="303" spans="1:19" ht="53.25" customHeight="1" outlineLevel="1" x14ac:dyDescent="0.35">
      <c r="A303" s="193" t="s">
        <v>21</v>
      </c>
      <c r="B303" s="194">
        <v>891280000</v>
      </c>
      <c r="C303" s="195" t="s">
        <v>479</v>
      </c>
      <c r="D303" s="68" t="s">
        <v>54</v>
      </c>
      <c r="E303" s="68" t="s">
        <v>135</v>
      </c>
      <c r="F303" s="69" t="s">
        <v>480</v>
      </c>
      <c r="G303" s="68" t="s">
        <v>54</v>
      </c>
      <c r="H303" s="196">
        <v>45684</v>
      </c>
      <c r="I303" s="192">
        <v>4806.92</v>
      </c>
      <c r="J303" s="192"/>
      <c r="K303" s="192"/>
      <c r="L303" s="192"/>
      <c r="M303" s="192"/>
      <c r="N303" s="192">
        <f t="shared" si="15"/>
        <v>4806.92</v>
      </c>
      <c r="O303" s="34"/>
      <c r="S303" s="90">
        <f t="shared" si="16"/>
        <v>0</v>
      </c>
    </row>
    <row r="304" spans="1:19" ht="53.25" customHeight="1" outlineLevel="1" x14ac:dyDescent="0.35">
      <c r="A304" s="193" t="s">
        <v>21</v>
      </c>
      <c r="B304" s="194">
        <v>800099079</v>
      </c>
      <c r="C304" s="195" t="s">
        <v>481</v>
      </c>
      <c r="D304" s="68" t="s">
        <v>54</v>
      </c>
      <c r="E304" s="68" t="s">
        <v>135</v>
      </c>
      <c r="F304" s="69" t="s">
        <v>482</v>
      </c>
      <c r="G304" s="68" t="s">
        <v>54</v>
      </c>
      <c r="H304" s="196">
        <v>45684</v>
      </c>
      <c r="I304" s="192">
        <v>5864.44</v>
      </c>
      <c r="J304" s="192"/>
      <c r="K304" s="192"/>
      <c r="L304" s="192"/>
      <c r="M304" s="192"/>
      <c r="N304" s="192">
        <f t="shared" ref="N304:N319" si="17">+I304-J304-K304+M304-L304</f>
        <v>5864.44</v>
      </c>
      <c r="O304" s="34"/>
      <c r="S304" s="90">
        <f t="shared" si="16"/>
        <v>0</v>
      </c>
    </row>
    <row r="305" spans="1:19" ht="53.25" customHeight="1" outlineLevel="1" x14ac:dyDescent="0.35">
      <c r="A305" s="193" t="s">
        <v>21</v>
      </c>
      <c r="B305" s="194">
        <v>900045903</v>
      </c>
      <c r="C305" s="195" t="s">
        <v>483</v>
      </c>
      <c r="D305" s="68" t="s">
        <v>54</v>
      </c>
      <c r="E305" s="68" t="s">
        <v>135</v>
      </c>
      <c r="F305" s="69" t="s">
        <v>484</v>
      </c>
      <c r="G305" s="68" t="s">
        <v>54</v>
      </c>
      <c r="H305" s="196">
        <v>45684</v>
      </c>
      <c r="I305" s="192">
        <v>345879.46</v>
      </c>
      <c r="J305" s="192"/>
      <c r="K305" s="192"/>
      <c r="L305" s="192"/>
      <c r="M305" s="192"/>
      <c r="N305" s="192">
        <f t="shared" si="17"/>
        <v>345879.46</v>
      </c>
      <c r="O305" s="34"/>
      <c r="S305" s="90">
        <f t="shared" si="16"/>
        <v>0</v>
      </c>
    </row>
    <row r="306" spans="1:19" ht="53.25" customHeight="1" outlineLevel="1" x14ac:dyDescent="0.35">
      <c r="A306" s="193" t="s">
        <v>21</v>
      </c>
      <c r="B306" s="194">
        <v>891380033</v>
      </c>
      <c r="C306" s="195" t="s">
        <v>460</v>
      </c>
      <c r="D306" s="68" t="s">
        <v>54</v>
      </c>
      <c r="E306" s="68" t="s">
        <v>135</v>
      </c>
      <c r="F306" s="69" t="s">
        <v>437</v>
      </c>
      <c r="G306" s="68" t="s">
        <v>54</v>
      </c>
      <c r="H306" s="196">
        <v>45684</v>
      </c>
      <c r="I306" s="192">
        <v>226010.3</v>
      </c>
      <c r="J306" s="192"/>
      <c r="K306" s="192"/>
      <c r="L306" s="192"/>
      <c r="M306" s="192"/>
      <c r="N306" s="192">
        <f t="shared" si="17"/>
        <v>226010.3</v>
      </c>
      <c r="O306" s="34"/>
      <c r="S306" s="90">
        <f t="shared" si="16"/>
        <v>0</v>
      </c>
    </row>
    <row r="307" spans="1:19" ht="53.25" customHeight="1" outlineLevel="1" x14ac:dyDescent="0.35">
      <c r="A307" s="193" t="s">
        <v>21</v>
      </c>
      <c r="B307" s="194">
        <v>901760153</v>
      </c>
      <c r="C307" s="195" t="s">
        <v>262</v>
      </c>
      <c r="D307" s="68" t="s">
        <v>241</v>
      </c>
      <c r="E307" s="68" t="s">
        <v>140</v>
      </c>
      <c r="F307" s="69" t="s">
        <v>486</v>
      </c>
      <c r="G307" s="74">
        <v>181</v>
      </c>
      <c r="H307" s="196">
        <v>45679</v>
      </c>
      <c r="I307" s="192">
        <v>43309980</v>
      </c>
      <c r="J307" s="192">
        <v>0</v>
      </c>
      <c r="K307" s="192">
        <v>2365671.1800000002</v>
      </c>
      <c r="L307" s="192"/>
      <c r="M307" s="192"/>
      <c r="N307" s="192">
        <f t="shared" si="17"/>
        <v>40944308.82</v>
      </c>
      <c r="O307" s="34"/>
      <c r="S307" s="90">
        <f t="shared" si="16"/>
        <v>0</v>
      </c>
    </row>
    <row r="308" spans="1:19" ht="53.25" customHeight="1" outlineLevel="1" x14ac:dyDescent="0.35">
      <c r="A308" s="193" t="s">
        <v>21</v>
      </c>
      <c r="B308" s="194">
        <v>901760153</v>
      </c>
      <c r="C308" s="195" t="s">
        <v>262</v>
      </c>
      <c r="D308" s="68" t="s">
        <v>241</v>
      </c>
      <c r="E308" s="68" t="s">
        <v>140</v>
      </c>
      <c r="F308" s="69" t="s">
        <v>487</v>
      </c>
      <c r="G308" s="74">
        <v>182</v>
      </c>
      <c r="H308" s="196">
        <v>45680</v>
      </c>
      <c r="I308" s="192"/>
      <c r="J308" s="192">
        <v>-32846443.199999999</v>
      </c>
      <c r="K308" s="192">
        <v>0</v>
      </c>
      <c r="L308" s="192"/>
      <c r="M308" s="192"/>
      <c r="N308" s="192">
        <f t="shared" si="17"/>
        <v>32846443.199999999</v>
      </c>
      <c r="O308" s="34"/>
      <c r="S308" s="90"/>
    </row>
    <row r="309" spans="1:19" ht="53.25" customHeight="1" outlineLevel="1" x14ac:dyDescent="0.35">
      <c r="A309" s="193" t="s">
        <v>21</v>
      </c>
      <c r="B309" s="194">
        <v>900345967</v>
      </c>
      <c r="C309" s="195" t="s">
        <v>356</v>
      </c>
      <c r="D309" s="68" t="s">
        <v>239</v>
      </c>
      <c r="E309" s="68" t="s">
        <v>140</v>
      </c>
      <c r="F309" s="69" t="s">
        <v>488</v>
      </c>
      <c r="G309" s="74">
        <v>183</v>
      </c>
      <c r="H309" s="196">
        <v>45679</v>
      </c>
      <c r="I309" s="192">
        <v>112942900</v>
      </c>
      <c r="J309" s="192">
        <v>11294290</v>
      </c>
      <c r="K309" s="192">
        <v>6169150</v>
      </c>
      <c r="L309" s="192"/>
      <c r="M309" s="192"/>
      <c r="N309" s="192">
        <f t="shared" si="17"/>
        <v>95479460</v>
      </c>
      <c r="O309" s="34"/>
      <c r="S309" s="90"/>
    </row>
    <row r="310" spans="1:19" ht="53.25" customHeight="1" outlineLevel="1" x14ac:dyDescent="0.35">
      <c r="A310" s="193" t="s">
        <v>21</v>
      </c>
      <c r="B310" s="194">
        <v>901778790</v>
      </c>
      <c r="C310" s="195" t="s">
        <v>274</v>
      </c>
      <c r="D310" s="68" t="s">
        <v>345</v>
      </c>
      <c r="E310" s="68" t="s">
        <v>140</v>
      </c>
      <c r="F310" s="69" t="s">
        <v>489</v>
      </c>
      <c r="G310" s="74">
        <v>184</v>
      </c>
      <c r="H310" s="196">
        <v>45678</v>
      </c>
      <c r="I310" s="192">
        <v>677543631</v>
      </c>
      <c r="J310" s="192">
        <v>67754363.099999994</v>
      </c>
      <c r="K310" s="192">
        <v>52975097.039999999</v>
      </c>
      <c r="L310" s="192">
        <v>12776655.15</v>
      </c>
      <c r="M310" s="192"/>
      <c r="N310" s="192">
        <f t="shared" si="17"/>
        <v>544037515.71000004</v>
      </c>
      <c r="O310" s="34"/>
      <c r="S310" s="90"/>
    </row>
    <row r="311" spans="1:19" ht="53.25" customHeight="1" outlineLevel="1" x14ac:dyDescent="0.35">
      <c r="A311" s="193" t="s">
        <v>363</v>
      </c>
      <c r="B311" s="194">
        <v>19244715</v>
      </c>
      <c r="C311" s="195" t="s">
        <v>275</v>
      </c>
      <c r="D311" s="68" t="s">
        <v>252</v>
      </c>
      <c r="E311" s="68" t="s">
        <v>140</v>
      </c>
      <c r="F311" s="69" t="s">
        <v>490</v>
      </c>
      <c r="G311" s="74">
        <v>185</v>
      </c>
      <c r="H311" s="196">
        <v>45679</v>
      </c>
      <c r="I311" s="192">
        <v>27912169.759999998</v>
      </c>
      <c r="J311" s="192">
        <v>2791216.98</v>
      </c>
      <c r="K311" s="192">
        <v>1545922.83</v>
      </c>
      <c r="L311" s="192"/>
      <c r="M311" s="192"/>
      <c r="N311" s="192">
        <f t="shared" si="17"/>
        <v>23575029.949999996</v>
      </c>
      <c r="O311" s="34"/>
      <c r="S311" s="90"/>
    </row>
    <row r="312" spans="1:19" ht="53.25" customHeight="1" outlineLevel="1" x14ac:dyDescent="0.35">
      <c r="A312" s="193" t="s">
        <v>21</v>
      </c>
      <c r="B312" s="194">
        <v>901849554</v>
      </c>
      <c r="C312" s="195" t="s">
        <v>485</v>
      </c>
      <c r="D312" s="68" t="s">
        <v>251</v>
      </c>
      <c r="E312" s="68" t="s">
        <v>140</v>
      </c>
      <c r="F312" s="69" t="s">
        <v>491</v>
      </c>
      <c r="G312" s="74">
        <v>186</v>
      </c>
      <c r="H312" s="196">
        <v>45680</v>
      </c>
      <c r="I312" s="192">
        <v>96927168.550000012</v>
      </c>
      <c r="J312" s="192">
        <v>9692716.8599999994</v>
      </c>
      <c r="K312" s="192">
        <v>5593486.1299999999</v>
      </c>
      <c r="L312" s="192"/>
      <c r="M312" s="192"/>
      <c r="N312" s="192">
        <f t="shared" si="17"/>
        <v>81640965.560000017</v>
      </c>
      <c r="O312" s="34"/>
      <c r="S312" s="90"/>
    </row>
    <row r="313" spans="1:19" ht="53.25" customHeight="1" outlineLevel="1" x14ac:dyDescent="0.35">
      <c r="A313" s="193" t="s">
        <v>21</v>
      </c>
      <c r="B313" s="194">
        <v>901815944</v>
      </c>
      <c r="C313" s="195" t="s">
        <v>272</v>
      </c>
      <c r="D313" s="68" t="s">
        <v>349</v>
      </c>
      <c r="E313" s="68" t="s">
        <v>140</v>
      </c>
      <c r="F313" s="69" t="s">
        <v>492</v>
      </c>
      <c r="G313" s="74">
        <v>187</v>
      </c>
      <c r="H313" s="196">
        <v>45686</v>
      </c>
      <c r="I313" s="192">
        <v>861770013.96000004</v>
      </c>
      <c r="J313" s="192">
        <v>86177001.400000006</v>
      </c>
      <c r="K313" s="192">
        <v>71278809.25</v>
      </c>
      <c r="L313" s="192"/>
      <c r="M313" s="192"/>
      <c r="N313" s="192">
        <f t="shared" si="17"/>
        <v>704314203.31000006</v>
      </c>
      <c r="O313" s="34"/>
      <c r="S313" s="90"/>
    </row>
    <row r="314" spans="1:19" ht="53.25" customHeight="1" outlineLevel="1" x14ac:dyDescent="0.35">
      <c r="A314" s="193" t="s">
        <v>21</v>
      </c>
      <c r="B314" s="194">
        <v>901779143</v>
      </c>
      <c r="C314" s="195" t="s">
        <v>277</v>
      </c>
      <c r="D314" s="68" t="s">
        <v>346</v>
      </c>
      <c r="E314" s="68" t="s">
        <v>140</v>
      </c>
      <c r="F314" s="69" t="s">
        <v>493</v>
      </c>
      <c r="G314" s="74">
        <v>188</v>
      </c>
      <c r="H314" s="196">
        <v>45680</v>
      </c>
      <c r="I314" s="192">
        <v>190964707</v>
      </c>
      <c r="J314" s="192">
        <v>19096470.699999999</v>
      </c>
      <c r="K314" s="192">
        <v>15179709.280000001</v>
      </c>
      <c r="L314" s="192"/>
      <c r="M314" s="192"/>
      <c r="N314" s="192">
        <f t="shared" si="17"/>
        <v>156688527.02000001</v>
      </c>
      <c r="O314" s="34"/>
      <c r="S314" s="90"/>
    </row>
    <row r="315" spans="1:19" ht="53.25" customHeight="1" outlineLevel="1" x14ac:dyDescent="0.35">
      <c r="A315" s="193" t="s">
        <v>363</v>
      </c>
      <c r="B315" s="194">
        <v>19244715</v>
      </c>
      <c r="C315" s="195" t="s">
        <v>275</v>
      </c>
      <c r="D315" s="68" t="s">
        <v>254</v>
      </c>
      <c r="E315" s="68" t="s">
        <v>140</v>
      </c>
      <c r="F315" s="69" t="s">
        <v>494</v>
      </c>
      <c r="G315" s="68">
        <v>189</v>
      </c>
      <c r="H315" s="196">
        <v>45686</v>
      </c>
      <c r="I315" s="192">
        <v>18277178.879999999</v>
      </c>
      <c r="J315" s="192">
        <v>1827717.89</v>
      </c>
      <c r="K315" s="192">
        <v>1004809.75</v>
      </c>
      <c r="L315" s="192"/>
      <c r="M315" s="192"/>
      <c r="N315" s="192">
        <f t="shared" si="17"/>
        <v>15444651.239999998</v>
      </c>
      <c r="O315" s="34"/>
      <c r="S315" s="90">
        <f t="shared" si="16"/>
        <v>0</v>
      </c>
    </row>
    <row r="316" spans="1:19" ht="53.25" customHeight="1" outlineLevel="1" x14ac:dyDescent="0.35">
      <c r="A316" s="193" t="s">
        <v>21</v>
      </c>
      <c r="B316" s="194">
        <v>899999090</v>
      </c>
      <c r="C316" s="195" t="s">
        <v>462</v>
      </c>
      <c r="D316" s="68" t="s">
        <v>54</v>
      </c>
      <c r="E316" s="68" t="s">
        <v>135</v>
      </c>
      <c r="F316" s="69" t="s">
        <v>498</v>
      </c>
      <c r="G316" s="68" t="s">
        <v>54</v>
      </c>
      <c r="H316" s="196">
        <v>45695</v>
      </c>
      <c r="I316" s="192">
        <v>33109436</v>
      </c>
      <c r="J316" s="192"/>
      <c r="K316" s="192"/>
      <c r="L316" s="192"/>
      <c r="M316" s="192"/>
      <c r="N316" s="192">
        <f t="shared" si="17"/>
        <v>33109436</v>
      </c>
      <c r="O316" s="34"/>
      <c r="S316" s="90">
        <f t="shared" si="16"/>
        <v>0</v>
      </c>
    </row>
    <row r="317" spans="1:19" ht="53.25" customHeight="1" outlineLevel="1" x14ac:dyDescent="0.35">
      <c r="A317" s="193" t="s">
        <v>21</v>
      </c>
      <c r="B317" s="194">
        <v>899999090</v>
      </c>
      <c r="C317" s="195" t="s">
        <v>462</v>
      </c>
      <c r="D317" s="68" t="s">
        <v>54</v>
      </c>
      <c r="E317" s="68" t="s">
        <v>135</v>
      </c>
      <c r="F317" s="69" t="s">
        <v>498</v>
      </c>
      <c r="G317" s="68" t="s">
        <v>54</v>
      </c>
      <c r="H317" s="196">
        <v>45695</v>
      </c>
      <c r="I317" s="192">
        <v>9487318.3000000007</v>
      </c>
      <c r="J317" s="192"/>
      <c r="K317" s="192"/>
      <c r="L317" s="192"/>
      <c r="M317" s="192"/>
      <c r="N317" s="192">
        <f t="shared" si="17"/>
        <v>9487318.3000000007</v>
      </c>
      <c r="O317" s="34"/>
      <c r="S317" s="90">
        <f t="shared" si="16"/>
        <v>0</v>
      </c>
    </row>
    <row r="318" spans="1:19" ht="53.25" customHeight="1" outlineLevel="1" x14ac:dyDescent="0.35">
      <c r="A318" s="193" t="s">
        <v>21</v>
      </c>
      <c r="B318" s="194">
        <v>899999090</v>
      </c>
      <c r="C318" s="195" t="s">
        <v>462</v>
      </c>
      <c r="D318" s="68" t="s">
        <v>54</v>
      </c>
      <c r="E318" s="68" t="s">
        <v>135</v>
      </c>
      <c r="F318" s="69" t="s">
        <v>498</v>
      </c>
      <c r="G318" s="68" t="s">
        <v>54</v>
      </c>
      <c r="H318" s="196">
        <v>45695</v>
      </c>
      <c r="I318" s="192">
        <v>42767650</v>
      </c>
      <c r="J318" s="192"/>
      <c r="K318" s="192"/>
      <c r="L318" s="192"/>
      <c r="M318" s="192"/>
      <c r="N318" s="192">
        <f t="shared" si="17"/>
        <v>42767650</v>
      </c>
      <c r="O318" s="34"/>
      <c r="S318" s="90">
        <f t="shared" si="16"/>
        <v>0</v>
      </c>
    </row>
    <row r="319" spans="1:19" ht="53.25" customHeight="1" outlineLevel="1" x14ac:dyDescent="0.35">
      <c r="A319" s="193" t="s">
        <v>21</v>
      </c>
      <c r="B319" s="194">
        <v>891380033</v>
      </c>
      <c r="C319" s="195" t="s">
        <v>460</v>
      </c>
      <c r="D319" s="68" t="s">
        <v>54</v>
      </c>
      <c r="E319" s="68" t="s">
        <v>135</v>
      </c>
      <c r="F319" s="69" t="s">
        <v>437</v>
      </c>
      <c r="G319" s="68" t="s">
        <v>54</v>
      </c>
      <c r="H319" s="196">
        <v>45706</v>
      </c>
      <c r="I319" s="192">
        <v>21308.52</v>
      </c>
      <c r="J319" s="192"/>
      <c r="K319" s="192"/>
      <c r="L319" s="192"/>
      <c r="M319" s="192"/>
      <c r="N319" s="192">
        <f t="shared" si="17"/>
        <v>21308.52</v>
      </c>
      <c r="O319" s="34"/>
      <c r="S319" s="90">
        <f t="shared" si="16"/>
        <v>0</v>
      </c>
    </row>
    <row r="320" spans="1:19" ht="53.25" customHeight="1" outlineLevel="1" x14ac:dyDescent="0.35">
      <c r="A320" s="193" t="s">
        <v>21</v>
      </c>
      <c r="B320" s="194">
        <v>890208119</v>
      </c>
      <c r="C320" s="195" t="s">
        <v>454</v>
      </c>
      <c r="D320" s="68" t="s">
        <v>54</v>
      </c>
      <c r="E320" s="68" t="s">
        <v>135</v>
      </c>
      <c r="F320" s="69" t="s">
        <v>455</v>
      </c>
      <c r="G320" s="68" t="s">
        <v>54</v>
      </c>
      <c r="H320" s="196">
        <v>45706</v>
      </c>
      <c r="I320" s="192">
        <v>8268.2099999999991</v>
      </c>
      <c r="J320" s="192"/>
      <c r="K320" s="192"/>
      <c r="L320" s="192"/>
      <c r="M320" s="192"/>
      <c r="N320" s="192">
        <f>+I320+M320</f>
        <v>8268.2099999999991</v>
      </c>
      <c r="O320" s="34"/>
      <c r="S320" s="90">
        <f t="shared" si="16"/>
        <v>0</v>
      </c>
    </row>
    <row r="321" spans="1:19" ht="53.25" customHeight="1" outlineLevel="1" x14ac:dyDescent="0.35">
      <c r="A321" s="193" t="s">
        <v>21</v>
      </c>
      <c r="B321" s="194">
        <v>800102504</v>
      </c>
      <c r="C321" s="195" t="s">
        <v>458</v>
      </c>
      <c r="D321" s="68" t="s">
        <v>54</v>
      </c>
      <c r="E321" s="68" t="s">
        <v>135</v>
      </c>
      <c r="F321" s="69" t="s">
        <v>459</v>
      </c>
      <c r="G321" s="68" t="s">
        <v>54</v>
      </c>
      <c r="H321" s="196">
        <v>45706</v>
      </c>
      <c r="I321" s="192">
        <v>34965.72</v>
      </c>
      <c r="J321" s="192"/>
      <c r="K321" s="192"/>
      <c r="L321" s="192"/>
      <c r="M321" s="192"/>
      <c r="N321" s="192">
        <f>+I321+M321</f>
        <v>34965.72</v>
      </c>
      <c r="O321" s="34"/>
      <c r="S321" s="90">
        <f t="shared" si="16"/>
        <v>0</v>
      </c>
    </row>
    <row r="322" spans="1:19" ht="53.25" customHeight="1" outlineLevel="1" x14ac:dyDescent="0.35">
      <c r="A322" s="193" t="s">
        <v>21</v>
      </c>
      <c r="B322" s="194">
        <v>800197268</v>
      </c>
      <c r="C322" s="195" t="s">
        <v>366</v>
      </c>
      <c r="D322" s="68" t="s">
        <v>54</v>
      </c>
      <c r="E322" s="68" t="s">
        <v>135</v>
      </c>
      <c r="F322" s="69" t="s">
        <v>517</v>
      </c>
      <c r="G322" s="68" t="s">
        <v>54</v>
      </c>
      <c r="H322" s="196">
        <v>45698</v>
      </c>
      <c r="I322" s="192">
        <v>49240017.079999998</v>
      </c>
      <c r="J322" s="192"/>
      <c r="K322" s="192"/>
      <c r="L322" s="192"/>
      <c r="M322" s="192">
        <f>+N322-I322</f>
        <v>-17.079999998211861</v>
      </c>
      <c r="N322" s="192">
        <v>49240000</v>
      </c>
      <c r="O322" s="34"/>
      <c r="S322" s="90">
        <f t="shared" si="16"/>
        <v>0</v>
      </c>
    </row>
    <row r="323" spans="1:19" ht="53.25" customHeight="1" outlineLevel="1" x14ac:dyDescent="0.35">
      <c r="A323" s="193" t="s">
        <v>21</v>
      </c>
      <c r="B323" s="194">
        <v>891280000</v>
      </c>
      <c r="C323" s="195" t="s">
        <v>479</v>
      </c>
      <c r="D323" s="68" t="s">
        <v>54</v>
      </c>
      <c r="E323" s="68" t="s">
        <v>135</v>
      </c>
      <c r="F323" s="69" t="s">
        <v>499</v>
      </c>
      <c r="G323" s="68" t="s">
        <v>54</v>
      </c>
      <c r="H323" s="196">
        <v>45716</v>
      </c>
      <c r="I323" s="192">
        <v>4673.6899999999996</v>
      </c>
      <c r="J323" s="192"/>
      <c r="K323" s="192"/>
      <c r="L323" s="192"/>
      <c r="M323" s="192"/>
      <c r="N323" s="192">
        <f t="shared" ref="N323:N333" si="18">+I323-J323-K323+M323-L323</f>
        <v>4673.6899999999996</v>
      </c>
      <c r="O323" s="34"/>
      <c r="S323" s="90">
        <f t="shared" si="16"/>
        <v>0</v>
      </c>
    </row>
    <row r="324" spans="1:19" ht="53.25" customHeight="1" outlineLevel="1" x14ac:dyDescent="0.35">
      <c r="A324" s="193" t="s">
        <v>21</v>
      </c>
      <c r="B324" s="194">
        <v>891280000</v>
      </c>
      <c r="C324" s="195" t="s">
        <v>479</v>
      </c>
      <c r="D324" s="68" t="s">
        <v>54</v>
      </c>
      <c r="E324" s="68" t="s">
        <v>135</v>
      </c>
      <c r="F324" s="69" t="s">
        <v>499</v>
      </c>
      <c r="G324" s="68" t="s">
        <v>54</v>
      </c>
      <c r="H324" s="196">
        <v>45716</v>
      </c>
      <c r="I324" s="192">
        <v>2787.81</v>
      </c>
      <c r="J324" s="192"/>
      <c r="K324" s="192"/>
      <c r="L324" s="192"/>
      <c r="M324" s="192"/>
      <c r="N324" s="192">
        <f t="shared" si="18"/>
        <v>2787.81</v>
      </c>
      <c r="O324" s="34"/>
      <c r="S324" s="90">
        <f t="shared" si="16"/>
        <v>0</v>
      </c>
    </row>
    <row r="325" spans="1:19" ht="53.25" customHeight="1" outlineLevel="1" x14ac:dyDescent="0.35">
      <c r="A325" s="193" t="s">
        <v>21</v>
      </c>
      <c r="B325" s="194">
        <v>891280000</v>
      </c>
      <c r="C325" s="195" t="s">
        <v>479</v>
      </c>
      <c r="D325" s="68" t="s">
        <v>54</v>
      </c>
      <c r="E325" s="68" t="s">
        <v>135</v>
      </c>
      <c r="F325" s="69" t="s">
        <v>499</v>
      </c>
      <c r="G325" s="68" t="s">
        <v>54</v>
      </c>
      <c r="H325" s="196">
        <v>45716</v>
      </c>
      <c r="I325" s="192">
        <v>4673.6899999999996</v>
      </c>
      <c r="J325" s="192"/>
      <c r="K325" s="192"/>
      <c r="L325" s="192"/>
      <c r="M325" s="192"/>
      <c r="N325" s="192">
        <f t="shared" si="18"/>
        <v>4673.6899999999996</v>
      </c>
      <c r="O325" s="34"/>
      <c r="P325" s="34"/>
      <c r="S325" s="90"/>
    </row>
    <row r="326" spans="1:19" ht="53.25" customHeight="1" outlineLevel="1" x14ac:dyDescent="0.35">
      <c r="A326" s="193" t="s">
        <v>21</v>
      </c>
      <c r="B326" s="194">
        <v>891280000</v>
      </c>
      <c r="C326" s="195" t="s">
        <v>479</v>
      </c>
      <c r="D326" s="68" t="s">
        <v>54</v>
      </c>
      <c r="E326" s="68" t="s">
        <v>135</v>
      </c>
      <c r="F326" s="69" t="s">
        <v>499</v>
      </c>
      <c r="G326" s="68" t="s">
        <v>54</v>
      </c>
      <c r="H326" s="196">
        <v>45716</v>
      </c>
      <c r="I326" s="192">
        <v>10743.44</v>
      </c>
      <c r="J326" s="192"/>
      <c r="K326" s="192"/>
      <c r="L326" s="192"/>
      <c r="M326" s="192"/>
      <c r="N326" s="192">
        <f t="shared" si="18"/>
        <v>10743.44</v>
      </c>
      <c r="O326" s="34"/>
      <c r="S326" s="90">
        <f t="shared" ref="S326:S333" si="19">+ROUND(L326,2)</f>
        <v>0</v>
      </c>
    </row>
    <row r="327" spans="1:19" ht="53.25" customHeight="1" outlineLevel="1" x14ac:dyDescent="0.35">
      <c r="A327" s="193" t="s">
        <v>21</v>
      </c>
      <c r="B327" s="194">
        <v>800096763</v>
      </c>
      <c r="C327" s="195" t="s">
        <v>389</v>
      </c>
      <c r="D327" s="68" t="s">
        <v>54</v>
      </c>
      <c r="E327" s="68" t="s">
        <v>135</v>
      </c>
      <c r="F327" s="69" t="s">
        <v>501</v>
      </c>
      <c r="G327" s="68" t="s">
        <v>54</v>
      </c>
      <c r="H327" s="196">
        <v>45716</v>
      </c>
      <c r="I327" s="192">
        <v>1510.77</v>
      </c>
      <c r="J327" s="192"/>
      <c r="K327" s="192"/>
      <c r="L327" s="192"/>
      <c r="M327" s="192"/>
      <c r="N327" s="192">
        <f t="shared" si="18"/>
        <v>1510.77</v>
      </c>
      <c r="O327" s="34"/>
      <c r="S327" s="90">
        <f t="shared" si="19"/>
        <v>0</v>
      </c>
    </row>
    <row r="328" spans="1:19" ht="53.25" customHeight="1" outlineLevel="1" x14ac:dyDescent="0.35">
      <c r="A328" s="193" t="s">
        <v>21</v>
      </c>
      <c r="B328" s="194">
        <v>891380033</v>
      </c>
      <c r="C328" s="195" t="s">
        <v>460</v>
      </c>
      <c r="D328" s="68" t="s">
        <v>54</v>
      </c>
      <c r="E328" s="68" t="s">
        <v>135</v>
      </c>
      <c r="F328" s="69" t="s">
        <v>437</v>
      </c>
      <c r="G328" s="68" t="s">
        <v>54</v>
      </c>
      <c r="H328" s="196">
        <v>45716</v>
      </c>
      <c r="I328" s="192">
        <v>599854.9</v>
      </c>
      <c r="J328" s="192"/>
      <c r="K328" s="192"/>
      <c r="L328" s="192"/>
      <c r="M328" s="192"/>
      <c r="N328" s="192">
        <f t="shared" si="18"/>
        <v>599854.9</v>
      </c>
      <c r="O328" s="34"/>
      <c r="S328" s="90">
        <f t="shared" si="19"/>
        <v>0</v>
      </c>
    </row>
    <row r="329" spans="1:19" ht="53.25" customHeight="1" outlineLevel="1" x14ac:dyDescent="0.35">
      <c r="A329" s="193" t="s">
        <v>21</v>
      </c>
      <c r="B329" s="194">
        <v>891380033</v>
      </c>
      <c r="C329" s="195" t="s">
        <v>460</v>
      </c>
      <c r="D329" s="68" t="s">
        <v>54</v>
      </c>
      <c r="E329" s="68" t="s">
        <v>135</v>
      </c>
      <c r="F329" s="69" t="s">
        <v>437</v>
      </c>
      <c r="G329" s="68" t="s">
        <v>54</v>
      </c>
      <c r="H329" s="196">
        <v>45716</v>
      </c>
      <c r="I329" s="192">
        <v>28775.73</v>
      </c>
      <c r="J329" s="192"/>
      <c r="K329" s="192"/>
      <c r="L329" s="192"/>
      <c r="M329" s="192"/>
      <c r="N329" s="192">
        <f t="shared" si="18"/>
        <v>28775.73</v>
      </c>
      <c r="O329" s="34"/>
      <c r="S329" s="90">
        <f t="shared" si="19"/>
        <v>0</v>
      </c>
    </row>
    <row r="330" spans="1:19" ht="53.25" customHeight="1" outlineLevel="1" x14ac:dyDescent="0.35">
      <c r="A330" s="193" t="s">
        <v>21</v>
      </c>
      <c r="B330" s="194">
        <v>891380033</v>
      </c>
      <c r="C330" s="195" t="s">
        <v>460</v>
      </c>
      <c r="D330" s="68" t="s">
        <v>54</v>
      </c>
      <c r="E330" s="68" t="s">
        <v>135</v>
      </c>
      <c r="F330" s="69" t="s">
        <v>437</v>
      </c>
      <c r="G330" s="68" t="s">
        <v>54</v>
      </c>
      <c r="H330" s="196">
        <v>45716</v>
      </c>
      <c r="I330" s="192">
        <v>36464</v>
      </c>
      <c r="J330" s="192"/>
      <c r="K330" s="192"/>
      <c r="L330" s="192"/>
      <c r="M330" s="192"/>
      <c r="N330" s="192">
        <f t="shared" si="18"/>
        <v>36464</v>
      </c>
      <c r="O330" s="34"/>
      <c r="S330" s="90">
        <f t="shared" si="19"/>
        <v>0</v>
      </c>
    </row>
    <row r="331" spans="1:19" ht="53.25" customHeight="1" outlineLevel="1" x14ac:dyDescent="0.35">
      <c r="A331" s="193" t="s">
        <v>21</v>
      </c>
      <c r="B331" s="194">
        <v>891380033</v>
      </c>
      <c r="C331" s="195" t="s">
        <v>460</v>
      </c>
      <c r="D331" s="68" t="s">
        <v>54</v>
      </c>
      <c r="E331" s="68" t="s">
        <v>135</v>
      </c>
      <c r="F331" s="69" t="s">
        <v>437</v>
      </c>
      <c r="G331" s="68" t="s">
        <v>54</v>
      </c>
      <c r="H331" s="196">
        <v>45716</v>
      </c>
      <c r="I331" s="192">
        <v>21272.34</v>
      </c>
      <c r="J331" s="192"/>
      <c r="K331" s="192"/>
      <c r="L331" s="192"/>
      <c r="M331" s="192"/>
      <c r="N331" s="192">
        <f t="shared" si="18"/>
        <v>21272.34</v>
      </c>
      <c r="O331" s="34"/>
      <c r="S331" s="90">
        <f t="shared" si="19"/>
        <v>0</v>
      </c>
    </row>
    <row r="332" spans="1:19" ht="53.25" customHeight="1" outlineLevel="1" x14ac:dyDescent="0.35">
      <c r="A332" s="193" t="s">
        <v>21</v>
      </c>
      <c r="B332" s="194">
        <v>800095466</v>
      </c>
      <c r="C332" s="195" t="s">
        <v>392</v>
      </c>
      <c r="D332" s="68" t="s">
        <v>54</v>
      </c>
      <c r="E332" s="68" t="s">
        <v>135</v>
      </c>
      <c r="F332" s="69" t="s">
        <v>500</v>
      </c>
      <c r="G332" s="68" t="s">
        <v>54</v>
      </c>
      <c r="H332" s="196">
        <v>45716</v>
      </c>
      <c r="I332" s="192">
        <v>205592.3</v>
      </c>
      <c r="J332" s="192"/>
      <c r="K332" s="192"/>
      <c r="L332" s="192"/>
      <c r="M332" s="192"/>
      <c r="N332" s="192">
        <f t="shared" si="18"/>
        <v>205592.3</v>
      </c>
      <c r="O332" s="34"/>
      <c r="S332" s="90">
        <f t="shared" si="19"/>
        <v>0</v>
      </c>
    </row>
    <row r="333" spans="1:19" ht="53.25" customHeight="1" outlineLevel="1" x14ac:dyDescent="0.35">
      <c r="A333" s="193" t="s">
        <v>21</v>
      </c>
      <c r="B333" s="194">
        <v>800095466</v>
      </c>
      <c r="C333" s="195" t="s">
        <v>392</v>
      </c>
      <c r="D333" s="68" t="s">
        <v>54</v>
      </c>
      <c r="E333" s="68" t="s">
        <v>135</v>
      </c>
      <c r="F333" s="69" t="s">
        <v>500</v>
      </c>
      <c r="G333" s="68" t="s">
        <v>54</v>
      </c>
      <c r="H333" s="196">
        <v>45716</v>
      </c>
      <c r="I333" s="192">
        <v>440290.17</v>
      </c>
      <c r="J333" s="192"/>
      <c r="K333" s="192"/>
      <c r="L333" s="192"/>
      <c r="M333" s="192">
        <v>194.01</v>
      </c>
      <c r="N333" s="192">
        <f t="shared" si="18"/>
        <v>440484.18</v>
      </c>
      <c r="O333" s="34"/>
      <c r="S333" s="90">
        <f t="shared" si="19"/>
        <v>0</v>
      </c>
    </row>
    <row r="334" spans="1:19" ht="53.25" customHeight="1" outlineLevel="1" x14ac:dyDescent="0.35">
      <c r="A334" s="193" t="s">
        <v>21</v>
      </c>
      <c r="B334" s="194">
        <v>901778790</v>
      </c>
      <c r="C334" s="195" t="s">
        <v>274</v>
      </c>
      <c r="D334" s="68" t="s">
        <v>345</v>
      </c>
      <c r="E334" s="68" t="s">
        <v>140</v>
      </c>
      <c r="F334" s="69" t="s">
        <v>502</v>
      </c>
      <c r="G334" s="74">
        <v>190</v>
      </c>
      <c r="H334" s="196">
        <v>45708</v>
      </c>
      <c r="I334" s="192">
        <v>434730079</v>
      </c>
      <c r="J334" s="192">
        <v>43473007.899999999</v>
      </c>
      <c r="K334" s="192">
        <v>34500374.560000002</v>
      </c>
      <c r="L334" s="192"/>
      <c r="M334" s="192"/>
      <c r="N334" s="192">
        <f t="shared" ref="N334:N339" si="20">+I334-J334-K334+M334-L334</f>
        <v>356756696.54000002</v>
      </c>
      <c r="O334" s="34"/>
      <c r="S334" s="90"/>
    </row>
    <row r="335" spans="1:19" ht="53.25" customHeight="1" outlineLevel="1" x14ac:dyDescent="0.35">
      <c r="A335" s="193" t="s">
        <v>363</v>
      </c>
      <c r="B335" s="194">
        <v>19244715</v>
      </c>
      <c r="C335" s="195" t="s">
        <v>275</v>
      </c>
      <c r="D335" s="68" t="s">
        <v>252</v>
      </c>
      <c r="E335" s="68" t="s">
        <v>140</v>
      </c>
      <c r="F335" s="69" t="s">
        <v>503</v>
      </c>
      <c r="G335" s="74">
        <v>191</v>
      </c>
      <c r="H335" s="196">
        <v>45708</v>
      </c>
      <c r="I335" s="192">
        <v>20265540.16</v>
      </c>
      <c r="J335" s="192">
        <v>2026554.02</v>
      </c>
      <c r="K335" s="192">
        <v>1122622.47</v>
      </c>
      <c r="L335" s="192"/>
      <c r="M335" s="192"/>
      <c r="N335" s="192">
        <f t="shared" si="20"/>
        <v>17116363.670000002</v>
      </c>
      <c r="O335" s="34"/>
      <c r="S335" s="90"/>
    </row>
    <row r="336" spans="1:19" ht="53.25" customHeight="1" outlineLevel="1" x14ac:dyDescent="0.35">
      <c r="A336" s="193" t="s">
        <v>21</v>
      </c>
      <c r="B336" s="194">
        <v>901815944</v>
      </c>
      <c r="C336" s="195" t="s">
        <v>272</v>
      </c>
      <c r="D336" s="68" t="s">
        <v>349</v>
      </c>
      <c r="E336" s="68" t="s">
        <v>140</v>
      </c>
      <c r="F336" s="69" t="s">
        <v>504</v>
      </c>
      <c r="G336" s="74">
        <v>192</v>
      </c>
      <c r="H336" s="196">
        <v>45708</v>
      </c>
      <c r="I336" s="192">
        <v>315947510.02999997</v>
      </c>
      <c r="J336" s="192">
        <v>31594751</v>
      </c>
      <c r="K336" s="192">
        <v>26845600.609999999</v>
      </c>
      <c r="L336" s="192">
        <v>91213418.060000002</v>
      </c>
      <c r="M336" s="192"/>
      <c r="N336" s="192">
        <f t="shared" si="20"/>
        <v>166293740.35999995</v>
      </c>
      <c r="O336" s="34"/>
      <c r="S336" s="90"/>
    </row>
    <row r="337" spans="1:19" ht="53.25" customHeight="1" outlineLevel="1" x14ac:dyDescent="0.35">
      <c r="A337" s="193" t="s">
        <v>21</v>
      </c>
      <c r="B337" s="194">
        <v>900246080</v>
      </c>
      <c r="C337" s="195" t="s">
        <v>357</v>
      </c>
      <c r="D337" s="68" t="s">
        <v>236</v>
      </c>
      <c r="E337" s="68" t="s">
        <v>140</v>
      </c>
      <c r="F337" s="69" t="s">
        <v>505</v>
      </c>
      <c r="G337" s="74">
        <v>193</v>
      </c>
      <c r="H337" s="196">
        <v>45709</v>
      </c>
      <c r="I337" s="192">
        <v>3177134.0599999996</v>
      </c>
      <c r="J337" s="192">
        <v>0</v>
      </c>
      <c r="K337" s="192">
        <v>252283.57</v>
      </c>
      <c r="L337" s="192"/>
      <c r="M337" s="192"/>
      <c r="N337" s="192">
        <f t="shared" si="20"/>
        <v>2924850.4899999998</v>
      </c>
      <c r="O337" s="34"/>
      <c r="S337" s="90"/>
    </row>
    <row r="338" spans="1:19" ht="53.25" customHeight="1" outlineLevel="1" x14ac:dyDescent="0.35">
      <c r="A338" s="193" t="s">
        <v>21</v>
      </c>
      <c r="B338" s="194">
        <v>901780031</v>
      </c>
      <c r="C338" s="195" t="s">
        <v>276</v>
      </c>
      <c r="D338" s="68" t="s">
        <v>347</v>
      </c>
      <c r="E338" s="68" t="s">
        <v>140</v>
      </c>
      <c r="F338" s="69" t="s">
        <v>506</v>
      </c>
      <c r="G338" s="74">
        <v>194</v>
      </c>
      <c r="H338" s="196">
        <v>45714</v>
      </c>
      <c r="I338" s="192">
        <v>152017504</v>
      </c>
      <c r="J338" s="192">
        <v>15201750.4</v>
      </c>
      <c r="K338" s="192">
        <v>12021910.559999999</v>
      </c>
      <c r="L338" s="192"/>
      <c r="M338" s="192"/>
      <c r="N338" s="192">
        <f t="shared" si="20"/>
        <v>124793843.03999999</v>
      </c>
      <c r="O338" s="34"/>
      <c r="S338" s="90"/>
    </row>
    <row r="339" spans="1:19" ht="53.25" customHeight="1" outlineLevel="1" x14ac:dyDescent="0.35">
      <c r="A339" s="193" t="s">
        <v>21</v>
      </c>
      <c r="B339" s="194">
        <v>900246080</v>
      </c>
      <c r="C339" s="195" t="s">
        <v>357</v>
      </c>
      <c r="D339" s="68" t="s">
        <v>236</v>
      </c>
      <c r="E339" s="68" t="s">
        <v>140</v>
      </c>
      <c r="F339" s="69" t="s">
        <v>507</v>
      </c>
      <c r="G339" s="74">
        <v>195</v>
      </c>
      <c r="H339" s="196">
        <v>45714</v>
      </c>
      <c r="I339" s="192">
        <v>0</v>
      </c>
      <c r="J339" s="192">
        <v>-342238894.62</v>
      </c>
      <c r="K339" s="192">
        <v>0</v>
      </c>
      <c r="L339" s="192"/>
      <c r="M339" s="192"/>
      <c r="N339" s="192">
        <f t="shared" si="20"/>
        <v>342238894.62</v>
      </c>
      <c r="O339" s="34"/>
      <c r="S339" s="90"/>
    </row>
    <row r="340" spans="1:19" ht="53.25" customHeight="1" outlineLevel="1" x14ac:dyDescent="0.35">
      <c r="A340" s="193" t="s">
        <v>21</v>
      </c>
      <c r="B340" s="194">
        <v>901762612</v>
      </c>
      <c r="C340" s="195" t="s">
        <v>259</v>
      </c>
      <c r="D340" s="68" t="s">
        <v>238</v>
      </c>
      <c r="E340" s="68" t="s">
        <v>140</v>
      </c>
      <c r="F340" s="69" t="s">
        <v>508</v>
      </c>
      <c r="G340" s="74">
        <v>196</v>
      </c>
      <c r="H340" s="196">
        <v>45714</v>
      </c>
      <c r="I340" s="192">
        <v>392370979.95999998</v>
      </c>
      <c r="J340" s="192">
        <v>39237098</v>
      </c>
      <c r="K340" s="192">
        <v>31127964.129999999</v>
      </c>
      <c r="L340" s="192"/>
      <c r="M340" s="192"/>
      <c r="N340" s="192">
        <f t="shared" ref="N340:N380" si="21">+I340-J340-K340+M340-L340</f>
        <v>322005917.82999998</v>
      </c>
      <c r="O340" s="34"/>
      <c r="S340" s="90"/>
    </row>
    <row r="341" spans="1:19" ht="53.25" customHeight="1" outlineLevel="1" x14ac:dyDescent="0.35">
      <c r="A341" s="193" t="s">
        <v>21</v>
      </c>
      <c r="B341" s="194">
        <v>901849554</v>
      </c>
      <c r="C341" s="195" t="s">
        <v>485</v>
      </c>
      <c r="D341" s="68" t="s">
        <v>251</v>
      </c>
      <c r="E341" s="68" t="s">
        <v>140</v>
      </c>
      <c r="F341" s="69" t="s">
        <v>509</v>
      </c>
      <c r="G341" s="74">
        <v>197</v>
      </c>
      <c r="H341" s="196">
        <v>45708</v>
      </c>
      <c r="I341" s="192">
        <v>44895540.68</v>
      </c>
      <c r="J341" s="192">
        <v>4489554.07</v>
      </c>
      <c r="K341" s="192">
        <v>2647934.89</v>
      </c>
      <c r="L341" s="192"/>
      <c r="M341" s="192"/>
      <c r="N341" s="192">
        <f t="shared" si="21"/>
        <v>37758051.719999999</v>
      </c>
      <c r="O341" s="34"/>
      <c r="S341" s="90"/>
    </row>
    <row r="342" spans="1:19" ht="53.25" customHeight="1" outlineLevel="1" x14ac:dyDescent="0.35">
      <c r="A342" s="193" t="s">
        <v>21</v>
      </c>
      <c r="B342" s="194">
        <v>900345967</v>
      </c>
      <c r="C342" s="195" t="s">
        <v>356</v>
      </c>
      <c r="D342" s="68" t="s">
        <v>239</v>
      </c>
      <c r="E342" s="68" t="s">
        <v>140</v>
      </c>
      <c r="F342" s="69" t="s">
        <v>574</v>
      </c>
      <c r="G342" s="74">
        <v>198</v>
      </c>
      <c r="H342" s="196">
        <v>45714</v>
      </c>
      <c r="I342" s="192">
        <v>9171508.5</v>
      </c>
      <c r="J342" s="192">
        <v>917150.85</v>
      </c>
      <c r="K342" s="192">
        <v>500964.75</v>
      </c>
      <c r="L342" s="192"/>
      <c r="M342" s="192"/>
      <c r="N342" s="192">
        <f t="shared" si="21"/>
        <v>7753392.9000000004</v>
      </c>
      <c r="O342" s="34"/>
      <c r="S342" s="90"/>
    </row>
    <row r="343" spans="1:19" ht="53.25" customHeight="1" outlineLevel="1" x14ac:dyDescent="0.35">
      <c r="A343" s="193" t="s">
        <v>21</v>
      </c>
      <c r="B343" s="194">
        <v>800048663</v>
      </c>
      <c r="C343" s="195" t="s">
        <v>278</v>
      </c>
      <c r="D343" s="68" t="s">
        <v>255</v>
      </c>
      <c r="E343" s="68" t="s">
        <v>140</v>
      </c>
      <c r="F343" s="69" t="s">
        <v>510</v>
      </c>
      <c r="G343" s="74">
        <v>199</v>
      </c>
      <c r="H343" s="196">
        <v>45714</v>
      </c>
      <c r="I343" s="192">
        <v>549429999.51999998</v>
      </c>
      <c r="J343" s="192">
        <v>54942999.950000003</v>
      </c>
      <c r="K343" s="192">
        <v>11542647.050000001</v>
      </c>
      <c r="L343" s="192"/>
      <c r="M343" s="192"/>
      <c r="N343" s="192">
        <f t="shared" si="21"/>
        <v>482944352.51999998</v>
      </c>
      <c r="O343" s="34"/>
      <c r="S343" s="90"/>
    </row>
    <row r="344" spans="1:19" ht="53.25" customHeight="1" outlineLevel="1" x14ac:dyDescent="0.35">
      <c r="A344" s="193" t="s">
        <v>363</v>
      </c>
      <c r="B344" s="194">
        <v>19244715</v>
      </c>
      <c r="C344" s="195" t="s">
        <v>275</v>
      </c>
      <c r="D344" s="68" t="s">
        <v>254</v>
      </c>
      <c r="E344" s="68" t="s">
        <v>140</v>
      </c>
      <c r="F344" s="69" t="s">
        <v>511</v>
      </c>
      <c r="G344" s="74">
        <v>200</v>
      </c>
      <c r="H344" s="196">
        <v>45707</v>
      </c>
      <c r="I344" s="192">
        <v>12497788.91</v>
      </c>
      <c r="J344" s="192">
        <v>1249778.8899999999</v>
      </c>
      <c r="K344" s="192">
        <v>689128.78999999992</v>
      </c>
      <c r="L344" s="192"/>
      <c r="M344" s="192"/>
      <c r="N344" s="192">
        <f t="shared" si="21"/>
        <v>10558881.23</v>
      </c>
      <c r="O344" s="34"/>
      <c r="S344" s="90"/>
    </row>
    <row r="345" spans="1:19" ht="53.25" customHeight="1" outlineLevel="1" x14ac:dyDescent="0.35">
      <c r="A345" s="193" t="s">
        <v>21</v>
      </c>
      <c r="B345" s="194">
        <v>800096329</v>
      </c>
      <c r="C345" s="195" t="s">
        <v>414</v>
      </c>
      <c r="D345" s="68">
        <v>7031</v>
      </c>
      <c r="E345" s="68" t="s">
        <v>139</v>
      </c>
      <c r="F345" s="69" t="s">
        <v>512</v>
      </c>
      <c r="G345" s="74" t="s">
        <v>513</v>
      </c>
      <c r="H345" s="196">
        <v>45716</v>
      </c>
      <c r="I345" s="192">
        <v>33848502.480000004</v>
      </c>
      <c r="J345" s="192">
        <v>0</v>
      </c>
      <c r="K345" s="192">
        <v>3128853.17</v>
      </c>
      <c r="L345" s="192"/>
      <c r="M345" s="192"/>
      <c r="N345" s="192">
        <f t="shared" si="21"/>
        <v>30719649.310000002</v>
      </c>
      <c r="O345" s="34"/>
      <c r="S345" s="90"/>
    </row>
    <row r="346" spans="1:19" ht="53.25" customHeight="1" outlineLevel="1" x14ac:dyDescent="0.35">
      <c r="A346" s="193" t="s">
        <v>21</v>
      </c>
      <c r="B346" s="194">
        <v>899999090</v>
      </c>
      <c r="C346" s="195" t="s">
        <v>462</v>
      </c>
      <c r="D346" s="68" t="s">
        <v>54</v>
      </c>
      <c r="E346" s="68" t="s">
        <v>135</v>
      </c>
      <c r="F346" s="69" t="s">
        <v>516</v>
      </c>
      <c r="G346" s="68" t="s">
        <v>54</v>
      </c>
      <c r="H346" s="196">
        <v>45723</v>
      </c>
      <c r="I346" s="192">
        <v>15679733.380000001</v>
      </c>
      <c r="J346" s="192"/>
      <c r="K346" s="192"/>
      <c r="L346" s="192"/>
      <c r="M346" s="192"/>
      <c r="N346" s="192">
        <f t="shared" si="21"/>
        <v>15679733.380000001</v>
      </c>
      <c r="O346" s="34"/>
      <c r="S346" s="90"/>
    </row>
    <row r="347" spans="1:19" ht="53.25" customHeight="1" outlineLevel="1" x14ac:dyDescent="0.35">
      <c r="A347" s="193" t="s">
        <v>21</v>
      </c>
      <c r="B347" s="194">
        <v>899999090</v>
      </c>
      <c r="C347" s="195" t="s">
        <v>462</v>
      </c>
      <c r="D347" s="68" t="s">
        <v>54</v>
      </c>
      <c r="E347" s="68" t="s">
        <v>135</v>
      </c>
      <c r="F347" s="69" t="s">
        <v>516</v>
      </c>
      <c r="G347" s="68" t="s">
        <v>54</v>
      </c>
      <c r="H347" s="196">
        <v>45723</v>
      </c>
      <c r="I347" s="192">
        <v>157677.23000000001</v>
      </c>
      <c r="J347" s="192"/>
      <c r="K347" s="192"/>
      <c r="L347" s="192"/>
      <c r="M347" s="192"/>
      <c r="N347" s="192">
        <f t="shared" si="21"/>
        <v>157677.23000000001</v>
      </c>
      <c r="O347" s="34"/>
      <c r="S347" s="90"/>
    </row>
    <row r="348" spans="1:19" ht="53.25" customHeight="1" outlineLevel="1" x14ac:dyDescent="0.35">
      <c r="A348" s="193" t="s">
        <v>21</v>
      </c>
      <c r="B348" s="194">
        <v>899999090</v>
      </c>
      <c r="C348" s="195" t="s">
        <v>462</v>
      </c>
      <c r="D348" s="68" t="s">
        <v>54</v>
      </c>
      <c r="E348" s="68" t="s">
        <v>135</v>
      </c>
      <c r="F348" s="69" t="s">
        <v>516</v>
      </c>
      <c r="G348" s="68" t="s">
        <v>54</v>
      </c>
      <c r="H348" s="196">
        <v>45723</v>
      </c>
      <c r="I348" s="192">
        <v>19464730.859999999</v>
      </c>
      <c r="J348" s="192"/>
      <c r="K348" s="192"/>
      <c r="L348" s="192"/>
      <c r="M348" s="192"/>
      <c r="N348" s="192">
        <f t="shared" si="21"/>
        <v>19464730.859999999</v>
      </c>
      <c r="O348" s="34"/>
      <c r="S348" s="90"/>
    </row>
    <row r="349" spans="1:19" ht="53.25" customHeight="1" outlineLevel="1" x14ac:dyDescent="0.35">
      <c r="A349" s="193" t="s">
        <v>21</v>
      </c>
      <c r="B349" s="194">
        <v>899999090</v>
      </c>
      <c r="C349" s="195" t="s">
        <v>462</v>
      </c>
      <c r="D349" s="68" t="s">
        <v>54</v>
      </c>
      <c r="E349" s="68" t="s">
        <v>135</v>
      </c>
      <c r="F349" s="69" t="s">
        <v>516</v>
      </c>
      <c r="G349" s="68" t="s">
        <v>54</v>
      </c>
      <c r="H349" s="196">
        <v>45723</v>
      </c>
      <c r="I349" s="192">
        <v>7513694.0999999996</v>
      </c>
      <c r="J349" s="192"/>
      <c r="K349" s="192"/>
      <c r="L349" s="192"/>
      <c r="M349" s="192"/>
      <c r="N349" s="192">
        <f t="shared" si="21"/>
        <v>7513694.0999999996</v>
      </c>
      <c r="O349" s="34"/>
      <c r="S349" s="90"/>
    </row>
    <row r="350" spans="1:19" ht="53.25" customHeight="1" outlineLevel="1" x14ac:dyDescent="0.35">
      <c r="A350" s="193" t="s">
        <v>21</v>
      </c>
      <c r="B350" s="194">
        <v>899999090</v>
      </c>
      <c r="C350" s="195" t="s">
        <v>462</v>
      </c>
      <c r="D350" s="68" t="s">
        <v>54</v>
      </c>
      <c r="E350" s="68" t="s">
        <v>135</v>
      </c>
      <c r="F350" s="69" t="s">
        <v>516</v>
      </c>
      <c r="G350" s="68" t="s">
        <v>54</v>
      </c>
      <c r="H350" s="196">
        <v>45723</v>
      </c>
      <c r="I350" s="192">
        <v>21562734.100000001</v>
      </c>
      <c r="J350" s="192"/>
      <c r="K350" s="192"/>
      <c r="L350" s="192"/>
      <c r="M350" s="192"/>
      <c r="N350" s="192">
        <f t="shared" si="21"/>
        <v>21562734.100000001</v>
      </c>
      <c r="O350" s="34"/>
      <c r="S350" s="90"/>
    </row>
    <row r="351" spans="1:19" ht="53.25" customHeight="1" outlineLevel="1" x14ac:dyDescent="0.35">
      <c r="A351" s="193" t="s">
        <v>21</v>
      </c>
      <c r="B351" s="194">
        <v>800197268</v>
      </c>
      <c r="C351" s="195" t="s">
        <v>366</v>
      </c>
      <c r="D351" s="68" t="s">
        <v>54</v>
      </c>
      <c r="E351" s="68" t="s">
        <v>135</v>
      </c>
      <c r="F351" s="69" t="s">
        <v>518</v>
      </c>
      <c r="G351" s="68" t="s">
        <v>54</v>
      </c>
      <c r="H351" s="196">
        <v>45727</v>
      </c>
      <c r="I351" s="192">
        <v>44785325.110000007</v>
      </c>
      <c r="J351" s="192"/>
      <c r="K351" s="192"/>
      <c r="L351" s="192"/>
      <c r="M351" s="192">
        <f>+N351-I351</f>
        <v>-325.11000000685453</v>
      </c>
      <c r="N351" s="192">
        <v>44785000</v>
      </c>
      <c r="O351" s="34"/>
      <c r="S351" s="90"/>
    </row>
    <row r="352" spans="1:19" ht="53.25" customHeight="1" outlineLevel="1" x14ac:dyDescent="0.35">
      <c r="A352" s="193" t="s">
        <v>21</v>
      </c>
      <c r="B352" s="194">
        <v>900503646</v>
      </c>
      <c r="C352" s="195" t="s">
        <v>258</v>
      </c>
      <c r="D352" s="68" t="s">
        <v>237</v>
      </c>
      <c r="E352" s="68" t="s">
        <v>140</v>
      </c>
      <c r="F352" s="69" t="s">
        <v>520</v>
      </c>
      <c r="G352" s="74">
        <v>203</v>
      </c>
      <c r="H352" s="196">
        <v>45734</v>
      </c>
      <c r="I352" s="192">
        <v>19578834.23</v>
      </c>
      <c r="J352" s="192">
        <v>0</v>
      </c>
      <c r="K352" s="192">
        <v>1112055.96</v>
      </c>
      <c r="L352" s="192"/>
      <c r="M352" s="192"/>
      <c r="N352" s="192">
        <f t="shared" si="21"/>
        <v>18466778.27</v>
      </c>
      <c r="O352" s="34"/>
      <c r="S352" s="90"/>
    </row>
    <row r="353" spans="1:19" ht="53.25" customHeight="1" outlineLevel="1" x14ac:dyDescent="0.35">
      <c r="A353" s="193" t="s">
        <v>21</v>
      </c>
      <c r="B353" s="194">
        <v>900503646</v>
      </c>
      <c r="C353" s="195" t="s">
        <v>258</v>
      </c>
      <c r="D353" s="68" t="s">
        <v>237</v>
      </c>
      <c r="E353" s="68" t="s">
        <v>140</v>
      </c>
      <c r="F353" s="69" t="s">
        <v>521</v>
      </c>
      <c r="G353" s="74">
        <v>204</v>
      </c>
      <c r="H353" s="196">
        <v>45734</v>
      </c>
      <c r="I353" s="192">
        <v>0</v>
      </c>
      <c r="J353" s="192">
        <v>-30048240.34</v>
      </c>
      <c r="K353" s="192">
        <v>0</v>
      </c>
      <c r="L353" s="192"/>
      <c r="M353" s="192"/>
      <c r="N353" s="192">
        <f t="shared" si="21"/>
        <v>30048240.34</v>
      </c>
      <c r="O353" s="34"/>
      <c r="S353" s="90"/>
    </row>
    <row r="354" spans="1:19" ht="53.25" customHeight="1" outlineLevel="1" x14ac:dyDescent="0.35">
      <c r="A354" s="193" t="s">
        <v>363</v>
      </c>
      <c r="B354" s="194">
        <v>19244715</v>
      </c>
      <c r="C354" s="195" t="s">
        <v>275</v>
      </c>
      <c r="D354" s="68" t="s">
        <v>252</v>
      </c>
      <c r="E354" s="68" t="s">
        <v>140</v>
      </c>
      <c r="F354" s="69" t="s">
        <v>523</v>
      </c>
      <c r="G354" s="74">
        <v>206</v>
      </c>
      <c r="H354" s="196">
        <v>45736</v>
      </c>
      <c r="I354" s="192">
        <v>14335649.620000001</v>
      </c>
      <c r="J354" s="192">
        <v>1433564.96</v>
      </c>
      <c r="K354" s="192">
        <v>798720.87999999989</v>
      </c>
      <c r="L354" s="192"/>
      <c r="M354" s="192"/>
      <c r="N354" s="192">
        <f t="shared" si="21"/>
        <v>12103363.780000001</v>
      </c>
      <c r="O354" s="34"/>
      <c r="S354" s="90"/>
    </row>
    <row r="355" spans="1:19" ht="53.25" customHeight="1" outlineLevel="1" x14ac:dyDescent="0.35">
      <c r="A355" s="193" t="s">
        <v>21</v>
      </c>
      <c r="B355" s="194">
        <v>901778790</v>
      </c>
      <c r="C355" s="195" t="s">
        <v>274</v>
      </c>
      <c r="D355" s="68" t="s">
        <v>345</v>
      </c>
      <c r="E355" s="68" t="s">
        <v>140</v>
      </c>
      <c r="F355" s="69" t="s">
        <v>524</v>
      </c>
      <c r="G355" s="74">
        <v>207</v>
      </c>
      <c r="H355" s="196">
        <v>45736</v>
      </c>
      <c r="I355" s="192">
        <v>198875095</v>
      </c>
      <c r="J355" s="192">
        <v>19887509.5</v>
      </c>
      <c r="K355" s="192">
        <v>15791014.48</v>
      </c>
      <c r="L355" s="192"/>
      <c r="M355" s="192"/>
      <c r="N355" s="192">
        <f t="shared" si="21"/>
        <v>163196571.02000001</v>
      </c>
      <c r="O355" s="34"/>
      <c r="S355" s="90"/>
    </row>
    <row r="356" spans="1:19" ht="53.25" customHeight="1" outlineLevel="1" x14ac:dyDescent="0.35">
      <c r="A356" s="193" t="s">
        <v>21</v>
      </c>
      <c r="B356" s="194">
        <v>901813886</v>
      </c>
      <c r="C356" s="195" t="s">
        <v>269</v>
      </c>
      <c r="D356" s="68" t="s">
        <v>348</v>
      </c>
      <c r="E356" s="68" t="s">
        <v>140</v>
      </c>
      <c r="F356" s="69" t="s">
        <v>526</v>
      </c>
      <c r="G356" s="74">
        <v>209</v>
      </c>
      <c r="H356" s="196">
        <v>45736</v>
      </c>
      <c r="I356" s="192">
        <v>420242619.99000001</v>
      </c>
      <c r="J356" s="192">
        <v>42024262</v>
      </c>
      <c r="K356" s="192">
        <v>33368321.25</v>
      </c>
      <c r="L356" s="192"/>
      <c r="M356" s="192"/>
      <c r="N356" s="192">
        <f t="shared" si="21"/>
        <v>344850036.74000001</v>
      </c>
      <c r="O356" s="34"/>
      <c r="S356" s="90"/>
    </row>
    <row r="357" spans="1:19" ht="53.25" customHeight="1" outlineLevel="1" x14ac:dyDescent="0.35">
      <c r="A357" s="193" t="s">
        <v>21</v>
      </c>
      <c r="B357" s="194">
        <v>800096329</v>
      </c>
      <c r="C357" s="195" t="s">
        <v>414</v>
      </c>
      <c r="D357" s="68">
        <v>7031</v>
      </c>
      <c r="E357" s="68" t="s">
        <v>139</v>
      </c>
      <c r="F357" s="69" t="s">
        <v>519</v>
      </c>
      <c r="G357" s="74" t="s">
        <v>527</v>
      </c>
      <c r="H357" s="196">
        <v>45742</v>
      </c>
      <c r="I357" s="192">
        <v>305496969.75</v>
      </c>
      <c r="J357" s="192">
        <v>0</v>
      </c>
      <c r="K357" s="192">
        <v>28239215.690000001</v>
      </c>
      <c r="L357" s="192"/>
      <c r="M357" s="192"/>
      <c r="N357" s="192">
        <f>+I357-J357-K357+M357-L357</f>
        <v>277257754.06</v>
      </c>
      <c r="O357" s="34"/>
      <c r="S357" s="90"/>
    </row>
    <row r="358" spans="1:19" ht="53.25" customHeight="1" outlineLevel="1" x14ac:dyDescent="0.35">
      <c r="A358" s="193" t="s">
        <v>21</v>
      </c>
      <c r="B358" s="194">
        <v>901815944</v>
      </c>
      <c r="C358" s="195" t="s">
        <v>272</v>
      </c>
      <c r="D358" s="68" t="s">
        <v>349</v>
      </c>
      <c r="E358" s="68" t="s">
        <v>140</v>
      </c>
      <c r="F358" s="69" t="s">
        <v>525</v>
      </c>
      <c r="G358" s="74">
        <v>208</v>
      </c>
      <c r="H358" s="196">
        <v>45747</v>
      </c>
      <c r="I358" s="192">
        <v>235252373.11000001</v>
      </c>
      <c r="J358" s="192">
        <v>23525237.309999999</v>
      </c>
      <c r="K358" s="192">
        <v>20725619.899999999</v>
      </c>
      <c r="L358" s="192"/>
      <c r="M358" s="192"/>
      <c r="N358" s="192">
        <f>+I358-J358-K358+M358-L358</f>
        <v>191001515.90000001</v>
      </c>
      <c r="O358" s="34"/>
      <c r="S358" s="90"/>
    </row>
    <row r="359" spans="1:19" ht="53.25" customHeight="1" outlineLevel="1" x14ac:dyDescent="0.35">
      <c r="A359" s="193" t="s">
        <v>21</v>
      </c>
      <c r="B359" s="194">
        <v>901849554</v>
      </c>
      <c r="C359" s="195" t="s">
        <v>485</v>
      </c>
      <c r="D359" s="68" t="s">
        <v>251</v>
      </c>
      <c r="E359" s="68" t="s">
        <v>140</v>
      </c>
      <c r="F359" s="69" t="s">
        <v>522</v>
      </c>
      <c r="G359" s="74">
        <v>205</v>
      </c>
      <c r="H359" s="196">
        <v>45747</v>
      </c>
      <c r="I359" s="192">
        <v>42395100.68</v>
      </c>
      <c r="J359" s="192">
        <v>4239510.07</v>
      </c>
      <c r="K359" s="192">
        <v>2455133.0100000002</v>
      </c>
      <c r="L359" s="192"/>
      <c r="M359" s="192"/>
      <c r="N359" s="192">
        <f>+I359-J359-K359+M359-L359</f>
        <v>35700457.600000001</v>
      </c>
      <c r="O359" s="34"/>
      <c r="S359" s="90"/>
    </row>
    <row r="360" spans="1:19" ht="53.25" customHeight="1" outlineLevel="1" x14ac:dyDescent="0.35">
      <c r="A360" s="193" t="s">
        <v>21</v>
      </c>
      <c r="B360" s="194">
        <v>800102504</v>
      </c>
      <c r="C360" s="195" t="s">
        <v>458</v>
      </c>
      <c r="D360" s="68" t="s">
        <v>54</v>
      </c>
      <c r="E360" s="68" t="s">
        <v>135</v>
      </c>
      <c r="F360" s="195" t="s">
        <v>528</v>
      </c>
      <c r="G360" s="74" t="s">
        <v>54</v>
      </c>
      <c r="H360" s="196">
        <v>45747</v>
      </c>
      <c r="I360" s="192">
        <v>1402457.54</v>
      </c>
      <c r="J360" s="192"/>
      <c r="K360" s="192"/>
      <c r="L360" s="192"/>
      <c r="M360" s="192"/>
      <c r="N360" s="192">
        <f t="shared" si="21"/>
        <v>1402457.54</v>
      </c>
      <c r="O360" s="34"/>
      <c r="S360" s="90"/>
    </row>
    <row r="361" spans="1:19" ht="53.25" customHeight="1" outlineLevel="1" x14ac:dyDescent="0.35">
      <c r="A361" s="193" t="s">
        <v>21</v>
      </c>
      <c r="B361" s="194">
        <v>899999426</v>
      </c>
      <c r="C361" s="195" t="s">
        <v>473</v>
      </c>
      <c r="D361" s="68" t="s">
        <v>54</v>
      </c>
      <c r="E361" s="68" t="s">
        <v>135</v>
      </c>
      <c r="F361" s="195" t="s">
        <v>529</v>
      </c>
      <c r="G361" s="74" t="s">
        <v>54</v>
      </c>
      <c r="H361" s="196">
        <v>45747</v>
      </c>
      <c r="I361" s="192">
        <v>40871.08</v>
      </c>
      <c r="J361" s="192"/>
      <c r="K361" s="192"/>
      <c r="L361" s="192"/>
      <c r="M361" s="192"/>
      <c r="N361" s="192">
        <f t="shared" si="21"/>
        <v>40871.08</v>
      </c>
      <c r="O361" s="34"/>
      <c r="S361" s="90"/>
    </row>
    <row r="362" spans="1:19" ht="53.25" customHeight="1" outlineLevel="1" x14ac:dyDescent="0.35">
      <c r="A362" s="193" t="s">
        <v>21</v>
      </c>
      <c r="B362" s="194">
        <v>890208119</v>
      </c>
      <c r="C362" s="195" t="s">
        <v>454</v>
      </c>
      <c r="D362" s="68" t="s">
        <v>54</v>
      </c>
      <c r="E362" s="68" t="s">
        <v>135</v>
      </c>
      <c r="F362" s="195" t="s">
        <v>530</v>
      </c>
      <c r="G362" s="74" t="s">
        <v>54</v>
      </c>
      <c r="H362" s="196">
        <v>45747</v>
      </c>
      <c r="I362" s="192">
        <v>4134.1000000000004</v>
      </c>
      <c r="J362" s="192"/>
      <c r="K362" s="192"/>
      <c r="L362" s="192"/>
      <c r="M362" s="192"/>
      <c r="N362" s="192">
        <f t="shared" si="21"/>
        <v>4134.1000000000004</v>
      </c>
      <c r="O362" s="34"/>
      <c r="S362" s="90"/>
    </row>
    <row r="363" spans="1:19" ht="53.25" customHeight="1" outlineLevel="1" x14ac:dyDescent="0.35">
      <c r="A363" s="193" t="s">
        <v>21</v>
      </c>
      <c r="B363" s="194">
        <v>800099079</v>
      </c>
      <c r="C363" s="195" t="s">
        <v>531</v>
      </c>
      <c r="D363" s="68" t="s">
        <v>54</v>
      </c>
      <c r="E363" s="68" t="s">
        <v>135</v>
      </c>
      <c r="F363" s="195" t="s">
        <v>532</v>
      </c>
      <c r="G363" s="74" t="s">
        <v>54</v>
      </c>
      <c r="H363" s="196">
        <v>45747</v>
      </c>
      <c r="I363" s="192">
        <v>7118.2599999999975</v>
      </c>
      <c r="J363" s="192"/>
      <c r="K363" s="192"/>
      <c r="L363" s="192"/>
      <c r="M363" s="192"/>
      <c r="N363" s="192">
        <f t="shared" si="21"/>
        <v>7118.2599999999975</v>
      </c>
      <c r="O363" s="34"/>
      <c r="S363" s="90"/>
    </row>
    <row r="364" spans="1:19" ht="53.25" customHeight="1" outlineLevel="1" x14ac:dyDescent="0.35">
      <c r="A364" s="193" t="s">
        <v>21</v>
      </c>
      <c r="B364" s="194">
        <v>900045903</v>
      </c>
      <c r="C364" s="195" t="s">
        <v>483</v>
      </c>
      <c r="D364" s="68" t="s">
        <v>54</v>
      </c>
      <c r="E364" s="68" t="s">
        <v>135</v>
      </c>
      <c r="F364" s="195" t="s">
        <v>533</v>
      </c>
      <c r="G364" s="74" t="s">
        <v>54</v>
      </c>
      <c r="H364" s="196">
        <v>45747</v>
      </c>
      <c r="I364" s="192">
        <v>127377.37</v>
      </c>
      <c r="J364" s="192"/>
      <c r="K364" s="192"/>
      <c r="L364" s="192"/>
      <c r="M364" s="192"/>
      <c r="N364" s="192">
        <f t="shared" si="21"/>
        <v>127377.37</v>
      </c>
      <c r="O364" s="34"/>
      <c r="S364" s="90"/>
    </row>
    <row r="365" spans="1:19" ht="53.25" customHeight="1" outlineLevel="1" x14ac:dyDescent="0.35">
      <c r="A365" s="193" t="s">
        <v>21</v>
      </c>
      <c r="B365" s="194">
        <v>890480006</v>
      </c>
      <c r="C365" s="195" t="s">
        <v>534</v>
      </c>
      <c r="D365" s="68" t="s">
        <v>54</v>
      </c>
      <c r="E365" s="68" t="s">
        <v>135</v>
      </c>
      <c r="F365" s="195" t="s">
        <v>535</v>
      </c>
      <c r="G365" s="74" t="s">
        <v>54</v>
      </c>
      <c r="H365" s="196">
        <v>45747</v>
      </c>
      <c r="I365" s="192">
        <v>2998347.7800000003</v>
      </c>
      <c r="J365" s="192"/>
      <c r="K365" s="192"/>
      <c r="L365" s="192"/>
      <c r="M365" s="192"/>
      <c r="N365" s="192">
        <f t="shared" si="21"/>
        <v>2998347.7800000003</v>
      </c>
      <c r="O365" s="34"/>
      <c r="S365" s="90"/>
    </row>
    <row r="366" spans="1:19" ht="53.25" customHeight="1" outlineLevel="1" x14ac:dyDescent="0.35">
      <c r="A366" s="193" t="s">
        <v>21</v>
      </c>
      <c r="B366" s="194">
        <v>890205677</v>
      </c>
      <c r="C366" s="195" t="s">
        <v>467</v>
      </c>
      <c r="D366" s="68" t="s">
        <v>54</v>
      </c>
      <c r="E366" s="68" t="s">
        <v>135</v>
      </c>
      <c r="F366" s="195" t="s">
        <v>536</v>
      </c>
      <c r="G366" s="74" t="s">
        <v>54</v>
      </c>
      <c r="H366" s="196">
        <v>45747</v>
      </c>
      <c r="I366" s="192">
        <v>486976.37999999995</v>
      </c>
      <c r="J366" s="192"/>
      <c r="K366" s="192"/>
      <c r="L366" s="192"/>
      <c r="M366" s="192"/>
      <c r="N366" s="192">
        <f t="shared" si="21"/>
        <v>486976.37999999995</v>
      </c>
      <c r="O366" s="34"/>
      <c r="S366" s="90"/>
    </row>
    <row r="367" spans="1:19" ht="53.25" customHeight="1" outlineLevel="1" x14ac:dyDescent="0.35">
      <c r="A367" s="193" t="s">
        <v>21</v>
      </c>
      <c r="B367" s="194">
        <v>891380033</v>
      </c>
      <c r="C367" s="195" t="s">
        <v>460</v>
      </c>
      <c r="D367" s="68" t="s">
        <v>54</v>
      </c>
      <c r="E367" s="68" t="s">
        <v>135</v>
      </c>
      <c r="F367" s="195" t="s">
        <v>537</v>
      </c>
      <c r="G367" s="74" t="s">
        <v>54</v>
      </c>
      <c r="H367" s="196">
        <v>45747</v>
      </c>
      <c r="I367" s="192">
        <v>15681.2</v>
      </c>
      <c r="J367" s="192"/>
      <c r="K367" s="192"/>
      <c r="L367" s="192"/>
      <c r="M367" s="192"/>
      <c r="N367" s="192">
        <f t="shared" si="21"/>
        <v>15681.2</v>
      </c>
      <c r="O367" s="34"/>
      <c r="S367" s="90"/>
    </row>
    <row r="368" spans="1:19" ht="53.25" customHeight="1" outlineLevel="1" x14ac:dyDescent="0.35">
      <c r="A368" s="193" t="s">
        <v>21</v>
      </c>
      <c r="B368" s="194">
        <v>891280000</v>
      </c>
      <c r="C368" s="195" t="s">
        <v>479</v>
      </c>
      <c r="D368" s="68" t="s">
        <v>54</v>
      </c>
      <c r="E368" s="68" t="s">
        <v>135</v>
      </c>
      <c r="F368" s="195" t="s">
        <v>538</v>
      </c>
      <c r="G368" s="74" t="s">
        <v>54</v>
      </c>
      <c r="H368" s="196">
        <v>45747</v>
      </c>
      <c r="I368" s="192">
        <v>5834.64</v>
      </c>
      <c r="J368" s="192"/>
      <c r="K368" s="192"/>
      <c r="L368" s="192"/>
      <c r="M368" s="192"/>
      <c r="N368" s="192">
        <f t="shared" si="21"/>
        <v>5834.64</v>
      </c>
      <c r="O368" s="34"/>
      <c r="S368" s="90"/>
    </row>
    <row r="369" spans="1:19" ht="53.25" customHeight="1" outlineLevel="1" x14ac:dyDescent="0.35">
      <c r="A369" s="193" t="s">
        <v>21</v>
      </c>
      <c r="B369" s="194">
        <v>899999090</v>
      </c>
      <c r="C369" s="195" t="s">
        <v>462</v>
      </c>
      <c r="D369" s="68" t="s">
        <v>54</v>
      </c>
      <c r="E369" s="68" t="s">
        <v>135</v>
      </c>
      <c r="F369" s="69" t="s">
        <v>553</v>
      </c>
      <c r="G369" s="68"/>
      <c r="H369" s="196">
        <v>45755</v>
      </c>
      <c r="I369" s="192">
        <v>20855200.780000001</v>
      </c>
      <c r="J369" s="192"/>
      <c r="K369" s="192"/>
      <c r="L369" s="192"/>
      <c r="M369" s="192"/>
      <c r="N369" s="192">
        <f t="shared" si="21"/>
        <v>20855200.780000001</v>
      </c>
      <c r="O369" s="34"/>
      <c r="S369" s="90"/>
    </row>
    <row r="370" spans="1:19" ht="53.25" customHeight="1" outlineLevel="1" x14ac:dyDescent="0.35">
      <c r="A370" s="193" t="s">
        <v>21</v>
      </c>
      <c r="B370" s="194">
        <v>899999090</v>
      </c>
      <c r="C370" s="195" t="s">
        <v>462</v>
      </c>
      <c r="D370" s="68" t="s">
        <v>54</v>
      </c>
      <c r="E370" s="68" t="s">
        <v>135</v>
      </c>
      <c r="F370" s="69" t="s">
        <v>553</v>
      </c>
      <c r="G370" s="68" t="s">
        <v>54</v>
      </c>
      <c r="H370" s="196">
        <v>45755</v>
      </c>
      <c r="I370" s="192">
        <v>11675030.57</v>
      </c>
      <c r="J370" s="192"/>
      <c r="K370" s="192"/>
      <c r="L370" s="192"/>
      <c r="M370" s="192"/>
      <c r="N370" s="192">
        <f t="shared" si="21"/>
        <v>11675030.57</v>
      </c>
      <c r="O370" s="34"/>
      <c r="S370" s="90"/>
    </row>
    <row r="371" spans="1:19" ht="53.25" customHeight="1" outlineLevel="1" x14ac:dyDescent="0.35">
      <c r="A371" s="193" t="s">
        <v>21</v>
      </c>
      <c r="B371" s="194">
        <v>899999090</v>
      </c>
      <c r="C371" s="195" t="s">
        <v>462</v>
      </c>
      <c r="D371" s="68" t="s">
        <v>54</v>
      </c>
      <c r="E371" s="68" t="s">
        <v>135</v>
      </c>
      <c r="F371" s="69" t="s">
        <v>553</v>
      </c>
      <c r="G371" s="68" t="s">
        <v>54</v>
      </c>
      <c r="H371" s="196">
        <v>45755</v>
      </c>
      <c r="I371" s="192">
        <v>9869384.0500000007</v>
      </c>
      <c r="J371" s="192"/>
      <c r="K371" s="192"/>
      <c r="L371" s="192"/>
      <c r="M371" s="192"/>
      <c r="N371" s="192">
        <f t="shared" si="21"/>
        <v>9869384.0500000007</v>
      </c>
      <c r="O371" s="34"/>
      <c r="S371" s="90"/>
    </row>
    <row r="372" spans="1:19" ht="53.25" customHeight="1" outlineLevel="1" x14ac:dyDescent="0.35">
      <c r="A372" s="193" t="s">
        <v>21</v>
      </c>
      <c r="B372" s="194">
        <v>800197268</v>
      </c>
      <c r="C372" s="195" t="s">
        <v>366</v>
      </c>
      <c r="D372" s="68" t="s">
        <v>54</v>
      </c>
      <c r="E372" s="68" t="s">
        <v>135</v>
      </c>
      <c r="F372" s="69" t="s">
        <v>544</v>
      </c>
      <c r="G372" s="68" t="s">
        <v>54</v>
      </c>
      <c r="H372" s="196">
        <v>45755</v>
      </c>
      <c r="I372" s="192">
        <v>49046603.920000002</v>
      </c>
      <c r="J372" s="192"/>
      <c r="K372" s="192"/>
      <c r="L372" s="192"/>
      <c r="M372" s="192">
        <f>+N372-I372</f>
        <v>396.07999999821186</v>
      </c>
      <c r="N372" s="192">
        <v>49047000</v>
      </c>
      <c r="O372" s="34"/>
      <c r="S372" s="90"/>
    </row>
    <row r="373" spans="1:19" ht="53.25" customHeight="1" outlineLevel="1" x14ac:dyDescent="0.35">
      <c r="A373" s="193" t="s">
        <v>21</v>
      </c>
      <c r="B373" s="194">
        <v>800102504</v>
      </c>
      <c r="C373" s="195" t="s">
        <v>458</v>
      </c>
      <c r="D373" s="68" t="s">
        <v>54</v>
      </c>
      <c r="E373" s="68" t="s">
        <v>135</v>
      </c>
      <c r="F373" s="195" t="s">
        <v>528</v>
      </c>
      <c r="G373" s="68" t="s">
        <v>54</v>
      </c>
      <c r="H373" s="196">
        <v>45768</v>
      </c>
      <c r="I373" s="192">
        <v>17482.86</v>
      </c>
      <c r="J373" s="192"/>
      <c r="K373" s="192"/>
      <c r="L373" s="192"/>
      <c r="M373" s="192"/>
      <c r="N373" s="192">
        <f t="shared" si="21"/>
        <v>17482.86</v>
      </c>
      <c r="O373" s="34"/>
      <c r="S373" s="90"/>
    </row>
    <row r="374" spans="1:19" ht="53.25" customHeight="1" outlineLevel="1" x14ac:dyDescent="0.35">
      <c r="A374" s="193" t="s">
        <v>21</v>
      </c>
      <c r="B374" s="194">
        <v>891380033</v>
      </c>
      <c r="C374" s="195" t="s">
        <v>460</v>
      </c>
      <c r="D374" s="68" t="s">
        <v>54</v>
      </c>
      <c r="E374" s="68" t="s">
        <v>135</v>
      </c>
      <c r="F374" s="195" t="s">
        <v>537</v>
      </c>
      <c r="G374" s="68" t="s">
        <v>54</v>
      </c>
      <c r="H374" s="196">
        <v>45768</v>
      </c>
      <c r="I374" s="192">
        <v>15681.2</v>
      </c>
      <c r="J374" s="192"/>
      <c r="K374" s="192"/>
      <c r="L374" s="192"/>
      <c r="M374" s="192"/>
      <c r="N374" s="192">
        <f t="shared" si="21"/>
        <v>15681.2</v>
      </c>
      <c r="O374" s="34"/>
      <c r="S374" s="90"/>
    </row>
    <row r="375" spans="1:19" ht="53.25" customHeight="1" outlineLevel="1" x14ac:dyDescent="0.35">
      <c r="A375" s="193" t="s">
        <v>21</v>
      </c>
      <c r="B375" s="194">
        <v>890208119</v>
      </c>
      <c r="C375" s="195" t="s">
        <v>454</v>
      </c>
      <c r="D375" s="68" t="s">
        <v>54</v>
      </c>
      <c r="E375" s="68" t="s">
        <v>135</v>
      </c>
      <c r="F375" s="195" t="s">
        <v>530</v>
      </c>
      <c r="G375" s="68" t="s">
        <v>54</v>
      </c>
      <c r="H375" s="196">
        <v>45768</v>
      </c>
      <c r="I375" s="192">
        <v>4134.1000000000004</v>
      </c>
      <c r="J375" s="192"/>
      <c r="K375" s="192"/>
      <c r="L375" s="192"/>
      <c r="M375" s="192"/>
      <c r="N375" s="192">
        <f t="shared" si="21"/>
        <v>4134.1000000000004</v>
      </c>
      <c r="O375" s="34"/>
      <c r="S375" s="90"/>
    </row>
    <row r="376" spans="1:19" ht="53.25" customHeight="1" outlineLevel="1" x14ac:dyDescent="0.35">
      <c r="A376" s="193" t="s">
        <v>21</v>
      </c>
      <c r="B376" s="194">
        <v>901815944</v>
      </c>
      <c r="C376" s="195" t="s">
        <v>272</v>
      </c>
      <c r="D376" s="68" t="s">
        <v>349</v>
      </c>
      <c r="E376" s="68" t="s">
        <v>140</v>
      </c>
      <c r="F376" s="195" t="s">
        <v>546</v>
      </c>
      <c r="G376" s="74">
        <v>211</v>
      </c>
      <c r="H376" s="196">
        <v>45771</v>
      </c>
      <c r="I376" s="192">
        <v>1344815323.8099999</v>
      </c>
      <c r="J376" s="192">
        <v>134481532.38</v>
      </c>
      <c r="K376" s="192">
        <v>108992981.12</v>
      </c>
      <c r="L376" s="192"/>
      <c r="M376" s="192"/>
      <c r="N376" s="192">
        <f t="shared" si="21"/>
        <v>1101340810.3099999</v>
      </c>
      <c r="O376" s="34"/>
      <c r="S376" s="90"/>
    </row>
    <row r="377" spans="1:19" ht="53.25" customHeight="1" outlineLevel="1" x14ac:dyDescent="0.35">
      <c r="A377" s="193" t="s">
        <v>21</v>
      </c>
      <c r="B377" s="194">
        <v>901778790</v>
      </c>
      <c r="C377" s="195" t="s">
        <v>274</v>
      </c>
      <c r="D377" s="68" t="s">
        <v>345</v>
      </c>
      <c r="E377" s="68" t="s">
        <v>140</v>
      </c>
      <c r="F377" s="195" t="s">
        <v>547</v>
      </c>
      <c r="G377" s="74">
        <v>212</v>
      </c>
      <c r="H377" s="196">
        <v>45771</v>
      </c>
      <c r="I377" s="192">
        <v>293656661</v>
      </c>
      <c r="J377" s="192">
        <v>29365666.100000001</v>
      </c>
      <c r="K377" s="192">
        <v>23351851.079999998</v>
      </c>
      <c r="L377" s="192"/>
      <c r="M377" s="192"/>
      <c r="N377" s="192">
        <f t="shared" si="21"/>
        <v>240939143.81999999</v>
      </c>
      <c r="O377" s="34"/>
      <c r="S377" s="90"/>
    </row>
    <row r="378" spans="1:19" ht="53.25" customHeight="1" outlineLevel="1" x14ac:dyDescent="0.35">
      <c r="A378" s="193" t="s">
        <v>21</v>
      </c>
      <c r="B378" s="194">
        <v>901849554</v>
      </c>
      <c r="C378" s="195" t="s">
        <v>485</v>
      </c>
      <c r="D378" s="68" t="s">
        <v>251</v>
      </c>
      <c r="E378" s="68" t="s">
        <v>140</v>
      </c>
      <c r="F378" s="195" t="s">
        <v>548</v>
      </c>
      <c r="G378" s="74">
        <v>213</v>
      </c>
      <c r="H378" s="196">
        <v>45771</v>
      </c>
      <c r="I378" s="192">
        <v>76755079.560000002</v>
      </c>
      <c r="J378" s="192">
        <v>7675507.96</v>
      </c>
      <c r="K378" s="192">
        <v>4409718.33</v>
      </c>
      <c r="L378" s="192"/>
      <c r="M378" s="192"/>
      <c r="N378" s="192">
        <f t="shared" si="21"/>
        <v>64669853.270000011</v>
      </c>
      <c r="O378" s="34"/>
      <c r="S378" s="90"/>
    </row>
    <row r="379" spans="1:19" ht="53.25" customHeight="1" outlineLevel="1" x14ac:dyDescent="0.35">
      <c r="A379" s="193" t="s">
        <v>363</v>
      </c>
      <c r="B379" s="194">
        <v>19244715</v>
      </c>
      <c r="C379" s="195" t="s">
        <v>275</v>
      </c>
      <c r="D379" s="68" t="s">
        <v>252</v>
      </c>
      <c r="E379" s="68" t="s">
        <v>140</v>
      </c>
      <c r="F379" s="195" t="s">
        <v>549</v>
      </c>
      <c r="G379" s="74">
        <v>214</v>
      </c>
      <c r="H379" s="196">
        <v>45772</v>
      </c>
      <c r="I379" s="192">
        <v>16912741.149999999</v>
      </c>
      <c r="J379" s="192">
        <v>1691274.12</v>
      </c>
      <c r="K379" s="192">
        <v>940297.87</v>
      </c>
      <c r="L379" s="192"/>
      <c r="M379" s="192"/>
      <c r="N379" s="192">
        <f t="shared" si="21"/>
        <v>14281169.159999998</v>
      </c>
      <c r="O379" s="34"/>
      <c r="S379" s="90"/>
    </row>
    <row r="380" spans="1:19" ht="53.25" customHeight="1" outlineLevel="1" x14ac:dyDescent="0.35">
      <c r="A380" s="193" t="s">
        <v>21</v>
      </c>
      <c r="B380" s="194">
        <v>800096329</v>
      </c>
      <c r="C380" s="195" t="s">
        <v>414</v>
      </c>
      <c r="D380" s="68">
        <v>7031</v>
      </c>
      <c r="E380" s="68" t="s">
        <v>139</v>
      </c>
      <c r="F380" s="195" t="s">
        <v>550</v>
      </c>
      <c r="G380" s="74" t="s">
        <v>545</v>
      </c>
      <c r="H380" s="196">
        <v>45776</v>
      </c>
      <c r="I380" s="192">
        <v>96078561.900000006</v>
      </c>
      <c r="J380" s="192"/>
      <c r="K380" s="192">
        <v>8881211.5999999996</v>
      </c>
      <c r="L380" s="192"/>
      <c r="M380" s="192"/>
      <c r="N380" s="192">
        <f t="shared" si="21"/>
        <v>87197350.300000012</v>
      </c>
      <c r="O380" s="34"/>
      <c r="S380" s="90"/>
    </row>
    <row r="381" spans="1:19" ht="53.25" customHeight="1" outlineLevel="1" x14ac:dyDescent="0.35">
      <c r="A381" s="193" t="s">
        <v>21</v>
      </c>
      <c r="B381" s="194">
        <v>900549325</v>
      </c>
      <c r="C381" s="195" t="s">
        <v>358</v>
      </c>
      <c r="D381" s="68" t="s">
        <v>249</v>
      </c>
      <c r="E381" s="68" t="s">
        <v>140</v>
      </c>
      <c r="F381" s="69" t="s">
        <v>556</v>
      </c>
      <c r="G381" s="68">
        <v>210</v>
      </c>
      <c r="H381" s="196">
        <v>45783</v>
      </c>
      <c r="I381" s="192"/>
      <c r="J381" s="192">
        <v>-610491007.62</v>
      </c>
      <c r="K381" s="192">
        <v>5613527.54</v>
      </c>
      <c r="L381" s="192"/>
      <c r="M381" s="192"/>
      <c r="N381" s="192">
        <f t="shared" ref="N381:N396" si="22">+I381-J381-K381+M381-L381</f>
        <v>604877480.08000004</v>
      </c>
      <c r="O381" s="34"/>
      <c r="S381" s="90"/>
    </row>
    <row r="382" spans="1:19" ht="53.25" customHeight="1" outlineLevel="1" x14ac:dyDescent="0.35">
      <c r="A382" s="193" t="s">
        <v>21</v>
      </c>
      <c r="B382" s="194">
        <v>899999090</v>
      </c>
      <c r="C382" s="195" t="s">
        <v>462</v>
      </c>
      <c r="D382" s="68" t="s">
        <v>54</v>
      </c>
      <c r="E382" s="68" t="s">
        <v>135</v>
      </c>
      <c r="F382" s="69" t="s">
        <v>566</v>
      </c>
      <c r="G382" s="68" t="s">
        <v>54</v>
      </c>
      <c r="H382" s="196">
        <v>45785</v>
      </c>
      <c r="I382" s="192">
        <v>65605916.909999996</v>
      </c>
      <c r="J382" s="192"/>
      <c r="K382" s="192"/>
      <c r="L382" s="192"/>
      <c r="M382" s="192"/>
      <c r="N382" s="192">
        <f t="shared" si="22"/>
        <v>65605916.909999996</v>
      </c>
      <c r="O382" s="34"/>
      <c r="S382" s="90"/>
    </row>
    <row r="383" spans="1:19" ht="53.25" customHeight="1" outlineLevel="1" x14ac:dyDescent="0.35">
      <c r="A383" s="193" t="s">
        <v>21</v>
      </c>
      <c r="B383" s="194">
        <v>899999090</v>
      </c>
      <c r="C383" s="195" t="s">
        <v>462</v>
      </c>
      <c r="D383" s="68" t="s">
        <v>54</v>
      </c>
      <c r="E383" s="68" t="s">
        <v>135</v>
      </c>
      <c r="F383" s="69" t="s">
        <v>566</v>
      </c>
      <c r="G383" s="68" t="s">
        <v>54</v>
      </c>
      <c r="H383" s="196">
        <v>45785</v>
      </c>
      <c r="I383" s="192">
        <v>14576025.5</v>
      </c>
      <c r="J383" s="192"/>
      <c r="K383" s="192"/>
      <c r="L383" s="192"/>
      <c r="M383" s="192"/>
      <c r="N383" s="192">
        <f t="shared" si="22"/>
        <v>14576025.5</v>
      </c>
      <c r="O383" s="34"/>
      <c r="S383" s="90"/>
    </row>
    <row r="384" spans="1:19" ht="53.25" customHeight="1" outlineLevel="1" x14ac:dyDescent="0.35">
      <c r="A384" s="193" t="s">
        <v>21</v>
      </c>
      <c r="B384" s="194">
        <v>899999090</v>
      </c>
      <c r="C384" s="195" t="s">
        <v>462</v>
      </c>
      <c r="D384" s="68" t="s">
        <v>54</v>
      </c>
      <c r="E384" s="68" t="s">
        <v>135</v>
      </c>
      <c r="F384" s="69" t="s">
        <v>554</v>
      </c>
      <c r="G384" s="68" t="s">
        <v>54</v>
      </c>
      <c r="H384" s="196">
        <v>45785</v>
      </c>
      <c r="I384" s="192">
        <v>5613527.54</v>
      </c>
      <c r="J384" s="192"/>
      <c r="K384" s="192"/>
      <c r="L384" s="192"/>
      <c r="M384" s="192"/>
      <c r="N384" s="192">
        <f t="shared" si="22"/>
        <v>5613527.54</v>
      </c>
      <c r="O384" s="34"/>
      <c r="S384" s="90"/>
    </row>
    <row r="385" spans="1:19" ht="53.25" customHeight="1" outlineLevel="1" x14ac:dyDescent="0.35">
      <c r="A385" s="193" t="s">
        <v>21</v>
      </c>
      <c r="B385" s="194">
        <v>800197268</v>
      </c>
      <c r="C385" s="195" t="s">
        <v>366</v>
      </c>
      <c r="D385" s="68" t="s">
        <v>54</v>
      </c>
      <c r="E385" s="68" t="s">
        <v>135</v>
      </c>
      <c r="F385" s="69" t="s">
        <v>555</v>
      </c>
      <c r="G385" s="68" t="s">
        <v>54</v>
      </c>
      <c r="H385" s="196">
        <v>45785</v>
      </c>
      <c r="I385" s="192">
        <v>45676735.829999998</v>
      </c>
      <c r="J385" s="192"/>
      <c r="K385" s="192"/>
      <c r="L385" s="192"/>
      <c r="M385" s="192">
        <f>+N385-I385</f>
        <v>264.17000000178814</v>
      </c>
      <c r="N385" s="192">
        <v>45677000</v>
      </c>
      <c r="O385" s="34"/>
      <c r="S385" s="90"/>
    </row>
    <row r="386" spans="1:19" ht="53.25" customHeight="1" outlineLevel="1" x14ac:dyDescent="0.35">
      <c r="A386" s="193" t="s">
        <v>21</v>
      </c>
      <c r="B386" s="194">
        <v>901849554</v>
      </c>
      <c r="C386" s="195" t="s">
        <v>485</v>
      </c>
      <c r="D386" s="68" t="s">
        <v>251</v>
      </c>
      <c r="E386" s="68" t="s">
        <v>140</v>
      </c>
      <c r="F386" s="195" t="s">
        <v>557</v>
      </c>
      <c r="G386" s="68">
        <v>216</v>
      </c>
      <c r="H386" s="196">
        <v>45800</v>
      </c>
      <c r="I386" s="192">
        <v>14426695.949999999</v>
      </c>
      <c r="J386" s="192">
        <v>1422669.6</v>
      </c>
      <c r="K386" s="192">
        <v>871447.36</v>
      </c>
      <c r="L386" s="192"/>
      <c r="M386" s="192"/>
      <c r="N386" s="192">
        <f t="shared" si="22"/>
        <v>12132578.99</v>
      </c>
      <c r="O386" s="34"/>
      <c r="S386" s="90"/>
    </row>
    <row r="387" spans="1:19" ht="53.25" customHeight="1" outlineLevel="1" x14ac:dyDescent="0.35">
      <c r="A387" s="193" t="s">
        <v>21</v>
      </c>
      <c r="B387" s="194">
        <v>19244715</v>
      </c>
      <c r="C387" s="195" t="s">
        <v>275</v>
      </c>
      <c r="D387" s="68" t="s">
        <v>252</v>
      </c>
      <c r="E387" s="68" t="s">
        <v>140</v>
      </c>
      <c r="F387" s="195" t="s">
        <v>558</v>
      </c>
      <c r="G387" s="68">
        <v>217</v>
      </c>
      <c r="H387" s="196">
        <v>45803</v>
      </c>
      <c r="I387" s="192">
        <v>19984171.32</v>
      </c>
      <c r="J387" s="192">
        <v>1998417.13</v>
      </c>
      <c r="K387" s="192">
        <v>1107548</v>
      </c>
      <c r="L387" s="192"/>
      <c r="M387" s="192"/>
      <c r="N387" s="192">
        <f t="shared" si="22"/>
        <v>16878206.190000001</v>
      </c>
      <c r="O387" s="34"/>
      <c r="S387" s="90"/>
    </row>
    <row r="388" spans="1:19" ht="53.25" customHeight="1" outlineLevel="1" x14ac:dyDescent="0.35">
      <c r="A388" s="193" t="s">
        <v>21</v>
      </c>
      <c r="B388" s="194">
        <v>901778790</v>
      </c>
      <c r="C388" s="195" t="s">
        <v>274</v>
      </c>
      <c r="D388" s="68" t="s">
        <v>345</v>
      </c>
      <c r="E388" s="68" t="s">
        <v>140</v>
      </c>
      <c r="F388" s="195" t="s">
        <v>559</v>
      </c>
      <c r="G388" s="74">
        <v>218</v>
      </c>
      <c r="H388" s="196">
        <v>45800</v>
      </c>
      <c r="I388" s="192">
        <v>412218711</v>
      </c>
      <c r="J388" s="192">
        <v>41221871.100000001</v>
      </c>
      <c r="K388" s="192">
        <v>32763358.520000003</v>
      </c>
      <c r="L388" s="192"/>
      <c r="M388" s="192"/>
      <c r="N388" s="192">
        <f t="shared" si="22"/>
        <v>338233481.38</v>
      </c>
      <c r="O388" s="34"/>
      <c r="S388" s="90"/>
    </row>
    <row r="389" spans="1:19" ht="53.25" customHeight="1" outlineLevel="1" x14ac:dyDescent="0.35">
      <c r="A389" s="193" t="s">
        <v>21</v>
      </c>
      <c r="B389" s="194">
        <v>901815944</v>
      </c>
      <c r="C389" s="195" t="s">
        <v>272</v>
      </c>
      <c r="D389" s="68" t="s">
        <v>349</v>
      </c>
      <c r="E389" s="68" t="s">
        <v>140</v>
      </c>
      <c r="F389" s="195" t="s">
        <v>560</v>
      </c>
      <c r="G389" s="74">
        <v>219</v>
      </c>
      <c r="H389" s="196">
        <v>45805</v>
      </c>
      <c r="I389" s="192">
        <v>466170168.00999999</v>
      </c>
      <c r="J389" s="192">
        <v>46617016.799999997</v>
      </c>
      <c r="K389" s="192">
        <v>39258756.689999998</v>
      </c>
      <c r="L389" s="192"/>
      <c r="M389" s="192"/>
      <c r="N389" s="192">
        <f t="shared" si="22"/>
        <v>380294394.51999998</v>
      </c>
      <c r="O389" s="34"/>
      <c r="S389" s="90"/>
    </row>
    <row r="390" spans="1:19" ht="53.25" customHeight="1" outlineLevel="1" x14ac:dyDescent="0.35">
      <c r="A390" s="193" t="s">
        <v>21</v>
      </c>
      <c r="B390" s="194">
        <v>890205677</v>
      </c>
      <c r="C390" s="195" t="s">
        <v>467</v>
      </c>
      <c r="D390" s="68" t="s">
        <v>54</v>
      </c>
      <c r="E390" s="68" t="s">
        <v>135</v>
      </c>
      <c r="F390" s="195" t="s">
        <v>536</v>
      </c>
      <c r="G390" s="68" t="s">
        <v>54</v>
      </c>
      <c r="H390" s="196">
        <v>45805</v>
      </c>
      <c r="I390" s="192">
        <v>3801280.44</v>
      </c>
      <c r="J390" s="192"/>
      <c r="K390" s="192"/>
      <c r="L390" s="192"/>
      <c r="M390" s="192"/>
      <c r="N390" s="192">
        <f t="shared" si="22"/>
        <v>3801280.44</v>
      </c>
      <c r="O390" s="34"/>
      <c r="S390" s="90"/>
    </row>
    <row r="391" spans="1:19" ht="53.25" customHeight="1" outlineLevel="1" x14ac:dyDescent="0.35">
      <c r="A391" s="193" t="s">
        <v>21</v>
      </c>
      <c r="B391" s="194">
        <v>890980095</v>
      </c>
      <c r="C391" s="195" t="s">
        <v>371</v>
      </c>
      <c r="D391" s="68" t="s">
        <v>54</v>
      </c>
      <c r="E391" s="68" t="s">
        <v>135</v>
      </c>
      <c r="F391" s="195" t="s">
        <v>561</v>
      </c>
      <c r="G391" s="68" t="s">
        <v>54</v>
      </c>
      <c r="H391" s="196">
        <v>45805</v>
      </c>
      <c r="I391" s="192">
        <v>19672.54</v>
      </c>
      <c r="J391" s="192"/>
      <c r="K391" s="192"/>
      <c r="L391" s="192"/>
      <c r="M391" s="192">
        <f>+N391-I391</f>
        <v>0</v>
      </c>
      <c r="N391" s="192">
        <v>19672.54</v>
      </c>
      <c r="O391" s="34"/>
      <c r="S391" s="90"/>
    </row>
    <row r="392" spans="1:19" ht="53.25" customHeight="1" outlineLevel="1" x14ac:dyDescent="0.35">
      <c r="A392" s="193" t="s">
        <v>21</v>
      </c>
      <c r="B392" s="194">
        <v>899999426</v>
      </c>
      <c r="C392" s="195" t="s">
        <v>473</v>
      </c>
      <c r="D392" s="68" t="s">
        <v>54</v>
      </c>
      <c r="E392" s="68" t="s">
        <v>135</v>
      </c>
      <c r="F392" s="195" t="s">
        <v>529</v>
      </c>
      <c r="G392" s="68" t="s">
        <v>54</v>
      </c>
      <c r="H392" s="196">
        <v>45805</v>
      </c>
      <c r="I392" s="192">
        <v>269997.21000000002</v>
      </c>
      <c r="J392" s="192"/>
      <c r="K392" s="192"/>
      <c r="L392" s="192"/>
      <c r="M392" s="192"/>
      <c r="N392" s="192">
        <f t="shared" si="22"/>
        <v>269997.21000000002</v>
      </c>
      <c r="O392" s="34"/>
      <c r="S392" s="90"/>
    </row>
    <row r="393" spans="1:19" ht="53.25" customHeight="1" outlineLevel="1" x14ac:dyDescent="0.35">
      <c r="A393" s="193" t="s">
        <v>21</v>
      </c>
      <c r="B393" s="194">
        <v>800102504</v>
      </c>
      <c r="C393" s="195" t="s">
        <v>458</v>
      </c>
      <c r="D393" s="68" t="s">
        <v>54</v>
      </c>
      <c r="E393" s="68" t="s">
        <v>135</v>
      </c>
      <c r="F393" s="195" t="s">
        <v>528</v>
      </c>
      <c r="G393" s="68" t="s">
        <v>54</v>
      </c>
      <c r="H393" s="196">
        <v>45805</v>
      </c>
      <c r="I393" s="192">
        <v>1433651.55</v>
      </c>
      <c r="J393" s="192"/>
      <c r="K393" s="192"/>
      <c r="L393" s="192"/>
      <c r="M393" s="192"/>
      <c r="N393" s="192">
        <f t="shared" si="22"/>
        <v>1433651.55</v>
      </c>
      <c r="O393" s="34"/>
      <c r="S393" s="90"/>
    </row>
    <row r="394" spans="1:19" ht="53.25" customHeight="1" outlineLevel="1" x14ac:dyDescent="0.35">
      <c r="A394" s="193" t="s">
        <v>21</v>
      </c>
      <c r="B394" s="194">
        <v>890208119</v>
      </c>
      <c r="C394" s="195" t="s">
        <v>454</v>
      </c>
      <c r="D394" s="68" t="s">
        <v>54</v>
      </c>
      <c r="E394" s="68" t="s">
        <v>135</v>
      </c>
      <c r="F394" s="195" t="s">
        <v>530</v>
      </c>
      <c r="G394" s="68" t="s">
        <v>54</v>
      </c>
      <c r="H394" s="196">
        <v>45805</v>
      </c>
      <c r="I394" s="192">
        <v>334599.86</v>
      </c>
      <c r="J394" s="192"/>
      <c r="K394" s="192"/>
      <c r="L394" s="192"/>
      <c r="M394" s="192"/>
      <c r="N394" s="192">
        <f t="shared" si="22"/>
        <v>334599.86</v>
      </c>
      <c r="O394" s="34"/>
      <c r="S394" s="90"/>
    </row>
    <row r="395" spans="1:19" ht="53.25" customHeight="1" outlineLevel="1" x14ac:dyDescent="0.35">
      <c r="A395" s="193" t="s">
        <v>21</v>
      </c>
      <c r="B395" s="194">
        <v>891380033</v>
      </c>
      <c r="C395" s="195" t="s">
        <v>460</v>
      </c>
      <c r="D395" s="68" t="s">
        <v>54</v>
      </c>
      <c r="E395" s="68" t="s">
        <v>135</v>
      </c>
      <c r="F395" s="195" t="s">
        <v>537</v>
      </c>
      <c r="G395" s="68" t="s">
        <v>54</v>
      </c>
      <c r="H395" s="196">
        <v>45805</v>
      </c>
      <c r="I395" s="192">
        <v>46703</v>
      </c>
      <c r="J395" s="192"/>
      <c r="K395" s="192"/>
      <c r="L395" s="192"/>
      <c r="M395" s="192"/>
      <c r="N395" s="192">
        <f t="shared" si="22"/>
        <v>46703</v>
      </c>
      <c r="O395" s="34"/>
      <c r="S395" s="90"/>
    </row>
    <row r="396" spans="1:19" ht="53.25" customHeight="1" outlineLevel="1" x14ac:dyDescent="0.35">
      <c r="A396" s="193" t="s">
        <v>21</v>
      </c>
      <c r="B396" s="194">
        <v>890480006</v>
      </c>
      <c r="C396" s="195" t="s">
        <v>534</v>
      </c>
      <c r="D396" s="68" t="s">
        <v>54</v>
      </c>
      <c r="E396" s="68" t="s">
        <v>135</v>
      </c>
      <c r="F396" s="195" t="s">
        <v>562</v>
      </c>
      <c r="G396" s="68" t="s">
        <v>54</v>
      </c>
      <c r="H396" s="196">
        <v>45805</v>
      </c>
      <c r="I396" s="192">
        <v>564587.96</v>
      </c>
      <c r="J396" s="192"/>
      <c r="K396" s="192"/>
      <c r="L396" s="192"/>
      <c r="M396" s="192"/>
      <c r="N396" s="192">
        <f t="shared" si="22"/>
        <v>564587.96</v>
      </c>
      <c r="O396" s="34"/>
      <c r="S396" s="90"/>
    </row>
    <row r="397" spans="1:19" ht="53.25" customHeight="1" outlineLevel="1" x14ac:dyDescent="0.35">
      <c r="A397" s="193" t="s">
        <v>21</v>
      </c>
      <c r="B397" s="194">
        <v>890981138</v>
      </c>
      <c r="C397" s="195" t="s">
        <v>563</v>
      </c>
      <c r="D397" s="68" t="s">
        <v>54</v>
      </c>
      <c r="E397" s="68" t="s">
        <v>135</v>
      </c>
      <c r="F397" s="195" t="s">
        <v>564</v>
      </c>
      <c r="G397" s="68" t="s">
        <v>54</v>
      </c>
      <c r="H397" s="196">
        <v>45805</v>
      </c>
      <c r="I397" s="192">
        <v>22951.3</v>
      </c>
      <c r="J397" s="192"/>
      <c r="K397" s="192"/>
      <c r="L397" s="192"/>
      <c r="M397" s="192"/>
      <c r="N397" s="192">
        <f t="shared" ref="N397:N416" si="23">+I397-J397-K397+M397-L397</f>
        <v>22951.3</v>
      </c>
      <c r="O397" s="34"/>
      <c r="S397" s="90"/>
    </row>
    <row r="398" spans="1:19" ht="53.25" customHeight="1" outlineLevel="1" x14ac:dyDescent="0.35">
      <c r="A398" s="193" t="s">
        <v>21</v>
      </c>
      <c r="B398" s="194">
        <v>899999090</v>
      </c>
      <c r="C398" s="195" t="s">
        <v>462</v>
      </c>
      <c r="D398" s="68" t="s">
        <v>54</v>
      </c>
      <c r="E398" s="68" t="s">
        <v>135</v>
      </c>
      <c r="F398" s="69" t="s">
        <v>567</v>
      </c>
      <c r="G398" s="68" t="s">
        <v>54</v>
      </c>
      <c r="H398" s="196">
        <v>45817</v>
      </c>
      <c r="I398" s="192">
        <v>20466793.300000001</v>
      </c>
      <c r="J398" s="192"/>
      <c r="K398" s="192"/>
      <c r="L398" s="192"/>
      <c r="M398" s="192"/>
      <c r="N398" s="192">
        <f t="shared" si="23"/>
        <v>20466793.300000001</v>
      </c>
      <c r="O398" s="34"/>
      <c r="S398" s="90"/>
    </row>
    <row r="399" spans="1:19" ht="53.25" customHeight="1" outlineLevel="1" x14ac:dyDescent="0.35">
      <c r="A399" s="193" t="s">
        <v>21</v>
      </c>
      <c r="B399" s="194">
        <v>899999090</v>
      </c>
      <c r="C399" s="195" t="s">
        <v>462</v>
      </c>
      <c r="D399" s="68" t="s">
        <v>54</v>
      </c>
      <c r="E399" s="68" t="s">
        <v>135</v>
      </c>
      <c r="F399" s="69" t="s">
        <v>567</v>
      </c>
      <c r="G399" s="68" t="s">
        <v>54</v>
      </c>
      <c r="H399" s="196">
        <v>45817</v>
      </c>
      <c r="I399" s="192">
        <v>22350790.350000001</v>
      </c>
      <c r="J399" s="192"/>
      <c r="K399" s="192"/>
      <c r="L399" s="192"/>
      <c r="M399" s="192"/>
      <c r="N399" s="192">
        <f t="shared" si="23"/>
        <v>22350790.350000001</v>
      </c>
      <c r="O399" s="34"/>
      <c r="S399" s="90"/>
    </row>
    <row r="400" spans="1:19" ht="53.25" customHeight="1" outlineLevel="1" x14ac:dyDescent="0.35">
      <c r="A400" s="193" t="s">
        <v>21</v>
      </c>
      <c r="B400" s="194">
        <v>800197268</v>
      </c>
      <c r="C400" s="195" t="s">
        <v>366</v>
      </c>
      <c r="D400" s="68" t="s">
        <v>54</v>
      </c>
      <c r="E400" s="68" t="s">
        <v>135</v>
      </c>
      <c r="F400" s="69" t="s">
        <v>568</v>
      </c>
      <c r="G400" s="68" t="s">
        <v>54</v>
      </c>
      <c r="H400" s="196">
        <v>45818</v>
      </c>
      <c r="I400" s="192">
        <v>19193984.16</v>
      </c>
      <c r="J400" s="192"/>
      <c r="K400" s="192"/>
      <c r="L400" s="192"/>
      <c r="M400" s="192">
        <f>+N400-I400</f>
        <v>15.839999999850988</v>
      </c>
      <c r="N400" s="192">
        <v>19194000</v>
      </c>
      <c r="O400" s="34"/>
      <c r="S400" s="90"/>
    </row>
    <row r="401" spans="1:21" ht="53.25" customHeight="1" outlineLevel="1" x14ac:dyDescent="0.35">
      <c r="A401" s="193" t="s">
        <v>21</v>
      </c>
      <c r="B401" s="194">
        <v>891380033</v>
      </c>
      <c r="C401" s="195" t="s">
        <v>460</v>
      </c>
      <c r="D401" s="68" t="s">
        <v>54</v>
      </c>
      <c r="E401" s="68" t="s">
        <v>135</v>
      </c>
      <c r="F401" s="195" t="s">
        <v>537</v>
      </c>
      <c r="G401" s="68" t="s">
        <v>54</v>
      </c>
      <c r="H401" s="196">
        <v>45826</v>
      </c>
      <c r="I401" s="192">
        <v>32464.85</v>
      </c>
      <c r="J401" s="192"/>
      <c r="K401" s="192"/>
      <c r="L401" s="192"/>
      <c r="M401" s="192"/>
      <c r="N401" s="192">
        <f t="shared" si="23"/>
        <v>32464.85</v>
      </c>
      <c r="O401" s="34"/>
      <c r="S401" s="90"/>
    </row>
    <row r="402" spans="1:21" ht="53.25" customHeight="1" outlineLevel="1" x14ac:dyDescent="0.35">
      <c r="A402" s="193" t="s">
        <v>21</v>
      </c>
      <c r="B402" s="194">
        <v>901778790</v>
      </c>
      <c r="C402" s="195" t="s">
        <v>274</v>
      </c>
      <c r="D402" s="68" t="s">
        <v>345</v>
      </c>
      <c r="E402" s="68" t="s">
        <v>140</v>
      </c>
      <c r="F402" s="69" t="s">
        <v>569</v>
      </c>
      <c r="G402" s="68">
        <v>220</v>
      </c>
      <c r="H402" s="196">
        <v>45828</v>
      </c>
      <c r="I402" s="192">
        <v>92046594</v>
      </c>
      <c r="J402" s="192">
        <v>9204659.4000000004</v>
      </c>
      <c r="K402" s="192">
        <v>7316722.3200000003</v>
      </c>
      <c r="L402" s="192"/>
      <c r="M402" s="192"/>
      <c r="N402" s="192">
        <f t="shared" si="23"/>
        <v>75525212.280000001</v>
      </c>
      <c r="O402" s="34"/>
      <c r="S402" s="90"/>
    </row>
    <row r="403" spans="1:21" ht="53.25" customHeight="1" outlineLevel="1" x14ac:dyDescent="0.35">
      <c r="A403" s="193" t="s">
        <v>363</v>
      </c>
      <c r="B403" s="194">
        <v>19244715</v>
      </c>
      <c r="C403" s="195" t="s">
        <v>275</v>
      </c>
      <c r="D403" s="68" t="s">
        <v>252</v>
      </c>
      <c r="E403" s="68" t="s">
        <v>140</v>
      </c>
      <c r="F403" s="195" t="s">
        <v>570</v>
      </c>
      <c r="G403" s="68">
        <v>221</v>
      </c>
      <c r="H403" s="196">
        <v>45828</v>
      </c>
      <c r="I403" s="192">
        <v>42349170.32</v>
      </c>
      <c r="J403" s="192">
        <v>4234917.03</v>
      </c>
      <c r="K403" s="192">
        <v>2326181.6199999996</v>
      </c>
      <c r="L403" s="192"/>
      <c r="M403" s="192"/>
      <c r="N403" s="192">
        <f t="shared" si="23"/>
        <v>35788071.670000002</v>
      </c>
      <c r="O403" s="34"/>
      <c r="S403" s="90"/>
    </row>
    <row r="404" spans="1:21" ht="53.25" customHeight="1" outlineLevel="1" x14ac:dyDescent="0.35">
      <c r="A404" s="193" t="s">
        <v>21</v>
      </c>
      <c r="B404" s="194">
        <v>901815944</v>
      </c>
      <c r="C404" s="195" t="s">
        <v>272</v>
      </c>
      <c r="D404" s="68" t="s">
        <v>349</v>
      </c>
      <c r="E404" s="68" t="s">
        <v>140</v>
      </c>
      <c r="F404" s="195" t="s">
        <v>571</v>
      </c>
      <c r="G404" s="68">
        <v>222</v>
      </c>
      <c r="H404" s="196">
        <v>45835</v>
      </c>
      <c r="I404" s="192">
        <v>101344227.8</v>
      </c>
      <c r="J404" s="192">
        <v>10134422.779999999</v>
      </c>
      <c r="K404" s="192">
        <v>8268308.9800000004</v>
      </c>
      <c r="L404" s="192"/>
      <c r="M404" s="192"/>
      <c r="N404" s="192">
        <f t="shared" si="23"/>
        <v>82941496.039999992</v>
      </c>
      <c r="O404" s="34"/>
      <c r="S404" s="90"/>
    </row>
    <row r="405" spans="1:21" ht="53.25" customHeight="1" outlineLevel="1" x14ac:dyDescent="0.35">
      <c r="A405" s="193" t="s">
        <v>21</v>
      </c>
      <c r="B405" s="194">
        <v>901849554</v>
      </c>
      <c r="C405" s="195" t="s">
        <v>485</v>
      </c>
      <c r="D405" s="68" t="s">
        <v>251</v>
      </c>
      <c r="E405" s="68" t="s">
        <v>140</v>
      </c>
      <c r="F405" s="195" t="s">
        <v>572</v>
      </c>
      <c r="G405" s="74">
        <v>223</v>
      </c>
      <c r="H405" s="196">
        <v>45835</v>
      </c>
      <c r="I405" s="192">
        <v>3132573.7</v>
      </c>
      <c r="J405" s="192">
        <v>333257.37</v>
      </c>
      <c r="K405" s="192">
        <v>178425.78000000003</v>
      </c>
      <c r="L405" s="192"/>
      <c r="M405" s="192"/>
      <c r="N405" s="192">
        <f t="shared" si="23"/>
        <v>2620890.5499999998</v>
      </c>
      <c r="O405" s="34"/>
      <c r="S405" s="90"/>
    </row>
    <row r="406" spans="1:21" ht="53.25" customHeight="1" outlineLevel="1" x14ac:dyDescent="0.35">
      <c r="A406" s="193" t="s">
        <v>21</v>
      </c>
      <c r="B406" s="194">
        <v>800048663</v>
      </c>
      <c r="C406" s="195" t="s">
        <v>278</v>
      </c>
      <c r="D406" s="68" t="s">
        <v>255</v>
      </c>
      <c r="E406" s="68" t="s">
        <v>140</v>
      </c>
      <c r="F406" s="195" t="s">
        <v>573</v>
      </c>
      <c r="G406" s="74">
        <v>224</v>
      </c>
      <c r="H406" s="196">
        <v>45835</v>
      </c>
      <c r="I406" s="192">
        <v>387474179.25999999</v>
      </c>
      <c r="J406" s="192">
        <v>38747417.93</v>
      </c>
      <c r="K406" s="192">
        <v>8140213.8499999996</v>
      </c>
      <c r="L406" s="192"/>
      <c r="M406" s="192"/>
      <c r="N406" s="192">
        <f t="shared" si="23"/>
        <v>340586547.47999996</v>
      </c>
      <c r="O406" s="34"/>
      <c r="S406" s="90"/>
    </row>
    <row r="407" spans="1:21" ht="53.25" customHeight="1" outlineLevel="1" x14ac:dyDescent="0.35">
      <c r="A407" s="193" t="s">
        <v>21</v>
      </c>
      <c r="B407" s="194">
        <v>800197268</v>
      </c>
      <c r="C407" s="195" t="s">
        <v>366</v>
      </c>
      <c r="D407" s="68" t="s">
        <v>54</v>
      </c>
      <c r="E407" s="68" t="s">
        <v>135</v>
      </c>
      <c r="F407" s="69" t="s">
        <v>577</v>
      </c>
      <c r="G407" s="68" t="s">
        <v>54</v>
      </c>
      <c r="H407" s="196">
        <v>45846</v>
      </c>
      <c r="I407" s="192">
        <v>14276298.970000001</v>
      </c>
      <c r="J407" s="192"/>
      <c r="K407" s="192"/>
      <c r="L407" s="192"/>
      <c r="M407" s="192">
        <v>-298.97000000000003</v>
      </c>
      <c r="N407" s="192">
        <f>+I407+M407</f>
        <v>14276000</v>
      </c>
      <c r="O407" s="34"/>
      <c r="S407" s="90"/>
    </row>
    <row r="408" spans="1:21" ht="53.25" customHeight="1" outlineLevel="1" x14ac:dyDescent="0.35">
      <c r="A408" s="193" t="s">
        <v>21</v>
      </c>
      <c r="B408" s="194">
        <v>899999001</v>
      </c>
      <c r="C408" s="195" t="s">
        <v>385</v>
      </c>
      <c r="D408" s="68" t="s">
        <v>54</v>
      </c>
      <c r="E408" s="68" t="s">
        <v>135</v>
      </c>
      <c r="F408" s="69" t="s">
        <v>575</v>
      </c>
      <c r="G408" s="68" t="s">
        <v>54</v>
      </c>
      <c r="H408" s="196">
        <v>45846</v>
      </c>
      <c r="I408" s="192">
        <f>+N408-M408</f>
        <v>67605042.840000004</v>
      </c>
      <c r="J408" s="192"/>
      <c r="K408" s="192"/>
      <c r="L408" s="192"/>
      <c r="M408" s="192">
        <v>-0.97</v>
      </c>
      <c r="N408" s="192">
        <v>67605041.870000005</v>
      </c>
      <c r="O408" s="34"/>
      <c r="S408" s="90"/>
      <c r="U408">
        <v>67605041.870000005</v>
      </c>
    </row>
    <row r="409" spans="1:21" ht="53.25" customHeight="1" outlineLevel="1" x14ac:dyDescent="0.35">
      <c r="A409" s="193" t="s">
        <v>21</v>
      </c>
      <c r="B409" s="194">
        <v>899999090</v>
      </c>
      <c r="C409" s="195" t="s">
        <v>462</v>
      </c>
      <c r="D409" s="68" t="s">
        <v>54</v>
      </c>
      <c r="E409" s="68" t="s">
        <v>135</v>
      </c>
      <c r="F409" s="195" t="s">
        <v>576</v>
      </c>
      <c r="G409" s="68" t="s">
        <v>54</v>
      </c>
      <c r="H409" s="196">
        <v>45847</v>
      </c>
      <c r="I409" s="192">
        <v>4572951.45</v>
      </c>
      <c r="J409" s="192"/>
      <c r="K409" s="192"/>
      <c r="L409" s="192"/>
      <c r="M409" s="192"/>
      <c r="N409" s="192">
        <f t="shared" si="23"/>
        <v>4572951.45</v>
      </c>
      <c r="O409" s="34"/>
      <c r="S409" s="90"/>
    </row>
    <row r="410" spans="1:21" ht="53.25" customHeight="1" outlineLevel="1" x14ac:dyDescent="0.35">
      <c r="A410" s="193" t="s">
        <v>21</v>
      </c>
      <c r="B410" s="194">
        <v>899999090</v>
      </c>
      <c r="C410" s="195" t="s">
        <v>462</v>
      </c>
      <c r="D410" s="68" t="s">
        <v>54</v>
      </c>
      <c r="E410" s="68" t="s">
        <v>135</v>
      </c>
      <c r="F410" s="195" t="s">
        <v>576</v>
      </c>
      <c r="G410" s="68" t="s">
        <v>54</v>
      </c>
      <c r="H410" s="196">
        <v>45847</v>
      </c>
      <c r="I410" s="192">
        <v>4947335.41</v>
      </c>
      <c r="J410" s="192"/>
      <c r="K410" s="192"/>
      <c r="L410" s="192"/>
      <c r="M410" s="192">
        <v>-0.09</v>
      </c>
      <c r="N410" s="192">
        <v>4947335.32</v>
      </c>
      <c r="O410" s="34"/>
      <c r="S410" s="90"/>
      <c r="U410" s="34"/>
    </row>
    <row r="411" spans="1:21" ht="53.25" customHeight="1" outlineLevel="1" x14ac:dyDescent="0.35">
      <c r="A411" s="193" t="s">
        <v>21</v>
      </c>
      <c r="B411" s="194">
        <v>80418195</v>
      </c>
      <c r="C411" s="195" t="s">
        <v>270</v>
      </c>
      <c r="D411" s="68" t="s">
        <v>248</v>
      </c>
      <c r="E411" s="68" t="s">
        <v>140</v>
      </c>
      <c r="F411" s="195" t="s">
        <v>578</v>
      </c>
      <c r="G411" s="74">
        <v>225</v>
      </c>
      <c r="H411" s="196">
        <v>45862</v>
      </c>
      <c r="I411" s="192">
        <v>112013021.02000001</v>
      </c>
      <c r="J411" s="192">
        <v>11201302.1</v>
      </c>
      <c r="K411" s="192">
        <v>6178629.8199999994</v>
      </c>
      <c r="L411" s="192"/>
      <c r="M411" s="192"/>
      <c r="N411" s="192">
        <f t="shared" si="23"/>
        <v>94633089.100000024</v>
      </c>
      <c r="O411" s="34"/>
      <c r="S411" s="90"/>
    </row>
    <row r="412" spans="1:21" ht="53.25" customHeight="1" outlineLevel="1" x14ac:dyDescent="0.35">
      <c r="A412" s="193" t="s">
        <v>21</v>
      </c>
      <c r="B412" s="194">
        <v>891380033</v>
      </c>
      <c r="C412" s="195" t="s">
        <v>460</v>
      </c>
      <c r="D412" s="68" t="s">
        <v>54</v>
      </c>
      <c r="E412" s="68" t="s">
        <v>135</v>
      </c>
      <c r="F412" s="195" t="s">
        <v>579</v>
      </c>
      <c r="G412" s="74" t="s">
        <v>54</v>
      </c>
      <c r="H412" s="196">
        <v>45863</v>
      </c>
      <c r="I412" s="192">
        <v>12991.65</v>
      </c>
      <c r="J412" s="192"/>
      <c r="K412" s="192"/>
      <c r="L412" s="192"/>
      <c r="M412" s="192"/>
      <c r="N412" s="192">
        <f t="shared" si="23"/>
        <v>12991.65</v>
      </c>
      <c r="O412" s="34"/>
      <c r="S412" s="90"/>
    </row>
    <row r="413" spans="1:21" ht="53.25" customHeight="1" outlineLevel="1" x14ac:dyDescent="0.35">
      <c r="A413" s="193" t="s">
        <v>21</v>
      </c>
      <c r="B413" s="194">
        <v>899999426</v>
      </c>
      <c r="C413" s="195" t="s">
        <v>473</v>
      </c>
      <c r="D413" s="68" t="s">
        <v>54</v>
      </c>
      <c r="E413" s="68" t="s">
        <v>135</v>
      </c>
      <c r="F413" s="195" t="s">
        <v>580</v>
      </c>
      <c r="G413" s="74" t="s">
        <v>54</v>
      </c>
      <c r="H413" s="196">
        <v>45863</v>
      </c>
      <c r="I413" s="192">
        <v>1871610.94</v>
      </c>
      <c r="J413" s="192"/>
      <c r="K413" s="192"/>
      <c r="L413" s="192"/>
      <c r="M413" s="192"/>
      <c r="N413" s="192">
        <f t="shared" si="23"/>
        <v>1871610.94</v>
      </c>
      <c r="O413" s="34"/>
      <c r="S413" s="90"/>
    </row>
    <row r="414" spans="1:21" ht="53.25" customHeight="1" outlineLevel="1" x14ac:dyDescent="0.35">
      <c r="A414" s="193" t="s">
        <v>21</v>
      </c>
      <c r="B414" s="194">
        <v>890480006</v>
      </c>
      <c r="C414" s="195" t="s">
        <v>471</v>
      </c>
      <c r="D414" s="68" t="s">
        <v>54</v>
      </c>
      <c r="E414" s="68" t="s">
        <v>135</v>
      </c>
      <c r="F414" s="195" t="s">
        <v>581</v>
      </c>
      <c r="G414" s="74" t="s">
        <v>54</v>
      </c>
      <c r="H414" s="196">
        <v>45863</v>
      </c>
      <c r="I414" s="192">
        <v>1377366.76</v>
      </c>
      <c r="J414" s="192"/>
      <c r="K414" s="192"/>
      <c r="L414" s="192"/>
      <c r="M414" s="192"/>
      <c r="N414" s="192">
        <f t="shared" si="23"/>
        <v>1377366.76</v>
      </c>
      <c r="O414" s="34"/>
      <c r="S414" s="90"/>
    </row>
    <row r="415" spans="1:21" ht="53.25" customHeight="1" outlineLevel="1" x14ac:dyDescent="0.35">
      <c r="A415" s="193" t="s">
        <v>21</v>
      </c>
      <c r="B415" s="194">
        <v>890480006</v>
      </c>
      <c r="C415" s="195" t="s">
        <v>471</v>
      </c>
      <c r="D415" s="68" t="s">
        <v>54</v>
      </c>
      <c r="E415" s="68" t="s">
        <v>135</v>
      </c>
      <c r="F415" s="195" t="s">
        <v>581</v>
      </c>
      <c r="G415" s="74" t="s">
        <v>54</v>
      </c>
      <c r="H415" s="196">
        <v>45863</v>
      </c>
      <c r="I415" s="192">
        <v>6954.65</v>
      </c>
      <c r="J415" s="192"/>
      <c r="K415" s="192"/>
      <c r="L415" s="192"/>
      <c r="M415" s="192"/>
      <c r="N415" s="192">
        <f t="shared" si="23"/>
        <v>6954.65</v>
      </c>
      <c r="O415" s="34"/>
      <c r="S415" s="90"/>
    </row>
    <row r="416" spans="1:21" ht="53.25" customHeight="1" outlineLevel="1" x14ac:dyDescent="0.35">
      <c r="A416" s="193" t="s">
        <v>21</v>
      </c>
      <c r="B416" s="194">
        <v>890480006</v>
      </c>
      <c r="C416" s="195" t="s">
        <v>471</v>
      </c>
      <c r="D416" s="68" t="s">
        <v>54</v>
      </c>
      <c r="E416" s="68" t="s">
        <v>135</v>
      </c>
      <c r="F416" s="195" t="s">
        <v>581</v>
      </c>
      <c r="G416" s="74" t="s">
        <v>54</v>
      </c>
      <c r="H416" s="196">
        <v>45863</v>
      </c>
      <c r="I416" s="192">
        <v>318163.40000000002</v>
      </c>
      <c r="J416" s="192"/>
      <c r="K416" s="192"/>
      <c r="L416" s="192"/>
      <c r="M416" s="192"/>
      <c r="N416" s="192">
        <f t="shared" si="23"/>
        <v>318163.40000000002</v>
      </c>
      <c r="O416" s="34"/>
      <c r="S416" s="90"/>
    </row>
    <row r="417" spans="1:21" ht="53.25" customHeight="1" outlineLevel="1" x14ac:dyDescent="0.35">
      <c r="A417" s="193" t="s">
        <v>21</v>
      </c>
      <c r="B417" s="194">
        <v>800197268</v>
      </c>
      <c r="C417" s="195" t="s">
        <v>366</v>
      </c>
      <c r="D417" s="68" t="s">
        <v>54</v>
      </c>
      <c r="E417" s="68" t="s">
        <v>135</v>
      </c>
      <c r="F417" s="69" t="s">
        <v>583</v>
      </c>
      <c r="G417" s="68" t="s">
        <v>54</v>
      </c>
      <c r="H417" s="196">
        <v>45880</v>
      </c>
      <c r="I417" s="192">
        <v>5647715.3499999996</v>
      </c>
      <c r="J417" s="192"/>
      <c r="K417" s="192"/>
      <c r="L417" s="192"/>
      <c r="M417" s="192">
        <v>284.64999999999998</v>
      </c>
      <c r="N417" s="192">
        <v>5648000</v>
      </c>
      <c r="O417" s="34"/>
      <c r="S417" s="90"/>
      <c r="U417" s="90">
        <f>SUBTOTAL(9,M157:M417)</f>
        <v>2683.3200000216193</v>
      </c>
    </row>
    <row r="418" spans="1:21" ht="53.25" customHeight="1" outlineLevel="1" x14ac:dyDescent="0.35">
      <c r="A418" s="193" t="s">
        <v>21</v>
      </c>
      <c r="B418" s="194">
        <v>901760521</v>
      </c>
      <c r="C418" s="195" t="s">
        <v>265</v>
      </c>
      <c r="D418" s="68" t="s">
        <v>244</v>
      </c>
      <c r="E418" s="68" t="s">
        <v>140</v>
      </c>
      <c r="F418" s="69" t="s">
        <v>584</v>
      </c>
      <c r="G418" s="68">
        <v>226</v>
      </c>
      <c r="H418" s="196">
        <v>45890</v>
      </c>
      <c r="I418" s="192">
        <v>27140705</v>
      </c>
      <c r="J418" s="192">
        <v>0</v>
      </c>
      <c r="K418" s="192">
        <v>1702865.6999999997</v>
      </c>
      <c r="L418" s="192"/>
      <c r="M418" s="192"/>
      <c r="N418" s="192">
        <f t="shared" ref="N418:N453" si="24">+I418-J418-K418+M418-L418</f>
        <v>25437839.300000001</v>
      </c>
      <c r="O418" s="34"/>
      <c r="S418" s="90"/>
    </row>
    <row r="419" spans="1:21" ht="53.25" customHeight="1" outlineLevel="1" x14ac:dyDescent="0.35">
      <c r="A419" s="193" t="s">
        <v>21</v>
      </c>
      <c r="B419" s="194">
        <v>901765663</v>
      </c>
      <c r="C419" s="195" t="s">
        <v>266</v>
      </c>
      <c r="D419" s="68" t="s">
        <v>245</v>
      </c>
      <c r="E419" s="68" t="s">
        <v>140</v>
      </c>
      <c r="F419" s="195" t="s">
        <v>585</v>
      </c>
      <c r="G419" s="68">
        <v>227</v>
      </c>
      <c r="H419" s="196">
        <v>45890</v>
      </c>
      <c r="I419" s="192">
        <v>13072864</v>
      </c>
      <c r="J419" s="192">
        <v>0</v>
      </c>
      <c r="K419" s="192">
        <v>763842.5</v>
      </c>
      <c r="L419" s="192"/>
      <c r="M419" s="192"/>
      <c r="N419" s="192">
        <f t="shared" si="24"/>
        <v>12309021.5</v>
      </c>
      <c r="O419" s="34"/>
      <c r="S419" s="90"/>
    </row>
    <row r="420" spans="1:21" ht="53.25" customHeight="1" outlineLevel="1" x14ac:dyDescent="0.35">
      <c r="A420" s="193" t="s">
        <v>21</v>
      </c>
      <c r="B420" s="194">
        <v>901760521</v>
      </c>
      <c r="C420" s="195" t="s">
        <v>265</v>
      </c>
      <c r="D420" s="68" t="s">
        <v>244</v>
      </c>
      <c r="E420" s="68" t="s">
        <v>140</v>
      </c>
      <c r="F420" s="195" t="s">
        <v>586</v>
      </c>
      <c r="G420" s="68">
        <v>228</v>
      </c>
      <c r="H420" s="196">
        <v>45895</v>
      </c>
      <c r="I420" s="192">
        <v>107539321</v>
      </c>
      <c r="J420" s="192">
        <v>0</v>
      </c>
      <c r="K420" s="192">
        <v>9230436.4100000001</v>
      </c>
      <c r="L420" s="192"/>
      <c r="M420" s="192"/>
      <c r="N420" s="192">
        <f t="shared" si="24"/>
        <v>98308884.590000004</v>
      </c>
      <c r="O420" s="34"/>
      <c r="S420" s="90"/>
    </row>
    <row r="421" spans="1:21" ht="53.25" customHeight="1" outlineLevel="1" x14ac:dyDescent="0.35">
      <c r="A421" s="193" t="s">
        <v>21</v>
      </c>
      <c r="B421" s="194">
        <v>901760521</v>
      </c>
      <c r="C421" s="195" t="s">
        <v>265</v>
      </c>
      <c r="D421" s="68" t="s">
        <v>244</v>
      </c>
      <c r="E421" s="68" t="s">
        <v>140</v>
      </c>
      <c r="F421" s="195" t="s">
        <v>587</v>
      </c>
      <c r="G421" s="74">
        <v>229</v>
      </c>
      <c r="H421" s="196">
        <v>45895</v>
      </c>
      <c r="I421" s="192">
        <v>0</v>
      </c>
      <c r="J421" s="192">
        <v>-474537143.5</v>
      </c>
      <c r="K421" s="192">
        <v>0</v>
      </c>
      <c r="L421" s="192"/>
      <c r="M421" s="192"/>
      <c r="N421" s="192">
        <f t="shared" si="24"/>
        <v>474537143.5</v>
      </c>
      <c r="O421" s="34"/>
      <c r="S421" s="90"/>
    </row>
    <row r="422" spans="1:21" ht="53.25" customHeight="1" outlineLevel="1" x14ac:dyDescent="0.35">
      <c r="A422" s="193" t="s">
        <v>21</v>
      </c>
      <c r="B422" s="194">
        <v>900345967</v>
      </c>
      <c r="C422" s="195" t="s">
        <v>356</v>
      </c>
      <c r="D422" s="68" t="s">
        <v>239</v>
      </c>
      <c r="E422" s="68" t="s">
        <v>140</v>
      </c>
      <c r="F422" s="195" t="s">
        <v>588</v>
      </c>
      <c r="G422" s="74">
        <v>230</v>
      </c>
      <c r="H422" s="196">
        <v>45890</v>
      </c>
      <c r="I422" s="192">
        <v>29041401.610000003</v>
      </c>
      <c r="J422" s="192">
        <v>0</v>
      </c>
      <c r="K422" s="192">
        <v>1586295.05</v>
      </c>
      <c r="L422" s="192"/>
      <c r="M422" s="192"/>
      <c r="N422" s="192">
        <f t="shared" si="24"/>
        <v>27455106.560000002</v>
      </c>
      <c r="O422" s="34"/>
      <c r="S422" s="90"/>
    </row>
    <row r="423" spans="1:21" ht="53.25" customHeight="1" outlineLevel="1" x14ac:dyDescent="0.35">
      <c r="A423" s="193" t="s">
        <v>21</v>
      </c>
      <c r="B423" s="194">
        <v>901762612</v>
      </c>
      <c r="C423" s="195" t="s">
        <v>259</v>
      </c>
      <c r="D423" s="68" t="s">
        <v>238</v>
      </c>
      <c r="E423" s="68" t="s">
        <v>140</v>
      </c>
      <c r="F423" s="195" t="s">
        <v>589</v>
      </c>
      <c r="G423" s="74">
        <v>231</v>
      </c>
      <c r="H423" s="196">
        <v>45891</v>
      </c>
      <c r="I423" s="192">
        <v>0</v>
      </c>
      <c r="J423" s="192">
        <v>-402874778.10000002</v>
      </c>
      <c r="K423" s="192">
        <v>0</v>
      </c>
      <c r="L423" s="192"/>
      <c r="M423" s="192"/>
      <c r="N423" s="192">
        <f t="shared" si="24"/>
        <v>402874778.10000002</v>
      </c>
      <c r="O423" s="34"/>
      <c r="S423" s="90"/>
    </row>
    <row r="424" spans="1:21" ht="53.25" customHeight="1" outlineLevel="1" x14ac:dyDescent="0.35">
      <c r="A424" s="193" t="s">
        <v>21</v>
      </c>
      <c r="B424" s="194">
        <v>900345967</v>
      </c>
      <c r="C424" s="195" t="s">
        <v>356</v>
      </c>
      <c r="D424" s="68" t="s">
        <v>239</v>
      </c>
      <c r="E424" s="68" t="s">
        <v>140</v>
      </c>
      <c r="F424" s="195" t="s">
        <v>589</v>
      </c>
      <c r="G424" s="74">
        <v>232</v>
      </c>
      <c r="H424" s="196">
        <v>45891</v>
      </c>
      <c r="I424" s="192">
        <v>0</v>
      </c>
      <c r="J424" s="192">
        <v>-37427063.75</v>
      </c>
      <c r="K424" s="192">
        <v>0</v>
      </c>
      <c r="L424" s="192"/>
      <c r="M424" s="192"/>
      <c r="N424" s="192">
        <f t="shared" si="24"/>
        <v>37427063.75</v>
      </c>
      <c r="O424" s="34"/>
      <c r="S424" s="90"/>
    </row>
    <row r="425" spans="1:21" ht="53.25" customHeight="1" outlineLevel="1" x14ac:dyDescent="0.35">
      <c r="A425" s="193" t="s">
        <v>21</v>
      </c>
      <c r="B425" s="194">
        <v>901765663</v>
      </c>
      <c r="C425" s="195" t="s">
        <v>266</v>
      </c>
      <c r="D425" s="68" t="s">
        <v>245</v>
      </c>
      <c r="E425" s="68" t="s">
        <v>140</v>
      </c>
      <c r="F425" s="195" t="s">
        <v>590</v>
      </c>
      <c r="G425" s="74">
        <v>233</v>
      </c>
      <c r="H425" s="196">
        <v>45891</v>
      </c>
      <c r="I425" s="192">
        <v>39040832.68</v>
      </c>
      <c r="J425" s="192">
        <v>0</v>
      </c>
      <c r="K425" s="192">
        <v>2147573.59</v>
      </c>
      <c r="L425" s="192"/>
      <c r="M425" s="192"/>
      <c r="N425" s="192">
        <f t="shared" si="24"/>
        <v>36893259.090000004</v>
      </c>
      <c r="O425" s="34"/>
      <c r="S425" s="90"/>
    </row>
    <row r="426" spans="1:21" ht="53.25" customHeight="1" outlineLevel="1" x14ac:dyDescent="0.35">
      <c r="A426" s="193" t="s">
        <v>21</v>
      </c>
      <c r="B426" s="194">
        <v>901813886</v>
      </c>
      <c r="C426" s="195" t="s">
        <v>269</v>
      </c>
      <c r="D426" s="68" t="s">
        <v>348</v>
      </c>
      <c r="E426" s="68" t="s">
        <v>140</v>
      </c>
      <c r="F426" s="195" t="s">
        <v>591</v>
      </c>
      <c r="G426" s="74">
        <v>234</v>
      </c>
      <c r="H426" s="196">
        <v>45890</v>
      </c>
      <c r="I426" s="192">
        <v>0</v>
      </c>
      <c r="J426" s="192">
        <v>-415877787.89999998</v>
      </c>
      <c r="K426" s="192">
        <v>0</v>
      </c>
      <c r="L426" s="192"/>
      <c r="M426" s="192"/>
      <c r="N426" s="192">
        <f t="shared" si="24"/>
        <v>415877787.89999998</v>
      </c>
      <c r="O426" s="34"/>
      <c r="S426" s="90"/>
    </row>
    <row r="427" spans="1:21" ht="53.25" customHeight="1" outlineLevel="1" x14ac:dyDescent="0.35">
      <c r="A427" s="193" t="s">
        <v>363</v>
      </c>
      <c r="B427" s="194">
        <v>80418195</v>
      </c>
      <c r="C427" s="195" t="s">
        <v>270</v>
      </c>
      <c r="D427" s="68" t="s">
        <v>248</v>
      </c>
      <c r="E427" s="68" t="s">
        <v>140</v>
      </c>
      <c r="F427" s="195" t="s">
        <v>592</v>
      </c>
      <c r="G427" s="74">
        <v>235</v>
      </c>
      <c r="H427" s="196">
        <v>45895</v>
      </c>
      <c r="I427" s="192">
        <v>44352978.979999997</v>
      </c>
      <c r="J427" s="192">
        <v>4435297.9000000004</v>
      </c>
      <c r="K427" s="192">
        <v>2446506.9799999995</v>
      </c>
      <c r="L427" s="192"/>
      <c r="M427" s="192"/>
      <c r="N427" s="192">
        <f t="shared" si="24"/>
        <v>37471174.100000001</v>
      </c>
      <c r="O427" s="34"/>
      <c r="S427" s="90"/>
    </row>
    <row r="428" spans="1:21" ht="53.25" customHeight="1" outlineLevel="1" x14ac:dyDescent="0.35">
      <c r="A428" s="193" t="s">
        <v>21</v>
      </c>
      <c r="B428" s="194">
        <v>901765663</v>
      </c>
      <c r="C428" s="195" t="s">
        <v>266</v>
      </c>
      <c r="D428" s="68" t="s">
        <v>245</v>
      </c>
      <c r="E428" s="68" t="s">
        <v>140</v>
      </c>
      <c r="F428" s="195" t="s">
        <v>593</v>
      </c>
      <c r="G428" s="74">
        <v>236</v>
      </c>
      <c r="H428" s="196">
        <v>45890</v>
      </c>
      <c r="I428" s="192">
        <v>0</v>
      </c>
      <c r="J428" s="192">
        <v>-42096738.439999998</v>
      </c>
      <c r="K428" s="192">
        <v>0</v>
      </c>
      <c r="L428" s="192"/>
      <c r="M428" s="192"/>
      <c r="N428" s="192">
        <f t="shared" si="24"/>
        <v>42096738.439999998</v>
      </c>
      <c r="O428" s="34"/>
      <c r="S428" s="90"/>
    </row>
    <row r="429" spans="1:21" ht="53.25" customHeight="1" outlineLevel="1" x14ac:dyDescent="0.35">
      <c r="A429" s="193" t="s">
        <v>21</v>
      </c>
      <c r="B429" s="194">
        <v>800096329</v>
      </c>
      <c r="C429" s="195" t="s">
        <v>414</v>
      </c>
      <c r="D429" s="68">
        <v>7031</v>
      </c>
      <c r="E429" s="68" t="s">
        <v>139</v>
      </c>
      <c r="F429" s="195" t="s">
        <v>594</v>
      </c>
      <c r="G429" s="74" t="s">
        <v>599</v>
      </c>
      <c r="H429" s="196">
        <v>45891</v>
      </c>
      <c r="I429" s="192">
        <v>57129031.859999999</v>
      </c>
      <c r="J429" s="192">
        <v>0</v>
      </c>
      <c r="K429" s="192">
        <v>5280834.88</v>
      </c>
      <c r="L429" s="192"/>
      <c r="M429" s="192"/>
      <c r="N429" s="192">
        <f t="shared" si="24"/>
        <v>51848196.979999997</v>
      </c>
      <c r="O429" s="34"/>
      <c r="S429" s="90"/>
    </row>
    <row r="430" spans="1:21" ht="53.25" customHeight="1" outlineLevel="1" x14ac:dyDescent="0.35">
      <c r="A430" s="193" t="s">
        <v>363</v>
      </c>
      <c r="B430" s="194">
        <v>19244715</v>
      </c>
      <c r="C430" s="195" t="s">
        <v>275</v>
      </c>
      <c r="D430" s="68" t="s">
        <v>254</v>
      </c>
      <c r="E430" s="68" t="s">
        <v>140</v>
      </c>
      <c r="F430" s="195" t="s">
        <v>595</v>
      </c>
      <c r="G430" s="74">
        <v>238</v>
      </c>
      <c r="H430" s="196">
        <v>45895</v>
      </c>
      <c r="I430" s="192">
        <v>56997317.089999996</v>
      </c>
      <c r="J430" s="192">
        <v>0</v>
      </c>
      <c r="K430" s="192">
        <v>3142835.27</v>
      </c>
      <c r="L430" s="192"/>
      <c r="M430" s="192"/>
      <c r="N430" s="192">
        <f t="shared" si="24"/>
        <v>53854481.819999993</v>
      </c>
      <c r="O430" s="34"/>
      <c r="S430" s="90"/>
    </row>
    <row r="431" spans="1:21" ht="53.25" customHeight="1" outlineLevel="1" x14ac:dyDescent="0.35">
      <c r="A431" s="193" t="s">
        <v>21</v>
      </c>
      <c r="B431" s="194">
        <v>901779143</v>
      </c>
      <c r="C431" s="195" t="s">
        <v>277</v>
      </c>
      <c r="D431" s="68" t="s">
        <v>346</v>
      </c>
      <c r="E431" s="68" t="s">
        <v>140</v>
      </c>
      <c r="F431" s="195" t="s">
        <v>596</v>
      </c>
      <c r="G431" s="74">
        <v>239</v>
      </c>
      <c r="H431" s="196">
        <v>45895</v>
      </c>
      <c r="I431" s="192">
        <v>11220.79</v>
      </c>
      <c r="J431" s="192">
        <v>0</v>
      </c>
      <c r="K431" s="192">
        <v>673.25</v>
      </c>
      <c r="L431" s="192"/>
      <c r="M431" s="192"/>
      <c r="N431" s="192">
        <f t="shared" si="24"/>
        <v>10547.54</v>
      </c>
      <c r="O431" s="34"/>
      <c r="S431" s="90"/>
    </row>
    <row r="432" spans="1:21" ht="53.25" customHeight="1" outlineLevel="1" x14ac:dyDescent="0.35">
      <c r="A432" s="193" t="s">
        <v>21</v>
      </c>
      <c r="B432" s="194">
        <v>901779143</v>
      </c>
      <c r="C432" s="195" t="s">
        <v>277</v>
      </c>
      <c r="D432" s="68" t="s">
        <v>346</v>
      </c>
      <c r="E432" s="68" t="s">
        <v>140</v>
      </c>
      <c r="F432" s="195" t="s">
        <v>597</v>
      </c>
      <c r="G432" s="74">
        <v>240</v>
      </c>
      <c r="H432" s="196">
        <v>45895</v>
      </c>
      <c r="I432" s="192">
        <v>0</v>
      </c>
      <c r="J432" s="192">
        <v>-490670646.30000001</v>
      </c>
      <c r="K432" s="192">
        <v>0</v>
      </c>
      <c r="L432" s="192">
        <v>450</v>
      </c>
      <c r="M432" s="192"/>
      <c r="N432" s="192">
        <f t="shared" si="24"/>
        <v>490670196.30000001</v>
      </c>
      <c r="O432" s="34"/>
      <c r="S432" s="90"/>
    </row>
    <row r="433" spans="1:21" ht="53.25" customHeight="1" outlineLevel="1" x14ac:dyDescent="0.35">
      <c r="A433" s="193" t="s">
        <v>363</v>
      </c>
      <c r="B433" s="194">
        <v>19244715</v>
      </c>
      <c r="C433" s="195" t="s">
        <v>275</v>
      </c>
      <c r="D433" s="68" t="s">
        <v>254</v>
      </c>
      <c r="E433" s="68" t="s">
        <v>140</v>
      </c>
      <c r="F433" s="195" t="s">
        <v>598</v>
      </c>
      <c r="G433" s="74">
        <v>241</v>
      </c>
      <c r="H433" s="196">
        <v>45894</v>
      </c>
      <c r="I433" s="192">
        <v>0</v>
      </c>
      <c r="J433" s="192">
        <v>-41312341.159999996</v>
      </c>
      <c r="K433" s="192">
        <v>0</v>
      </c>
      <c r="L433" s="192"/>
      <c r="M433" s="192"/>
      <c r="N433" s="192">
        <f t="shared" si="24"/>
        <v>41312341.159999996</v>
      </c>
      <c r="O433" s="34"/>
      <c r="S433" s="90"/>
    </row>
    <row r="434" spans="1:21" ht="53.25" customHeight="1" outlineLevel="1" x14ac:dyDescent="0.35">
      <c r="A434" s="193" t="s">
        <v>21</v>
      </c>
      <c r="B434" s="194">
        <v>899999090</v>
      </c>
      <c r="C434" s="195" t="s">
        <v>462</v>
      </c>
      <c r="D434" s="68" t="s">
        <v>54</v>
      </c>
      <c r="E434" s="68" t="s">
        <v>135</v>
      </c>
      <c r="F434" s="69" t="s">
        <v>604</v>
      </c>
      <c r="G434" s="68" t="s">
        <v>54</v>
      </c>
      <c r="H434" s="196">
        <v>45908</v>
      </c>
      <c r="I434" s="192">
        <v>5337245.0999999996</v>
      </c>
      <c r="J434" s="192"/>
      <c r="K434" s="192"/>
      <c r="L434" s="192"/>
      <c r="M434" s="192"/>
      <c r="N434" s="192">
        <f t="shared" si="24"/>
        <v>5337245.0999999996</v>
      </c>
      <c r="O434" s="34"/>
      <c r="S434" s="90"/>
      <c r="U434" s="90"/>
    </row>
    <row r="435" spans="1:21" ht="53.25" customHeight="1" outlineLevel="1" x14ac:dyDescent="0.35">
      <c r="A435" s="193" t="s">
        <v>21</v>
      </c>
      <c r="B435" s="194">
        <v>899999090</v>
      </c>
      <c r="C435" s="195" t="s">
        <v>462</v>
      </c>
      <c r="D435" s="68" t="s">
        <v>54</v>
      </c>
      <c r="E435" s="68" t="s">
        <v>135</v>
      </c>
      <c r="F435" s="69" t="s">
        <v>604</v>
      </c>
      <c r="G435" s="68" t="s">
        <v>54</v>
      </c>
      <c r="H435" s="196">
        <v>45908</v>
      </c>
      <c r="I435" s="192">
        <v>561.04</v>
      </c>
      <c r="J435" s="192"/>
      <c r="K435" s="192"/>
      <c r="L435" s="192"/>
      <c r="M435" s="192"/>
      <c r="N435" s="192">
        <f t="shared" si="24"/>
        <v>561.04</v>
      </c>
      <c r="O435" s="34"/>
      <c r="S435" s="90"/>
    </row>
    <row r="436" spans="1:21" ht="53.25" customHeight="1" outlineLevel="1" x14ac:dyDescent="0.35">
      <c r="A436" s="193" t="s">
        <v>21</v>
      </c>
      <c r="B436" s="194">
        <v>800197268</v>
      </c>
      <c r="C436" s="195" t="s">
        <v>366</v>
      </c>
      <c r="D436" s="68" t="s">
        <v>54</v>
      </c>
      <c r="E436" s="68" t="s">
        <v>135</v>
      </c>
      <c r="F436" s="195" t="s">
        <v>605</v>
      </c>
      <c r="G436" s="68" t="s">
        <v>54</v>
      </c>
      <c r="H436" s="196">
        <v>45908</v>
      </c>
      <c r="I436" s="192">
        <v>17986000</v>
      </c>
      <c r="J436" s="192"/>
      <c r="K436" s="192"/>
      <c r="L436" s="192"/>
      <c r="M436" s="192"/>
      <c r="N436" s="192">
        <f t="shared" si="24"/>
        <v>17986000</v>
      </c>
      <c r="O436" s="34"/>
      <c r="S436" s="90"/>
    </row>
    <row r="437" spans="1:21" ht="53.25" customHeight="1" outlineLevel="1" x14ac:dyDescent="0.35">
      <c r="A437" s="193" t="s">
        <v>21</v>
      </c>
      <c r="B437" s="194">
        <v>901780031</v>
      </c>
      <c r="C437" s="195" t="s">
        <v>276</v>
      </c>
      <c r="D437" s="68" t="s">
        <v>347</v>
      </c>
      <c r="E437" s="68" t="s">
        <v>140</v>
      </c>
      <c r="F437" s="195" t="s">
        <v>606</v>
      </c>
      <c r="G437" s="68">
        <v>242</v>
      </c>
      <c r="H437" s="196">
        <v>45915</v>
      </c>
      <c r="I437" s="192">
        <v>6397734</v>
      </c>
      <c r="J437" s="192">
        <v>0</v>
      </c>
      <c r="K437" s="192">
        <v>508652.24</v>
      </c>
      <c r="L437" s="192"/>
      <c r="M437" s="192"/>
      <c r="N437" s="192">
        <f t="shared" si="24"/>
        <v>5889081.7599999998</v>
      </c>
      <c r="O437" s="34"/>
      <c r="S437" s="90"/>
    </row>
    <row r="438" spans="1:21" ht="53.25" customHeight="1" outlineLevel="1" x14ac:dyDescent="0.35">
      <c r="A438" s="193" t="s">
        <v>21</v>
      </c>
      <c r="B438" s="194">
        <v>901780031</v>
      </c>
      <c r="C438" s="195" t="s">
        <v>276</v>
      </c>
      <c r="D438" s="68" t="s">
        <v>347</v>
      </c>
      <c r="E438" s="68" t="s">
        <v>140</v>
      </c>
      <c r="F438" s="195" t="s">
        <v>607</v>
      </c>
      <c r="G438" s="74">
        <v>243</v>
      </c>
      <c r="H438" s="196">
        <v>45915</v>
      </c>
      <c r="I438" s="192">
        <v>0</v>
      </c>
      <c r="J438" s="192">
        <v>-472162407.60000002</v>
      </c>
      <c r="K438" s="192">
        <v>0</v>
      </c>
      <c r="L438" s="192"/>
      <c r="M438" s="192"/>
      <c r="N438" s="192">
        <f t="shared" si="24"/>
        <v>472162407.60000002</v>
      </c>
      <c r="O438" s="34"/>
      <c r="S438" s="90"/>
    </row>
    <row r="439" spans="1:21" ht="53.25" customHeight="1" outlineLevel="1" x14ac:dyDescent="0.35">
      <c r="A439" s="193" t="s">
        <v>363</v>
      </c>
      <c r="B439" s="194">
        <v>19244715</v>
      </c>
      <c r="C439" s="195" t="s">
        <v>275</v>
      </c>
      <c r="D439" s="68" t="s">
        <v>253</v>
      </c>
      <c r="E439" s="68" t="s">
        <v>140</v>
      </c>
      <c r="F439" s="195" t="s">
        <v>608</v>
      </c>
      <c r="G439" s="74">
        <v>244</v>
      </c>
      <c r="H439" s="196">
        <v>45917</v>
      </c>
      <c r="I439" s="192">
        <v>33079992.830000002</v>
      </c>
      <c r="J439" s="192">
        <v>0</v>
      </c>
      <c r="K439" s="192">
        <v>1806890.37</v>
      </c>
      <c r="L439" s="192"/>
      <c r="M439" s="192"/>
      <c r="N439" s="192">
        <f t="shared" si="24"/>
        <v>31273102.460000001</v>
      </c>
      <c r="O439" s="34"/>
      <c r="S439" s="90"/>
    </row>
    <row r="440" spans="1:21" ht="53.25" customHeight="1" outlineLevel="1" x14ac:dyDescent="0.35">
      <c r="A440" s="193" t="s">
        <v>363</v>
      </c>
      <c r="B440" s="194">
        <v>19244715</v>
      </c>
      <c r="C440" s="195" t="s">
        <v>275</v>
      </c>
      <c r="D440" s="68" t="s">
        <v>253</v>
      </c>
      <c r="E440" s="68" t="s">
        <v>140</v>
      </c>
      <c r="F440" s="195" t="s">
        <v>609</v>
      </c>
      <c r="G440" s="74">
        <v>245</v>
      </c>
      <c r="H440" s="196">
        <v>45917</v>
      </c>
      <c r="I440" s="192">
        <v>0</v>
      </c>
      <c r="J440" s="192">
        <v>-37982002.020000003</v>
      </c>
      <c r="K440" s="192">
        <v>0</v>
      </c>
      <c r="L440" s="192"/>
      <c r="M440" s="192"/>
      <c r="N440" s="192">
        <f t="shared" si="24"/>
        <v>37982002.020000003</v>
      </c>
      <c r="O440" s="34"/>
      <c r="S440" s="90"/>
    </row>
    <row r="441" spans="1:21" ht="53.25" customHeight="1" outlineLevel="1" x14ac:dyDescent="0.35">
      <c r="A441" s="193" t="s">
        <v>21</v>
      </c>
      <c r="B441" s="194">
        <v>891780044</v>
      </c>
      <c r="C441" s="195" t="s">
        <v>477</v>
      </c>
      <c r="D441" s="68" t="s">
        <v>54</v>
      </c>
      <c r="E441" s="68" t="s">
        <v>135</v>
      </c>
      <c r="F441" s="195" t="s">
        <v>610</v>
      </c>
      <c r="G441" s="74" t="s">
        <v>54</v>
      </c>
      <c r="H441" s="196">
        <v>45924</v>
      </c>
      <c r="I441" s="192">
        <v>107975.13</v>
      </c>
      <c r="J441" s="192"/>
      <c r="K441" s="192"/>
      <c r="L441" s="192"/>
      <c r="M441" s="192"/>
      <c r="N441" s="192">
        <f t="shared" si="24"/>
        <v>107975.13</v>
      </c>
      <c r="O441" s="34"/>
      <c r="S441" s="90"/>
    </row>
    <row r="442" spans="1:21" ht="53.25" customHeight="1" outlineLevel="1" x14ac:dyDescent="0.35">
      <c r="A442" s="193" t="s">
        <v>21</v>
      </c>
      <c r="B442" s="194">
        <v>800099079</v>
      </c>
      <c r="C442" s="195" t="s">
        <v>481</v>
      </c>
      <c r="D442" s="68" t="s">
        <v>54</v>
      </c>
      <c r="E442" s="68" t="s">
        <v>135</v>
      </c>
      <c r="F442" s="195" t="s">
        <v>610</v>
      </c>
      <c r="G442" s="74" t="s">
        <v>54</v>
      </c>
      <c r="H442" s="196">
        <v>45924</v>
      </c>
      <c r="I442" s="192">
        <v>16231.73</v>
      </c>
      <c r="J442" s="192"/>
      <c r="K442" s="192"/>
      <c r="L442" s="192"/>
      <c r="M442" s="192"/>
      <c r="N442" s="192">
        <f t="shared" si="24"/>
        <v>16231.73</v>
      </c>
      <c r="O442" s="34"/>
      <c r="S442" s="90"/>
    </row>
    <row r="443" spans="1:21" ht="53.25" customHeight="1" outlineLevel="1" x14ac:dyDescent="0.35">
      <c r="A443" s="193" t="s">
        <v>21</v>
      </c>
      <c r="B443" s="194">
        <v>800096580</v>
      </c>
      <c r="C443" s="195" t="s">
        <v>469</v>
      </c>
      <c r="D443" s="68" t="s">
        <v>54</v>
      </c>
      <c r="E443" s="68" t="s">
        <v>135</v>
      </c>
      <c r="F443" s="195" t="s">
        <v>610</v>
      </c>
      <c r="G443" s="74" t="s">
        <v>54</v>
      </c>
      <c r="H443" s="196">
        <v>45924</v>
      </c>
      <c r="I443" s="192">
        <v>144106.25</v>
      </c>
      <c r="J443" s="192"/>
      <c r="K443" s="192"/>
      <c r="L443" s="192"/>
      <c r="M443" s="192"/>
      <c r="N443" s="192">
        <f t="shared" si="24"/>
        <v>144106.25</v>
      </c>
      <c r="O443" s="34"/>
      <c r="S443" s="90"/>
    </row>
    <row r="444" spans="1:21" ht="53.25" customHeight="1" outlineLevel="1" x14ac:dyDescent="0.35">
      <c r="A444" s="193" t="s">
        <v>21</v>
      </c>
      <c r="B444" s="194">
        <v>892115007</v>
      </c>
      <c r="C444" s="195" t="s">
        <v>611</v>
      </c>
      <c r="D444" s="68" t="s">
        <v>54</v>
      </c>
      <c r="E444" s="68" t="s">
        <v>135</v>
      </c>
      <c r="F444" s="195" t="s">
        <v>610</v>
      </c>
      <c r="G444" s="74" t="s">
        <v>54</v>
      </c>
      <c r="H444" s="196">
        <v>45924</v>
      </c>
      <c r="I444" s="192">
        <v>84136.8</v>
      </c>
      <c r="J444" s="192"/>
      <c r="K444" s="192"/>
      <c r="L444" s="192"/>
      <c r="M444" s="192"/>
      <c r="N444" s="192">
        <f t="shared" si="24"/>
        <v>84136.8</v>
      </c>
      <c r="O444" s="34"/>
      <c r="S444" s="90"/>
    </row>
    <row r="445" spans="1:21" ht="53.25" customHeight="1" outlineLevel="1" x14ac:dyDescent="0.35">
      <c r="A445" s="193" t="s">
        <v>21</v>
      </c>
      <c r="B445" s="194">
        <v>819003225</v>
      </c>
      <c r="C445" s="195" t="s">
        <v>475</v>
      </c>
      <c r="D445" s="68" t="s">
        <v>54</v>
      </c>
      <c r="E445" s="68" t="s">
        <v>135</v>
      </c>
      <c r="F445" s="195" t="s">
        <v>610</v>
      </c>
      <c r="G445" s="74" t="s">
        <v>54</v>
      </c>
      <c r="H445" s="196">
        <v>45924</v>
      </c>
      <c r="I445" s="192">
        <v>609986.15</v>
      </c>
      <c r="J445" s="192"/>
      <c r="K445" s="192"/>
      <c r="L445" s="192"/>
      <c r="M445" s="192"/>
      <c r="N445" s="192">
        <f t="shared" si="24"/>
        <v>609986.15</v>
      </c>
      <c r="O445" s="34"/>
      <c r="S445" s="90"/>
    </row>
    <row r="446" spans="1:21" ht="53.25" customHeight="1" outlineLevel="1" x14ac:dyDescent="0.35">
      <c r="A446" s="193" t="s">
        <v>21</v>
      </c>
      <c r="B446" s="194">
        <v>891280000</v>
      </c>
      <c r="C446" s="195" t="s">
        <v>479</v>
      </c>
      <c r="D446" s="68" t="s">
        <v>54</v>
      </c>
      <c r="E446" s="68" t="s">
        <v>135</v>
      </c>
      <c r="F446" s="195" t="s">
        <v>610</v>
      </c>
      <c r="G446" s="74" t="s">
        <v>54</v>
      </c>
      <c r="H446" s="196">
        <v>45924</v>
      </c>
      <c r="I446" s="192">
        <v>13304.7</v>
      </c>
      <c r="J446" s="192"/>
      <c r="K446" s="192"/>
      <c r="L446" s="192"/>
      <c r="M446" s="192"/>
      <c r="N446" s="192">
        <f t="shared" si="24"/>
        <v>13304.7</v>
      </c>
      <c r="O446" s="34"/>
      <c r="S446" s="90"/>
    </row>
    <row r="447" spans="1:21" ht="53.25" customHeight="1" outlineLevel="1" x14ac:dyDescent="0.35">
      <c r="A447" s="193" t="s">
        <v>21</v>
      </c>
      <c r="B447" s="194">
        <v>901849554</v>
      </c>
      <c r="C447" s="195" t="s">
        <v>485</v>
      </c>
      <c r="D447" s="68" t="s">
        <v>251</v>
      </c>
      <c r="E447" s="68" t="s">
        <v>140</v>
      </c>
      <c r="F447" s="195" t="s">
        <v>612</v>
      </c>
      <c r="G447" s="74">
        <v>246</v>
      </c>
      <c r="H447" s="196">
        <v>45924</v>
      </c>
      <c r="I447" s="192">
        <v>128300000</v>
      </c>
      <c r="J447" s="192">
        <v>12830000</v>
      </c>
      <c r="K447" s="192">
        <v>7383336.4199999999</v>
      </c>
      <c r="L447" s="192"/>
      <c r="M447" s="192"/>
      <c r="N447" s="192">
        <f t="shared" si="24"/>
        <v>108086663.58</v>
      </c>
      <c r="O447" s="34"/>
      <c r="S447" s="90"/>
    </row>
    <row r="448" spans="1:21" ht="53.25" customHeight="1" outlineLevel="1" x14ac:dyDescent="0.35">
      <c r="A448" s="193" t="s">
        <v>21</v>
      </c>
      <c r="B448" s="194">
        <v>899999090</v>
      </c>
      <c r="C448" s="195" t="s">
        <v>462</v>
      </c>
      <c r="D448" s="68" t="s">
        <v>54</v>
      </c>
      <c r="E448" s="68" t="s">
        <v>135</v>
      </c>
      <c r="F448" s="195" t="s">
        <v>613</v>
      </c>
      <c r="G448" s="74" t="s">
        <v>54</v>
      </c>
      <c r="H448" s="196">
        <v>45937</v>
      </c>
      <c r="I448" s="192">
        <v>317907.65000000002</v>
      </c>
      <c r="J448" s="192"/>
      <c r="K448" s="192"/>
      <c r="L448" s="192"/>
      <c r="M448" s="192"/>
      <c r="N448" s="192">
        <f t="shared" ref="N448:N451" si="25">+I448-J448-K448+M448-L448</f>
        <v>317907.65000000002</v>
      </c>
      <c r="O448" s="34"/>
      <c r="S448" s="90"/>
    </row>
    <row r="449" spans="1:19" ht="53.25" customHeight="1" outlineLevel="1" x14ac:dyDescent="0.35">
      <c r="A449" s="193" t="s">
        <v>21</v>
      </c>
      <c r="B449" s="194">
        <v>800197268</v>
      </c>
      <c r="C449" s="195" t="s">
        <v>620</v>
      </c>
      <c r="D449" s="68" t="s">
        <v>54</v>
      </c>
      <c r="E449" s="68" t="s">
        <v>135</v>
      </c>
      <c r="F449" s="195" t="s">
        <v>614</v>
      </c>
      <c r="G449" s="74" t="s">
        <v>54</v>
      </c>
      <c r="H449" s="196">
        <v>45938</v>
      </c>
      <c r="I449" s="192">
        <v>8264000</v>
      </c>
      <c r="J449" s="192"/>
      <c r="K449" s="192"/>
      <c r="L449" s="192"/>
      <c r="M449" s="192">
        <v>0</v>
      </c>
      <c r="N449" s="192">
        <f t="shared" si="25"/>
        <v>8264000</v>
      </c>
      <c r="O449" s="34"/>
      <c r="S449" s="90"/>
    </row>
    <row r="450" spans="1:19" ht="53.25" customHeight="1" outlineLevel="1" x14ac:dyDescent="0.35">
      <c r="A450" s="193" t="s">
        <v>21</v>
      </c>
      <c r="B450" s="194">
        <v>800102504</v>
      </c>
      <c r="C450" s="195" t="s">
        <v>458</v>
      </c>
      <c r="D450" s="68" t="s">
        <v>54</v>
      </c>
      <c r="E450" s="68" t="s">
        <v>135</v>
      </c>
      <c r="F450" s="195" t="s">
        <v>610</v>
      </c>
      <c r="G450" s="74" t="s">
        <v>54</v>
      </c>
      <c r="H450" s="196">
        <v>45950</v>
      </c>
      <c r="I450" s="192">
        <v>67067.31</v>
      </c>
      <c r="J450" s="192"/>
      <c r="K450" s="192"/>
      <c r="L450" s="192"/>
      <c r="M450" s="192"/>
      <c r="N450" s="192">
        <f t="shared" si="25"/>
        <v>67067.31</v>
      </c>
      <c r="O450" s="34"/>
      <c r="S450" s="90"/>
    </row>
    <row r="451" spans="1:19" ht="53.25" customHeight="1" outlineLevel="1" x14ac:dyDescent="0.35">
      <c r="A451" s="193" t="s">
        <v>21</v>
      </c>
      <c r="B451" s="194">
        <v>800096329</v>
      </c>
      <c r="C451" s="195" t="s">
        <v>414</v>
      </c>
      <c r="D451" s="68" t="s">
        <v>54</v>
      </c>
      <c r="E451" s="68" t="s">
        <v>139</v>
      </c>
      <c r="F451" s="195" t="s">
        <v>615</v>
      </c>
      <c r="G451" s="74" t="s">
        <v>619</v>
      </c>
      <c r="H451" s="196">
        <v>45951</v>
      </c>
      <c r="I451" s="192">
        <v>38086021.240000002</v>
      </c>
      <c r="J451" s="192">
        <v>0</v>
      </c>
      <c r="K451" s="192">
        <v>3520556.59</v>
      </c>
      <c r="L451" s="192"/>
      <c r="M451" s="192"/>
      <c r="N451" s="192">
        <f t="shared" si="25"/>
        <v>34565464.650000006</v>
      </c>
      <c r="O451" s="34"/>
      <c r="S451" s="90"/>
    </row>
    <row r="452" spans="1:19" ht="53.25" customHeight="1" outlineLevel="1" x14ac:dyDescent="0.35">
      <c r="A452" s="193" t="s">
        <v>21</v>
      </c>
      <c r="B452" s="194">
        <v>901815944</v>
      </c>
      <c r="C452" s="195" t="s">
        <v>272</v>
      </c>
      <c r="D452" s="68" t="s">
        <v>349</v>
      </c>
      <c r="E452" s="68" t="s">
        <v>140</v>
      </c>
      <c r="F452" s="195" t="s">
        <v>616</v>
      </c>
      <c r="G452" s="74">
        <v>248</v>
      </c>
      <c r="H452" s="196">
        <v>45953</v>
      </c>
      <c r="I452" s="192">
        <v>239545153.56</v>
      </c>
      <c r="J452" s="192">
        <v>23954515.359999999</v>
      </c>
      <c r="K452" s="192">
        <v>20052413.899999999</v>
      </c>
      <c r="L452" s="192">
        <v>18662681.010000002</v>
      </c>
      <c r="M452" s="192"/>
      <c r="N452" s="192">
        <f t="shared" si="24"/>
        <v>176875543.28999999</v>
      </c>
      <c r="O452" s="34"/>
      <c r="S452" s="90"/>
    </row>
    <row r="453" spans="1:19" ht="53.25" customHeight="1" outlineLevel="1" x14ac:dyDescent="0.35">
      <c r="A453" s="193" t="s">
        <v>21</v>
      </c>
      <c r="B453" s="194">
        <v>901815944</v>
      </c>
      <c r="C453" s="195" t="s">
        <v>272</v>
      </c>
      <c r="D453" s="68" t="s">
        <v>349</v>
      </c>
      <c r="E453" s="68" t="s">
        <v>140</v>
      </c>
      <c r="F453" s="195" t="s">
        <v>617</v>
      </c>
      <c r="G453" s="74">
        <v>249</v>
      </c>
      <c r="H453" s="196">
        <v>45953</v>
      </c>
      <c r="I453" s="192">
        <v>27301248.300000001</v>
      </c>
      <c r="J453" s="192">
        <v>2730124.83</v>
      </c>
      <c r="K453" s="192">
        <v>1941626.13</v>
      </c>
      <c r="L453" s="192"/>
      <c r="M453" s="192"/>
      <c r="N453" s="192">
        <f t="shared" si="24"/>
        <v>22629497.34</v>
      </c>
      <c r="O453" s="34"/>
      <c r="S453" s="90"/>
    </row>
    <row r="454" spans="1:19" ht="53.25" customHeight="1" outlineLevel="1" x14ac:dyDescent="0.35">
      <c r="A454" s="193" t="s">
        <v>21</v>
      </c>
      <c r="B454" s="194">
        <v>901849554</v>
      </c>
      <c r="C454" s="195" t="s">
        <v>485</v>
      </c>
      <c r="D454" s="68" t="s">
        <v>251</v>
      </c>
      <c r="E454" s="68" t="s">
        <v>140</v>
      </c>
      <c r="F454" s="195" t="s">
        <v>618</v>
      </c>
      <c r="G454" s="74">
        <v>250</v>
      </c>
      <c r="H454" s="196">
        <v>45951</v>
      </c>
      <c r="I454" s="192">
        <v>22631177.640000001</v>
      </c>
      <c r="J454" s="192">
        <v>2263117.7599999998</v>
      </c>
      <c r="K454" s="192">
        <v>1298484.79</v>
      </c>
      <c r="L454" s="192"/>
      <c r="M454" s="192"/>
      <c r="N454" s="192">
        <f t="shared" ref="N454:N482" si="26">+I454-J454-K454+M454-L454</f>
        <v>19069575.090000004</v>
      </c>
      <c r="O454" s="34"/>
      <c r="S454" s="90"/>
    </row>
    <row r="455" spans="1:19" ht="53.25" customHeight="1" outlineLevel="1" x14ac:dyDescent="0.35">
      <c r="A455" s="193" t="s">
        <v>21</v>
      </c>
      <c r="B455" s="194">
        <v>899999090</v>
      </c>
      <c r="C455" s="195" t="s">
        <v>462</v>
      </c>
      <c r="D455" s="68" t="s">
        <v>54</v>
      </c>
      <c r="E455" s="68" t="s">
        <v>135</v>
      </c>
      <c r="F455" s="195" t="s">
        <v>621</v>
      </c>
      <c r="G455" s="74" t="s">
        <v>54</v>
      </c>
      <c r="H455" s="196">
        <v>45968</v>
      </c>
      <c r="I455" s="192">
        <v>10846199.720000001</v>
      </c>
      <c r="J455" s="192"/>
      <c r="K455" s="192"/>
      <c r="L455" s="192"/>
      <c r="M455" s="192"/>
      <c r="N455" s="192">
        <f t="shared" si="26"/>
        <v>10846199.720000001</v>
      </c>
      <c r="O455" s="34"/>
      <c r="S455" s="90"/>
    </row>
    <row r="456" spans="1:19" ht="53.25" customHeight="1" outlineLevel="1" x14ac:dyDescent="0.35">
      <c r="A456" s="193" t="s">
        <v>21</v>
      </c>
      <c r="B456" s="194">
        <v>899999090</v>
      </c>
      <c r="C456" s="195" t="s">
        <v>462</v>
      </c>
      <c r="D456" s="68" t="s">
        <v>54</v>
      </c>
      <c r="E456" s="68" t="s">
        <v>135</v>
      </c>
      <c r="F456" s="195" t="s">
        <v>621</v>
      </c>
      <c r="G456" s="74" t="s">
        <v>54</v>
      </c>
      <c r="H456" s="196">
        <v>45968</v>
      </c>
      <c r="I456" s="192">
        <v>1147111.27</v>
      </c>
      <c r="J456" s="192"/>
      <c r="K456" s="192"/>
      <c r="L456" s="192"/>
      <c r="M456" s="192"/>
      <c r="N456" s="192">
        <f t="shared" si="26"/>
        <v>1147111.27</v>
      </c>
      <c r="O456" s="34"/>
      <c r="S456" s="90"/>
    </row>
    <row r="457" spans="1:19" ht="53.25" customHeight="1" outlineLevel="1" x14ac:dyDescent="0.35">
      <c r="A457" s="193" t="s">
        <v>21</v>
      </c>
      <c r="B457" s="194">
        <v>800197268</v>
      </c>
      <c r="C457" s="195" t="s">
        <v>620</v>
      </c>
      <c r="D457" s="68" t="s">
        <v>54</v>
      </c>
      <c r="E457" s="68" t="s">
        <v>135</v>
      </c>
      <c r="F457" s="195" t="s">
        <v>622</v>
      </c>
      <c r="G457" s="74" t="s">
        <v>54</v>
      </c>
      <c r="H457" s="196">
        <v>45972</v>
      </c>
      <c r="I457" s="192">
        <v>9899994.1099999994</v>
      </c>
      <c r="J457" s="192"/>
      <c r="K457" s="192"/>
      <c r="L457" s="192"/>
      <c r="M457" s="192">
        <v>5.89</v>
      </c>
      <c r="N457" s="192">
        <f t="shared" si="26"/>
        <v>9900000</v>
      </c>
      <c r="O457" s="34"/>
      <c r="S457" s="90"/>
    </row>
    <row r="458" spans="1:19" ht="53.25" customHeight="1" outlineLevel="1" x14ac:dyDescent="0.35">
      <c r="A458" s="193" t="s">
        <v>21</v>
      </c>
      <c r="B458" s="194">
        <v>901778790</v>
      </c>
      <c r="C458" s="195" t="s">
        <v>274</v>
      </c>
      <c r="D458" s="68" t="s">
        <v>345</v>
      </c>
      <c r="E458" s="68" t="s">
        <v>140</v>
      </c>
      <c r="F458" s="195" t="s">
        <v>623</v>
      </c>
      <c r="G458" s="74">
        <v>251</v>
      </c>
      <c r="H458" s="196">
        <v>45979</v>
      </c>
      <c r="I458" s="192">
        <v>0</v>
      </c>
      <c r="J458" s="192">
        <v>-661755535</v>
      </c>
      <c r="K458" s="192">
        <v>0</v>
      </c>
      <c r="L458" s="192"/>
      <c r="M458" s="192"/>
      <c r="N458" s="192">
        <f t="shared" si="26"/>
        <v>661755535</v>
      </c>
      <c r="O458" s="34"/>
      <c r="S458" s="90"/>
    </row>
    <row r="459" spans="1:19" ht="53.25" customHeight="1" outlineLevel="1" x14ac:dyDescent="0.35">
      <c r="A459" s="193" t="s">
        <v>21</v>
      </c>
      <c r="B459" s="194">
        <v>19244715</v>
      </c>
      <c r="C459" s="195" t="s">
        <v>275</v>
      </c>
      <c r="D459" s="68" t="s">
        <v>252</v>
      </c>
      <c r="E459" s="68" t="s">
        <v>140</v>
      </c>
      <c r="F459" s="195" t="s">
        <v>624</v>
      </c>
      <c r="G459" s="74">
        <v>252</v>
      </c>
      <c r="H459" s="196">
        <v>45979</v>
      </c>
      <c r="I459" s="192">
        <v>48791930.880000003</v>
      </c>
      <c r="J459" s="192">
        <v>0</v>
      </c>
      <c r="K459" s="192">
        <v>2678097.1199999996</v>
      </c>
      <c r="L459" s="192"/>
      <c r="M459" s="192"/>
      <c r="N459" s="192">
        <f t="shared" si="26"/>
        <v>46113833.760000005</v>
      </c>
      <c r="O459" s="34"/>
      <c r="S459" s="90"/>
    </row>
    <row r="460" spans="1:19" ht="53.25" customHeight="1" outlineLevel="1" x14ac:dyDescent="0.35">
      <c r="A460" s="193" t="s">
        <v>21</v>
      </c>
      <c r="B460" s="194">
        <v>19244715</v>
      </c>
      <c r="C460" s="195" t="s">
        <v>275</v>
      </c>
      <c r="D460" s="68" t="s">
        <v>252</v>
      </c>
      <c r="E460" s="68" t="s">
        <v>140</v>
      </c>
      <c r="F460" s="195" t="s">
        <v>625</v>
      </c>
      <c r="G460" s="74">
        <v>253</v>
      </c>
      <c r="H460" s="196">
        <v>45979</v>
      </c>
      <c r="I460" s="192">
        <v>0</v>
      </c>
      <c r="J460" s="192">
        <v>-48839749.990000002</v>
      </c>
      <c r="K460" s="192">
        <v>0</v>
      </c>
      <c r="L460" s="192"/>
      <c r="M460" s="192"/>
      <c r="N460" s="192">
        <f t="shared" si="26"/>
        <v>48839749.990000002</v>
      </c>
      <c r="O460" s="34"/>
      <c r="S460" s="90"/>
    </row>
    <row r="461" spans="1:19" ht="53.25" customHeight="1" outlineLevel="1" x14ac:dyDescent="0.35">
      <c r="A461" s="193" t="s">
        <v>21</v>
      </c>
      <c r="B461" s="194">
        <v>901815944</v>
      </c>
      <c r="C461" s="195" t="s">
        <v>272</v>
      </c>
      <c r="D461" s="68" t="s">
        <v>349</v>
      </c>
      <c r="E461" s="68" t="s">
        <v>140</v>
      </c>
      <c r="F461" s="195" t="s">
        <v>626</v>
      </c>
      <c r="G461" s="74">
        <v>254</v>
      </c>
      <c r="H461" s="196">
        <v>45981</v>
      </c>
      <c r="I461" s="192">
        <v>419033859.77999997</v>
      </c>
      <c r="J461" s="192">
        <v>41903385.979999997</v>
      </c>
      <c r="K461" s="192">
        <v>31449566.490000002</v>
      </c>
      <c r="L461" s="192"/>
      <c r="M461" s="192"/>
      <c r="N461" s="192">
        <f t="shared" si="26"/>
        <v>345680907.30999994</v>
      </c>
      <c r="O461" s="34"/>
      <c r="S461" s="90"/>
    </row>
    <row r="462" spans="1:19" ht="53.25" customHeight="1" outlineLevel="1" x14ac:dyDescent="0.35">
      <c r="A462" s="193" t="s">
        <v>21</v>
      </c>
      <c r="B462" s="194">
        <v>899999061</v>
      </c>
      <c r="C462" s="195" t="s">
        <v>465</v>
      </c>
      <c r="D462" s="68" t="s">
        <v>54</v>
      </c>
      <c r="E462" s="68" t="s">
        <v>135</v>
      </c>
      <c r="F462" s="195" t="s">
        <v>627</v>
      </c>
      <c r="G462" s="74" t="s">
        <v>54</v>
      </c>
      <c r="H462" s="196">
        <v>45982</v>
      </c>
      <c r="I462" s="192">
        <v>6000</v>
      </c>
      <c r="J462" s="192"/>
      <c r="K462" s="192">
        <v>0</v>
      </c>
      <c r="L462" s="192"/>
      <c r="M462" s="192"/>
      <c r="N462" s="192">
        <f t="shared" si="26"/>
        <v>6000</v>
      </c>
      <c r="O462" s="34"/>
      <c r="S462" s="90"/>
    </row>
    <row r="463" spans="1:19" ht="53.25" customHeight="1" outlineLevel="1" x14ac:dyDescent="0.35">
      <c r="A463" s="193" t="s">
        <v>21</v>
      </c>
      <c r="B463" s="194">
        <v>9050725</v>
      </c>
      <c r="C463" s="195" t="s">
        <v>355</v>
      </c>
      <c r="D463" s="68" t="s">
        <v>250</v>
      </c>
      <c r="E463" s="68" t="s">
        <v>140</v>
      </c>
      <c r="F463" s="195" t="s">
        <v>628</v>
      </c>
      <c r="G463" s="74">
        <v>255</v>
      </c>
      <c r="H463" s="196">
        <v>45982</v>
      </c>
      <c r="I463" s="192">
        <v>30000000</v>
      </c>
      <c r="J463" s="192">
        <v>3000000</v>
      </c>
      <c r="K463" s="192">
        <v>1840336.13</v>
      </c>
      <c r="L463" s="192"/>
      <c r="M463" s="192"/>
      <c r="N463" s="192">
        <f t="shared" si="26"/>
        <v>25159663.870000001</v>
      </c>
      <c r="O463" s="34"/>
      <c r="S463" s="90"/>
    </row>
    <row r="464" spans="1:19" ht="53.25" customHeight="1" outlineLevel="1" x14ac:dyDescent="0.35">
      <c r="A464" s="193" t="s">
        <v>21</v>
      </c>
      <c r="B464" s="194">
        <v>901849554</v>
      </c>
      <c r="C464" s="195" t="s">
        <v>485</v>
      </c>
      <c r="D464" s="68" t="s">
        <v>251</v>
      </c>
      <c r="E464" s="68" t="s">
        <v>140</v>
      </c>
      <c r="F464" s="195" t="s">
        <v>629</v>
      </c>
      <c r="G464" s="74">
        <v>256</v>
      </c>
      <c r="H464" s="196">
        <v>45988</v>
      </c>
      <c r="I464" s="192">
        <v>46515402.019999996</v>
      </c>
      <c r="J464" s="192">
        <v>4651540.2</v>
      </c>
      <c r="K464" s="192">
        <v>2540757.2600000002</v>
      </c>
      <c r="L464" s="192"/>
      <c r="M464" s="192"/>
      <c r="N464" s="192">
        <f t="shared" si="26"/>
        <v>39323104.559999995</v>
      </c>
      <c r="O464" s="34"/>
      <c r="S464" s="90"/>
    </row>
    <row r="465" spans="1:20" ht="53.25" customHeight="1" outlineLevel="1" x14ac:dyDescent="0.35">
      <c r="A465" s="193" t="s">
        <v>21</v>
      </c>
      <c r="B465" s="194">
        <v>890205677</v>
      </c>
      <c r="C465" s="195" t="s">
        <v>467</v>
      </c>
      <c r="D465" s="68" t="s">
        <v>54</v>
      </c>
      <c r="E465" s="68" t="s">
        <v>135</v>
      </c>
      <c r="F465" s="195" t="s">
        <v>610</v>
      </c>
      <c r="G465" s="74" t="s">
        <v>54</v>
      </c>
      <c r="H465" s="196">
        <v>45989</v>
      </c>
      <c r="I465" s="192">
        <v>127277.8</v>
      </c>
      <c r="J465" s="192"/>
      <c r="K465" s="192"/>
      <c r="L465" s="192"/>
      <c r="M465" s="192"/>
      <c r="N465" s="192">
        <f t="shared" si="26"/>
        <v>127277.8</v>
      </c>
      <c r="O465" s="34"/>
      <c r="S465" s="90"/>
    </row>
    <row r="466" spans="1:20" ht="53.25" customHeight="1" outlineLevel="1" x14ac:dyDescent="0.35">
      <c r="A466" s="193" t="s">
        <v>21</v>
      </c>
      <c r="B466" s="194">
        <v>800102504</v>
      </c>
      <c r="C466" s="195" t="s">
        <v>458</v>
      </c>
      <c r="D466" s="68" t="s">
        <v>54</v>
      </c>
      <c r="E466" s="68" t="s">
        <v>135</v>
      </c>
      <c r="F466" s="195" t="s">
        <v>610</v>
      </c>
      <c r="G466" s="74" t="s">
        <v>54</v>
      </c>
      <c r="H466" s="196">
        <v>45989</v>
      </c>
      <c r="I466" s="192">
        <v>14271.4</v>
      </c>
      <c r="J466" s="192"/>
      <c r="K466" s="192"/>
      <c r="L466" s="192"/>
      <c r="M466" s="192"/>
      <c r="N466" s="192">
        <f t="shared" si="26"/>
        <v>14271.4</v>
      </c>
      <c r="O466" s="34"/>
      <c r="S466" s="90"/>
    </row>
    <row r="467" spans="1:20" ht="53.25" customHeight="1" outlineLevel="1" x14ac:dyDescent="0.35">
      <c r="A467" s="193" t="s">
        <v>21</v>
      </c>
      <c r="B467" s="194">
        <v>890480006</v>
      </c>
      <c r="C467" s="195" t="s">
        <v>534</v>
      </c>
      <c r="D467" s="68" t="s">
        <v>54</v>
      </c>
      <c r="E467" s="68" t="s">
        <v>135</v>
      </c>
      <c r="F467" s="195" t="s">
        <v>610</v>
      </c>
      <c r="G467" s="74" t="s">
        <v>54</v>
      </c>
      <c r="H467" s="196">
        <v>45989</v>
      </c>
      <c r="I467" s="192">
        <v>185610.2</v>
      </c>
      <c r="J467" s="192"/>
      <c r="K467" s="192"/>
      <c r="L467" s="192"/>
      <c r="M467" s="192"/>
      <c r="N467" s="192">
        <f t="shared" si="26"/>
        <v>185610.2</v>
      </c>
      <c r="O467" s="34"/>
      <c r="S467" s="90"/>
    </row>
    <row r="468" spans="1:20" ht="53.25" customHeight="1" outlineLevel="1" x14ac:dyDescent="0.35">
      <c r="A468" s="193" t="s">
        <v>21</v>
      </c>
      <c r="B468" s="194">
        <v>890480006</v>
      </c>
      <c r="C468" s="195" t="s">
        <v>534</v>
      </c>
      <c r="D468" s="68" t="s">
        <v>54</v>
      </c>
      <c r="E468" s="68" t="s">
        <v>135</v>
      </c>
      <c r="F468" s="195" t="s">
        <v>610</v>
      </c>
      <c r="G468" s="74" t="s">
        <v>54</v>
      </c>
      <c r="H468" s="196">
        <v>45989</v>
      </c>
      <c r="I468" s="192">
        <v>2359273.46</v>
      </c>
      <c r="J468" s="192"/>
      <c r="K468" s="192"/>
      <c r="L468" s="192"/>
      <c r="M468" s="192"/>
      <c r="N468" s="192">
        <f t="shared" si="26"/>
        <v>2359273.46</v>
      </c>
      <c r="O468" s="34"/>
      <c r="S468" s="90"/>
    </row>
    <row r="469" spans="1:20" ht="53.25" customHeight="1" outlineLevel="1" x14ac:dyDescent="0.35">
      <c r="A469" s="193" t="s">
        <v>21</v>
      </c>
      <c r="B469" s="194">
        <v>901815944</v>
      </c>
      <c r="C469" s="195" t="s">
        <v>272</v>
      </c>
      <c r="D469" s="68" t="s">
        <v>349</v>
      </c>
      <c r="E469" s="68" t="s">
        <v>140</v>
      </c>
      <c r="F469" s="195" t="s">
        <v>631</v>
      </c>
      <c r="G469" s="74">
        <v>254</v>
      </c>
      <c r="H469" s="196">
        <v>46002</v>
      </c>
      <c r="I469" s="192">
        <v>271984564.45999998</v>
      </c>
      <c r="J469" s="192">
        <v>27198456.449999999</v>
      </c>
      <c r="K469" s="192">
        <v>21596742.690000001</v>
      </c>
      <c r="L469" s="192"/>
      <c r="M469" s="192"/>
      <c r="N469" s="192">
        <f t="shared" si="26"/>
        <v>223189365.31999999</v>
      </c>
      <c r="O469" s="34"/>
      <c r="S469" s="90"/>
    </row>
    <row r="470" spans="1:20" ht="53.25" customHeight="1" outlineLevel="1" x14ac:dyDescent="0.35">
      <c r="A470" s="193" t="s">
        <v>21</v>
      </c>
      <c r="B470" s="194">
        <v>901849554</v>
      </c>
      <c r="C470" s="195" t="s">
        <v>485</v>
      </c>
      <c r="D470" s="68" t="s">
        <v>251</v>
      </c>
      <c r="E470" s="68" t="s">
        <v>140</v>
      </c>
      <c r="F470" s="195" t="s">
        <v>632</v>
      </c>
      <c r="G470" s="74">
        <v>256</v>
      </c>
      <c r="H470" s="196">
        <v>46003</v>
      </c>
      <c r="I470" s="192">
        <v>14434621.710000001</v>
      </c>
      <c r="J470" s="192">
        <v>1443462.17</v>
      </c>
      <c r="K470" s="192">
        <v>788445.72</v>
      </c>
      <c r="L470" s="192"/>
      <c r="M470" s="192"/>
      <c r="N470" s="192">
        <f t="shared" si="26"/>
        <v>12202713.82</v>
      </c>
      <c r="O470" s="34"/>
      <c r="S470" s="90"/>
    </row>
    <row r="471" spans="1:20" ht="53.25" customHeight="1" outlineLevel="1" x14ac:dyDescent="0.35">
      <c r="A471" s="193" t="s">
        <v>21</v>
      </c>
      <c r="B471" s="194">
        <v>899999090</v>
      </c>
      <c r="C471" s="195" t="s">
        <v>462</v>
      </c>
      <c r="D471" s="68" t="s">
        <v>54</v>
      </c>
      <c r="E471" s="68" t="s">
        <v>135</v>
      </c>
      <c r="F471" s="195" t="s">
        <v>633</v>
      </c>
      <c r="G471" s="74" t="s">
        <v>54</v>
      </c>
      <c r="H471" s="196">
        <v>46001</v>
      </c>
      <c r="I471" s="192">
        <v>19245962.170000002</v>
      </c>
      <c r="J471" s="192"/>
      <c r="K471" s="192"/>
      <c r="L471" s="192"/>
      <c r="M471" s="192"/>
      <c r="N471" s="192">
        <f t="shared" si="26"/>
        <v>19245962.170000002</v>
      </c>
      <c r="O471" s="34"/>
      <c r="S471" s="90"/>
    </row>
    <row r="472" spans="1:20" ht="53.25" customHeight="1" outlineLevel="1" x14ac:dyDescent="0.35">
      <c r="A472" s="193" t="s">
        <v>21</v>
      </c>
      <c r="B472" s="194">
        <v>800197268</v>
      </c>
      <c r="C472" s="195" t="s">
        <v>620</v>
      </c>
      <c r="D472" s="68" t="s">
        <v>54</v>
      </c>
      <c r="E472" s="68" t="s">
        <v>135</v>
      </c>
      <c r="F472" s="195" t="s">
        <v>634</v>
      </c>
      <c r="G472" s="74" t="s">
        <v>54</v>
      </c>
      <c r="H472" s="196">
        <v>46000</v>
      </c>
      <c r="I472" s="192">
        <v>14672000</v>
      </c>
      <c r="J472" s="192"/>
      <c r="K472" s="192"/>
      <c r="L472" s="192"/>
      <c r="M472" s="192"/>
      <c r="N472" s="192">
        <f t="shared" si="26"/>
        <v>14672000</v>
      </c>
      <c r="O472" s="34"/>
      <c r="S472" s="90"/>
    </row>
    <row r="473" spans="1:20" ht="53.25" customHeight="1" outlineLevel="1" x14ac:dyDescent="0.35">
      <c r="A473" s="193" t="s">
        <v>21</v>
      </c>
      <c r="B473" s="194">
        <v>800095466</v>
      </c>
      <c r="C473" s="195" t="s">
        <v>635</v>
      </c>
      <c r="D473" s="68" t="s">
        <v>54</v>
      </c>
      <c r="E473" s="68" t="s">
        <v>135</v>
      </c>
      <c r="F473" s="195" t="s">
        <v>610</v>
      </c>
      <c r="G473" s="74" t="s">
        <v>54</v>
      </c>
      <c r="H473" s="196">
        <v>46006</v>
      </c>
      <c r="I473" s="192">
        <v>201680.67</v>
      </c>
      <c r="J473" s="192"/>
      <c r="K473" s="192"/>
      <c r="L473" s="192"/>
      <c r="M473" s="192"/>
      <c r="N473" s="192">
        <f t="shared" si="26"/>
        <v>201680.67</v>
      </c>
      <c r="O473" s="34"/>
      <c r="S473" s="90"/>
    </row>
    <row r="474" spans="1:20" ht="53.25" customHeight="1" outlineLevel="1" x14ac:dyDescent="0.35">
      <c r="A474" s="193" t="s">
        <v>21</v>
      </c>
      <c r="B474" s="194">
        <v>891380033</v>
      </c>
      <c r="C474" s="195" t="s">
        <v>460</v>
      </c>
      <c r="D474" s="68" t="s">
        <v>54</v>
      </c>
      <c r="E474" s="68" t="s">
        <v>135</v>
      </c>
      <c r="F474" s="195" t="s">
        <v>636</v>
      </c>
      <c r="G474" s="74" t="s">
        <v>54</v>
      </c>
      <c r="H474" s="196">
        <v>46006</v>
      </c>
      <c r="I474" s="192">
        <v>12991.65</v>
      </c>
      <c r="J474" s="192"/>
      <c r="K474" s="192"/>
      <c r="L474" s="192"/>
      <c r="M474" s="192"/>
      <c r="N474" s="192">
        <f t="shared" si="26"/>
        <v>12991.65</v>
      </c>
      <c r="O474" s="34"/>
      <c r="S474" s="90"/>
    </row>
    <row r="475" spans="1:20" ht="53.25" customHeight="1" outlineLevel="1" x14ac:dyDescent="0.35">
      <c r="A475" s="193" t="s">
        <v>21</v>
      </c>
      <c r="B475" s="194">
        <v>890480006</v>
      </c>
      <c r="C475" s="195" t="s">
        <v>534</v>
      </c>
      <c r="D475" s="68" t="s">
        <v>54</v>
      </c>
      <c r="E475" s="68" t="s">
        <v>135</v>
      </c>
      <c r="F475" s="195" t="s">
        <v>636</v>
      </c>
      <c r="G475" s="74" t="s">
        <v>54</v>
      </c>
      <c r="H475" s="196">
        <v>45993</v>
      </c>
      <c r="I475" s="192">
        <v>41384.49</v>
      </c>
      <c r="J475" s="192"/>
      <c r="K475" s="192"/>
      <c r="L475" s="192"/>
      <c r="M475" s="192"/>
      <c r="N475" s="192">
        <f t="shared" si="26"/>
        <v>41384.49</v>
      </c>
      <c r="O475" s="34"/>
      <c r="S475" s="90"/>
    </row>
    <row r="476" spans="1:20" ht="53.25" customHeight="1" outlineLevel="1" x14ac:dyDescent="0.35">
      <c r="A476" s="193" t="s">
        <v>21</v>
      </c>
      <c r="B476" s="194">
        <v>901815944</v>
      </c>
      <c r="C476" s="195" t="s">
        <v>272</v>
      </c>
      <c r="D476" s="68" t="s">
        <v>349</v>
      </c>
      <c r="E476" s="68" t="s">
        <v>140</v>
      </c>
      <c r="F476" s="195" t="s">
        <v>637</v>
      </c>
      <c r="G476" s="74">
        <v>259</v>
      </c>
      <c r="H476" s="196">
        <v>46052</v>
      </c>
      <c r="I476" s="192">
        <v>108972580.67</v>
      </c>
      <c r="J476" s="192">
        <f>+I476*10%</f>
        <v>10897258.067000002</v>
      </c>
      <c r="K476" s="192">
        <v>2284939.2599999998</v>
      </c>
      <c r="L476" s="192"/>
      <c r="M476" s="192"/>
      <c r="N476" s="192">
        <f t="shared" si="26"/>
        <v>95790383.342999995</v>
      </c>
      <c r="O476" s="34"/>
      <c r="S476" s="90"/>
    </row>
    <row r="477" spans="1:20" ht="53.25" customHeight="1" outlineLevel="1" x14ac:dyDescent="0.35">
      <c r="A477" s="193" t="s">
        <v>21</v>
      </c>
      <c r="B477" s="194">
        <v>901849554</v>
      </c>
      <c r="C477" s="195" t="s">
        <v>485</v>
      </c>
      <c r="D477" s="68" t="s">
        <v>251</v>
      </c>
      <c r="E477" s="68" t="s">
        <v>140</v>
      </c>
      <c r="F477" s="195" t="s">
        <v>638</v>
      </c>
      <c r="G477" s="74">
        <v>260</v>
      </c>
      <c r="H477" s="196">
        <v>46050</v>
      </c>
      <c r="I477" s="192">
        <v>3371379.78</v>
      </c>
      <c r="J477" s="192">
        <f>+I477*10%</f>
        <v>337137.978</v>
      </c>
      <c r="K477" s="192">
        <f>250728.67+16998.55</f>
        <v>267727.22000000003</v>
      </c>
      <c r="L477" s="192"/>
      <c r="M477" s="192"/>
      <c r="N477" s="192">
        <f t="shared" si="26"/>
        <v>2766514.5819999995</v>
      </c>
      <c r="O477" s="34"/>
      <c r="S477" s="90"/>
      <c r="T477" s="34"/>
    </row>
    <row r="478" spans="1:20" ht="53.25" customHeight="1" outlineLevel="1" x14ac:dyDescent="0.35">
      <c r="A478" s="193" t="s">
        <v>21</v>
      </c>
      <c r="B478" s="194" t="s">
        <v>641</v>
      </c>
      <c r="C478" s="195" t="s">
        <v>639</v>
      </c>
      <c r="D478" s="68" t="s">
        <v>54</v>
      </c>
      <c r="E478" s="68" t="s">
        <v>54</v>
      </c>
      <c r="F478" s="195" t="s">
        <v>640</v>
      </c>
      <c r="G478" s="74"/>
      <c r="H478" s="196">
        <v>46052</v>
      </c>
      <c r="I478" s="192">
        <v>5236</v>
      </c>
      <c r="J478" s="192"/>
      <c r="K478" s="192"/>
      <c r="L478" s="192"/>
      <c r="M478" s="192"/>
      <c r="N478" s="192">
        <f t="shared" si="26"/>
        <v>5236</v>
      </c>
      <c r="O478" s="34"/>
      <c r="S478" s="90"/>
    </row>
    <row r="479" spans="1:20" ht="53.25" customHeight="1" outlineLevel="1" x14ac:dyDescent="0.35">
      <c r="A479" s="193" t="s">
        <v>21</v>
      </c>
      <c r="B479" s="194">
        <v>899999090</v>
      </c>
      <c r="C479" s="195" t="s">
        <v>462</v>
      </c>
      <c r="D479" s="68" t="s">
        <v>54</v>
      </c>
      <c r="E479" s="68" t="s">
        <v>135</v>
      </c>
      <c r="F479" s="195" t="s">
        <v>642</v>
      </c>
      <c r="G479" s="74" t="s">
        <v>54</v>
      </c>
      <c r="H479" s="196">
        <v>46035</v>
      </c>
      <c r="I479" s="192">
        <v>13497964.18</v>
      </c>
      <c r="J479" s="192"/>
      <c r="K479" s="192"/>
      <c r="L479" s="192"/>
      <c r="M479" s="192"/>
      <c r="N479" s="192">
        <f t="shared" si="26"/>
        <v>13497964.18</v>
      </c>
      <c r="O479" s="34"/>
      <c r="S479" s="90"/>
    </row>
    <row r="480" spans="1:20" ht="53.25" customHeight="1" outlineLevel="1" x14ac:dyDescent="0.35">
      <c r="A480" s="193" t="s">
        <v>21</v>
      </c>
      <c r="B480" s="194">
        <v>899999090</v>
      </c>
      <c r="C480" s="195" t="s">
        <v>462</v>
      </c>
      <c r="D480" s="68" t="s">
        <v>54</v>
      </c>
      <c r="E480" s="68" t="s">
        <v>135</v>
      </c>
      <c r="F480" s="195" t="s">
        <v>643</v>
      </c>
      <c r="G480" s="74" t="s">
        <v>54</v>
      </c>
      <c r="H480" s="196">
        <v>46035</v>
      </c>
      <c r="I480" s="192">
        <v>12904442.960000001</v>
      </c>
      <c r="J480" s="192"/>
      <c r="K480" s="192"/>
      <c r="L480" s="192"/>
      <c r="M480" s="192"/>
      <c r="N480" s="192">
        <f t="shared" si="26"/>
        <v>12904442.960000001</v>
      </c>
      <c r="O480" s="34"/>
      <c r="S480" s="90"/>
    </row>
    <row r="481" spans="1:19" ht="53.25" customHeight="1" outlineLevel="1" x14ac:dyDescent="0.35">
      <c r="A481" s="193" t="s">
        <v>21</v>
      </c>
      <c r="B481" s="194">
        <v>800197268</v>
      </c>
      <c r="C481" s="195" t="s">
        <v>620</v>
      </c>
      <c r="D481" s="68" t="s">
        <v>54</v>
      </c>
      <c r="E481" s="68" t="s">
        <v>135</v>
      </c>
      <c r="F481" s="195" t="s">
        <v>644</v>
      </c>
      <c r="G481" s="74" t="s">
        <v>54</v>
      </c>
      <c r="H481" s="196">
        <v>46035</v>
      </c>
      <c r="I481" s="192">
        <v>6126981.7199999997</v>
      </c>
      <c r="J481" s="192"/>
      <c r="K481" s="192"/>
      <c r="L481" s="192"/>
      <c r="M481" s="192"/>
      <c r="N481" s="192">
        <f t="shared" si="26"/>
        <v>6126981.7199999997</v>
      </c>
      <c r="O481" s="34"/>
      <c r="S481" s="90"/>
    </row>
    <row r="482" spans="1:19" ht="53.25" customHeight="1" outlineLevel="1" x14ac:dyDescent="0.35">
      <c r="A482" s="193"/>
      <c r="B482" s="194"/>
      <c r="C482" s="195"/>
      <c r="D482" s="68" t="s">
        <v>54</v>
      </c>
      <c r="E482" s="68" t="s">
        <v>135</v>
      </c>
      <c r="F482" s="195" t="s">
        <v>645</v>
      </c>
      <c r="G482" s="74" t="s">
        <v>54</v>
      </c>
      <c r="H482" s="196">
        <v>46052</v>
      </c>
      <c r="I482" s="192">
        <v>2552666.48</v>
      </c>
      <c r="J482" s="192"/>
      <c r="K482" s="192"/>
      <c r="L482" s="192"/>
      <c r="M482" s="192"/>
      <c r="N482" s="192">
        <f t="shared" si="26"/>
        <v>2552666.48</v>
      </c>
      <c r="O482" s="34"/>
      <c r="S482" s="90"/>
    </row>
    <row r="483" spans="1:19" ht="36.75" customHeight="1" x14ac:dyDescent="0.35">
      <c r="A483" s="193" t="s">
        <v>363</v>
      </c>
      <c r="B483" s="193" t="s">
        <v>646</v>
      </c>
      <c r="C483" s="195" t="s">
        <v>355</v>
      </c>
      <c r="D483" s="68" t="s">
        <v>250</v>
      </c>
      <c r="E483" s="68" t="s">
        <v>140</v>
      </c>
      <c r="F483" s="195" t="s">
        <v>587</v>
      </c>
      <c r="G483" s="74">
        <v>264</v>
      </c>
      <c r="H483" s="196">
        <v>46108</v>
      </c>
      <c r="I483" s="192"/>
      <c r="J483" s="192">
        <v>-42305666.409999996</v>
      </c>
      <c r="K483" s="192"/>
      <c r="L483" s="192"/>
      <c r="M483" s="192"/>
      <c r="N483" s="243">
        <f t="shared" ref="N483:N497" si="27">+I483-J483-K483+M483-L483</f>
        <v>42305666.409999996</v>
      </c>
    </row>
    <row r="484" spans="1:19" ht="36.75" customHeight="1" x14ac:dyDescent="0.35">
      <c r="A484" s="193" t="s">
        <v>21</v>
      </c>
      <c r="B484" s="193" t="s">
        <v>647</v>
      </c>
      <c r="C484" s="195" t="s">
        <v>352</v>
      </c>
      <c r="D484" s="68" t="s">
        <v>243</v>
      </c>
      <c r="E484" s="68" t="s">
        <v>140</v>
      </c>
      <c r="F484" s="195" t="s">
        <v>648</v>
      </c>
      <c r="G484" s="74">
        <v>265</v>
      </c>
      <c r="H484" s="196">
        <v>46112</v>
      </c>
      <c r="I484" s="192">
        <v>14943069.1</v>
      </c>
      <c r="J484" s="192">
        <v>0</v>
      </c>
      <c r="K484" s="192">
        <v>1169750.2899999998</v>
      </c>
      <c r="L484" s="192"/>
      <c r="M484" s="192"/>
      <c r="N484" s="192">
        <f t="shared" si="27"/>
        <v>13773318.810000001</v>
      </c>
    </row>
    <row r="485" spans="1:19" ht="36.75" customHeight="1" x14ac:dyDescent="0.35">
      <c r="A485" s="193" t="s">
        <v>363</v>
      </c>
      <c r="B485" s="193" t="s">
        <v>646</v>
      </c>
      <c r="C485" s="195" t="s">
        <v>355</v>
      </c>
      <c r="D485" s="68" t="s">
        <v>250</v>
      </c>
      <c r="E485" s="68" t="s">
        <v>140</v>
      </c>
      <c r="F485" s="195" t="s">
        <v>649</v>
      </c>
      <c r="G485" s="74">
        <v>263</v>
      </c>
      <c r="H485" s="196">
        <v>46112</v>
      </c>
      <c r="I485" s="192">
        <v>18147880.879999999</v>
      </c>
      <c r="J485" s="192">
        <v>0</v>
      </c>
      <c r="K485" s="192">
        <v>1349653.3199999998</v>
      </c>
      <c r="L485" s="192"/>
      <c r="M485" s="192"/>
      <c r="N485" s="192">
        <f t="shared" si="27"/>
        <v>16798227.559999999</v>
      </c>
    </row>
    <row r="486" spans="1:19" ht="36.75" customHeight="1" x14ac:dyDescent="0.35">
      <c r="A486" s="193" t="s">
        <v>21</v>
      </c>
      <c r="B486" s="194">
        <v>800197268</v>
      </c>
      <c r="C486" s="195" t="s">
        <v>620</v>
      </c>
      <c r="D486" s="68" t="s">
        <v>54</v>
      </c>
      <c r="E486" s="68" t="s">
        <v>135</v>
      </c>
      <c r="F486" s="195" t="s">
        <v>650</v>
      </c>
      <c r="G486" s="74" t="s">
        <v>54</v>
      </c>
      <c r="H486" s="196">
        <v>46112</v>
      </c>
      <c r="I486" s="192">
        <v>1668451.25</v>
      </c>
      <c r="J486" s="192"/>
      <c r="K486" s="192"/>
      <c r="L486" s="192"/>
      <c r="M486" s="192"/>
      <c r="N486" s="192">
        <f t="shared" si="27"/>
        <v>1668451.25</v>
      </c>
    </row>
    <row r="487" spans="1:19" ht="36.75" customHeight="1" x14ac:dyDescent="0.35">
      <c r="A487" s="193" t="s">
        <v>21</v>
      </c>
      <c r="B487" s="194">
        <v>800197268</v>
      </c>
      <c r="C487" s="195" t="s">
        <v>620</v>
      </c>
      <c r="D487" s="68" t="s">
        <v>54</v>
      </c>
      <c r="E487" s="68" t="s">
        <v>135</v>
      </c>
      <c r="F487" s="195" t="s">
        <v>651</v>
      </c>
      <c r="G487" s="74" t="s">
        <v>54</v>
      </c>
      <c r="H487" s="196">
        <v>46112</v>
      </c>
      <c r="I487" s="192">
        <v>792514.35</v>
      </c>
      <c r="J487" s="192"/>
      <c r="K487" s="192"/>
      <c r="L487" s="192"/>
      <c r="M487" s="192"/>
      <c r="N487" s="192">
        <f t="shared" si="27"/>
        <v>792514.35</v>
      </c>
    </row>
    <row r="488" spans="1:19" ht="36.75" customHeight="1" x14ac:dyDescent="0.35">
      <c r="A488" s="193" t="s">
        <v>21</v>
      </c>
      <c r="B488" s="194">
        <v>890480006</v>
      </c>
      <c r="C488" s="195" t="s">
        <v>534</v>
      </c>
      <c r="D488" s="68" t="s">
        <v>54</v>
      </c>
      <c r="E488" s="68" t="s">
        <v>135</v>
      </c>
      <c r="F488" s="195" t="s">
        <v>636</v>
      </c>
      <c r="G488" s="74" t="s">
        <v>54</v>
      </c>
      <c r="H488" s="196">
        <v>46112</v>
      </c>
      <c r="I488" s="192">
        <v>58438.01</v>
      </c>
      <c r="J488" s="192"/>
      <c r="K488" s="192"/>
      <c r="L488" s="192"/>
      <c r="M488" s="192"/>
      <c r="N488" s="192">
        <f t="shared" si="27"/>
        <v>58438.01</v>
      </c>
    </row>
    <row r="489" spans="1:19" ht="36.75" customHeight="1" x14ac:dyDescent="0.35">
      <c r="A489" s="193" t="s">
        <v>21</v>
      </c>
      <c r="B489" s="194">
        <v>901815944</v>
      </c>
      <c r="C489" s="195" t="s">
        <v>272</v>
      </c>
      <c r="D489" s="68" t="s">
        <v>349</v>
      </c>
      <c r="E489" s="68" t="s">
        <v>140</v>
      </c>
      <c r="F489" s="195" t="s">
        <v>654</v>
      </c>
      <c r="G489" s="74">
        <v>269</v>
      </c>
      <c r="H489" s="196">
        <v>46139</v>
      </c>
      <c r="I489" s="192">
        <v>172628047.81</v>
      </c>
      <c r="J489" s="192">
        <v>17262804.780000001</v>
      </c>
      <c r="K489" s="192">
        <v>3619668.17</v>
      </c>
      <c r="L489" s="192"/>
      <c r="M489" s="192"/>
      <c r="N489" s="192">
        <f t="shared" si="27"/>
        <v>151745574.86000001</v>
      </c>
    </row>
    <row r="490" spans="1:19" ht="36.75" customHeight="1" x14ac:dyDescent="0.35">
      <c r="A490" s="193" t="s">
        <v>21</v>
      </c>
      <c r="B490" s="194">
        <v>901849554</v>
      </c>
      <c r="C490" s="195" t="s">
        <v>485</v>
      </c>
      <c r="D490" s="68" t="s">
        <v>251</v>
      </c>
      <c r="E490" s="68" t="s">
        <v>140</v>
      </c>
      <c r="F490" s="195" t="s">
        <v>655</v>
      </c>
      <c r="G490" s="74">
        <v>268</v>
      </c>
      <c r="H490" s="196">
        <v>46140</v>
      </c>
      <c r="I490" s="192">
        <v>17723534.68</v>
      </c>
      <c r="J490" s="192">
        <v>1772353.47</v>
      </c>
      <c r="K490" s="192">
        <v>1407457.17</v>
      </c>
      <c r="L490" s="192"/>
      <c r="M490" s="192"/>
      <c r="N490" s="192">
        <f t="shared" si="27"/>
        <v>14543724.039999999</v>
      </c>
    </row>
    <row r="491" spans="1:19" ht="36.75" customHeight="1" x14ac:dyDescent="0.35">
      <c r="A491" s="193" t="s">
        <v>21</v>
      </c>
      <c r="B491" s="194">
        <v>800048663</v>
      </c>
      <c r="C491" s="195" t="s">
        <v>278</v>
      </c>
      <c r="D491" s="68" t="s">
        <v>255</v>
      </c>
      <c r="E491" s="68" t="s">
        <v>140</v>
      </c>
      <c r="F491" s="195" t="s">
        <v>656</v>
      </c>
      <c r="G491" s="74">
        <v>262</v>
      </c>
      <c r="H491" s="196">
        <v>46142</v>
      </c>
      <c r="I491" s="192">
        <v>93690417.879999995</v>
      </c>
      <c r="J491" s="192">
        <v>0</v>
      </c>
      <c r="K491" s="192">
        <v>0</v>
      </c>
      <c r="L491" s="192"/>
      <c r="M491" s="192"/>
      <c r="N491" s="192">
        <f t="shared" si="27"/>
        <v>93690417.879999995</v>
      </c>
    </row>
    <row r="492" spans="1:19" ht="36.75" customHeight="1" x14ac:dyDescent="0.35">
      <c r="A492" s="193" t="s">
        <v>21</v>
      </c>
      <c r="B492" s="194">
        <v>800197268</v>
      </c>
      <c r="C492" s="195" t="s">
        <v>620</v>
      </c>
      <c r="D492" s="68" t="s">
        <v>54</v>
      </c>
      <c r="E492" s="68" t="s">
        <v>135</v>
      </c>
      <c r="F492" s="195" t="s">
        <v>658</v>
      </c>
      <c r="G492" s="74" t="s">
        <v>54</v>
      </c>
      <c r="H492" s="196">
        <v>46139</v>
      </c>
      <c r="I492" s="192">
        <v>4320475.72</v>
      </c>
      <c r="J492" s="192"/>
      <c r="K492" s="192"/>
      <c r="L492" s="192"/>
      <c r="M492" s="192"/>
      <c r="N492" s="192">
        <f t="shared" si="27"/>
        <v>4320475.72</v>
      </c>
    </row>
    <row r="493" spans="1:19" ht="36.75" customHeight="1" x14ac:dyDescent="0.35">
      <c r="A493" s="193" t="s">
        <v>21</v>
      </c>
      <c r="B493" s="194">
        <v>800197268</v>
      </c>
      <c r="C493" s="195" t="s">
        <v>620</v>
      </c>
      <c r="D493" s="68" t="s">
        <v>54</v>
      </c>
      <c r="E493" s="68" t="s">
        <v>135</v>
      </c>
      <c r="F493" s="195" t="s">
        <v>659</v>
      </c>
      <c r="G493" s="74" t="s">
        <v>54</v>
      </c>
      <c r="H493" s="196">
        <v>46139</v>
      </c>
      <c r="I493" s="192">
        <v>617287.46</v>
      </c>
      <c r="J493" s="192"/>
      <c r="K493" s="192"/>
      <c r="L493" s="192"/>
      <c r="M493" s="192"/>
      <c r="N493" s="192">
        <f t="shared" si="27"/>
        <v>617287.46</v>
      </c>
    </row>
    <row r="494" spans="1:19" ht="36.75" customHeight="1" x14ac:dyDescent="0.35">
      <c r="A494" s="193" t="s">
        <v>21</v>
      </c>
      <c r="B494" s="194">
        <v>890480006</v>
      </c>
      <c r="C494" s="195" t="s">
        <v>657</v>
      </c>
      <c r="D494" s="68" t="s">
        <v>54</v>
      </c>
      <c r="E494" s="68" t="s">
        <v>135</v>
      </c>
      <c r="F494" s="195" t="s">
        <v>636</v>
      </c>
      <c r="G494" s="74" t="s">
        <v>54</v>
      </c>
      <c r="H494" s="196">
        <v>46140</v>
      </c>
      <c r="I494" s="192">
        <v>89362.36</v>
      </c>
      <c r="J494" s="192"/>
      <c r="K494" s="192"/>
      <c r="L494" s="192"/>
      <c r="M494" s="192"/>
      <c r="N494" s="192">
        <f t="shared" si="27"/>
        <v>89362.36</v>
      </c>
    </row>
    <row r="495" spans="1:19" ht="36.75" customHeight="1" x14ac:dyDescent="0.35">
      <c r="A495" s="193" t="s">
        <v>21</v>
      </c>
      <c r="B495" s="194">
        <v>80418195</v>
      </c>
      <c r="C495" s="195" t="s">
        <v>270</v>
      </c>
      <c r="D495" s="68" t="s">
        <v>248</v>
      </c>
      <c r="E495" s="68" t="s">
        <v>140</v>
      </c>
      <c r="F495" s="195" t="s">
        <v>662</v>
      </c>
      <c r="G495" s="74">
        <v>270</v>
      </c>
      <c r="H495" s="196">
        <v>46171</v>
      </c>
      <c r="I495" s="192">
        <f>14600000+2774000</f>
        <v>17374000</v>
      </c>
      <c r="J495" s="192"/>
      <c r="K495" s="192">
        <f>876000+416100.02+85893.58</f>
        <v>1377993.6</v>
      </c>
      <c r="L495" s="192"/>
      <c r="M495" s="192"/>
      <c r="N495" s="192">
        <f t="shared" si="27"/>
        <v>15996006.4</v>
      </c>
    </row>
    <row r="496" spans="1:19" ht="36.75" customHeight="1" x14ac:dyDescent="0.35">
      <c r="A496" s="193" t="s">
        <v>21</v>
      </c>
      <c r="B496" s="194">
        <v>80418195</v>
      </c>
      <c r="C496" s="195" t="s">
        <v>270</v>
      </c>
      <c r="D496" s="68" t="s">
        <v>248</v>
      </c>
      <c r="E496" s="68" t="s">
        <v>140</v>
      </c>
      <c r="F496" s="195" t="s">
        <v>662</v>
      </c>
      <c r="G496" s="74">
        <v>270</v>
      </c>
      <c r="H496" s="196">
        <v>46164</v>
      </c>
      <c r="I496" s="192">
        <v>27786499.989999998</v>
      </c>
      <c r="J496" s="192"/>
      <c r="K496" s="192"/>
      <c r="L496" s="192"/>
      <c r="M496" s="192"/>
      <c r="N496" s="192">
        <f t="shared" si="27"/>
        <v>27786499.989999998</v>
      </c>
      <c r="O496">
        <v>3154058029</v>
      </c>
    </row>
    <row r="497" spans="1:22" ht="36.75" customHeight="1" x14ac:dyDescent="0.35">
      <c r="A497" s="193" t="s">
        <v>21</v>
      </c>
      <c r="B497" s="194">
        <v>800197268</v>
      </c>
      <c r="C497" s="195" t="s">
        <v>620</v>
      </c>
      <c r="D497" s="68" t="s">
        <v>54</v>
      </c>
      <c r="E497" s="68" t="s">
        <v>135</v>
      </c>
      <c r="F497" s="195" t="s">
        <v>665</v>
      </c>
      <c r="G497" s="74" t="s">
        <v>54</v>
      </c>
      <c r="H497" s="196">
        <v>46171</v>
      </c>
      <c r="I497" s="192">
        <v>1377993.6</v>
      </c>
      <c r="J497" s="192"/>
      <c r="K497" s="192"/>
      <c r="L497" s="192"/>
      <c r="M497" s="192"/>
      <c r="N497" s="192">
        <f t="shared" si="27"/>
        <v>1377993.6</v>
      </c>
    </row>
    <row r="498" spans="1:22" ht="36.75" customHeight="1" x14ac:dyDescent="0.35">
      <c r="A498" s="239"/>
      <c r="B498" s="240"/>
      <c r="C498" s="241"/>
      <c r="D498" s="242"/>
      <c r="E498" s="242"/>
      <c r="F498" s="96" t="s">
        <v>663</v>
      </c>
      <c r="I498" s="151">
        <f>+SUM(I495:I496)</f>
        <v>45160499.989999995</v>
      </c>
      <c r="J498" s="151">
        <f>+SUM(J495:J496)</f>
        <v>0</v>
      </c>
      <c r="K498" s="151">
        <f>+SUM(K495:K496)</f>
        <v>1377993.6</v>
      </c>
      <c r="L498" s="151">
        <f t="shared" ref="L498:M498" si="28">+SUM(L483:L488)</f>
        <v>0</v>
      </c>
      <c r="M498" s="151">
        <f t="shared" si="28"/>
        <v>0</v>
      </c>
      <c r="N498" s="151">
        <f>+SUM(N483:R491)</f>
        <v>335376333.16999996</v>
      </c>
    </row>
    <row r="499" spans="1:22" ht="36.75" customHeight="1" x14ac:dyDescent="0.35">
      <c r="F499" s="249" t="s">
        <v>664</v>
      </c>
      <c r="I499" s="250">
        <f>+SUM(I8:I495)</f>
        <v>69041507261.850037</v>
      </c>
      <c r="J499" s="250">
        <f>+SUM(J8:J488)</f>
        <v>661089903.78499937</v>
      </c>
      <c r="K499" s="250">
        <f>+SUM(K8:K496)</f>
        <v>4858918552.0399981</v>
      </c>
      <c r="L499" s="250">
        <f>+SUM(L8:L488)</f>
        <v>552745466.86000001</v>
      </c>
      <c r="M499" s="250">
        <f>+SUM(M8:M488)</f>
        <v>2689.2100000216192</v>
      </c>
      <c r="N499" s="250">
        <f>+SUM(N8:N488)</f>
        <v>62668718021.404984</v>
      </c>
    </row>
    <row r="500" spans="1:22" x14ac:dyDescent="0.35">
      <c r="A500" s="239"/>
      <c r="B500" s="240"/>
      <c r="C500" s="241"/>
      <c r="D500" s="242"/>
      <c r="E500" s="242"/>
      <c r="G500" s="45"/>
      <c r="H500" s="251"/>
      <c r="I500" s="252"/>
      <c r="J500" s="252"/>
      <c r="K500" s="252"/>
      <c r="L500" s="252"/>
      <c r="M500" s="252"/>
      <c r="N500" s="252"/>
      <c r="O500" s="34"/>
      <c r="P500" s="34"/>
      <c r="T500" s="34"/>
    </row>
    <row r="501" spans="1:22" x14ac:dyDescent="0.35">
      <c r="I501" s="233"/>
      <c r="J501" s="233"/>
      <c r="K501" s="233"/>
      <c r="L501" s="233"/>
      <c r="M501" s="233"/>
      <c r="U501" s="90"/>
    </row>
    <row r="502" spans="1:22" ht="15" customHeight="1" x14ac:dyDescent="0.35">
      <c r="G502" s="334" t="s">
        <v>138</v>
      </c>
      <c r="H502" s="88" t="s">
        <v>135</v>
      </c>
      <c r="I502" s="234">
        <f>SUMIF($E$8:E1414,H502,$I$8:I1414)</f>
        <v>4858917342.9099989</v>
      </c>
      <c r="J502" s="234">
        <f>SUMIF($E$8:E1414,H502,$J$8:J1414)</f>
        <v>0</v>
      </c>
      <c r="K502" s="234">
        <f>SUMIF($E$8:E1414,H502,$K$8:K1414)</f>
        <v>0</v>
      </c>
      <c r="L502" s="234">
        <f>SUMIF($E$8:E1414,H502,$L$8:L1414)</f>
        <v>0</v>
      </c>
      <c r="M502" s="234">
        <f>SUMIF($E$8:E1414,H502,$M$8:M1414)</f>
        <v>2689.2100000216192</v>
      </c>
      <c r="N502" s="234">
        <f>SUMIF($E$8:E1414,H502,$N$8:N1414)</f>
        <v>4858920032.1199989</v>
      </c>
      <c r="T502" s="34"/>
    </row>
    <row r="503" spans="1:22" x14ac:dyDescent="0.35">
      <c r="G503" s="334"/>
      <c r="H503" s="88" t="s">
        <v>139</v>
      </c>
      <c r="I503" s="234">
        <f>SUMIF($E$8:E1414,H503,$I$8:I1414)</f>
        <v>4116388518.3200002</v>
      </c>
      <c r="J503" s="234">
        <f>SUMIF($E$8:E1414,H503,$J$8:J1414)</f>
        <v>0</v>
      </c>
      <c r="K503" s="234">
        <f>SUMIF($E$8:E1414,H503,$K$8:K1414)</f>
        <v>380506501.70000005</v>
      </c>
      <c r="L503" s="234">
        <f>SUMIF($E$8:E1414,H503,$L$8:L1414)</f>
        <v>0</v>
      </c>
      <c r="M503" s="234">
        <f>SUMIF($E$8:E1414,H503,$M$8:M1414)</f>
        <v>0</v>
      </c>
      <c r="N503" s="234">
        <f>SUMIF($E$8:E1414,H503,$N$8:N1414)</f>
        <v>3735882016.6200004</v>
      </c>
    </row>
    <row r="504" spans="1:22" x14ac:dyDescent="0.35">
      <c r="G504" s="334"/>
      <c r="H504" s="88" t="s">
        <v>140</v>
      </c>
      <c r="I504" s="234">
        <f>SUMIF($E$8:E746,H504,$I$8:I746)</f>
        <v>60095360658.209961</v>
      </c>
      <c r="J504" s="234">
        <f>SUMIF($E$8:E746,H504,$J$8:J746)</f>
        <v>680125062.03499937</v>
      </c>
      <c r="K504" s="234">
        <f>SUMIF($E$8:E1414,H504,$K$8:K1414)-1209</f>
        <v>4478410841.3399992</v>
      </c>
      <c r="L504" s="234">
        <f>SUMIF($E$8:E1414,H504,$L$8:L1414)</f>
        <v>552745466.86000001</v>
      </c>
      <c r="M504" s="234">
        <f>SUMIF($E$8:E1414,H504,$M$8:M1414)</f>
        <v>0</v>
      </c>
      <c r="N504" s="234">
        <f>SUMIF($E$8:E1414,H504,$N$8:N1414)</f>
        <v>54384078078.974937</v>
      </c>
      <c r="T504" s="37"/>
      <c r="U504" s="224"/>
      <c r="V504" s="224"/>
    </row>
    <row r="505" spans="1:22" x14ac:dyDescent="0.35">
      <c r="G505" s="334"/>
      <c r="H505" s="138" t="s">
        <v>90</v>
      </c>
      <c r="I505" s="152">
        <f>SUM(I502:I504)+I478</f>
        <v>69070671755.439957</v>
      </c>
      <c r="J505" s="152">
        <f t="shared" ref="J505:N505" si="29">SUM(J502:J504)</f>
        <v>680125062.03499937</v>
      </c>
      <c r="K505" s="152">
        <f t="shared" si="29"/>
        <v>4858917343.039999</v>
      </c>
      <c r="L505" s="152">
        <f t="shared" si="29"/>
        <v>552745466.86000001</v>
      </c>
      <c r="M505" s="152">
        <f t="shared" si="29"/>
        <v>2689.2100000216192</v>
      </c>
      <c r="N505" s="152">
        <f t="shared" si="29"/>
        <v>62978880127.714935</v>
      </c>
      <c r="O505" s="34"/>
    </row>
    <row r="506" spans="1:22" x14ac:dyDescent="0.35">
      <c r="I506" s="233">
        <f>+I503+I504-J504</f>
        <v>63531624114.494965</v>
      </c>
      <c r="J506" s="233"/>
      <c r="K506" s="233"/>
      <c r="L506" s="233"/>
      <c r="M506" s="233"/>
      <c r="T506" s="34"/>
    </row>
    <row r="507" spans="1:22" x14ac:dyDescent="0.35">
      <c r="I507" s="90">
        <f>+I504-J504</f>
        <v>59415235596.174965</v>
      </c>
      <c r="M507" s="90"/>
    </row>
    <row r="508" spans="1:22" x14ac:dyDescent="0.35">
      <c r="I508" s="90"/>
      <c r="Q508" s="184"/>
      <c r="R508" s="184"/>
    </row>
    <row r="509" spans="1:22" x14ac:dyDescent="0.35">
      <c r="Q509" s="184"/>
      <c r="R509" s="184"/>
    </row>
    <row r="510" spans="1:22" x14ac:dyDescent="0.35">
      <c r="Q510" s="184"/>
      <c r="R510" s="184"/>
    </row>
    <row r="511" spans="1:22" x14ac:dyDescent="0.35">
      <c r="Q511" s="220"/>
    </row>
    <row r="512" spans="1:22" x14ac:dyDescent="0.35">
      <c r="Q512" s="220"/>
      <c r="S512" s="220"/>
    </row>
    <row r="513" spans="17:19" x14ac:dyDescent="0.35">
      <c r="Q513" s="220"/>
      <c r="S513" s="221"/>
    </row>
    <row r="514" spans="17:19" x14ac:dyDescent="0.35">
      <c r="Q514" s="220"/>
      <c r="S514" s="220"/>
    </row>
    <row r="515" spans="17:19" x14ac:dyDescent="0.35">
      <c r="Q515" s="220"/>
      <c r="S515" s="220"/>
    </row>
    <row r="516" spans="17:19" x14ac:dyDescent="0.35">
      <c r="Q516" s="37"/>
      <c r="R516" s="37"/>
      <c r="S516" s="220"/>
    </row>
    <row r="517" spans="17:19" x14ac:dyDescent="0.35">
      <c r="Q517" s="34"/>
      <c r="R517" s="34"/>
      <c r="S517" s="220"/>
    </row>
    <row r="518" spans="17:19" x14ac:dyDescent="0.35">
      <c r="Q518" s="222"/>
      <c r="S518" s="220"/>
    </row>
    <row r="519" spans="17:19" x14ac:dyDescent="0.35">
      <c r="Q519" s="222"/>
      <c r="S519" s="220"/>
    </row>
    <row r="520" spans="17:19" x14ac:dyDescent="0.35">
      <c r="S520" s="37"/>
    </row>
    <row r="521" spans="17:19" x14ac:dyDescent="0.35">
      <c r="Q521" s="223"/>
      <c r="S521" s="34"/>
    </row>
    <row r="522" spans="17:19" x14ac:dyDescent="0.35">
      <c r="Q522" s="223"/>
    </row>
    <row r="523" spans="17:19" x14ac:dyDescent="0.35">
      <c r="Q523" s="37"/>
      <c r="S523" s="34"/>
    </row>
  </sheetData>
  <autoFilter ref="A7:N500" xr:uid="{00000000-0001-0000-0700-000000000000}"/>
  <mergeCells count="6">
    <mergeCell ref="G502:G505"/>
    <mergeCell ref="A1:N1"/>
    <mergeCell ref="A2:N2"/>
    <mergeCell ref="A3:N3"/>
    <mergeCell ref="A4:N4"/>
    <mergeCell ref="A5:N5"/>
  </mergeCells>
  <pageMargins left="0.70866141732283472" right="0.70866141732283472" top="0.74803149606299213" bottom="0.74803149606299213" header="0.31496062992125984" footer="0.31496062992125984"/>
  <pageSetup scale="1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50"/>
  <sheetViews>
    <sheetView showGridLines="0" view="pageBreakPreview" zoomScale="85" zoomScaleNormal="85" zoomScaleSheetLayoutView="85" workbookViewId="0">
      <pane ySplit="7" topLeftCell="A8" activePane="bottomLeft" state="frozen"/>
      <selection pane="bottomLeft" activeCell="D40" sqref="D40"/>
    </sheetView>
  </sheetViews>
  <sheetFormatPr baseColWidth="10" defaultColWidth="11.453125" defaultRowHeight="14.5" x14ac:dyDescent="0.35"/>
  <cols>
    <col min="1" max="9" width="26.6328125" customWidth="1"/>
    <col min="10" max="10" width="24.36328125" customWidth="1"/>
    <col min="11" max="11" width="18" customWidth="1"/>
    <col min="12" max="12" width="19.36328125" customWidth="1"/>
    <col min="13" max="13" width="23.453125" customWidth="1"/>
    <col min="14" max="14" width="16" customWidth="1"/>
  </cols>
  <sheetData>
    <row r="1" spans="1:10" ht="15.5" x14ac:dyDescent="0.35">
      <c r="A1" s="278" t="str">
        <f>CONTRATO</f>
        <v>Contrato Interadministrativo No. CO1.PCCNTR. 4917031</v>
      </c>
      <c r="B1" s="278"/>
      <c r="C1" s="278"/>
      <c r="D1" s="278"/>
      <c r="E1" s="278"/>
      <c r="F1" s="278"/>
      <c r="G1" s="278"/>
      <c r="H1" s="278"/>
      <c r="I1" s="278"/>
    </row>
    <row r="2" spans="1:10" ht="15.5" x14ac:dyDescent="0.35">
      <c r="A2" s="278" t="s">
        <v>4</v>
      </c>
      <c r="B2" s="278"/>
      <c r="C2" s="278"/>
      <c r="D2" s="278"/>
      <c r="E2" s="278"/>
      <c r="F2" s="278"/>
      <c r="G2" s="278"/>
      <c r="H2" s="278"/>
      <c r="I2" s="278"/>
    </row>
    <row r="3" spans="1:10" ht="15.5" x14ac:dyDescent="0.35">
      <c r="A3" s="278" t="s">
        <v>15</v>
      </c>
      <c r="B3" s="278"/>
      <c r="C3" s="278"/>
      <c r="D3" s="278"/>
      <c r="E3" s="278"/>
      <c r="F3" s="278"/>
      <c r="G3" s="278"/>
      <c r="H3" s="278"/>
      <c r="I3" s="278"/>
    </row>
    <row r="4" spans="1:10" ht="18.5" x14ac:dyDescent="0.45">
      <c r="A4" s="259" t="s">
        <v>141</v>
      </c>
      <c r="B4" s="259"/>
      <c r="C4" s="259"/>
      <c r="D4" s="259"/>
      <c r="E4" s="259"/>
      <c r="F4" s="259"/>
      <c r="G4" s="259"/>
      <c r="H4" s="259"/>
      <c r="I4" s="259"/>
    </row>
    <row r="5" spans="1:10" ht="15.5" x14ac:dyDescent="0.35">
      <c r="A5" s="286" t="str">
        <f>periodo</f>
        <v>01 de mayo al 31 de mayo de 2026</v>
      </c>
      <c r="B5" s="286"/>
      <c r="C5" s="286"/>
      <c r="D5" s="286"/>
      <c r="E5" s="286"/>
      <c r="F5" s="286"/>
      <c r="G5" s="286"/>
      <c r="H5" s="286"/>
      <c r="I5" s="286"/>
    </row>
    <row r="6" spans="1:10" x14ac:dyDescent="0.35">
      <c r="D6" s="36"/>
      <c r="E6" s="36"/>
      <c r="F6" s="36"/>
      <c r="G6" s="36"/>
      <c r="J6" s="37"/>
    </row>
    <row r="7" spans="1:10" ht="72.5" x14ac:dyDescent="0.35">
      <c r="A7" s="125" t="s">
        <v>56</v>
      </c>
      <c r="B7" s="125" t="s">
        <v>142</v>
      </c>
      <c r="C7" s="125" t="s">
        <v>143</v>
      </c>
      <c r="D7" s="125" t="s">
        <v>144</v>
      </c>
      <c r="E7" s="125" t="s">
        <v>145</v>
      </c>
      <c r="F7" s="125" t="s">
        <v>146</v>
      </c>
      <c r="G7" s="125" t="s">
        <v>147</v>
      </c>
      <c r="H7" s="125" t="s">
        <v>148</v>
      </c>
      <c r="I7" s="125" t="s">
        <v>149</v>
      </c>
    </row>
    <row r="8" spans="1:10" ht="18.5" customHeight="1" x14ac:dyDescent="0.35">
      <c r="A8" s="75">
        <v>45139</v>
      </c>
      <c r="B8" s="146">
        <v>82351406.349999994</v>
      </c>
      <c r="C8" s="146">
        <v>443947650.00999999</v>
      </c>
      <c r="D8" s="147">
        <f>ROUND(SUM(B8:C8),2)</f>
        <v>526299056.36000001</v>
      </c>
      <c r="E8" s="121"/>
      <c r="F8" s="147"/>
      <c r="G8" s="146"/>
      <c r="H8" s="149">
        <v>0</v>
      </c>
      <c r="I8" s="149">
        <v>0</v>
      </c>
    </row>
    <row r="9" spans="1:10" ht="18.5" customHeight="1" x14ac:dyDescent="0.35">
      <c r="A9" s="75">
        <v>45170</v>
      </c>
      <c r="B9" s="146">
        <v>108927246.73999999</v>
      </c>
      <c r="C9" s="146">
        <v>548880836.71000004</v>
      </c>
      <c r="D9" s="147">
        <f t="shared" ref="D9:D31" si="0">ROUND(SUM(B9:C9),2)</f>
        <v>657808083.45000005</v>
      </c>
      <c r="E9" s="121"/>
      <c r="F9" s="147"/>
      <c r="G9" s="146"/>
      <c r="H9" s="149">
        <v>0</v>
      </c>
      <c r="I9" s="149">
        <v>0</v>
      </c>
    </row>
    <row r="10" spans="1:10" ht="18.5" customHeight="1" x14ac:dyDescent="0.35">
      <c r="A10" s="75">
        <v>45200</v>
      </c>
      <c r="B10" s="146">
        <v>131902760.66</v>
      </c>
      <c r="C10" s="146">
        <v>436008307.19999999</v>
      </c>
      <c r="D10" s="147">
        <f t="shared" si="0"/>
        <v>567911067.86000001</v>
      </c>
      <c r="E10" s="121"/>
      <c r="F10" s="147"/>
      <c r="G10" s="146"/>
      <c r="H10" s="149">
        <v>0</v>
      </c>
      <c r="I10" s="149">
        <v>0</v>
      </c>
    </row>
    <row r="11" spans="1:10" ht="18.5" customHeight="1" x14ac:dyDescent="0.35">
      <c r="A11" s="75">
        <v>45231</v>
      </c>
      <c r="B11" s="146">
        <v>144907033.92000008</v>
      </c>
      <c r="C11" s="146">
        <v>718224229.49000001</v>
      </c>
      <c r="D11" s="147">
        <f t="shared" si="0"/>
        <v>863131263.40999997</v>
      </c>
      <c r="E11" s="121"/>
      <c r="F11" s="147"/>
      <c r="G11" s="146"/>
      <c r="H11" s="149">
        <v>0</v>
      </c>
      <c r="I11" s="149">
        <v>0</v>
      </c>
    </row>
    <row r="12" spans="1:10" ht="18.5" customHeight="1" x14ac:dyDescent="0.35">
      <c r="A12" s="75">
        <v>45261</v>
      </c>
      <c r="B12" s="146">
        <v>143221271.36000001</v>
      </c>
      <c r="C12" s="146">
        <v>788090860.63</v>
      </c>
      <c r="D12" s="147">
        <f t="shared" si="0"/>
        <v>931312131.99000001</v>
      </c>
      <c r="E12" s="121">
        <v>45273</v>
      </c>
      <c r="F12" s="147">
        <v>2615149472</v>
      </c>
      <c r="G12" s="146"/>
      <c r="H12" s="149">
        <v>0</v>
      </c>
      <c r="I12" s="149">
        <v>0</v>
      </c>
    </row>
    <row r="13" spans="1:10" ht="18.5" customHeight="1" x14ac:dyDescent="0.35">
      <c r="A13" s="75">
        <v>45292</v>
      </c>
      <c r="B13" s="146">
        <v>133626379.48</v>
      </c>
      <c r="C13" s="146">
        <v>427858051.58999997</v>
      </c>
      <c r="D13" s="147">
        <f t="shared" si="0"/>
        <v>561484431.07000005</v>
      </c>
      <c r="E13" s="121">
        <v>45301</v>
      </c>
      <c r="F13" s="147">
        <v>931312131.99000001</v>
      </c>
      <c r="G13" s="146"/>
      <c r="H13" s="149">
        <v>0</v>
      </c>
      <c r="I13" s="149">
        <v>0</v>
      </c>
    </row>
    <row r="14" spans="1:10" ht="18.5" customHeight="1" x14ac:dyDescent="0.35">
      <c r="A14" s="75">
        <v>45323</v>
      </c>
      <c r="B14" s="146">
        <v>120547529.88</v>
      </c>
      <c r="C14" s="146">
        <v>474970095.24000001</v>
      </c>
      <c r="D14" s="147">
        <f t="shared" si="0"/>
        <v>595517625.12</v>
      </c>
      <c r="E14" s="121">
        <v>45334</v>
      </c>
      <c r="F14" s="147">
        <v>561484430.14999998</v>
      </c>
      <c r="G14" s="146"/>
      <c r="H14" s="149">
        <v>0</v>
      </c>
      <c r="I14" s="149">
        <v>0</v>
      </c>
    </row>
    <row r="15" spans="1:10" ht="18.5" customHeight="1" x14ac:dyDescent="0.35">
      <c r="A15" s="75">
        <v>45352</v>
      </c>
      <c r="B15" s="146">
        <v>117745976.5</v>
      </c>
      <c r="C15" s="146">
        <v>478495863.61000001</v>
      </c>
      <c r="D15" s="147">
        <f t="shared" si="0"/>
        <v>596241840.11000001</v>
      </c>
      <c r="E15" s="121">
        <v>45363</v>
      </c>
      <c r="F15" s="147">
        <v>595517625.12</v>
      </c>
      <c r="G15" s="146"/>
      <c r="H15" s="149">
        <v>0</v>
      </c>
      <c r="I15" s="149">
        <v>0</v>
      </c>
    </row>
    <row r="16" spans="1:10" ht="18" customHeight="1" x14ac:dyDescent="0.35">
      <c r="A16" s="75">
        <v>45383</v>
      </c>
      <c r="B16" s="146">
        <v>100331907.69</v>
      </c>
      <c r="C16" s="146">
        <v>259736382.69999999</v>
      </c>
      <c r="D16" s="147">
        <f t="shared" si="0"/>
        <v>360068290.38999999</v>
      </c>
      <c r="E16" s="121">
        <v>45392</v>
      </c>
      <c r="F16" s="147">
        <v>596241840.11000001</v>
      </c>
      <c r="G16" s="146"/>
      <c r="H16" s="149">
        <v>0</v>
      </c>
      <c r="I16" s="149">
        <v>0</v>
      </c>
    </row>
    <row r="17" spans="1:9" ht="18" customHeight="1" x14ac:dyDescent="0.35">
      <c r="A17" s="75">
        <v>45413</v>
      </c>
      <c r="B17" s="146">
        <v>89374457.560000002</v>
      </c>
      <c r="C17" s="146">
        <v>353632163.66000003</v>
      </c>
      <c r="D17" s="147">
        <f t="shared" si="0"/>
        <v>443006621.22000003</v>
      </c>
      <c r="E17" s="121">
        <v>45423</v>
      </c>
      <c r="F17" s="147">
        <v>360068290.38999999</v>
      </c>
      <c r="G17" s="146"/>
      <c r="H17" s="149">
        <v>0</v>
      </c>
      <c r="I17" s="149">
        <v>0</v>
      </c>
    </row>
    <row r="18" spans="1:9" ht="18" customHeight="1" x14ac:dyDescent="0.35">
      <c r="A18" s="75">
        <v>45444</v>
      </c>
      <c r="B18" s="146">
        <v>76820331.890000001</v>
      </c>
      <c r="C18" s="146">
        <v>266323590.41</v>
      </c>
      <c r="D18" s="147">
        <f t="shared" si="0"/>
        <v>343143922.30000001</v>
      </c>
      <c r="E18" s="121">
        <v>45456</v>
      </c>
      <c r="F18" s="147">
        <v>443006621.22000003</v>
      </c>
      <c r="G18" s="146"/>
      <c r="H18" s="149">
        <v>0</v>
      </c>
      <c r="I18" s="149">
        <v>0</v>
      </c>
    </row>
    <row r="19" spans="1:9" ht="18" customHeight="1" x14ac:dyDescent="0.35">
      <c r="A19" s="75">
        <v>45474</v>
      </c>
      <c r="B19" s="146">
        <v>68012790.670000002</v>
      </c>
      <c r="C19" s="146">
        <v>294233627.00999999</v>
      </c>
      <c r="D19" s="147">
        <f t="shared" si="0"/>
        <v>362246417.68000001</v>
      </c>
      <c r="E19" s="121">
        <v>45488</v>
      </c>
      <c r="F19" s="147">
        <v>343143922.30000001</v>
      </c>
      <c r="G19" s="146"/>
      <c r="H19" s="149">
        <v>0</v>
      </c>
      <c r="I19" s="149">
        <v>0</v>
      </c>
    </row>
    <row r="20" spans="1:9" ht="18" customHeight="1" x14ac:dyDescent="0.35">
      <c r="A20" s="75">
        <v>45505</v>
      </c>
      <c r="B20" s="146">
        <v>21741419.32</v>
      </c>
      <c r="C20" s="146">
        <v>313006436.95999998</v>
      </c>
      <c r="D20" s="147">
        <f t="shared" si="0"/>
        <v>334747856.27999997</v>
      </c>
      <c r="E20" s="121">
        <v>45518</v>
      </c>
      <c r="F20" s="147">
        <v>362246417.68000001</v>
      </c>
      <c r="G20" s="146"/>
      <c r="H20" s="149">
        <v>0</v>
      </c>
      <c r="I20" s="149">
        <v>0</v>
      </c>
    </row>
    <row r="21" spans="1:9" ht="18" customHeight="1" x14ac:dyDescent="0.35">
      <c r="A21" s="75">
        <v>45536</v>
      </c>
      <c r="B21" s="146">
        <v>20861120</v>
      </c>
      <c r="C21" s="146">
        <v>192185501.19</v>
      </c>
      <c r="D21" s="147">
        <f t="shared" si="0"/>
        <v>213046621.19</v>
      </c>
      <c r="E21" s="121">
        <v>45545</v>
      </c>
      <c r="F21" s="147">
        <v>334747856.27999997</v>
      </c>
      <c r="G21" s="146"/>
      <c r="H21" s="149">
        <v>0</v>
      </c>
      <c r="I21" s="149">
        <v>0</v>
      </c>
    </row>
    <row r="22" spans="1:9" ht="18" customHeight="1" x14ac:dyDescent="0.35">
      <c r="A22" s="75">
        <v>45596</v>
      </c>
      <c r="B22" s="146">
        <v>27022756.52</v>
      </c>
      <c r="C22" s="146">
        <v>71175915.030000001</v>
      </c>
      <c r="D22" s="147">
        <f t="shared" si="0"/>
        <v>98198671.549999997</v>
      </c>
      <c r="E22" s="121">
        <v>45583</v>
      </c>
      <c r="F22" s="147">
        <v>213046621.19</v>
      </c>
      <c r="G22" s="146"/>
      <c r="H22" s="149">
        <v>0</v>
      </c>
      <c r="I22" s="149">
        <v>0</v>
      </c>
    </row>
    <row r="23" spans="1:9" ht="18" customHeight="1" x14ac:dyDescent="0.35">
      <c r="A23" s="75">
        <v>45626</v>
      </c>
      <c r="B23" s="146">
        <v>21729373.209999993</v>
      </c>
      <c r="C23" s="146">
        <v>129213183.81999999</v>
      </c>
      <c r="D23" s="147">
        <f t="shared" si="0"/>
        <v>150942557.03</v>
      </c>
      <c r="E23" s="121">
        <v>45609</v>
      </c>
      <c r="F23" s="147">
        <v>98198671.549999997</v>
      </c>
      <c r="G23" s="146"/>
      <c r="H23" s="149">
        <v>0</v>
      </c>
      <c r="I23" s="149">
        <v>0</v>
      </c>
    </row>
    <row r="24" spans="1:9" ht="18" customHeight="1" x14ac:dyDescent="0.35">
      <c r="A24" s="75">
        <v>45657</v>
      </c>
      <c r="B24" s="146">
        <v>19252522.640000001</v>
      </c>
      <c r="C24" s="146">
        <v>66886746.399999999</v>
      </c>
      <c r="D24" s="147">
        <f t="shared" si="0"/>
        <v>86139269.040000007</v>
      </c>
      <c r="E24" s="121">
        <v>45636</v>
      </c>
      <c r="F24" s="147">
        <v>150942557.02999997</v>
      </c>
      <c r="G24" s="146"/>
      <c r="H24" s="149">
        <v>0</v>
      </c>
      <c r="I24" s="149">
        <v>0</v>
      </c>
    </row>
    <row r="25" spans="1:9" ht="18" customHeight="1" x14ac:dyDescent="0.35">
      <c r="A25" s="75">
        <v>45688</v>
      </c>
      <c r="B25" s="146">
        <f>83591292.21-66886746.4</f>
        <v>16704545.809999995</v>
      </c>
      <c r="C25" s="146">
        <v>83803505.049999997</v>
      </c>
      <c r="D25" s="147">
        <f t="shared" si="0"/>
        <v>100508050.86</v>
      </c>
      <c r="E25" s="121">
        <v>45665</v>
      </c>
      <c r="F25" s="147">
        <v>86139269.039999992</v>
      </c>
      <c r="G25" s="146"/>
      <c r="H25" s="149">
        <v>0</v>
      </c>
      <c r="I25" s="149">
        <v>0</v>
      </c>
    </row>
    <row r="26" spans="1:9" ht="18" customHeight="1" x14ac:dyDescent="0.35">
      <c r="A26" s="75">
        <v>45716</v>
      </c>
      <c r="B26" s="146">
        <v>13476388.129999965</v>
      </c>
      <c r="C26" s="146">
        <v>66394607.020000003</v>
      </c>
      <c r="D26" s="147">
        <f t="shared" si="0"/>
        <v>79870995.150000006</v>
      </c>
      <c r="E26" s="121">
        <v>45699</v>
      </c>
      <c r="F26" s="147">
        <v>100508050.85999998</v>
      </c>
      <c r="G26" s="146"/>
      <c r="H26" s="149">
        <v>0</v>
      </c>
      <c r="I26" s="149">
        <v>0</v>
      </c>
    </row>
    <row r="27" spans="1:9" ht="18" customHeight="1" x14ac:dyDescent="0.35">
      <c r="A27" s="75">
        <v>45747</v>
      </c>
      <c r="B27" s="146">
        <v>12509341.500000004</v>
      </c>
      <c r="C27" s="146">
        <v>58975191.369999997</v>
      </c>
      <c r="D27" s="147">
        <f t="shared" si="0"/>
        <v>71484532.870000005</v>
      </c>
      <c r="E27" s="121">
        <v>45726</v>
      </c>
      <c r="F27" s="147">
        <v>79870995.149999976</v>
      </c>
      <c r="G27" s="146"/>
      <c r="H27" s="149">
        <v>0</v>
      </c>
      <c r="I27" s="149">
        <v>0</v>
      </c>
    </row>
    <row r="28" spans="1:9" ht="18" customHeight="1" x14ac:dyDescent="0.35">
      <c r="A28" s="75">
        <v>45777</v>
      </c>
      <c r="B28" s="146">
        <v>10598023.58</v>
      </c>
      <c r="C28" s="146">
        <v>52844782.130000003</v>
      </c>
      <c r="D28" s="147">
        <f t="shared" si="0"/>
        <v>63442805.710000001</v>
      </c>
      <c r="E28" s="121">
        <v>45756</v>
      </c>
      <c r="F28" s="147">
        <v>71484532.870000005</v>
      </c>
      <c r="G28" s="146"/>
      <c r="H28" s="149">
        <f>+SUM(D8:D28)-SUM(F8:F29)</f>
        <v>0</v>
      </c>
      <c r="I28" s="149">
        <v>0</v>
      </c>
    </row>
    <row r="29" spans="1:9" ht="18" customHeight="1" x14ac:dyDescent="0.35">
      <c r="A29" s="75">
        <v>45808</v>
      </c>
      <c r="B29" s="146">
        <f>8998355.7+102370.38</f>
        <v>9100726.0800000001</v>
      </c>
      <c r="C29" s="146">
        <v>48869305.25</v>
      </c>
      <c r="D29" s="147">
        <f t="shared" si="0"/>
        <v>57970031.329999998</v>
      </c>
      <c r="E29" s="121">
        <v>45789</v>
      </c>
      <c r="F29" s="147">
        <v>63442805.710000001</v>
      </c>
      <c r="G29" s="146"/>
      <c r="H29" s="149">
        <v>0</v>
      </c>
      <c r="I29" s="149">
        <v>0</v>
      </c>
    </row>
    <row r="30" spans="1:9" ht="18" customHeight="1" x14ac:dyDescent="0.35">
      <c r="A30" s="75">
        <v>45838</v>
      </c>
      <c r="B30" s="146">
        <v>7327626.6099999994</v>
      </c>
      <c r="C30" s="146">
        <v>29568521.940000001</v>
      </c>
      <c r="D30" s="147">
        <f t="shared" si="0"/>
        <v>36896148.549999997</v>
      </c>
      <c r="E30" s="121">
        <v>45818</v>
      </c>
      <c r="F30" s="147">
        <v>57867660.950000003</v>
      </c>
      <c r="G30" s="146"/>
      <c r="H30" s="149">
        <v>0</v>
      </c>
      <c r="I30" s="149">
        <v>0</v>
      </c>
    </row>
    <row r="31" spans="1:9" ht="18" customHeight="1" x14ac:dyDescent="0.35">
      <c r="A31" s="75">
        <v>45869</v>
      </c>
      <c r="B31" s="146">
        <v>6722779.2800000003</v>
      </c>
      <c r="C31" s="146">
        <v>35940135.670000002</v>
      </c>
      <c r="D31" s="147">
        <f t="shared" si="0"/>
        <v>42662914.950000003</v>
      </c>
      <c r="E31" s="121">
        <v>45848</v>
      </c>
      <c r="F31" s="147">
        <v>36896148.549999997</v>
      </c>
      <c r="G31" s="146"/>
      <c r="H31" s="149">
        <v>0</v>
      </c>
      <c r="I31" s="149">
        <v>0</v>
      </c>
    </row>
    <row r="32" spans="1:9" ht="18" customHeight="1" x14ac:dyDescent="0.35">
      <c r="A32" s="75">
        <v>45900</v>
      </c>
      <c r="B32" s="146">
        <v>6324996.54</v>
      </c>
      <c r="C32" s="146">
        <v>28153780.440000001</v>
      </c>
      <c r="D32" s="147">
        <f t="shared" ref="D32" si="1">ROUND(SUM(B32:C32),2)</f>
        <v>34478776.979999997</v>
      </c>
      <c r="E32" s="121">
        <v>45875</v>
      </c>
      <c r="F32" s="147">
        <f>+B31+C31</f>
        <v>42662914.950000003</v>
      </c>
      <c r="G32" s="146"/>
      <c r="H32" s="149">
        <v>0</v>
      </c>
      <c r="I32" s="149">
        <v>0</v>
      </c>
    </row>
    <row r="33" spans="1:9" x14ac:dyDescent="0.35">
      <c r="A33" s="75">
        <v>45930</v>
      </c>
      <c r="B33" s="146">
        <v>4520158.2199999988</v>
      </c>
      <c r="C33" s="146">
        <v>16014691.109999999</v>
      </c>
      <c r="D33" s="147">
        <f t="shared" ref="D33" si="2">ROUND(SUM(B33:C33),2)</f>
        <v>20534849.329999998</v>
      </c>
      <c r="E33" s="232">
        <v>45909</v>
      </c>
      <c r="F33" s="147">
        <f>+B32+C32+102370.38</f>
        <v>34581147.360000007</v>
      </c>
      <c r="G33" s="146"/>
      <c r="H33" s="149">
        <v>0</v>
      </c>
      <c r="I33" s="149">
        <v>0</v>
      </c>
    </row>
    <row r="34" spans="1:9" x14ac:dyDescent="0.35">
      <c r="A34" s="75">
        <v>45961</v>
      </c>
      <c r="B34" s="146">
        <v>3424586.8999999985</v>
      </c>
      <c r="C34" s="146">
        <v>14541926.91</v>
      </c>
      <c r="D34" s="147">
        <f t="shared" ref="D34" si="3">ROUND(SUM(B34:C34),2)</f>
        <v>17966513.809999999</v>
      </c>
      <c r="E34" s="232">
        <v>45940</v>
      </c>
      <c r="F34" s="147">
        <f>+B33+C33</f>
        <v>20534849.329999998</v>
      </c>
      <c r="G34" s="146"/>
      <c r="H34" s="149">
        <v>0</v>
      </c>
      <c r="I34" s="149">
        <v>0</v>
      </c>
    </row>
    <row r="35" spans="1:9" x14ac:dyDescent="0.35">
      <c r="A35" s="75">
        <v>45991</v>
      </c>
      <c r="B35" s="146">
        <v>2862421.9199999981</v>
      </c>
      <c r="C35" s="146">
        <v>7895373.2699999996</v>
      </c>
      <c r="D35" s="147">
        <f t="shared" ref="D35:D41" si="4">ROUND(SUM(B35:C35),2)</f>
        <v>10757795.189999999</v>
      </c>
      <c r="E35" s="232">
        <v>45972</v>
      </c>
      <c r="F35" s="147">
        <f>+B34+C34</f>
        <v>17966513.809999999</v>
      </c>
      <c r="G35" s="146"/>
      <c r="H35" s="149">
        <v>0</v>
      </c>
      <c r="I35" s="149">
        <v>0</v>
      </c>
    </row>
    <row r="36" spans="1:9" x14ac:dyDescent="0.35">
      <c r="A36" s="75">
        <v>46022</v>
      </c>
      <c r="B36" s="146">
        <v>1983738.94</v>
      </c>
      <c r="C36" s="146">
        <v>4953734.49</v>
      </c>
      <c r="D36" s="147">
        <f t="shared" si="4"/>
        <v>6937473.4299999997</v>
      </c>
      <c r="E36" s="232">
        <v>46000</v>
      </c>
      <c r="F36" s="147">
        <f>+B35+C35</f>
        <v>10757795.189999998</v>
      </c>
      <c r="G36" s="146"/>
      <c r="H36" s="149">
        <v>0</v>
      </c>
      <c r="I36" s="149"/>
    </row>
    <row r="37" spans="1:9" x14ac:dyDescent="0.35">
      <c r="A37" s="75">
        <v>46053</v>
      </c>
      <c r="B37" s="146">
        <v>1293046.1599999999</v>
      </c>
      <c r="C37" s="146">
        <v>4625455.34</v>
      </c>
      <c r="D37" s="147">
        <f t="shared" si="4"/>
        <v>5918501.5</v>
      </c>
      <c r="E37" s="232">
        <v>46038</v>
      </c>
      <c r="F37" s="147">
        <f>+D36</f>
        <v>6937473.4299999997</v>
      </c>
      <c r="G37" s="146"/>
      <c r="H37" s="149">
        <v>0</v>
      </c>
      <c r="I37" s="149"/>
    </row>
    <row r="38" spans="1:9" x14ac:dyDescent="0.35">
      <c r="A38" s="75">
        <v>46081</v>
      </c>
      <c r="B38" s="146">
        <v>1165182.98</v>
      </c>
      <c r="C38" s="146">
        <v>3559825.41</v>
      </c>
      <c r="D38" s="147">
        <f t="shared" si="4"/>
        <v>4725008.3899999997</v>
      </c>
      <c r="E38" s="232">
        <v>46064</v>
      </c>
      <c r="F38" s="147">
        <f>+D37</f>
        <v>5918501.5</v>
      </c>
      <c r="G38" s="146"/>
      <c r="H38" s="149">
        <v>0</v>
      </c>
      <c r="I38" s="149"/>
    </row>
    <row r="39" spans="1:9" x14ac:dyDescent="0.35">
      <c r="A39" s="75">
        <v>46112</v>
      </c>
      <c r="B39" s="146">
        <v>1289695.3799999999</v>
      </c>
      <c r="C39" s="146">
        <v>6379619.1900000004</v>
      </c>
      <c r="D39" s="147">
        <f t="shared" si="4"/>
        <v>7669314.5700000003</v>
      </c>
      <c r="E39" s="232">
        <v>46091</v>
      </c>
      <c r="F39" s="147">
        <f>+D38</f>
        <v>4725008.3899999997</v>
      </c>
      <c r="G39" s="146"/>
      <c r="H39" s="149">
        <v>0</v>
      </c>
      <c r="I39" s="149"/>
    </row>
    <row r="40" spans="1:9" x14ac:dyDescent="0.35">
      <c r="A40" s="75">
        <v>46113</v>
      </c>
      <c r="B40" s="146">
        <v>1013010.2</v>
      </c>
      <c r="C40" s="146">
        <v>7154029.2699999996</v>
      </c>
      <c r="D40" s="147">
        <f t="shared" si="4"/>
        <v>8167039.4699999997</v>
      </c>
      <c r="E40" s="232">
        <v>46122</v>
      </c>
      <c r="F40" s="147">
        <f>+D39</f>
        <v>7669314.5700000003</v>
      </c>
      <c r="G40" s="146"/>
      <c r="H40" s="149">
        <f>+D39+D40-F40</f>
        <v>8167039.4699999988</v>
      </c>
      <c r="I40" s="149"/>
    </row>
    <row r="41" spans="1:9" x14ac:dyDescent="0.35">
      <c r="A41" s="75">
        <v>46143</v>
      </c>
      <c r="B41" s="146">
        <v>766827.23</v>
      </c>
      <c r="C41" s="146">
        <v>5381907.6699999999</v>
      </c>
      <c r="D41" s="147">
        <f t="shared" si="4"/>
        <v>6148734.9000000004</v>
      </c>
      <c r="E41" s="232">
        <v>46153</v>
      </c>
      <c r="F41" s="147">
        <f>+D40</f>
        <v>8167039.4699999997</v>
      </c>
      <c r="G41" s="146"/>
      <c r="H41" s="149">
        <f>+D40+D41-F41</f>
        <v>6148734.9000000013</v>
      </c>
      <c r="I41" s="149"/>
    </row>
    <row r="42" spans="1:9" ht="18.5" customHeight="1" x14ac:dyDescent="0.35">
      <c r="A42" s="124" t="s">
        <v>90</v>
      </c>
      <c r="B42" s="148">
        <f>SUM(B8:B41)</f>
        <v>1529459379.8500004</v>
      </c>
      <c r="C42" s="148">
        <f>SUM(C8:C41)</f>
        <v>6737925833.1899977</v>
      </c>
      <c r="D42" s="148">
        <f>SUM(D8:D41)</f>
        <v>8267385213.039999</v>
      </c>
      <c r="E42" s="90"/>
      <c r="F42" s="148">
        <f>SUM(F8:F41)</f>
        <v>8261236478.1399994</v>
      </c>
      <c r="G42" s="148">
        <f t="shared" ref="G42:I42" si="5">SUM(G8:G39)</f>
        <v>0</v>
      </c>
      <c r="H42" s="148">
        <f t="shared" si="5"/>
        <v>0</v>
      </c>
      <c r="I42" s="148">
        <f t="shared" si="5"/>
        <v>0</v>
      </c>
    </row>
    <row r="43" spans="1:9" ht="18.75" customHeight="1" x14ac:dyDescent="0.35">
      <c r="A43" s="155"/>
      <c r="B43" s="156"/>
      <c r="C43" s="156"/>
      <c r="D43" s="156"/>
      <c r="F43" s="156"/>
      <c r="G43" s="156"/>
      <c r="H43" s="156"/>
      <c r="I43" s="156"/>
    </row>
    <row r="44" spans="1:9" x14ac:dyDescent="0.35">
      <c r="A44" s="337"/>
      <c r="B44" s="337"/>
      <c r="C44" s="337"/>
      <c r="D44" s="337"/>
      <c r="E44" s="337"/>
      <c r="F44" s="337"/>
      <c r="G44" s="337"/>
      <c r="H44" s="337"/>
      <c r="I44" s="337"/>
    </row>
    <row r="45" spans="1:9" x14ac:dyDescent="0.35">
      <c r="A45" s="337"/>
      <c r="B45" s="337"/>
      <c r="C45" s="337"/>
      <c r="D45" s="337"/>
      <c r="E45" s="337"/>
      <c r="F45" s="337"/>
      <c r="G45" s="337"/>
      <c r="H45" s="337"/>
      <c r="I45" s="337"/>
    </row>
    <row r="46" spans="1:9" x14ac:dyDescent="0.35">
      <c r="A46" s="337"/>
      <c r="B46" s="337"/>
      <c r="C46" s="337"/>
      <c r="D46" s="337"/>
      <c r="E46" s="337"/>
      <c r="F46" s="337"/>
      <c r="G46" s="337"/>
      <c r="H46" s="337"/>
      <c r="I46" s="337"/>
    </row>
    <row r="47" spans="1:9" x14ac:dyDescent="0.35">
      <c r="E47" s="90"/>
      <c r="F47" s="90"/>
    </row>
    <row r="49" spans="2:2" x14ac:dyDescent="0.35">
      <c r="B49" s="90"/>
    </row>
    <row r="50" spans="2:2" x14ac:dyDescent="0.35">
      <c r="B50" s="34"/>
    </row>
  </sheetData>
  <sheetProtection algorithmName="SHA-512" hashValue="XVSs9OFMw0ZqOIXZTqM1xjsdb9eNU26KA8QJJv7Gxy1p2a5WjEpOmr+w3Yn5T3CQDvwsYk6X0xRrqGCJo+pGDA==" saltValue="y7CVcldF/sWqcCVVCUhEoA==" spinCount="100000" sheet="1" objects="1" scenarios="1"/>
  <mergeCells count="6">
    <mergeCell ref="A44:I46"/>
    <mergeCell ref="A1:I1"/>
    <mergeCell ref="A2:I2"/>
    <mergeCell ref="A3:I3"/>
    <mergeCell ref="A4:I4"/>
    <mergeCell ref="A5:I5"/>
  </mergeCells>
  <pageMargins left="0.70866141732283472" right="0.70866141732283472" top="0.74803149606299213" bottom="0.74803149606299213" header="0.31496062992125984" footer="0.31496062992125984"/>
  <pageSetup scale="50" orientation="landscape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22469bc-35ca-4ded-89e3-9b8d582fc2a7" xsi:nil="true"/>
    <lcf76f155ced4ddcb4097134ff3c332f xmlns="6d3c9c2f-5e9a-4393-a1fe-83f1dbadb66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21272976436A40A75201E057D5F287" ma:contentTypeVersion="21" ma:contentTypeDescription="Crear nuevo documento." ma:contentTypeScope="" ma:versionID="29e2dc515881aab4935af38258e6be87">
  <xsd:schema xmlns:xsd="http://www.w3.org/2001/XMLSchema" xmlns:xs="http://www.w3.org/2001/XMLSchema" xmlns:p="http://schemas.microsoft.com/office/2006/metadata/properties" xmlns:ns2="6d3c9c2f-5e9a-4393-a1fe-83f1dbadb663" xmlns:ns3="822469bc-35ca-4ded-89e3-9b8d582fc2a7" targetNamespace="http://schemas.microsoft.com/office/2006/metadata/properties" ma:root="true" ma:fieldsID="d3c74c1894fccac3d799600855d49d6d" ns2:_="" ns3:_="">
    <xsd:import namespace="6d3c9c2f-5e9a-4393-a1fe-83f1dbadb663"/>
    <xsd:import namespace="822469bc-35ca-4ded-89e3-9b8d582fc2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3c9c2f-5e9a-4393-a1fe-83f1dbadb6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785dc40-82a5-43c1-b5c0-b2abc6a179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2469bc-35ca-4ded-89e3-9b8d582fc2a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253173e-98e0-4f38-be2d-fe21345788d2}" ma:internalName="TaxCatchAll" ma:showField="CatchAllData" ma:web="822469bc-35ca-4ded-89e3-9b8d582fc2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19E9CF-9463-4709-BAEC-CCBB10AA45EE}">
  <ds:schemaRefs>
    <ds:schemaRef ds:uri="http://purl.org/dc/elements/1.1/"/>
    <ds:schemaRef ds:uri="http://purl.org/dc/terms/"/>
    <ds:schemaRef ds:uri="http://schemas.openxmlformats.org/package/2006/metadata/core-properties"/>
    <ds:schemaRef ds:uri="822469bc-35ca-4ded-89e3-9b8d582fc2a7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6d3c9c2f-5e9a-4393-a1fe-83f1dbadb66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E5F2A15-ED4B-48A6-8C7D-6E32B7D73B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9C7ACA-7EAB-4D6A-A8A7-08C0224217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3c9c2f-5e9a-4393-a1fe-83f1dbadb663"/>
    <ds:schemaRef ds:uri="822469bc-35ca-4ded-89e3-9b8d582fc2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2c265b7e-6857-49fe-ae12-61c1a6cdb046}" enabled="0" method="" siteId="{2c265b7e-6857-49fe-ae12-61c1a6cdb0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19</vt:i4>
      </vt:variant>
    </vt:vector>
  </HeadingPairs>
  <TitlesOfParts>
    <vt:vector size="28" baseType="lpstr">
      <vt:lpstr>Indice Informe Financiero</vt:lpstr>
      <vt:lpstr>0.Ficha Técnica</vt:lpstr>
      <vt:lpstr>1.Resumen Financiero Contrato</vt:lpstr>
      <vt:lpstr>2.Resumen Presupuestal</vt:lpstr>
      <vt:lpstr>3.Ingresos del Contrato</vt:lpstr>
      <vt:lpstr>4.E.F. Contratación Derivada</vt:lpstr>
      <vt:lpstr>5.Pagos Asistencia Ténica</vt:lpstr>
      <vt:lpstr>6.Reportes de Pagos</vt:lpstr>
      <vt:lpstr>7.Rendimientos Financieros</vt:lpstr>
      <vt:lpstr>'1.Resumen Financiero Contrato'!Área_de_impresión</vt:lpstr>
      <vt:lpstr>'2.Resumen Presupuestal'!Área_de_impresión</vt:lpstr>
      <vt:lpstr>'3.Ingresos del Contrato'!Área_de_impresión</vt:lpstr>
      <vt:lpstr>'4.E.F. Contratación Derivada'!Área_de_impresión</vt:lpstr>
      <vt:lpstr>'5.Pagos Asistencia Ténica'!Área_de_impresión</vt:lpstr>
      <vt:lpstr>'6.Reportes de Pagos'!Área_de_impresión</vt:lpstr>
      <vt:lpstr>'7.Rendimientos Financieros'!Área_de_impresión</vt:lpstr>
      <vt:lpstr>CONTRATO</vt:lpstr>
      <vt:lpstr>FECHA</vt:lpstr>
      <vt:lpstr>periodo</vt:lpstr>
      <vt:lpstr>'4.E.F. Contratación Derivada'!Títulos_a_imprimir</vt:lpstr>
      <vt:lpstr>VLMAYPERM</vt:lpstr>
      <vt:lpstr>VRCOMPROMISOS</vt:lpstr>
      <vt:lpstr>VRCONTRATOS</vt:lpstr>
      <vt:lpstr>VRFACT</vt:lpstr>
      <vt:lpstr>VRFINDETER</vt:lpstr>
      <vt:lpstr>VRLIBERACIONES</vt:lpstr>
      <vt:lpstr>VRPAGOSCTOS</vt:lpstr>
      <vt:lpstr>VRRTEGTIACTO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INFORME FINANCIERO JUNIO 2021</dc:title>
  <dc:subject>INFORME FINANCIERO JUNIO 2021</dc:subject>
  <dc:creator>ARIEL ALVIRA LUNA</dc:creator>
  <cp:keywords>COID254</cp:keywords>
  <dc:description/>
  <cp:lastModifiedBy>OMAR ELIUD NOVA HENAO</cp:lastModifiedBy>
  <cp:revision/>
  <dcterms:created xsi:type="dcterms:W3CDTF">2014-03-26T17:19:24Z</dcterms:created>
  <dcterms:modified xsi:type="dcterms:W3CDTF">2026-07-07T19:37:15Z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0x010100CB21272976436A40A75201E057D5F287</vt:lpwstr>
  </property>
  <property fmtid="{D5CDD505-2E9C-101B-9397-08002B2CF9AE}" pid="3" name="MediaServiceImageTags">
    <vt:lpwstr/>
  </property>
</Properties>
</file>